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defaultThemeVersion="124226"/>
  <mc:AlternateContent xmlns:mc="http://schemas.openxmlformats.org/markup-compatibility/2006">
    <mc:Choice Requires="x15">
      <x15ac:absPath xmlns:x15ac="http://schemas.microsoft.com/office/spreadsheetml/2010/11/ac" url="C:\Users\jean-\OneDrive\Documents\Fiscalité\Déclarations fiscales\DECL 2020\"/>
    </mc:Choice>
  </mc:AlternateContent>
  <xr:revisionPtr revIDLastSave="0" documentId="13_ncr:1_{9EA06FA4-A78D-4199-8DF4-355A4134E5CF}" xr6:coauthVersionLast="45" xr6:coauthVersionMax="45" xr10:uidLastSave="{00000000-0000-0000-0000-000000000000}"/>
  <bookViews>
    <workbookView xWindow="28680" yWindow="-120" windowWidth="19440" windowHeight="15000" tabRatio="867" xr2:uid="{00000000-000D-0000-FFFF-FFFF00000000}"/>
  </bookViews>
  <sheets>
    <sheet name="Identification" sheetId="12" r:id="rId1"/>
    <sheet name="Revenus" sheetId="17" r:id="rId2"/>
    <sheet name="Automobile" sheetId="5" r:id="rId3"/>
    <sheet name="Dépenses affaires" sheetId="7" r:id="rId4"/>
    <sheet name="Domicile" sheetId="9" r:id="rId5"/>
    <sheet name="Revenu net" sheetId="8" r:id="rId6"/>
    <sheet name="TPS" sheetId="11" r:id="rId7"/>
    <sheet name="Amortissement" sheetId="10" r:id="rId8"/>
    <sheet name="Location" sheetId="13" r:id="rId9"/>
    <sheet name="Achat PMT mensuel" sheetId="14" r:id="rId10"/>
    <sheet name="Achat PMT Hebdo" sheetId="15" r:id="rId11"/>
    <sheet name="PMT bi-mensuel" sheetId="16"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8" l="1"/>
  <c r="B14" i="9" l="1"/>
  <c r="B9" i="10" l="1"/>
  <c r="G343" i="7" l="1"/>
  <c r="G10" i="7" s="1"/>
  <c r="M343" i="7"/>
  <c r="M10" i="7" s="1"/>
  <c r="N343" i="7" l="1"/>
  <c r="N10" i="7" s="1"/>
  <c r="B15" i="8"/>
  <c r="C15" i="8" s="1"/>
  <c r="B12" i="8"/>
  <c r="C12" i="8" s="1"/>
  <c r="A3" i="8"/>
  <c r="B14" i="11" l="1"/>
  <c r="I14" i="9"/>
  <c r="H14" i="9"/>
  <c r="G14" i="9"/>
  <c r="F14" i="9"/>
  <c r="F15" i="9" s="1"/>
  <c r="E14" i="9"/>
  <c r="E15" i="9" s="1"/>
  <c r="D14" i="9"/>
  <c r="C14" i="9"/>
  <c r="C15" i="9" s="1"/>
  <c r="B3" i="11"/>
  <c r="K5" i="7"/>
  <c r="C12" i="9"/>
  <c r="AF343" i="7"/>
  <c r="AF10" i="7" s="1"/>
  <c r="AG343" i="7"/>
  <c r="AG10" i="7" s="1"/>
  <c r="AI343" i="7"/>
  <c r="AI10" i="7" s="1"/>
  <c r="N17" i="5"/>
  <c r="K37" i="5"/>
  <c r="L37" i="5" s="1"/>
  <c r="K35" i="5"/>
  <c r="K36" i="5"/>
  <c r="L36" i="5"/>
  <c r="K38" i="5"/>
  <c r="K39" i="5"/>
  <c r="L39" i="5" s="1"/>
  <c r="O39" i="5"/>
  <c r="L34" i="5"/>
  <c r="O34" i="5" s="1"/>
  <c r="G12" i="9"/>
  <c r="G11" i="9"/>
  <c r="F12" i="9"/>
  <c r="F11" i="9"/>
  <c r="E11" i="9"/>
  <c r="E12" i="9"/>
  <c r="D343" i="7"/>
  <c r="D10" i="7" s="1"/>
  <c r="C343" i="7"/>
  <c r="C10" i="7" s="1"/>
  <c r="E343" i="7"/>
  <c r="E10" i="7" s="1"/>
  <c r="F343" i="7"/>
  <c r="F10" i="7" s="1"/>
  <c r="H343" i="7"/>
  <c r="H10" i="7" s="1"/>
  <c r="I343" i="7"/>
  <c r="I10" i="7" s="1"/>
  <c r="J343" i="7"/>
  <c r="J10" i="7" s="1"/>
  <c r="K343" i="7"/>
  <c r="K10" i="7" s="1"/>
  <c r="L343" i="7"/>
  <c r="L10" i="7" s="1"/>
  <c r="L9" i="7" s="1"/>
  <c r="O343" i="7"/>
  <c r="O10" i="7" s="1"/>
  <c r="P343" i="7"/>
  <c r="P10" i="7" s="1"/>
  <c r="Q343" i="7"/>
  <c r="Q10" i="7" s="1"/>
  <c r="R343" i="7"/>
  <c r="R10" i="7" s="1"/>
  <c r="S343" i="7"/>
  <c r="S10" i="7" s="1"/>
  <c r="T343" i="7"/>
  <c r="T10" i="7" s="1"/>
  <c r="B35" i="8" s="1"/>
  <c r="B36" i="8" s="1"/>
  <c r="B39" i="8" s="1"/>
  <c r="B40" i="8" s="1"/>
  <c r="B33" i="8" s="1"/>
  <c r="U343" i="7"/>
  <c r="U10" i="7" s="1"/>
  <c r="V343" i="7"/>
  <c r="V10" i="7" s="1"/>
  <c r="W343" i="7"/>
  <c r="W10" i="7" s="1"/>
  <c r="X343" i="7"/>
  <c r="Y343" i="7"/>
  <c r="B22" i="8" s="1"/>
  <c r="Z343" i="7"/>
  <c r="Z10" i="7" s="1"/>
  <c r="AA343" i="7"/>
  <c r="AA10" i="7" s="1"/>
  <c r="AB343" i="7"/>
  <c r="AB10" i="7" s="1"/>
  <c r="AC343" i="7"/>
  <c r="AC10" i="7" s="1"/>
  <c r="AD343" i="7"/>
  <c r="AD10" i="7" s="1"/>
  <c r="AE343" i="7"/>
  <c r="AE10" i="7" s="1"/>
  <c r="AH343" i="7"/>
  <c r="AJ343" i="7"/>
  <c r="AJ10" i="7" s="1"/>
  <c r="AK343" i="7"/>
  <c r="AK10" i="7" s="1"/>
  <c r="AL343" i="7"/>
  <c r="AL10" i="7" s="1"/>
  <c r="F200" i="5"/>
  <c r="F201" i="5" s="1"/>
  <c r="F30" i="5" s="1"/>
  <c r="G200" i="5"/>
  <c r="H200" i="5"/>
  <c r="H201" i="5" s="1"/>
  <c r="H30" i="5" s="1"/>
  <c r="I200" i="5"/>
  <c r="I201" i="5" s="1"/>
  <c r="G15" i="9"/>
  <c r="F301" i="17"/>
  <c r="F8" i="17" s="1"/>
  <c r="E301" i="17"/>
  <c r="E8" i="17" s="1"/>
  <c r="G2" i="17"/>
  <c r="C2" i="17"/>
  <c r="B2" i="17"/>
  <c r="H301" i="17"/>
  <c r="H8" i="17" s="1"/>
  <c r="B10" i="8" s="1"/>
  <c r="C10" i="8" s="1"/>
  <c r="G301" i="17"/>
  <c r="G8" i="17" s="1"/>
  <c r="B9" i="8" s="1"/>
  <c r="C9" i="8" s="1"/>
  <c r="D301" i="17"/>
  <c r="D8" i="17" s="1"/>
  <c r="C301" i="17"/>
  <c r="C8" i="17" s="1"/>
  <c r="A264" i="16"/>
  <c r="A265" i="16" s="1"/>
  <c r="A266" i="16" s="1"/>
  <c r="A267" i="16" s="1"/>
  <c r="A268" i="16" s="1"/>
  <c r="A269" i="16" s="1"/>
  <c r="A270" i="16" s="1"/>
  <c r="A271" i="16" s="1"/>
  <c r="A272" i="16" s="1"/>
  <c r="A273" i="16" s="1"/>
  <c r="A274" i="16" s="1"/>
  <c r="A275" i="16" s="1"/>
  <c r="A276" i="16" s="1"/>
  <c r="A277" i="16" s="1"/>
  <c r="A278" i="16" s="1"/>
  <c r="A254" i="16"/>
  <c r="A255" i="16" s="1"/>
  <c r="A256" i="16" s="1"/>
  <c r="A231" i="16"/>
  <c r="A232" i="16" s="1"/>
  <c r="A233" i="16" s="1"/>
  <c r="A234" i="16" s="1"/>
  <c r="A235" i="16" s="1"/>
  <c r="A236" i="16" s="1"/>
  <c r="A237" i="16" s="1"/>
  <c r="A238" i="16" s="1"/>
  <c r="A239" i="16" s="1"/>
  <c r="A240" i="16" s="1"/>
  <c r="A241" i="16" s="1"/>
  <c r="A242" i="16" s="1"/>
  <c r="A243" i="16" s="1"/>
  <c r="A244" i="16" s="1"/>
  <c r="A245" i="16" s="1"/>
  <c r="A221" i="16"/>
  <c r="A222" i="16" s="1"/>
  <c r="A223" i="16" s="1"/>
  <c r="A198" i="16"/>
  <c r="A199" i="16" s="1"/>
  <c r="A200" i="16" s="1"/>
  <c r="A201" i="16" s="1"/>
  <c r="A202" i="16" s="1"/>
  <c r="A203" i="16" s="1"/>
  <c r="A204" i="16" s="1"/>
  <c r="A205" i="16" s="1"/>
  <c r="A206" i="16" s="1"/>
  <c r="A207" i="16" s="1"/>
  <c r="A208" i="16" s="1"/>
  <c r="A209" i="16" s="1"/>
  <c r="A210" i="16" s="1"/>
  <c r="A211" i="16" s="1"/>
  <c r="A212" i="16" s="1"/>
  <c r="A188" i="16"/>
  <c r="A189" i="16" s="1"/>
  <c r="A190" i="16" s="1"/>
  <c r="A165" i="16"/>
  <c r="A166" i="16" s="1"/>
  <c r="A167" i="16" s="1"/>
  <c r="A168" i="16" s="1"/>
  <c r="A169" i="16" s="1"/>
  <c r="A170" i="16" s="1"/>
  <c r="A171" i="16" s="1"/>
  <c r="A172" i="16" s="1"/>
  <c r="A173" i="16" s="1"/>
  <c r="A174" i="16" s="1"/>
  <c r="A175" i="16" s="1"/>
  <c r="A176" i="16" s="1"/>
  <c r="A177" i="16" s="1"/>
  <c r="A178" i="16" s="1"/>
  <c r="A179" i="16" s="1"/>
  <c r="A155" i="16"/>
  <c r="A156" i="16" s="1"/>
  <c r="A157" i="16" s="1"/>
  <c r="A132" i="16"/>
  <c r="A133" i="16" s="1"/>
  <c r="A134" i="16" s="1"/>
  <c r="A135" i="16" s="1"/>
  <c r="A136" i="16" s="1"/>
  <c r="A137" i="16" s="1"/>
  <c r="A138" i="16" s="1"/>
  <c r="A139" i="16" s="1"/>
  <c r="A140" i="16" s="1"/>
  <c r="A141" i="16" s="1"/>
  <c r="A142" i="16" s="1"/>
  <c r="A143" i="16" s="1"/>
  <c r="A144" i="16" s="1"/>
  <c r="A145" i="16" s="1"/>
  <c r="A146" i="16" s="1"/>
  <c r="A122" i="16"/>
  <c r="A123" i="16" s="1"/>
  <c r="A124" i="16" s="1"/>
  <c r="A46" i="16"/>
  <c r="A81" i="16" s="1"/>
  <c r="A114" i="16" s="1"/>
  <c r="A147" i="16" s="1"/>
  <c r="A180" i="16" s="1"/>
  <c r="A213" i="16" s="1"/>
  <c r="A246" i="16" s="1"/>
  <c r="A279" i="16" s="1"/>
  <c r="A99" i="16"/>
  <c r="A100" i="16" s="1"/>
  <c r="A101" i="16" s="1"/>
  <c r="A102" i="16" s="1"/>
  <c r="A103" i="16" s="1"/>
  <c r="A104" i="16" s="1"/>
  <c r="A105" i="16" s="1"/>
  <c r="A106" i="16" s="1"/>
  <c r="A107" i="16" s="1"/>
  <c r="A108" i="16" s="1"/>
  <c r="A109" i="16" s="1"/>
  <c r="A110" i="16" s="1"/>
  <c r="A111" i="16" s="1"/>
  <c r="A112" i="16" s="1"/>
  <c r="A113" i="16" s="1"/>
  <c r="A89" i="16"/>
  <c r="A90" i="16" s="1"/>
  <c r="A91" i="16" s="1"/>
  <c r="A66" i="16"/>
  <c r="A67" i="16" s="1"/>
  <c r="A68" i="16" s="1"/>
  <c r="A69" i="16" s="1"/>
  <c r="A70" i="16" s="1"/>
  <c r="A71" i="16" s="1"/>
  <c r="A72" i="16" s="1"/>
  <c r="A73" i="16" s="1"/>
  <c r="A74" i="16" s="1"/>
  <c r="A75" i="16" s="1"/>
  <c r="A76" i="16" s="1"/>
  <c r="A77" i="16" s="1"/>
  <c r="A78" i="16" s="1"/>
  <c r="A79" i="16" s="1"/>
  <c r="A80" i="16" s="1"/>
  <c r="A56" i="16"/>
  <c r="A57" i="16" s="1"/>
  <c r="A58" i="16" s="1"/>
  <c r="A21" i="16"/>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P20" i="16"/>
  <c r="P21" i="16" s="1"/>
  <c r="K13" i="16"/>
  <c r="B12" i="16" s="1"/>
  <c r="M10" i="16"/>
  <c r="O7" i="16"/>
  <c r="C19" i="16" s="1"/>
  <c r="N7" i="16"/>
  <c r="N8" i="16" s="1"/>
  <c r="M7" i="16"/>
  <c r="M8" i="16" s="1"/>
  <c r="L7" i="16"/>
  <c r="L8" i="16" s="1"/>
  <c r="K7" i="16"/>
  <c r="K8" i="16" s="1"/>
  <c r="O6" i="16"/>
  <c r="P6" i="16"/>
  <c r="D6" i="16"/>
  <c r="D12" i="16" s="1"/>
  <c r="B59" i="11"/>
  <c r="B60" i="11" s="1"/>
  <c r="C58" i="11"/>
  <c r="O13" i="9"/>
  <c r="P13" i="9" s="1"/>
  <c r="B4" i="13"/>
  <c r="B25" i="13"/>
  <c r="C25" i="13" s="1"/>
  <c r="C5" i="13"/>
  <c r="B17" i="13"/>
  <c r="A429" i="15"/>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19" i="15"/>
  <c r="A420" i="15" s="1"/>
  <c r="A421" i="15" s="1"/>
  <c r="A372" i="15"/>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362" i="15"/>
  <c r="A363" i="15" s="1"/>
  <c r="A364" i="15" s="1"/>
  <c r="A315" i="15"/>
  <c r="A316" i="15"/>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05" i="15"/>
  <c r="A306" i="15" s="1"/>
  <c r="A307" i="15" s="1"/>
  <c r="A258" i="15"/>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48" i="15"/>
  <c r="A249" i="15" s="1"/>
  <c r="A250" i="15" s="1"/>
  <c r="A201" i="15"/>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191" i="15"/>
  <c r="A192" i="15"/>
  <c r="A193" i="15" s="1"/>
  <c r="A144" i="15"/>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34" i="15"/>
  <c r="A135" i="15" s="1"/>
  <c r="A136" i="15" s="1"/>
  <c r="A87" i="15"/>
  <c r="A88" i="15" s="1"/>
  <c r="A89" i="15"/>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77" i="15"/>
  <c r="A78" i="15" s="1"/>
  <c r="A79" i="15" s="1"/>
  <c r="A71" i="15"/>
  <c r="A128" i="15" s="1"/>
  <c r="A185" i="15" s="1"/>
  <c r="A242" i="15" s="1"/>
  <c r="A299" i="15" s="1"/>
  <c r="A356" i="15" s="1"/>
  <c r="A413" i="15" s="1"/>
  <c r="A470" i="15" s="1"/>
  <c r="A20" i="15"/>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P19" i="15"/>
  <c r="P20" i="15" s="1"/>
  <c r="K14" i="15"/>
  <c r="B13" i="15" s="1"/>
  <c r="M11" i="15"/>
  <c r="O8" i="15"/>
  <c r="O11" i="15" s="1"/>
  <c r="N8" i="15"/>
  <c r="N9" i="15" s="1"/>
  <c r="M8" i="15"/>
  <c r="M9" i="15" s="1"/>
  <c r="L8" i="15"/>
  <c r="L9" i="15" s="1"/>
  <c r="K8" i="15"/>
  <c r="K9" i="15" s="1"/>
  <c r="O7" i="15"/>
  <c r="P7" i="15"/>
  <c r="D7" i="15"/>
  <c r="D11" i="15" s="1"/>
  <c r="G24" i="13"/>
  <c r="A141" i="14"/>
  <c r="A142" i="14" s="1"/>
  <c r="A143" i="14" s="1"/>
  <c r="A123" i="14"/>
  <c r="A124" i="14" s="1"/>
  <c r="A125" i="14" s="1"/>
  <c r="A105" i="14"/>
  <c r="A106" i="14"/>
  <c r="A107" i="14"/>
  <c r="A89" i="14"/>
  <c r="A90" i="14" s="1"/>
  <c r="A91" i="14" s="1"/>
  <c r="A72" i="14"/>
  <c r="A73" i="14" s="1"/>
  <c r="A74" i="14" s="1"/>
  <c r="A56" i="14"/>
  <c r="A57" i="14" s="1"/>
  <c r="A58" i="14" s="1"/>
  <c r="A40" i="14"/>
  <c r="A41" i="14" s="1"/>
  <c r="A42" i="14" s="1"/>
  <c r="A32" i="14"/>
  <c r="A51" i="14" s="1"/>
  <c r="A67" i="14" s="1"/>
  <c r="A83" i="14" s="1"/>
  <c r="A100" i="14" s="1"/>
  <c r="A116" i="14" s="1"/>
  <c r="A134" i="14" s="1"/>
  <c r="A152" i="14" s="1"/>
  <c r="A21" i="14"/>
  <c r="A22" i="14" s="1"/>
  <c r="A23" i="14" s="1"/>
  <c r="A24" i="14" s="1"/>
  <c r="A25" i="14" s="1"/>
  <c r="A26" i="14" s="1"/>
  <c r="A27" i="14" s="1"/>
  <c r="A28" i="14" s="1"/>
  <c r="A29" i="14" s="1"/>
  <c r="A30" i="14" s="1"/>
  <c r="A31" i="14" s="1"/>
  <c r="P20" i="14"/>
  <c r="P21" i="14" s="1"/>
  <c r="K13" i="14"/>
  <c r="K12" i="14" s="1"/>
  <c r="L12" i="14" s="1"/>
  <c r="M10" i="14"/>
  <c r="O7" i="14"/>
  <c r="O10" i="14" s="1"/>
  <c r="N7" i="14"/>
  <c r="N8" i="14" s="1"/>
  <c r="M7" i="14"/>
  <c r="M8" i="14"/>
  <c r="L7" i="14"/>
  <c r="L8" i="14" s="1"/>
  <c r="K7" i="14"/>
  <c r="K8" i="14" s="1"/>
  <c r="O6" i="14"/>
  <c r="D6" i="14"/>
  <c r="D13" i="14" s="1"/>
  <c r="F19" i="13"/>
  <c r="G19" i="13" s="1"/>
  <c r="B18" i="13"/>
  <c r="E200" i="5"/>
  <c r="D200" i="5"/>
  <c r="M200" i="5" s="1"/>
  <c r="M201" i="5" s="1"/>
  <c r="C200" i="5"/>
  <c r="C30" i="5" s="1"/>
  <c r="C26" i="9"/>
  <c r="J13" i="9"/>
  <c r="B17" i="11" s="1"/>
  <c r="I7" i="8"/>
  <c r="I6" i="8"/>
  <c r="G15" i="5"/>
  <c r="K4" i="7"/>
  <c r="C19" i="9"/>
  <c r="K3" i="7"/>
  <c r="B19" i="10"/>
  <c r="B29" i="10" s="1"/>
  <c r="B39" i="10" s="1"/>
  <c r="B49" i="10" s="1"/>
  <c r="B59" i="10" s="1"/>
  <c r="B69" i="10" s="1"/>
  <c r="B79" i="10" s="1"/>
  <c r="B89" i="10" s="1"/>
  <c r="B99" i="10" s="1"/>
  <c r="B109" i="10" s="1"/>
  <c r="B119" i="10" s="1"/>
  <c r="B129" i="10" s="1"/>
  <c r="B139" i="10" s="1"/>
  <c r="B8" i="10"/>
  <c r="L19" i="5"/>
  <c r="L21" i="5" s="1"/>
  <c r="L22" i="5" s="1"/>
  <c r="E18" i="5"/>
  <c r="C18" i="15"/>
  <c r="B11" i="14"/>
  <c r="B49" i="14" s="1"/>
  <c r="M16" i="5"/>
  <c r="M17" i="5"/>
  <c r="M21" i="5" s="1"/>
  <c r="M19" i="5" s="1"/>
  <c r="B17" i="10" l="1"/>
  <c r="B27" i="10" s="1"/>
  <c r="B37" i="10" s="1"/>
  <c r="B47" i="10" s="1"/>
  <c r="B57" i="10" s="1"/>
  <c r="B67" i="10" s="1"/>
  <c r="B77" i="10" s="1"/>
  <c r="B87" i="10" s="1"/>
  <c r="B97" i="10" s="1"/>
  <c r="B107" i="10" s="1"/>
  <c r="B117" i="10" s="1"/>
  <c r="B127" i="10" s="1"/>
  <c r="B137" i="10" s="1"/>
  <c r="D8" i="14"/>
  <c r="O10" i="16"/>
  <c r="B31" i="14"/>
  <c r="D12" i="14"/>
  <c r="C19" i="14"/>
  <c r="O8" i="16"/>
  <c r="G18" i="9"/>
  <c r="F9" i="7"/>
  <c r="C21" i="8"/>
  <c r="B21" i="8"/>
  <c r="B16" i="11"/>
  <c r="D16" i="11" s="1"/>
  <c r="J200" i="5"/>
  <c r="C6" i="11"/>
  <c r="C7" i="11" s="1"/>
  <c r="B6" i="8"/>
  <c r="C6" i="8" s="1"/>
  <c r="B6" i="11"/>
  <c r="C64" i="11" s="1"/>
  <c r="B44" i="14"/>
  <c r="O8" i="14"/>
  <c r="B41" i="14"/>
  <c r="D9" i="14"/>
  <c r="E20" i="5"/>
  <c r="B48" i="14"/>
  <c r="D7" i="14"/>
  <c r="B12" i="14"/>
  <c r="B29" i="14" s="1"/>
  <c r="O37" i="5"/>
  <c r="N201" i="5"/>
  <c r="O201" i="5"/>
  <c r="P201" i="5"/>
  <c r="I202" i="5"/>
  <c r="I30" i="5"/>
  <c r="F20" i="13"/>
  <c r="G20" i="13" s="1"/>
  <c r="G21" i="13" s="1"/>
  <c r="B19" i="13" s="1"/>
  <c r="B21" i="13" s="1"/>
  <c r="L38" i="5"/>
  <c r="O38" i="5" s="1"/>
  <c r="B11" i="16"/>
  <c r="B80" i="16" s="1"/>
  <c r="M203" i="5"/>
  <c r="C17" i="11"/>
  <c r="D17" i="11" s="1"/>
  <c r="R15" i="9" s="1"/>
  <c r="P16" i="9" s="1"/>
  <c r="D11" i="14"/>
  <c r="D10" i="15"/>
  <c r="D12" i="15"/>
  <c r="B45" i="14"/>
  <c r="D10" i="14"/>
  <c r="D8" i="15"/>
  <c r="D13" i="15" s="1"/>
  <c r="D9" i="15"/>
  <c r="D14" i="15" s="1"/>
  <c r="N22" i="5"/>
  <c r="N21" i="5"/>
  <c r="N19" i="5" s="1"/>
  <c r="E21" i="5"/>
  <c r="B40" i="14"/>
  <c r="P6" i="14"/>
  <c r="D10" i="16"/>
  <c r="D8" i="16"/>
  <c r="D11" i="16"/>
  <c r="D9" i="16"/>
  <c r="D13" i="16"/>
  <c r="D7" i="16"/>
  <c r="F16" i="9"/>
  <c r="F17" i="9" s="1"/>
  <c r="G16" i="9"/>
  <c r="G17" i="9" s="1"/>
  <c r="D58" i="11"/>
  <c r="E16" i="9"/>
  <c r="E17" i="9" s="1"/>
  <c r="N15" i="9"/>
  <c r="B47" i="14"/>
  <c r="B43" i="14"/>
  <c r="B39" i="14"/>
  <c r="B50" i="14"/>
  <c r="B46" i="14"/>
  <c r="B42" i="14"/>
  <c r="B12" i="15"/>
  <c r="B63" i="15" s="1"/>
  <c r="O9" i="15"/>
  <c r="C59" i="11"/>
  <c r="D59" i="11" s="1"/>
  <c r="G201" i="5"/>
  <c r="O36" i="5"/>
  <c r="L35" i="5"/>
  <c r="O35" i="5" s="1"/>
  <c r="C16" i="9"/>
  <c r="C17" i="9" s="1"/>
  <c r="B5" i="8"/>
  <c r="C5" i="8" s="1"/>
  <c r="B7" i="8"/>
  <c r="C7" i="8" s="1"/>
  <c r="B8" i="17"/>
  <c r="Y10" i="7"/>
  <c r="C19" i="11"/>
  <c r="B19" i="11"/>
  <c r="C22" i="8"/>
  <c r="C18" i="11"/>
  <c r="B18" i="11"/>
  <c r="AM343" i="7"/>
  <c r="B19" i="8" s="1"/>
  <c r="D19" i="8"/>
  <c r="C32" i="8" s="1"/>
  <c r="AH10" i="7"/>
  <c r="X10" i="7"/>
  <c r="B15" i="11"/>
  <c r="B13" i="8"/>
  <c r="H15" i="9"/>
  <c r="H16" i="9" s="1"/>
  <c r="H17" i="9" s="1"/>
  <c r="D15" i="9"/>
  <c r="D16" i="9" s="1"/>
  <c r="D17" i="9" s="1"/>
  <c r="B15" i="9"/>
  <c r="B16" i="9" s="1"/>
  <c r="B17" i="9" s="1"/>
  <c r="I15" i="9"/>
  <c r="I16" i="9" s="1"/>
  <c r="I17" i="9" s="1"/>
  <c r="B40" i="16"/>
  <c r="B32" i="16"/>
  <c r="B24" i="16"/>
  <c r="B37" i="16"/>
  <c r="B29" i="16"/>
  <c r="B38" i="16"/>
  <c r="B30" i="16"/>
  <c r="B22" i="16"/>
  <c r="B20" i="16"/>
  <c r="B35" i="16"/>
  <c r="B27" i="16"/>
  <c r="B36" i="16"/>
  <c r="B28" i="16"/>
  <c r="B33" i="16"/>
  <c r="E19" i="16"/>
  <c r="C20" i="16" s="1"/>
  <c r="B21" i="16"/>
  <c r="B41" i="16"/>
  <c r="B25" i="16"/>
  <c r="B42" i="16"/>
  <c r="B34" i="16"/>
  <c r="B26" i="16"/>
  <c r="B39" i="16"/>
  <c r="B31" i="16"/>
  <c r="B23" i="16"/>
  <c r="E20" i="16"/>
  <c r="C21" i="16" s="1"/>
  <c r="K12" i="16"/>
  <c r="L12" i="16" s="1"/>
  <c r="B56" i="16"/>
  <c r="B45" i="16"/>
  <c r="B66" i="16"/>
  <c r="B43" i="16"/>
  <c r="K13" i="15"/>
  <c r="B37" i="15"/>
  <c r="B25" i="15"/>
  <c r="B60" i="15"/>
  <c r="B35" i="15"/>
  <c r="B19" i="15"/>
  <c r="B26" i="15"/>
  <c r="B20" i="15"/>
  <c r="B44" i="15"/>
  <c r="B32" i="15"/>
  <c r="B36" i="15"/>
  <c r="B31" i="15"/>
  <c r="B38" i="15"/>
  <c r="B22" i="15"/>
  <c r="B33" i="15"/>
  <c r="B41" i="15"/>
  <c r="B23" i="15"/>
  <c r="B30" i="15"/>
  <c r="E19" i="15"/>
  <c r="C20" i="15" s="1"/>
  <c r="B24" i="15"/>
  <c r="B29" i="15"/>
  <c r="B57" i="15"/>
  <c r="B21" i="15"/>
  <c r="B28" i="15"/>
  <c r="B27" i="15"/>
  <c r="B34" i="15"/>
  <c r="E18" i="15"/>
  <c r="C19" i="15" s="1"/>
  <c r="B59" i="15"/>
  <c r="B40" i="15"/>
  <c r="B39" i="15"/>
  <c r="B50" i="15"/>
  <c r="D25" i="13"/>
  <c r="B26" i="13" s="1"/>
  <c r="E21" i="16" l="1"/>
  <c r="B30" i="14"/>
  <c r="B28" i="14"/>
  <c r="B68" i="15"/>
  <c r="B58" i="15"/>
  <c r="B70" i="15"/>
  <c r="B56" i="15"/>
  <c r="B53" i="15"/>
  <c r="B51" i="15"/>
  <c r="B55" i="16"/>
  <c r="B88" i="16"/>
  <c r="B57" i="16"/>
  <c r="B61" i="15"/>
  <c r="B54" i="15"/>
  <c r="B44" i="16"/>
  <c r="B46" i="16" s="1"/>
  <c r="B78" i="16"/>
  <c r="B65" i="16"/>
  <c r="B46" i="15"/>
  <c r="B64" i="16"/>
  <c r="B58" i="16"/>
  <c r="B20" i="14"/>
  <c r="B52" i="15"/>
  <c r="B45" i="15"/>
  <c r="B48" i="15"/>
  <c r="B47" i="15"/>
  <c r="B42" i="15"/>
  <c r="B74" i="16"/>
  <c r="B70" i="16"/>
  <c r="B69" i="16"/>
  <c r="B76" i="16"/>
  <c r="B67" i="15"/>
  <c r="B63" i="16"/>
  <c r="B59" i="16"/>
  <c r="B26" i="14"/>
  <c r="B65" i="15"/>
  <c r="B55" i="15"/>
  <c r="B64" i="15"/>
  <c r="B49" i="15"/>
  <c r="B68" i="16"/>
  <c r="B79" i="16"/>
  <c r="B75" i="16"/>
  <c r="B61" i="16"/>
  <c r="B62" i="15"/>
  <c r="B62" i="16"/>
  <c r="B66" i="15"/>
  <c r="B60" i="16"/>
  <c r="B21" i="14"/>
  <c r="B69" i="15"/>
  <c r="B43" i="15"/>
  <c r="B73" i="16"/>
  <c r="B71" i="16"/>
  <c r="B67" i="16"/>
  <c r="C13" i="11"/>
  <c r="B13" i="11"/>
  <c r="D18" i="11"/>
  <c r="E22" i="5"/>
  <c r="B10" i="10" s="1"/>
  <c r="C8" i="11"/>
  <c r="B7" i="11"/>
  <c r="B8" i="11"/>
  <c r="B24" i="14"/>
  <c r="B25" i="14"/>
  <c r="B23" i="14"/>
  <c r="B27" i="14"/>
  <c r="E19" i="14"/>
  <c r="C20" i="14" s="1"/>
  <c r="D20" i="14" s="1"/>
  <c r="E20" i="14" s="1"/>
  <c r="B22" i="14"/>
  <c r="B12" i="11"/>
  <c r="B32" i="8"/>
  <c r="F21" i="13"/>
  <c r="B77" i="16"/>
  <c r="B72" i="16"/>
  <c r="D20" i="16"/>
  <c r="D60" i="11"/>
  <c r="D19" i="11"/>
  <c r="G30" i="5"/>
  <c r="C60" i="11"/>
  <c r="P15" i="9"/>
  <c r="O15" i="9"/>
  <c r="B8" i="8"/>
  <c r="B9" i="11"/>
  <c r="B64" i="11"/>
  <c r="J16" i="9"/>
  <c r="B27" i="8" s="1"/>
  <c r="AM10" i="7"/>
  <c r="C13" i="8"/>
  <c r="C14" i="8" s="1"/>
  <c r="B14" i="8"/>
  <c r="B16" i="8" s="1"/>
  <c r="C16" i="8" s="1"/>
  <c r="C27" i="8"/>
  <c r="J17" i="9"/>
  <c r="D21" i="16"/>
  <c r="D20" i="15"/>
  <c r="E20" i="15" s="1"/>
  <c r="D19" i="15"/>
  <c r="C26" i="13"/>
  <c r="D26" i="13" s="1"/>
  <c r="B27" i="13" s="1"/>
  <c r="H202" i="5" l="1"/>
  <c r="G202" i="5"/>
  <c r="C22" i="16"/>
  <c r="D22" i="16" s="1"/>
  <c r="E22" i="16" s="1"/>
  <c r="O202" i="5"/>
  <c r="F202" i="5"/>
  <c r="C12" i="11"/>
  <c r="D12" i="11" s="1"/>
  <c r="P202" i="5"/>
  <c r="P203" i="5" s="1"/>
  <c r="N202" i="5"/>
  <c r="B81" i="16"/>
  <c r="E201" i="5"/>
  <c r="E30" i="5" s="1"/>
  <c r="D201" i="5"/>
  <c r="C21" i="15"/>
  <c r="D21" i="15" s="1"/>
  <c r="E21" i="15"/>
  <c r="C9" i="11"/>
  <c r="Q15" i="9"/>
  <c r="S15" i="9"/>
  <c r="P17" i="9"/>
  <c r="B18" i="10"/>
  <c r="B11" i="10"/>
  <c r="C8" i="8"/>
  <c r="B11" i="8"/>
  <c r="B17" i="8" s="1"/>
  <c r="D13" i="11"/>
  <c r="C21" i="14"/>
  <c r="C27" i="13"/>
  <c r="D27" i="13" s="1"/>
  <c r="B28" i="13" s="1"/>
  <c r="M202" i="5" l="1"/>
  <c r="M204" i="5" s="1"/>
  <c r="C23" i="16"/>
  <c r="D23" i="16" s="1"/>
  <c r="E23" i="16"/>
  <c r="D30" i="5"/>
  <c r="D202" i="5"/>
  <c r="J201" i="5"/>
  <c r="E202" i="5"/>
  <c r="C22" i="15"/>
  <c r="D22" i="15" s="1"/>
  <c r="E22" i="15" s="1"/>
  <c r="B14" i="10"/>
  <c r="B20" i="10"/>
  <c r="B28" i="10"/>
  <c r="D6" i="8"/>
  <c r="D9" i="8"/>
  <c r="C11" i="8"/>
  <c r="G8" i="8" s="1"/>
  <c r="H8" i="8" s="1"/>
  <c r="D10" i="8"/>
  <c r="D5" i="8"/>
  <c r="C17" i="8"/>
  <c r="D21" i="14"/>
  <c r="E21" i="14" s="1"/>
  <c r="C28" i="13"/>
  <c r="D28" i="13" s="1"/>
  <c r="B29" i="13" s="1"/>
  <c r="C24" i="16" l="1"/>
  <c r="D24" i="16" s="1"/>
  <c r="E24" i="16"/>
  <c r="H203" i="5"/>
  <c r="B20" i="8" s="1"/>
  <c r="J202" i="5"/>
  <c r="B15" i="10"/>
  <c r="B21" i="10" s="1"/>
  <c r="B22" i="10" s="1"/>
  <c r="C23" i="15"/>
  <c r="D23" i="15" s="1"/>
  <c r="E23" i="15" s="1"/>
  <c r="B30" i="10"/>
  <c r="B38" i="10"/>
  <c r="B23" i="10"/>
  <c r="I8" i="8"/>
  <c r="C19" i="8" s="1"/>
  <c r="D11" i="8"/>
  <c r="C22" i="14"/>
  <c r="C29" i="13"/>
  <c r="C30" i="13" s="1"/>
  <c r="C25" i="16" l="1"/>
  <c r="D25" i="16" s="1"/>
  <c r="E25" i="16"/>
  <c r="C20" i="8"/>
  <c r="C24" i="15"/>
  <c r="D24" i="15" s="1"/>
  <c r="E24" i="15"/>
  <c r="D29" i="13"/>
  <c r="B24" i="10"/>
  <c r="B25" i="10" s="1"/>
  <c r="B31" i="10" s="1"/>
  <c r="B32" i="10" s="1"/>
  <c r="B40" i="10"/>
  <c r="B48" i="10"/>
  <c r="B33" i="10"/>
  <c r="D22" i="14"/>
  <c r="E22" i="14" s="1"/>
  <c r="C26" i="16" l="1"/>
  <c r="D26" i="16" s="1"/>
  <c r="E26" i="16"/>
  <c r="C25" i="15"/>
  <c r="D25" i="15" s="1"/>
  <c r="E25" i="15"/>
  <c r="B50" i="10"/>
  <c r="B58" i="10"/>
  <c r="B43" i="10"/>
  <c r="B34" i="10"/>
  <c r="B35" i="10" s="1"/>
  <c r="B41" i="10" s="1"/>
  <c r="B42" i="10" s="1"/>
  <c r="B44" i="10" s="1"/>
  <c r="C23" i="14"/>
  <c r="C27" i="16" l="1"/>
  <c r="D27" i="16" s="1"/>
  <c r="E27" i="16"/>
  <c r="C26" i="15"/>
  <c r="D26" i="15" s="1"/>
  <c r="E26" i="15" s="1"/>
  <c r="B45" i="10"/>
  <c r="B51" i="10" s="1"/>
  <c r="B52" i="10" s="1"/>
  <c r="B68" i="10"/>
  <c r="B60" i="10"/>
  <c r="B53" i="10"/>
  <c r="D23" i="14"/>
  <c r="E23" i="14" s="1"/>
  <c r="C28" i="16" l="1"/>
  <c r="C27" i="15"/>
  <c r="D27" i="15" s="1"/>
  <c r="E27" i="15"/>
  <c r="B54" i="10"/>
  <c r="B55" i="10" s="1"/>
  <c r="B61" i="10" s="1"/>
  <c r="B62" i="10" s="1"/>
  <c r="B63" i="10"/>
  <c r="B70" i="10"/>
  <c r="B78" i="10"/>
  <c r="C24" i="14"/>
  <c r="D28" i="16" l="1"/>
  <c r="C28" i="15"/>
  <c r="D28" i="15" s="1"/>
  <c r="E28" i="15" s="1"/>
  <c r="B73" i="10"/>
  <c r="B64" i="10"/>
  <c r="B65" i="10" s="1"/>
  <c r="B71" i="10" s="1"/>
  <c r="B72" i="10" s="1"/>
  <c r="B88" i="10"/>
  <c r="B80" i="10"/>
  <c r="D24" i="14"/>
  <c r="E24" i="14" s="1"/>
  <c r="E28" i="16" l="1"/>
  <c r="C29" i="15"/>
  <c r="D29" i="15" s="1"/>
  <c r="E29" i="15"/>
  <c r="B74" i="10"/>
  <c r="B75" i="10" s="1"/>
  <c r="B81" i="10" s="1"/>
  <c r="B82" i="10" s="1"/>
  <c r="B90" i="10"/>
  <c r="B98" i="10"/>
  <c r="B83" i="10"/>
  <c r="C25" i="14"/>
  <c r="C29" i="16" l="1"/>
  <c r="B100" i="10"/>
  <c r="B108" i="10"/>
  <c r="C30" i="15"/>
  <c r="D30" i="15" s="1"/>
  <c r="E30" i="15"/>
  <c r="B84" i="10"/>
  <c r="B85" i="10" s="1"/>
  <c r="B91" i="10" s="1"/>
  <c r="B92" i="10" s="1"/>
  <c r="B93" i="10"/>
  <c r="D25" i="14"/>
  <c r="E25" i="14" s="1"/>
  <c r="D29" i="16" l="1"/>
  <c r="B118" i="10"/>
  <c r="B110" i="10"/>
  <c r="B103" i="10"/>
  <c r="B94" i="10"/>
  <c r="B95" i="10" s="1"/>
  <c r="B101" i="10" s="1"/>
  <c r="B102" i="10" s="1"/>
  <c r="C31" i="15"/>
  <c r="D31" i="15" s="1"/>
  <c r="E31" i="15"/>
  <c r="C26" i="14"/>
  <c r="D26" i="14" s="1"/>
  <c r="E26" i="14" s="1"/>
  <c r="B104" i="10" l="1"/>
  <c r="B105" i="10" s="1"/>
  <c r="B111" i="10" s="1"/>
  <c r="B120" i="10"/>
  <c r="B123" i="10" s="1"/>
  <c r="B128" i="10"/>
  <c r="E29" i="16"/>
  <c r="B24" i="8"/>
  <c r="B28" i="8" s="1"/>
  <c r="B113" i="10"/>
  <c r="C32" i="15"/>
  <c r="D32" i="15" s="1"/>
  <c r="E32" i="15"/>
  <c r="C27" i="14"/>
  <c r="D27" i="14" s="1"/>
  <c r="E27" i="14" s="1"/>
  <c r="B130" i="10" l="1"/>
  <c r="B138" i="10"/>
  <c r="B140" i="10" s="1"/>
  <c r="C30" i="16"/>
  <c r="B112" i="10"/>
  <c r="B114" i="10" s="1"/>
  <c r="B115" i="10" s="1"/>
  <c r="B121" i="10" s="1"/>
  <c r="B25" i="8"/>
  <c r="B26" i="8" s="1"/>
  <c r="B31" i="8"/>
  <c r="C24" i="8"/>
  <c r="C28" i="8" s="1"/>
  <c r="B65" i="11"/>
  <c r="B66" i="11" s="1"/>
  <c r="B67" i="11" s="1"/>
  <c r="C65" i="11"/>
  <c r="C66" i="11" s="1"/>
  <c r="C67" i="11" s="1"/>
  <c r="C33" i="15"/>
  <c r="D33" i="15" s="1"/>
  <c r="E33" i="15" s="1"/>
  <c r="C28" i="14"/>
  <c r="D28" i="14" s="1"/>
  <c r="E28" i="14" s="1"/>
  <c r="B143" i="10" l="1"/>
  <c r="B133" i="10"/>
  <c r="D30" i="16"/>
  <c r="B122" i="10"/>
  <c r="B124" i="10" s="1"/>
  <c r="B125" i="10" s="1"/>
  <c r="B131" i="10" s="1"/>
  <c r="B132" i="10" s="1"/>
  <c r="D67" i="11"/>
  <c r="C31" i="8"/>
  <c r="C25" i="8"/>
  <c r="C26" i="8" s="1"/>
  <c r="C34" i="15"/>
  <c r="D34" i="15" s="1"/>
  <c r="E34" i="15"/>
  <c r="C29" i="14"/>
  <c r="D29" i="14" s="1"/>
  <c r="E29" i="14" s="1"/>
  <c r="B134" i="10" l="1"/>
  <c r="B135" i="10" s="1"/>
  <c r="B141" i="10" s="1"/>
  <c r="B142" i="10" s="1"/>
  <c r="B144" i="10" s="1"/>
  <c r="E30" i="16"/>
  <c r="C35" i="15"/>
  <c r="D35" i="15" s="1"/>
  <c r="E35" i="15"/>
  <c r="C30" i="14"/>
  <c r="D30" i="14" s="1"/>
  <c r="E30" i="14" s="1"/>
  <c r="C31" i="14" s="1"/>
  <c r="B145" i="10" l="1"/>
  <c r="B20" i="11"/>
  <c r="C20" i="11"/>
  <c r="C21" i="11" s="1"/>
  <c r="C31" i="16"/>
  <c r="C36" i="15"/>
  <c r="D36" i="15" s="1"/>
  <c r="E36" i="15"/>
  <c r="D31" i="14"/>
  <c r="E31" i="14" s="1"/>
  <c r="E38" i="14" s="1"/>
  <c r="C32" i="14"/>
  <c r="E6" i="14" s="1"/>
  <c r="G25" i="13" s="1"/>
  <c r="C23" i="11" l="1"/>
  <c r="D20" i="11"/>
  <c r="B21" i="11"/>
  <c r="B23" i="11" s="1"/>
  <c r="D31" i="16"/>
  <c r="C37" i="15"/>
  <c r="D37" i="15" s="1"/>
  <c r="E37" i="15"/>
  <c r="D32" i="14"/>
  <c r="C39" i="14"/>
  <c r="D39" i="14" s="1"/>
  <c r="E39" i="14" s="1"/>
  <c r="D23" i="11" l="1"/>
  <c r="D21" i="11"/>
  <c r="E31" i="16"/>
  <c r="C38" i="15"/>
  <c r="D38" i="15" s="1"/>
  <c r="E38" i="15" s="1"/>
  <c r="C40" i="14"/>
  <c r="D40" i="14" s="1"/>
  <c r="E40" i="14" s="1"/>
  <c r="C32" i="16" l="1"/>
  <c r="C39" i="15"/>
  <c r="D39" i="15" s="1"/>
  <c r="E39" i="15" s="1"/>
  <c r="C41" i="14"/>
  <c r="D41" i="14" s="1"/>
  <c r="E41" i="14" s="1"/>
  <c r="D32" i="16" l="1"/>
  <c r="C40" i="15"/>
  <c r="D40" i="15" s="1"/>
  <c r="E40" i="15"/>
  <c r="C42" i="14"/>
  <c r="D42" i="14" s="1"/>
  <c r="E42" i="14" s="1"/>
  <c r="E32" i="16" l="1"/>
  <c r="C41" i="15"/>
  <c r="D41" i="15" s="1"/>
  <c r="E41" i="15"/>
  <c r="C42" i="15" s="1"/>
  <c r="D42" i="15" s="1"/>
  <c r="E42" i="15" s="1"/>
  <c r="C43" i="14"/>
  <c r="D43" i="14" s="1"/>
  <c r="E43" i="14" s="1"/>
  <c r="C33" i="16" l="1"/>
  <c r="D33" i="16" s="1"/>
  <c r="E33" i="16" s="1"/>
  <c r="C43" i="15"/>
  <c r="D43" i="15" s="1"/>
  <c r="E43" i="15"/>
  <c r="C44" i="14"/>
  <c r="D44" i="14" s="1"/>
  <c r="E44" i="14" s="1"/>
  <c r="C45" i="14" s="1"/>
  <c r="D45" i="14" s="1"/>
  <c r="E45" i="14" s="1"/>
  <c r="C46" i="14" s="1"/>
  <c r="D46" i="14" s="1"/>
  <c r="E46" i="14" s="1"/>
  <c r="C47" i="14" s="1"/>
  <c r="D47" i="14" s="1"/>
  <c r="E47" i="14" s="1"/>
  <c r="C34" i="16" l="1"/>
  <c r="D34" i="16" s="1"/>
  <c r="E34" i="16"/>
  <c r="C44" i="15"/>
  <c r="D44" i="15" s="1"/>
  <c r="E44" i="15" s="1"/>
  <c r="C48" i="14"/>
  <c r="D48" i="14" s="1"/>
  <c r="E48" i="14" s="1"/>
  <c r="C35" i="16" l="1"/>
  <c r="D35" i="16" s="1"/>
  <c r="E35" i="16"/>
  <c r="C45" i="15"/>
  <c r="D45" i="15" s="1"/>
  <c r="E45" i="15"/>
  <c r="C49" i="14"/>
  <c r="C36" i="16" l="1"/>
  <c r="D36" i="16" s="1"/>
  <c r="E36" i="16"/>
  <c r="C46" i="15"/>
  <c r="D46" i="15" s="1"/>
  <c r="E46" i="15" s="1"/>
  <c r="D49" i="14"/>
  <c r="C37" i="16" l="1"/>
  <c r="D37" i="16" s="1"/>
  <c r="E37" i="16"/>
  <c r="C47" i="15"/>
  <c r="D47" i="15" s="1"/>
  <c r="E47" i="15"/>
  <c r="C48" i="15" s="1"/>
  <c r="D48" i="15" s="1"/>
  <c r="E48" i="15" s="1"/>
  <c r="C49" i="15" s="1"/>
  <c r="D49" i="15" s="1"/>
  <c r="E49" i="15" s="1"/>
  <c r="C50" i="15" s="1"/>
  <c r="D50" i="15" s="1"/>
  <c r="E50" i="15" s="1"/>
  <c r="C51" i="15" s="1"/>
  <c r="D51" i="15" s="1"/>
  <c r="E51" i="15" s="1"/>
  <c r="C52" i="15" s="1"/>
  <c r="D52" i="15" s="1"/>
  <c r="E52" i="15" s="1"/>
  <c r="C53" i="15" s="1"/>
  <c r="D53" i="15" s="1"/>
  <c r="E53" i="15" s="1"/>
  <c r="C54" i="15" s="1"/>
  <c r="D54" i="15" s="1"/>
  <c r="E54" i="15" s="1"/>
  <c r="C55" i="15" s="1"/>
  <c r="D55" i="15" s="1"/>
  <c r="E55" i="15" s="1"/>
  <c r="C56" i="15" s="1"/>
  <c r="D56" i="15" s="1"/>
  <c r="E56" i="15" s="1"/>
  <c r="C57" i="15" s="1"/>
  <c r="D57" i="15" s="1"/>
  <c r="E57" i="15" s="1"/>
  <c r="C58" i="15" s="1"/>
  <c r="D58" i="15" s="1"/>
  <c r="E58" i="15" s="1"/>
  <c r="E49" i="14"/>
  <c r="C38" i="16" l="1"/>
  <c r="D38" i="16" s="1"/>
  <c r="E38" i="16"/>
  <c r="C59" i="15"/>
  <c r="D59" i="15" s="1"/>
  <c r="E59" i="15" s="1"/>
  <c r="C50" i="14"/>
  <c r="C39" i="16" l="1"/>
  <c r="D39" i="16" s="1"/>
  <c r="E39" i="16"/>
  <c r="C60" i="15"/>
  <c r="D60" i="15" s="1"/>
  <c r="E60" i="15" s="1"/>
  <c r="D50" i="14"/>
  <c r="C51" i="14"/>
  <c r="E7" i="14" s="1"/>
  <c r="G26" i="13" s="1"/>
  <c r="C40" i="16" l="1"/>
  <c r="D40" i="16" s="1"/>
  <c r="E40" i="16"/>
  <c r="C61" i="15"/>
  <c r="D61" i="15" s="1"/>
  <c r="E61" i="15" s="1"/>
  <c r="D51" i="14"/>
  <c r="E50" i="14"/>
  <c r="E54" i="14" s="1"/>
  <c r="C41" i="16" l="1"/>
  <c r="D41" i="16" s="1"/>
  <c r="E41" i="16"/>
  <c r="C62" i="15"/>
  <c r="D62" i="15" s="1"/>
  <c r="E62" i="15" s="1"/>
  <c r="C55" i="14"/>
  <c r="B55" i="14" s="1"/>
  <c r="D55" i="14" s="1"/>
  <c r="E55" i="14" s="1"/>
  <c r="C42" i="16" l="1"/>
  <c r="D42" i="16" s="1"/>
  <c r="E42" i="16"/>
  <c r="C63" i="15"/>
  <c r="D63" i="15" s="1"/>
  <c r="E63" i="15" s="1"/>
  <c r="C56" i="14"/>
  <c r="B56" i="14"/>
  <c r="D56" i="14" s="1"/>
  <c r="E56" i="14" s="1"/>
  <c r="C43" i="16" l="1"/>
  <c r="D43" i="16" s="1"/>
  <c r="E43" i="16"/>
  <c r="C64" i="15"/>
  <c r="D64" i="15" s="1"/>
  <c r="E64" i="15" s="1"/>
  <c r="C57" i="14"/>
  <c r="B57" i="14" s="1"/>
  <c r="D57" i="14" s="1"/>
  <c r="E57" i="14" s="1"/>
  <c r="C58" i="14" s="1"/>
  <c r="B58" i="14" s="1"/>
  <c r="D58" i="14" s="1"/>
  <c r="E58" i="14" s="1"/>
  <c r="C44" i="16" l="1"/>
  <c r="D44" i="16" s="1"/>
  <c r="E44" i="16"/>
  <c r="C65" i="15"/>
  <c r="D65" i="15" s="1"/>
  <c r="E65" i="15" s="1"/>
  <c r="C59" i="14"/>
  <c r="B59" i="14" s="1"/>
  <c r="D59" i="14" s="1"/>
  <c r="E59" i="14" s="1"/>
  <c r="C45" i="16" l="1"/>
  <c r="C66" i="15"/>
  <c r="D66" i="15" s="1"/>
  <c r="E66" i="15" s="1"/>
  <c r="C60" i="14"/>
  <c r="B60" i="14" s="1"/>
  <c r="D60" i="14" s="1"/>
  <c r="E60" i="14" s="1"/>
  <c r="D45" i="16" l="1"/>
  <c r="C46" i="16"/>
  <c r="E6" i="16" s="1"/>
  <c r="C67" i="15"/>
  <c r="D67" i="15" s="1"/>
  <c r="E67" i="15" s="1"/>
  <c r="C61" i="14"/>
  <c r="B61" i="14" s="1"/>
  <c r="D61" i="14" s="1"/>
  <c r="E61" i="14" s="1"/>
  <c r="D46" i="16" l="1"/>
  <c r="E45" i="16"/>
  <c r="E54" i="16" s="1"/>
  <c r="C68" i="15"/>
  <c r="D68" i="15" s="1"/>
  <c r="E68" i="15" s="1"/>
  <c r="C62" i="14"/>
  <c r="B62" i="14" s="1"/>
  <c r="D62" i="14" s="1"/>
  <c r="E62" i="14" s="1"/>
  <c r="C55" i="16" l="1"/>
  <c r="D55" i="16" s="1"/>
  <c r="E55" i="16"/>
  <c r="C69" i="15"/>
  <c r="D69" i="15" s="1"/>
  <c r="E69" i="15" s="1"/>
  <c r="C63" i="14"/>
  <c r="B63" i="14" s="1"/>
  <c r="D63" i="14" s="1"/>
  <c r="E63" i="14" s="1"/>
  <c r="C56" i="16" l="1"/>
  <c r="D56" i="16" s="1"/>
  <c r="E56" i="16"/>
  <c r="C70" i="15"/>
  <c r="C64" i="14"/>
  <c r="B64" i="14" s="1"/>
  <c r="D64" i="14" s="1"/>
  <c r="E64" i="14" s="1"/>
  <c r="C57" i="16" l="1"/>
  <c r="D57" i="16" s="1"/>
  <c r="E57" i="16"/>
  <c r="D70" i="15"/>
  <c r="C71" i="15"/>
  <c r="E7" i="15" s="1"/>
  <c r="C65" i="14"/>
  <c r="B65" i="14" s="1"/>
  <c r="D65" i="14" s="1"/>
  <c r="E65" i="14" s="1"/>
  <c r="C58" i="16" l="1"/>
  <c r="D58" i="16" s="1"/>
  <c r="E58" i="16"/>
  <c r="D71" i="15"/>
  <c r="E70" i="15"/>
  <c r="E75" i="15" s="1"/>
  <c r="C66" i="14"/>
  <c r="C67" i="14" s="1"/>
  <c r="E8" i="14" s="1"/>
  <c r="C59" i="16" l="1"/>
  <c r="D59" i="16" s="1"/>
  <c r="E59" i="16"/>
  <c r="C60" i="16" s="1"/>
  <c r="D60" i="16" s="1"/>
  <c r="E60" i="16" s="1"/>
  <c r="C61" i="16" s="1"/>
  <c r="D61" i="16" s="1"/>
  <c r="E61" i="16" s="1"/>
  <c r="C62" i="16" s="1"/>
  <c r="D62" i="16" s="1"/>
  <c r="E62" i="16" s="1"/>
  <c r="C63" i="16" s="1"/>
  <c r="D63" i="16" s="1"/>
  <c r="E63" i="16" s="1"/>
  <c r="C64" i="16" s="1"/>
  <c r="D64" i="16" s="1"/>
  <c r="E64" i="16" s="1"/>
  <c r="C65" i="16" s="1"/>
  <c r="D65" i="16" s="1"/>
  <c r="E65" i="16" s="1"/>
  <c r="C66" i="16" s="1"/>
  <c r="D66" i="16" s="1"/>
  <c r="E66" i="16" s="1"/>
  <c r="C67" i="16" s="1"/>
  <c r="D67" i="16" s="1"/>
  <c r="E67" i="16" s="1"/>
  <c r="C68" i="16" s="1"/>
  <c r="D68" i="16" s="1"/>
  <c r="E68" i="16" s="1"/>
  <c r="C69" i="16" s="1"/>
  <c r="D69" i="16" s="1"/>
  <c r="E69" i="16" s="1"/>
  <c r="C70" i="16" s="1"/>
  <c r="D70" i="16" s="1"/>
  <c r="E70" i="16" s="1"/>
  <c r="C71" i="16" s="1"/>
  <c r="D71" i="16" s="1"/>
  <c r="E71" i="16" s="1"/>
  <c r="C72" i="16" s="1"/>
  <c r="D72" i="16" s="1"/>
  <c r="E72" i="16" s="1"/>
  <c r="C73" i="16" s="1"/>
  <c r="D73" i="16" s="1"/>
  <c r="E73" i="16" s="1"/>
  <c r="C74" i="16" s="1"/>
  <c r="D74" i="16" s="1"/>
  <c r="E74" i="16" s="1"/>
  <c r="C75" i="16" s="1"/>
  <c r="D75" i="16" s="1"/>
  <c r="E75" i="16" s="1"/>
  <c r="C76" i="16" s="1"/>
  <c r="D76" i="16" s="1"/>
  <c r="E76" i="16" s="1"/>
  <c r="C77" i="16" s="1"/>
  <c r="D77" i="16" s="1"/>
  <c r="E77" i="16" s="1"/>
  <c r="C78" i="16" s="1"/>
  <c r="D78" i="16" s="1"/>
  <c r="E78" i="16" s="1"/>
  <c r="B66" i="14"/>
  <c r="D66" i="14" s="1"/>
  <c r="D67" i="14" s="1"/>
  <c r="C76" i="15"/>
  <c r="B76" i="15" s="1"/>
  <c r="D76" i="15" s="1"/>
  <c r="E76" i="15" s="1"/>
  <c r="G27" i="13"/>
  <c r="E66" i="14" l="1"/>
  <c r="E70" i="14" s="1"/>
  <c r="C71" i="14" s="1"/>
  <c r="C79" i="16"/>
  <c r="D79" i="16" s="1"/>
  <c r="E79" i="16" s="1"/>
  <c r="C77" i="15"/>
  <c r="B77" i="15" s="1"/>
  <c r="D77" i="15" s="1"/>
  <c r="E77" i="15" s="1"/>
  <c r="B71" i="14" l="1"/>
  <c r="D71" i="14" s="1"/>
  <c r="E71" i="14" s="1"/>
  <c r="C72" i="14" s="1"/>
  <c r="B72" i="14" s="1"/>
  <c r="D72" i="14" s="1"/>
  <c r="C80" i="16"/>
  <c r="C78" i="15"/>
  <c r="B78" i="15" s="1"/>
  <c r="D78" i="15" s="1"/>
  <c r="E78" i="15" s="1"/>
  <c r="C79" i="15" s="1"/>
  <c r="B79" i="15" s="1"/>
  <c r="D79" i="15" s="1"/>
  <c r="E79" i="15" s="1"/>
  <c r="C80" i="15" s="1"/>
  <c r="B80" i="15" s="1"/>
  <c r="D80" i="15" s="1"/>
  <c r="E80" i="15" s="1"/>
  <c r="C81" i="15" s="1"/>
  <c r="B81" i="15" s="1"/>
  <c r="D81" i="15" s="1"/>
  <c r="E81" i="15" s="1"/>
  <c r="C82" i="15" s="1"/>
  <c r="B82" i="15" s="1"/>
  <c r="D82" i="15" s="1"/>
  <c r="E82" i="15" s="1"/>
  <c r="C83" i="15" s="1"/>
  <c r="B83" i="15" s="1"/>
  <c r="D83" i="15" s="1"/>
  <c r="E83" i="15" s="1"/>
  <c r="C84" i="15" s="1"/>
  <c r="B84" i="15" s="1"/>
  <c r="D84" i="15" s="1"/>
  <c r="E84" i="15" s="1"/>
  <c r="D80" i="16" l="1"/>
  <c r="C81" i="16"/>
  <c r="E7" i="16" s="1"/>
  <c r="C85" i="15"/>
  <c r="B85" i="15" s="1"/>
  <c r="D85" i="15" s="1"/>
  <c r="E85" i="15" s="1"/>
  <c r="C86" i="15" s="1"/>
  <c r="B86" i="15" s="1"/>
  <c r="D86" i="15" s="1"/>
  <c r="E86" i="15" s="1"/>
  <c r="C87" i="15" s="1"/>
  <c r="B87" i="15" s="1"/>
  <c r="D87" i="15" s="1"/>
  <c r="E87" i="15" s="1"/>
  <c r="C88" i="15" s="1"/>
  <c r="B88" i="15" s="1"/>
  <c r="D88" i="15" s="1"/>
  <c r="E88" i="15" s="1"/>
  <c r="C89" i="15" s="1"/>
  <c r="B89" i="15" s="1"/>
  <c r="D89" i="15" s="1"/>
  <c r="E89" i="15" s="1"/>
  <c r="C90" i="15" s="1"/>
  <c r="B90" i="15" s="1"/>
  <c r="D90" i="15" s="1"/>
  <c r="E90" i="15" s="1"/>
  <c r="C91" i="15" s="1"/>
  <c r="B91" i="15" s="1"/>
  <c r="D91" i="15" s="1"/>
  <c r="E91" i="15" s="1"/>
  <c r="C92" i="15" s="1"/>
  <c r="B92" i="15" s="1"/>
  <c r="D92" i="15" s="1"/>
  <c r="E92" i="15" s="1"/>
  <c r="C93" i="15" s="1"/>
  <c r="B93" i="15" s="1"/>
  <c r="D93" i="15" s="1"/>
  <c r="E93" i="15" s="1"/>
  <c r="C94" i="15" s="1"/>
  <c r="B94" i="15" s="1"/>
  <c r="D94" i="15" s="1"/>
  <c r="E94" i="15" s="1"/>
  <c r="C95" i="15" s="1"/>
  <c r="B95" i="15" s="1"/>
  <c r="D95" i="15" s="1"/>
  <c r="E95" i="15" s="1"/>
  <c r="C96" i="15" s="1"/>
  <c r="B96" i="15" s="1"/>
  <c r="D96" i="15" s="1"/>
  <c r="E96" i="15" s="1"/>
  <c r="C97" i="15" s="1"/>
  <c r="B97" i="15" s="1"/>
  <c r="D97" i="15" s="1"/>
  <c r="E97" i="15" s="1"/>
  <c r="C98" i="15" s="1"/>
  <c r="B98" i="15" s="1"/>
  <c r="D98" i="15" s="1"/>
  <c r="E98" i="15" s="1"/>
  <c r="C99" i="15" s="1"/>
  <c r="B99" i="15" s="1"/>
  <c r="D99" i="15" s="1"/>
  <c r="E99" i="15" s="1"/>
  <c r="C100" i="15" s="1"/>
  <c r="B100" i="15" s="1"/>
  <c r="D100" i="15" s="1"/>
  <c r="E100" i="15" s="1"/>
  <c r="C101" i="15" s="1"/>
  <c r="B101" i="15" s="1"/>
  <c r="D101" i="15" s="1"/>
  <c r="E101" i="15" s="1"/>
  <c r="C102" i="15" s="1"/>
  <c r="B102" i="15" s="1"/>
  <c r="D102" i="15" s="1"/>
  <c r="E102" i="15" s="1"/>
  <c r="C103" i="15" s="1"/>
  <c r="B103" i="15" s="1"/>
  <c r="D103" i="15" s="1"/>
  <c r="E103" i="15" s="1"/>
  <c r="C104" i="15" s="1"/>
  <c r="B104" i="15" s="1"/>
  <c r="D104" i="15" s="1"/>
  <c r="E104" i="15" s="1"/>
  <c r="C105" i="15" s="1"/>
  <c r="B105" i="15" s="1"/>
  <c r="D105" i="15" s="1"/>
  <c r="E105" i="15" s="1"/>
  <c r="C106" i="15" s="1"/>
  <c r="B106" i="15" s="1"/>
  <c r="D106" i="15" s="1"/>
  <c r="E106" i="15" s="1"/>
  <c r="C107" i="15" s="1"/>
  <c r="B107" i="15" s="1"/>
  <c r="D107" i="15" s="1"/>
  <c r="E107" i="15" s="1"/>
  <c r="C108" i="15" s="1"/>
  <c r="B108" i="15" s="1"/>
  <c r="D108" i="15" s="1"/>
  <c r="E108" i="15" s="1"/>
  <c r="C109" i="15" s="1"/>
  <c r="B109" i="15" s="1"/>
  <c r="D109" i="15" s="1"/>
  <c r="E109" i="15" s="1"/>
  <c r="C110" i="15" s="1"/>
  <c r="B110" i="15" s="1"/>
  <c r="D110" i="15" s="1"/>
  <c r="E110" i="15" s="1"/>
  <c r="C111" i="15" s="1"/>
  <c r="B111" i="15" s="1"/>
  <c r="D111" i="15" s="1"/>
  <c r="E111" i="15" s="1"/>
  <c r="C112" i="15" s="1"/>
  <c r="B112" i="15" s="1"/>
  <c r="D112" i="15" s="1"/>
  <c r="E112" i="15" s="1"/>
  <c r="C113" i="15" s="1"/>
  <c r="B113" i="15" s="1"/>
  <c r="D113" i="15" s="1"/>
  <c r="E113" i="15" s="1"/>
  <c r="C114" i="15" s="1"/>
  <c r="B114" i="15" s="1"/>
  <c r="D114" i="15" s="1"/>
  <c r="E114" i="15" s="1"/>
  <c r="C115" i="15" s="1"/>
  <c r="B115" i="15" s="1"/>
  <c r="D115" i="15" s="1"/>
  <c r="E115" i="15" s="1"/>
  <c r="C116" i="15" s="1"/>
  <c r="B116" i="15" s="1"/>
  <c r="D116" i="15" s="1"/>
  <c r="E116" i="15" s="1"/>
  <c r="C117" i="15" s="1"/>
  <c r="B117" i="15" s="1"/>
  <c r="D117" i="15" s="1"/>
  <c r="E117" i="15" s="1"/>
  <c r="E72" i="14"/>
  <c r="D81" i="16" l="1"/>
  <c r="E80" i="16"/>
  <c r="E87" i="16" s="1"/>
  <c r="C118" i="15"/>
  <c r="B118" i="15" s="1"/>
  <c r="D118" i="15" s="1"/>
  <c r="E118" i="15" s="1"/>
  <c r="C73" i="14"/>
  <c r="B73" i="14" s="1"/>
  <c r="D73" i="14" s="1"/>
  <c r="E73" i="14" s="1"/>
  <c r="C88" i="16" l="1"/>
  <c r="C119" i="15"/>
  <c r="B119" i="15" s="1"/>
  <c r="D119" i="15" s="1"/>
  <c r="E119" i="15" s="1"/>
  <c r="C74" i="14"/>
  <c r="B74" i="14" s="1"/>
  <c r="D74" i="14" s="1"/>
  <c r="E74" i="14" s="1"/>
  <c r="D88" i="16" l="1"/>
  <c r="C120" i="15"/>
  <c r="B120" i="15" s="1"/>
  <c r="D120" i="15" s="1"/>
  <c r="E120" i="15" s="1"/>
  <c r="C121" i="15" s="1"/>
  <c r="B121" i="15" s="1"/>
  <c r="D121" i="15" s="1"/>
  <c r="E121" i="15" s="1"/>
  <c r="C122" i="15" s="1"/>
  <c r="B122" i="15" s="1"/>
  <c r="D122" i="15" s="1"/>
  <c r="E122" i="15" s="1"/>
  <c r="C75" i="14"/>
  <c r="B75" i="14" s="1"/>
  <c r="D75" i="14" s="1"/>
  <c r="E75" i="14" s="1"/>
  <c r="E88" i="16" l="1"/>
  <c r="C123" i="15"/>
  <c r="B123" i="15" s="1"/>
  <c r="D123" i="15" s="1"/>
  <c r="E123" i="15" s="1"/>
  <c r="C76" i="14"/>
  <c r="B76" i="14" s="1"/>
  <c r="D76" i="14" s="1"/>
  <c r="E76" i="14" s="1"/>
  <c r="C89" i="16" l="1"/>
  <c r="C124" i="15"/>
  <c r="B124" i="15" s="1"/>
  <c r="D124" i="15" s="1"/>
  <c r="E124" i="15" s="1"/>
  <c r="C77" i="14"/>
  <c r="B77" i="14"/>
  <c r="D77" i="14" s="1"/>
  <c r="E77" i="14" s="1"/>
  <c r="B89" i="16" l="1"/>
  <c r="C125" i="15"/>
  <c r="B125" i="15" s="1"/>
  <c r="D125" i="15" s="1"/>
  <c r="E125" i="15" s="1"/>
  <c r="C78" i="14"/>
  <c r="B78" i="14"/>
  <c r="D78" i="14" s="1"/>
  <c r="E78" i="14" s="1"/>
  <c r="D89" i="16" l="1"/>
  <c r="C126" i="15"/>
  <c r="B126" i="15" s="1"/>
  <c r="D126" i="15" s="1"/>
  <c r="E126" i="15" s="1"/>
  <c r="C79" i="14"/>
  <c r="B79" i="14" s="1"/>
  <c r="D79" i="14" s="1"/>
  <c r="E79" i="14" s="1"/>
  <c r="E89" i="16" l="1"/>
  <c r="C127" i="15"/>
  <c r="C128" i="15" s="1"/>
  <c r="E8" i="15" s="1"/>
  <c r="C80" i="14"/>
  <c r="B80" i="14" s="1"/>
  <c r="D80" i="14" s="1"/>
  <c r="E80" i="14" s="1"/>
  <c r="C90" i="16" l="1"/>
  <c r="B90" i="16" s="1"/>
  <c r="B127" i="15"/>
  <c r="D127" i="15" s="1"/>
  <c r="C81" i="14"/>
  <c r="B81" i="14" s="1"/>
  <c r="D81" i="14" s="1"/>
  <c r="E81" i="14" s="1"/>
  <c r="D90" i="16" l="1"/>
  <c r="D128" i="15"/>
  <c r="E127" i="15"/>
  <c r="E132" i="15" s="1"/>
  <c r="C82" i="14"/>
  <c r="C83" i="14" s="1"/>
  <c r="E9" i="14" s="1"/>
  <c r="B82" i="14" l="1"/>
  <c r="D82" i="14" s="1"/>
  <c r="D83" i="14" s="1"/>
  <c r="E90" i="16"/>
  <c r="C133" i="15"/>
  <c r="B133" i="15" s="1"/>
  <c r="D133" i="15" s="1"/>
  <c r="E133" i="15" s="1"/>
  <c r="G28" i="13"/>
  <c r="E82" i="14" l="1"/>
  <c r="E87" i="14" s="1"/>
  <c r="C88" i="14" s="1"/>
  <c r="B88" i="14" s="1"/>
  <c r="D88" i="14" s="1"/>
  <c r="C91" i="16"/>
  <c r="B91" i="16" s="1"/>
  <c r="C134" i="15"/>
  <c r="B134" i="15" s="1"/>
  <c r="D134" i="15" s="1"/>
  <c r="E134" i="15" s="1"/>
  <c r="D91" i="16" l="1"/>
  <c r="C135" i="15"/>
  <c r="B135" i="15" s="1"/>
  <c r="D135" i="15" s="1"/>
  <c r="E88" i="14"/>
  <c r="E91" i="16" l="1"/>
  <c r="E135" i="15"/>
  <c r="C89" i="14"/>
  <c r="B89" i="14" s="1"/>
  <c r="D89" i="14" s="1"/>
  <c r="C92" i="16" l="1"/>
  <c r="B92" i="16" s="1"/>
  <c r="C136" i="15"/>
  <c r="B136" i="15" s="1"/>
  <c r="D136" i="15" s="1"/>
  <c r="E136" i="15" s="1"/>
  <c r="E89" i="14"/>
  <c r="D92" i="16" l="1"/>
  <c r="C137" i="15"/>
  <c r="B137" i="15" s="1"/>
  <c r="D137" i="15" s="1"/>
  <c r="E137" i="15" s="1"/>
  <c r="C90" i="14"/>
  <c r="B90" i="14" s="1"/>
  <c r="D90" i="14" s="1"/>
  <c r="E92" i="16" l="1"/>
  <c r="C138" i="15"/>
  <c r="B138" i="15" s="1"/>
  <c r="D138" i="15" s="1"/>
  <c r="E138" i="15" s="1"/>
  <c r="E90" i="14"/>
  <c r="C93" i="16" l="1"/>
  <c r="B93" i="16" s="1"/>
  <c r="D93" i="16" s="1"/>
  <c r="E93" i="16" s="1"/>
  <c r="C139" i="15"/>
  <c r="B139" i="15" s="1"/>
  <c r="D139" i="15" s="1"/>
  <c r="E139" i="15" s="1"/>
  <c r="C91" i="14"/>
  <c r="B91" i="14" s="1"/>
  <c r="D91" i="14" s="1"/>
  <c r="E91" i="14" s="1"/>
  <c r="C94" i="16" l="1"/>
  <c r="B94" i="16" s="1"/>
  <c r="D94" i="16" s="1"/>
  <c r="E94" i="16" s="1"/>
  <c r="C140" i="15"/>
  <c r="B140" i="15" s="1"/>
  <c r="D140" i="15" s="1"/>
  <c r="E140" i="15" s="1"/>
  <c r="C92" i="14"/>
  <c r="B92" i="14" s="1"/>
  <c r="D92" i="14" s="1"/>
  <c r="E92" i="14" s="1"/>
  <c r="C95" i="16" l="1"/>
  <c r="B95" i="16" s="1"/>
  <c r="D95" i="16" s="1"/>
  <c r="E95" i="16" s="1"/>
  <c r="C141" i="15"/>
  <c r="B141" i="15" s="1"/>
  <c r="D141" i="15" s="1"/>
  <c r="E141" i="15" s="1"/>
  <c r="C93" i="14"/>
  <c r="B93" i="14" s="1"/>
  <c r="D93" i="14" s="1"/>
  <c r="E93" i="14" s="1"/>
  <c r="C96" i="16" l="1"/>
  <c r="B96" i="16" s="1"/>
  <c r="D96" i="16" s="1"/>
  <c r="E96" i="16" s="1"/>
  <c r="C142" i="15"/>
  <c r="B142" i="15" s="1"/>
  <c r="D142" i="15" s="1"/>
  <c r="E142" i="15" s="1"/>
  <c r="C94" i="14"/>
  <c r="B94" i="14" s="1"/>
  <c r="D94" i="14" s="1"/>
  <c r="E94" i="14" s="1"/>
  <c r="C97" i="16" l="1"/>
  <c r="B97" i="16" s="1"/>
  <c r="D97" i="16" s="1"/>
  <c r="E97" i="16" s="1"/>
  <c r="C143" i="15"/>
  <c r="B143" i="15" s="1"/>
  <c r="D143" i="15" s="1"/>
  <c r="E143" i="15" s="1"/>
  <c r="C95" i="14"/>
  <c r="B95" i="14" s="1"/>
  <c r="D95" i="14" s="1"/>
  <c r="E95" i="14" s="1"/>
  <c r="C98" i="16" l="1"/>
  <c r="B98" i="16" s="1"/>
  <c r="D98" i="16" s="1"/>
  <c r="E98" i="16" s="1"/>
  <c r="C144" i="15"/>
  <c r="B144" i="15" s="1"/>
  <c r="D144" i="15" s="1"/>
  <c r="E144" i="15" s="1"/>
  <c r="C96" i="14"/>
  <c r="B96" i="14"/>
  <c r="D96" i="14" s="1"/>
  <c r="E96" i="14" s="1"/>
  <c r="C99" i="16" l="1"/>
  <c r="B99" i="16" s="1"/>
  <c r="D99" i="16" s="1"/>
  <c r="E99" i="16" s="1"/>
  <c r="C145" i="15"/>
  <c r="B145" i="15" s="1"/>
  <c r="D145" i="15" s="1"/>
  <c r="E145" i="15" s="1"/>
  <c r="C97" i="14"/>
  <c r="B97" i="14"/>
  <c r="D97" i="14" s="1"/>
  <c r="E97" i="14" s="1"/>
  <c r="C100" i="16" l="1"/>
  <c r="B100" i="16" s="1"/>
  <c r="D100" i="16" s="1"/>
  <c r="E100" i="16" s="1"/>
  <c r="C146" i="15"/>
  <c r="B146" i="15" s="1"/>
  <c r="D146" i="15" s="1"/>
  <c r="E146" i="15" s="1"/>
  <c r="C98" i="14"/>
  <c r="B98" i="14" s="1"/>
  <c r="D98" i="14" s="1"/>
  <c r="E98" i="14" s="1"/>
  <c r="C101" i="16" l="1"/>
  <c r="B101" i="16" s="1"/>
  <c r="D101" i="16" s="1"/>
  <c r="E101" i="16" s="1"/>
  <c r="C147" i="15"/>
  <c r="B147" i="15" s="1"/>
  <c r="D147" i="15" s="1"/>
  <c r="E147" i="15" s="1"/>
  <c r="C99" i="14"/>
  <c r="C100" i="14" s="1"/>
  <c r="E10" i="14" s="1"/>
  <c r="B99" i="14"/>
  <c r="D99" i="14" s="1"/>
  <c r="D100" i="14" s="1"/>
  <c r="C102" i="16" l="1"/>
  <c r="B102" i="16" s="1"/>
  <c r="D102" i="16" s="1"/>
  <c r="E102" i="16" s="1"/>
  <c r="C148" i="15"/>
  <c r="B148" i="15" s="1"/>
  <c r="D148" i="15" s="1"/>
  <c r="E148" i="15" s="1"/>
  <c r="G29" i="13"/>
  <c r="G30" i="13" s="1"/>
  <c r="G31" i="13" s="1"/>
  <c r="E99" i="14"/>
  <c r="E103" i="14" s="1"/>
  <c r="C103" i="16" l="1"/>
  <c r="B103" i="16" s="1"/>
  <c r="D103" i="16" s="1"/>
  <c r="E103" i="16" s="1"/>
  <c r="C149" i="15"/>
  <c r="B149" i="15" s="1"/>
  <c r="D149" i="15" s="1"/>
  <c r="E149" i="15" s="1"/>
  <c r="C104" i="14"/>
  <c r="B104" i="14"/>
  <c r="D104" i="14" s="1"/>
  <c r="E104" i="14" s="1"/>
  <c r="C104" i="16" l="1"/>
  <c r="B104" i="16" s="1"/>
  <c r="D104" i="16" s="1"/>
  <c r="E104" i="16" s="1"/>
  <c r="C150" i="15"/>
  <c r="B150" i="15" s="1"/>
  <c r="D150" i="15" s="1"/>
  <c r="E150" i="15" s="1"/>
  <c r="C105" i="14"/>
  <c r="B105" i="14" s="1"/>
  <c r="D105" i="14" s="1"/>
  <c r="E105" i="14" s="1"/>
  <c r="C105" i="16" l="1"/>
  <c r="B105" i="16" s="1"/>
  <c r="D105" i="16" s="1"/>
  <c r="E105" i="16" s="1"/>
  <c r="C151" i="15"/>
  <c r="B151" i="15" s="1"/>
  <c r="D151" i="15" s="1"/>
  <c r="E151" i="15" s="1"/>
  <c r="C106" i="14"/>
  <c r="B106" i="14" s="1"/>
  <c r="D106" i="14" s="1"/>
  <c r="E106" i="14" s="1"/>
  <c r="C106" i="16" l="1"/>
  <c r="B106" i="16" s="1"/>
  <c r="D106" i="16" s="1"/>
  <c r="E106" i="16" s="1"/>
  <c r="C152" i="15"/>
  <c r="B152" i="15" s="1"/>
  <c r="D152" i="15" s="1"/>
  <c r="E152" i="15" s="1"/>
  <c r="C107" i="14"/>
  <c r="B107" i="14"/>
  <c r="D107" i="14" s="1"/>
  <c r="C107" i="16" l="1"/>
  <c r="B107" i="16" s="1"/>
  <c r="D107" i="16" s="1"/>
  <c r="E107" i="16" s="1"/>
  <c r="C153" i="15"/>
  <c r="B153" i="15" s="1"/>
  <c r="D153" i="15" s="1"/>
  <c r="E153" i="15" s="1"/>
  <c r="E107" i="14"/>
  <c r="C108" i="16" l="1"/>
  <c r="B108" i="16" s="1"/>
  <c r="D108" i="16" s="1"/>
  <c r="E108" i="16" s="1"/>
  <c r="C154" i="15"/>
  <c r="B154" i="15" s="1"/>
  <c r="D154" i="15" s="1"/>
  <c r="E154" i="15" s="1"/>
  <c r="C108" i="14"/>
  <c r="B108" i="14" s="1"/>
  <c r="D108" i="14" s="1"/>
  <c r="E108" i="14" s="1"/>
  <c r="C109" i="16" l="1"/>
  <c r="B109" i="16" s="1"/>
  <c r="D109" i="16" s="1"/>
  <c r="E109" i="16" s="1"/>
  <c r="C155" i="15"/>
  <c r="B155" i="15" s="1"/>
  <c r="D155" i="15" s="1"/>
  <c r="E155" i="15" s="1"/>
  <c r="C109" i="14"/>
  <c r="B109" i="14" s="1"/>
  <c r="D109" i="14" s="1"/>
  <c r="E109" i="14" s="1"/>
  <c r="C110" i="16" l="1"/>
  <c r="B110" i="16" s="1"/>
  <c r="D110" i="16" s="1"/>
  <c r="E110" i="16" s="1"/>
  <c r="C156" i="15"/>
  <c r="B156" i="15" s="1"/>
  <c r="D156" i="15" s="1"/>
  <c r="E156" i="15" s="1"/>
  <c r="C110" i="14"/>
  <c r="B110" i="14" s="1"/>
  <c r="D110" i="14" s="1"/>
  <c r="E110" i="14" s="1"/>
  <c r="C111" i="16" l="1"/>
  <c r="B111" i="16" s="1"/>
  <c r="D111" i="16" s="1"/>
  <c r="E111" i="16" s="1"/>
  <c r="C157" i="15"/>
  <c r="B157" i="15" s="1"/>
  <c r="D157" i="15" s="1"/>
  <c r="E157" i="15" s="1"/>
  <c r="C111" i="14"/>
  <c r="B111" i="14" s="1"/>
  <c r="D111" i="14" s="1"/>
  <c r="E111" i="14" s="1"/>
  <c r="C112" i="16" l="1"/>
  <c r="B112" i="16" s="1"/>
  <c r="D112" i="16" s="1"/>
  <c r="E112" i="16" s="1"/>
  <c r="C158" i="15"/>
  <c r="B158" i="15" s="1"/>
  <c r="D158" i="15" s="1"/>
  <c r="E158" i="15" s="1"/>
  <c r="C112" i="14"/>
  <c r="B112" i="14" s="1"/>
  <c r="D112" i="14" s="1"/>
  <c r="E112" i="14" s="1"/>
  <c r="C113" i="16" l="1"/>
  <c r="C114" i="16" s="1"/>
  <c r="E8" i="16" s="1"/>
  <c r="C159" i="15"/>
  <c r="B159" i="15" s="1"/>
  <c r="D159" i="15" s="1"/>
  <c r="E159" i="15" s="1"/>
  <c r="C113" i="14"/>
  <c r="B113" i="14"/>
  <c r="D113" i="14" s="1"/>
  <c r="E113" i="14" s="1"/>
  <c r="B113" i="16" l="1"/>
  <c r="C160" i="15"/>
  <c r="B160" i="15" s="1"/>
  <c r="D160" i="15" s="1"/>
  <c r="E160" i="15" s="1"/>
  <c r="C114" i="14"/>
  <c r="B114" i="14" s="1"/>
  <c r="D114" i="14" s="1"/>
  <c r="E114" i="14" s="1"/>
  <c r="D113" i="16" l="1"/>
  <c r="B114" i="16"/>
  <c r="C161" i="15"/>
  <c r="B161" i="15" s="1"/>
  <c r="D161" i="15" s="1"/>
  <c r="E161" i="15" s="1"/>
  <c r="C115" i="14"/>
  <c r="C116" i="14" s="1"/>
  <c r="E11" i="14" s="1"/>
  <c r="L115" i="14"/>
  <c r="B115" i="14" l="1"/>
  <c r="D115" i="14" s="1"/>
  <c r="D116" i="14" s="1"/>
  <c r="D114" i="16"/>
  <c r="E113" i="16"/>
  <c r="E120" i="16" s="1"/>
  <c r="C162" i="15"/>
  <c r="B162" i="15" s="1"/>
  <c r="D162" i="15" s="1"/>
  <c r="E162" i="15" s="1"/>
  <c r="E115" i="14" l="1"/>
  <c r="E121" i="14" s="1"/>
  <c r="C122" i="14" s="1"/>
  <c r="C121" i="16"/>
  <c r="C163" i="15"/>
  <c r="B163" i="15" s="1"/>
  <c r="D163" i="15" s="1"/>
  <c r="E163" i="15" s="1"/>
  <c r="B122" i="14" l="1"/>
  <c r="D122" i="14" s="1"/>
  <c r="E122" i="14" s="1"/>
  <c r="B121" i="16"/>
  <c r="C164" i="15"/>
  <c r="B164" i="15" s="1"/>
  <c r="D164" i="15" s="1"/>
  <c r="E164" i="15" s="1"/>
  <c r="D121" i="16" l="1"/>
  <c r="C165" i="15"/>
  <c r="B165" i="15" s="1"/>
  <c r="D165" i="15" s="1"/>
  <c r="E165" i="15" s="1"/>
  <c r="C123" i="14"/>
  <c r="B123" i="14" s="1"/>
  <c r="D123" i="14" s="1"/>
  <c r="E121" i="16" l="1"/>
  <c r="C166" i="15"/>
  <c r="B166" i="15" s="1"/>
  <c r="D166" i="15" s="1"/>
  <c r="E166" i="15" s="1"/>
  <c r="E123" i="14"/>
  <c r="C122" i="16" l="1"/>
  <c r="C167" i="15"/>
  <c r="B167" i="15" s="1"/>
  <c r="D167" i="15" s="1"/>
  <c r="E167" i="15" s="1"/>
  <c r="C124" i="14"/>
  <c r="B122" i="16" l="1"/>
  <c r="C168" i="15"/>
  <c r="B168" i="15" s="1"/>
  <c r="D168" i="15" s="1"/>
  <c r="E168" i="15" s="1"/>
  <c r="B124" i="14"/>
  <c r="D124" i="14" s="1"/>
  <c r="D122" i="16" l="1"/>
  <c r="C169" i="15"/>
  <c r="B169" i="15" s="1"/>
  <c r="D169" i="15" s="1"/>
  <c r="E169" i="15" s="1"/>
  <c r="E124" i="14"/>
  <c r="E122" i="16" l="1"/>
  <c r="C170" i="15"/>
  <c r="B170" i="15" s="1"/>
  <c r="D170" i="15" s="1"/>
  <c r="E170" i="15" s="1"/>
  <c r="C125" i="14"/>
  <c r="B125" i="14" s="1"/>
  <c r="D125" i="14" s="1"/>
  <c r="E125" i="14" s="1"/>
  <c r="C123" i="16" l="1"/>
  <c r="C171" i="15"/>
  <c r="B171" i="15" s="1"/>
  <c r="D171" i="15" s="1"/>
  <c r="E171" i="15" s="1"/>
  <c r="C126" i="14"/>
  <c r="B126" i="14" s="1"/>
  <c r="D126" i="14" s="1"/>
  <c r="E126" i="14" s="1"/>
  <c r="B123" i="16" l="1"/>
  <c r="C172" i="15"/>
  <c r="B172" i="15" s="1"/>
  <c r="D172" i="15" s="1"/>
  <c r="E172" i="15" s="1"/>
  <c r="C127" i="14"/>
  <c r="B127" i="14" s="1"/>
  <c r="D127" i="14" s="1"/>
  <c r="E127" i="14" s="1"/>
  <c r="D123" i="16" l="1"/>
  <c r="C173" i="15"/>
  <c r="B173" i="15" s="1"/>
  <c r="D173" i="15" s="1"/>
  <c r="E173" i="15" s="1"/>
  <c r="C128" i="14"/>
  <c r="B128" i="14" s="1"/>
  <c r="D128" i="14" s="1"/>
  <c r="E128" i="14" s="1"/>
  <c r="E123" i="16" l="1"/>
  <c r="C174" i="15"/>
  <c r="B174" i="15" s="1"/>
  <c r="D174" i="15" s="1"/>
  <c r="E174" i="15" s="1"/>
  <c r="C129" i="14"/>
  <c r="B129" i="14" s="1"/>
  <c r="D129" i="14" s="1"/>
  <c r="E129" i="14" s="1"/>
  <c r="C124" i="16" l="1"/>
  <c r="B124" i="16" s="1"/>
  <c r="C175" i="15"/>
  <c r="B175" i="15" s="1"/>
  <c r="D175" i="15" s="1"/>
  <c r="E175" i="15" s="1"/>
  <c r="C130" i="14"/>
  <c r="B130" i="14" s="1"/>
  <c r="D130" i="14" s="1"/>
  <c r="E130" i="14" s="1"/>
  <c r="D124" i="16" l="1"/>
  <c r="C176" i="15"/>
  <c r="B176" i="15" s="1"/>
  <c r="D176" i="15" s="1"/>
  <c r="E176" i="15" s="1"/>
  <c r="C131" i="14"/>
  <c r="B131" i="14" s="1"/>
  <c r="D131" i="14" s="1"/>
  <c r="E131" i="14" s="1"/>
  <c r="E124" i="16" l="1"/>
  <c r="C177" i="15"/>
  <c r="B177" i="15" s="1"/>
  <c r="D177" i="15" s="1"/>
  <c r="E177" i="15" s="1"/>
  <c r="C132" i="14"/>
  <c r="B132" i="14" s="1"/>
  <c r="D132" i="14" s="1"/>
  <c r="E132" i="14" s="1"/>
  <c r="C125" i="16" l="1"/>
  <c r="B125" i="16" s="1"/>
  <c r="C178" i="15"/>
  <c r="B178" i="15" s="1"/>
  <c r="D178" i="15" s="1"/>
  <c r="E178" i="15" s="1"/>
  <c r="C133" i="14"/>
  <c r="C134" i="14" s="1"/>
  <c r="E12" i="14" s="1"/>
  <c r="D125" i="16" l="1"/>
  <c r="C179" i="15"/>
  <c r="B179" i="15" s="1"/>
  <c r="D179" i="15" s="1"/>
  <c r="E179" i="15" s="1"/>
  <c r="B133" i="14"/>
  <c r="D133" i="14" s="1"/>
  <c r="E125" i="16" l="1"/>
  <c r="C180" i="15"/>
  <c r="B180" i="15" s="1"/>
  <c r="D180" i="15" s="1"/>
  <c r="E180" i="15" s="1"/>
  <c r="D134" i="14"/>
  <c r="E133" i="14"/>
  <c r="E139" i="14" s="1"/>
  <c r="C126" i="16" l="1"/>
  <c r="B126" i="16" s="1"/>
  <c r="D126" i="16" s="1"/>
  <c r="E126" i="16" s="1"/>
  <c r="C181" i="15"/>
  <c r="B181" i="15" s="1"/>
  <c r="D181" i="15" s="1"/>
  <c r="E181" i="15" s="1"/>
  <c r="C140" i="14"/>
  <c r="B140" i="14" s="1"/>
  <c r="D140" i="14" s="1"/>
  <c r="C127" i="16" l="1"/>
  <c r="B127" i="16" s="1"/>
  <c r="D127" i="16" s="1"/>
  <c r="E127" i="16" s="1"/>
  <c r="C182" i="15"/>
  <c r="B182" i="15" s="1"/>
  <c r="D182" i="15" s="1"/>
  <c r="E182" i="15" s="1"/>
  <c r="E140" i="14"/>
  <c r="C128" i="16" l="1"/>
  <c r="B128" i="16" s="1"/>
  <c r="D128" i="16" s="1"/>
  <c r="E128" i="16" s="1"/>
  <c r="C183" i="15"/>
  <c r="B183" i="15" s="1"/>
  <c r="D183" i="15" s="1"/>
  <c r="E183" i="15" s="1"/>
  <c r="C141" i="14"/>
  <c r="B141" i="14" s="1"/>
  <c r="D141" i="14" s="1"/>
  <c r="C129" i="16" l="1"/>
  <c r="B129" i="16" s="1"/>
  <c r="D129" i="16" s="1"/>
  <c r="E129" i="16" s="1"/>
  <c r="C184" i="15"/>
  <c r="C185" i="15" s="1"/>
  <c r="E9" i="15" s="1"/>
  <c r="E141" i="14"/>
  <c r="C130" i="16" l="1"/>
  <c r="B130" i="16" s="1"/>
  <c r="D130" i="16" s="1"/>
  <c r="E130" i="16" s="1"/>
  <c r="B184" i="15"/>
  <c r="D184" i="15" s="1"/>
  <c r="D185" i="15" s="1"/>
  <c r="C142" i="14"/>
  <c r="C131" i="16" l="1"/>
  <c r="B131" i="16" s="1"/>
  <c r="D131" i="16" s="1"/>
  <c r="E131" i="16" s="1"/>
  <c r="E184" i="15"/>
  <c r="E189" i="15" s="1"/>
  <c r="C190" i="15" s="1"/>
  <c r="B142" i="14"/>
  <c r="D142" i="14" s="1"/>
  <c r="C132" i="16" l="1"/>
  <c r="B132" i="16" s="1"/>
  <c r="D132" i="16" s="1"/>
  <c r="E132" i="16" s="1"/>
  <c r="B190" i="15"/>
  <c r="D190" i="15" s="1"/>
  <c r="E142" i="14"/>
  <c r="C133" i="16" l="1"/>
  <c r="B133" i="16" s="1"/>
  <c r="D133" i="16" s="1"/>
  <c r="E133" i="16" s="1"/>
  <c r="E190" i="15"/>
  <c r="C143" i="14"/>
  <c r="B143" i="14" s="1"/>
  <c r="D143" i="14" s="1"/>
  <c r="C134" i="16" l="1"/>
  <c r="B134" i="16" s="1"/>
  <c r="D134" i="16" s="1"/>
  <c r="E134" i="16" s="1"/>
  <c r="C191" i="15"/>
  <c r="E143" i="14"/>
  <c r="C135" i="16" l="1"/>
  <c r="B135" i="16" s="1"/>
  <c r="D135" i="16" s="1"/>
  <c r="E135" i="16" s="1"/>
  <c r="B191" i="15"/>
  <c r="D191" i="15" s="1"/>
  <c r="C144" i="14"/>
  <c r="B144" i="14" s="1"/>
  <c r="D144" i="14" s="1"/>
  <c r="C136" i="16" l="1"/>
  <c r="B136" i="16" s="1"/>
  <c r="D136" i="16" s="1"/>
  <c r="E136" i="16" s="1"/>
  <c r="E191" i="15"/>
  <c r="E144" i="14"/>
  <c r="C137" i="16" l="1"/>
  <c r="B137" i="16" s="1"/>
  <c r="D137" i="16" s="1"/>
  <c r="E137" i="16" s="1"/>
  <c r="C192" i="15"/>
  <c r="C145" i="14"/>
  <c r="B145" i="14" s="1"/>
  <c r="D145" i="14" s="1"/>
  <c r="E145" i="14" s="1"/>
  <c r="C138" i="16" l="1"/>
  <c r="B138" i="16" s="1"/>
  <c r="D138" i="16" s="1"/>
  <c r="E138" i="16" s="1"/>
  <c r="B192" i="15"/>
  <c r="D192" i="15" s="1"/>
  <c r="C146" i="14"/>
  <c r="B146" i="14" s="1"/>
  <c r="D146" i="14" s="1"/>
  <c r="E146" i="14" s="1"/>
  <c r="C139" i="16" l="1"/>
  <c r="B139" i="16" s="1"/>
  <c r="D139" i="16" s="1"/>
  <c r="E139" i="16" s="1"/>
  <c r="E192" i="15"/>
  <c r="C147" i="14"/>
  <c r="B147" i="14" s="1"/>
  <c r="D147" i="14" s="1"/>
  <c r="E147" i="14" s="1"/>
  <c r="C140" i="16" l="1"/>
  <c r="B140" i="16" s="1"/>
  <c r="D140" i="16" s="1"/>
  <c r="E140" i="16" s="1"/>
  <c r="C193" i="15"/>
  <c r="B193" i="15" s="1"/>
  <c r="D193" i="15" s="1"/>
  <c r="E193" i="15" s="1"/>
  <c r="C148" i="14"/>
  <c r="B148" i="14"/>
  <c r="D148" i="14" s="1"/>
  <c r="E148" i="14" s="1"/>
  <c r="C141" i="16" l="1"/>
  <c r="B141" i="16" s="1"/>
  <c r="D141" i="16" s="1"/>
  <c r="E141" i="16" s="1"/>
  <c r="C194" i="15"/>
  <c r="B194" i="15" s="1"/>
  <c r="D194" i="15" s="1"/>
  <c r="E194" i="15" s="1"/>
  <c r="C149" i="14"/>
  <c r="B149" i="14" s="1"/>
  <c r="D149" i="14" s="1"/>
  <c r="E149" i="14" s="1"/>
  <c r="C142" i="16" l="1"/>
  <c r="B142" i="16" s="1"/>
  <c r="D142" i="16" s="1"/>
  <c r="E142" i="16" s="1"/>
  <c r="C195" i="15"/>
  <c r="B195" i="15" s="1"/>
  <c r="D195" i="15" s="1"/>
  <c r="E195" i="15" s="1"/>
  <c r="C150" i="14"/>
  <c r="B150" i="14" s="1"/>
  <c r="D150" i="14" s="1"/>
  <c r="E150" i="14" s="1"/>
  <c r="C143" i="16" l="1"/>
  <c r="B143" i="16" s="1"/>
  <c r="D143" i="16" s="1"/>
  <c r="E143" i="16" s="1"/>
  <c r="C196" i="15"/>
  <c r="B196" i="15" s="1"/>
  <c r="D196" i="15" s="1"/>
  <c r="E196" i="15" s="1"/>
  <c r="C151" i="14"/>
  <c r="C152" i="14" s="1"/>
  <c r="E13" i="14" s="1"/>
  <c r="E14" i="14" s="1"/>
  <c r="C144" i="16" l="1"/>
  <c r="B144" i="16" s="1"/>
  <c r="D144" i="16" s="1"/>
  <c r="E144" i="16" s="1"/>
  <c r="C197" i="15"/>
  <c r="B197" i="15" s="1"/>
  <c r="D197" i="15" s="1"/>
  <c r="E197" i="15" s="1"/>
  <c r="B151" i="14"/>
  <c r="D151" i="14" s="1"/>
  <c r="C145" i="16" l="1"/>
  <c r="B145" i="16"/>
  <c r="D145" i="16" s="1"/>
  <c r="E145" i="16" s="1"/>
  <c r="C198" i="15"/>
  <c r="B198" i="15" s="1"/>
  <c r="D198" i="15" s="1"/>
  <c r="E198" i="15" s="1"/>
  <c r="D152" i="14"/>
  <c r="E151" i="14"/>
  <c r="C146" i="16" l="1"/>
  <c r="C147" i="16" s="1"/>
  <c r="E9" i="16" s="1"/>
  <c r="B146" i="16"/>
  <c r="C199" i="15"/>
  <c r="B199" i="15" s="1"/>
  <c r="D199" i="15" s="1"/>
  <c r="E199" i="15" s="1"/>
  <c r="D146" i="16" l="1"/>
  <c r="B147" i="16"/>
  <c r="C200" i="15"/>
  <c r="B200" i="15" s="1"/>
  <c r="D200" i="15" s="1"/>
  <c r="E200" i="15" s="1"/>
  <c r="D147" i="16" l="1"/>
  <c r="E146" i="16"/>
  <c r="E153" i="16" s="1"/>
  <c r="C201" i="15"/>
  <c r="B201" i="15" s="1"/>
  <c r="D201" i="15" s="1"/>
  <c r="E201" i="15" s="1"/>
  <c r="C154" i="16" l="1"/>
  <c r="B154" i="16" s="1"/>
  <c r="C202" i="15"/>
  <c r="B202" i="15" s="1"/>
  <c r="D202" i="15" s="1"/>
  <c r="E202" i="15" s="1"/>
  <c r="D154" i="16" l="1"/>
  <c r="C203" i="15"/>
  <c r="B203" i="15" s="1"/>
  <c r="D203" i="15" s="1"/>
  <c r="E203" i="15" s="1"/>
  <c r="E154" i="16" l="1"/>
  <c r="C204" i="15"/>
  <c r="B204" i="15" s="1"/>
  <c r="D204" i="15" s="1"/>
  <c r="E204" i="15" s="1"/>
  <c r="C155" i="16" l="1"/>
  <c r="C205" i="15"/>
  <c r="B205" i="15" s="1"/>
  <c r="D205" i="15" s="1"/>
  <c r="E205" i="15" s="1"/>
  <c r="B155" i="16" l="1"/>
  <c r="C206" i="15"/>
  <c r="B206" i="15" s="1"/>
  <c r="D206" i="15" s="1"/>
  <c r="E206" i="15" s="1"/>
  <c r="D155" i="16" l="1"/>
  <c r="C207" i="15"/>
  <c r="B207" i="15" s="1"/>
  <c r="D207" i="15" s="1"/>
  <c r="E207" i="15" s="1"/>
  <c r="E155" i="16" l="1"/>
  <c r="C208" i="15"/>
  <c r="B208" i="15" s="1"/>
  <c r="D208" i="15" s="1"/>
  <c r="E208" i="15" s="1"/>
  <c r="C156" i="16" l="1"/>
  <c r="C209" i="15"/>
  <c r="B209" i="15" s="1"/>
  <c r="D209" i="15" s="1"/>
  <c r="E209" i="15" s="1"/>
  <c r="B156" i="16" l="1"/>
  <c r="C210" i="15"/>
  <c r="B210" i="15" s="1"/>
  <c r="D210" i="15" s="1"/>
  <c r="E210" i="15" s="1"/>
  <c r="D156" i="16" l="1"/>
  <c r="C211" i="15"/>
  <c r="B211" i="15" s="1"/>
  <c r="D211" i="15" s="1"/>
  <c r="E211" i="15" s="1"/>
  <c r="E156" i="16" l="1"/>
  <c r="C212" i="15"/>
  <c r="B212" i="15" s="1"/>
  <c r="D212" i="15" s="1"/>
  <c r="E212" i="15" s="1"/>
  <c r="C157" i="16" l="1"/>
  <c r="B157" i="16" s="1"/>
  <c r="C213" i="15"/>
  <c r="B213" i="15" s="1"/>
  <c r="D213" i="15" s="1"/>
  <c r="E213" i="15" s="1"/>
  <c r="D157" i="16" l="1"/>
  <c r="C214" i="15"/>
  <c r="B214" i="15" s="1"/>
  <c r="D214" i="15" s="1"/>
  <c r="E214" i="15" s="1"/>
  <c r="E157" i="16" l="1"/>
  <c r="C215" i="15"/>
  <c r="B215" i="15" s="1"/>
  <c r="D215" i="15" s="1"/>
  <c r="E215" i="15" s="1"/>
  <c r="C158" i="16" l="1"/>
  <c r="B158" i="16" s="1"/>
  <c r="C216" i="15"/>
  <c r="B216" i="15" s="1"/>
  <c r="D216" i="15" s="1"/>
  <c r="E216" i="15" s="1"/>
  <c r="D158" i="16" l="1"/>
  <c r="C217" i="15"/>
  <c r="B217" i="15" s="1"/>
  <c r="D217" i="15" s="1"/>
  <c r="E217" i="15" s="1"/>
  <c r="E158" i="16" l="1"/>
  <c r="C218" i="15"/>
  <c r="B218" i="15" s="1"/>
  <c r="D218" i="15" s="1"/>
  <c r="E218" i="15" s="1"/>
  <c r="C159" i="16" l="1"/>
  <c r="B159" i="16" s="1"/>
  <c r="D159" i="16" s="1"/>
  <c r="E159" i="16" s="1"/>
  <c r="C219" i="15"/>
  <c r="B219" i="15" s="1"/>
  <c r="D219" i="15" s="1"/>
  <c r="E219" i="15" s="1"/>
  <c r="C160" i="16" l="1"/>
  <c r="B160" i="16" s="1"/>
  <c r="D160" i="16" s="1"/>
  <c r="E160" i="16" s="1"/>
  <c r="C220" i="15"/>
  <c r="B220" i="15" s="1"/>
  <c r="D220" i="15" s="1"/>
  <c r="E220" i="15" s="1"/>
  <c r="C161" i="16" l="1"/>
  <c r="B161" i="16" s="1"/>
  <c r="D161" i="16" s="1"/>
  <c r="E161" i="16" s="1"/>
  <c r="C221" i="15"/>
  <c r="B221" i="15" s="1"/>
  <c r="D221" i="15" s="1"/>
  <c r="E221" i="15" s="1"/>
  <c r="C162" i="16" l="1"/>
  <c r="B162" i="16" s="1"/>
  <c r="D162" i="16" s="1"/>
  <c r="E162" i="16" s="1"/>
  <c r="C222" i="15"/>
  <c r="B222" i="15" s="1"/>
  <c r="D222" i="15" s="1"/>
  <c r="E222" i="15" s="1"/>
  <c r="C163" i="16" l="1"/>
  <c r="B163" i="16" s="1"/>
  <c r="D163" i="16" s="1"/>
  <c r="E163" i="16" s="1"/>
  <c r="C223" i="15"/>
  <c r="B223" i="15" s="1"/>
  <c r="D223" i="15" s="1"/>
  <c r="E223" i="15" s="1"/>
  <c r="C164" i="16" l="1"/>
  <c r="B164" i="16" s="1"/>
  <c r="D164" i="16" s="1"/>
  <c r="E164" i="16" s="1"/>
  <c r="C224" i="15"/>
  <c r="B224" i="15" s="1"/>
  <c r="D224" i="15" s="1"/>
  <c r="E224" i="15" s="1"/>
  <c r="C165" i="16" l="1"/>
  <c r="B165" i="16" s="1"/>
  <c r="D165" i="16" s="1"/>
  <c r="E165" i="16" s="1"/>
  <c r="C225" i="15"/>
  <c r="B225" i="15" s="1"/>
  <c r="D225" i="15" s="1"/>
  <c r="E225" i="15" s="1"/>
  <c r="C166" i="16" l="1"/>
  <c r="B166" i="16" s="1"/>
  <c r="D166" i="16" s="1"/>
  <c r="E166" i="16" s="1"/>
  <c r="C226" i="15"/>
  <c r="B226" i="15" s="1"/>
  <c r="D226" i="15" s="1"/>
  <c r="E226" i="15" s="1"/>
  <c r="C167" i="16" l="1"/>
  <c r="B167" i="16" s="1"/>
  <c r="D167" i="16" s="1"/>
  <c r="E167" i="16" s="1"/>
  <c r="C227" i="15"/>
  <c r="B227" i="15" s="1"/>
  <c r="D227" i="15" s="1"/>
  <c r="E227" i="15" s="1"/>
  <c r="C168" i="16" l="1"/>
  <c r="B168" i="16" s="1"/>
  <c r="D168" i="16" s="1"/>
  <c r="E168" i="16" s="1"/>
  <c r="C228" i="15"/>
  <c r="B228" i="15" s="1"/>
  <c r="D228" i="15" s="1"/>
  <c r="E228" i="15" s="1"/>
  <c r="C169" i="16" l="1"/>
  <c r="B169" i="16" s="1"/>
  <c r="D169" i="16" s="1"/>
  <c r="E169" i="16" s="1"/>
  <c r="C229" i="15"/>
  <c r="B229" i="15" s="1"/>
  <c r="D229" i="15" s="1"/>
  <c r="E229" i="15" s="1"/>
  <c r="C170" i="16" l="1"/>
  <c r="B170" i="16" s="1"/>
  <c r="D170" i="16" s="1"/>
  <c r="E170" i="16" s="1"/>
  <c r="C230" i="15"/>
  <c r="B230" i="15" s="1"/>
  <c r="D230" i="15" s="1"/>
  <c r="E230" i="15" s="1"/>
  <c r="C171" i="16" l="1"/>
  <c r="B171" i="16" s="1"/>
  <c r="D171" i="16" s="1"/>
  <c r="E171" i="16" s="1"/>
  <c r="C231" i="15"/>
  <c r="B231" i="15" s="1"/>
  <c r="D231" i="15" s="1"/>
  <c r="E231" i="15" s="1"/>
  <c r="C172" i="16" l="1"/>
  <c r="B172" i="16" s="1"/>
  <c r="D172" i="16" s="1"/>
  <c r="E172" i="16" s="1"/>
  <c r="C232" i="15"/>
  <c r="B232" i="15" s="1"/>
  <c r="D232" i="15" s="1"/>
  <c r="E232" i="15" s="1"/>
  <c r="C173" i="16" l="1"/>
  <c r="B173" i="16" s="1"/>
  <c r="D173" i="16" s="1"/>
  <c r="E173" i="16" s="1"/>
  <c r="C233" i="15"/>
  <c r="B233" i="15" s="1"/>
  <c r="D233" i="15" s="1"/>
  <c r="E233" i="15" s="1"/>
  <c r="C174" i="16" l="1"/>
  <c r="B174" i="16" s="1"/>
  <c r="D174" i="16" s="1"/>
  <c r="E174" i="16" s="1"/>
  <c r="C234" i="15"/>
  <c r="B234" i="15" s="1"/>
  <c r="D234" i="15" s="1"/>
  <c r="E234" i="15" s="1"/>
  <c r="C175" i="16" l="1"/>
  <c r="B175" i="16" s="1"/>
  <c r="D175" i="16" s="1"/>
  <c r="E175" i="16" s="1"/>
  <c r="C235" i="15"/>
  <c r="B235" i="15" s="1"/>
  <c r="D235" i="15" s="1"/>
  <c r="E235" i="15" s="1"/>
  <c r="C176" i="16" l="1"/>
  <c r="B176" i="16" s="1"/>
  <c r="D176" i="16" s="1"/>
  <c r="E176" i="16" s="1"/>
  <c r="C236" i="15"/>
  <c r="B236" i="15" s="1"/>
  <c r="D236" i="15" s="1"/>
  <c r="E236" i="15" s="1"/>
  <c r="C177" i="16" l="1"/>
  <c r="B177" i="16" s="1"/>
  <c r="D177" i="16" s="1"/>
  <c r="E177" i="16" s="1"/>
  <c r="C237" i="15"/>
  <c r="B237" i="15" s="1"/>
  <c r="D237" i="15" s="1"/>
  <c r="E237" i="15" s="1"/>
  <c r="C178" i="16" l="1"/>
  <c r="B178" i="16" s="1"/>
  <c r="D178" i="16" s="1"/>
  <c r="E178" i="16" s="1"/>
  <c r="C238" i="15"/>
  <c r="B238" i="15" s="1"/>
  <c r="D238" i="15" s="1"/>
  <c r="E238" i="15" s="1"/>
  <c r="C179" i="16" l="1"/>
  <c r="C180" i="16" s="1"/>
  <c r="E10" i="16" s="1"/>
  <c r="C239" i="15"/>
  <c r="B239" i="15" s="1"/>
  <c r="D239" i="15" s="1"/>
  <c r="E239" i="15" s="1"/>
  <c r="B179" i="16" l="1"/>
  <c r="C240" i="15"/>
  <c r="B240" i="15" s="1"/>
  <c r="D240" i="15" s="1"/>
  <c r="E240" i="15" s="1"/>
  <c r="D179" i="16" l="1"/>
  <c r="B180" i="16"/>
  <c r="C241" i="15"/>
  <c r="C242" i="15" s="1"/>
  <c r="E10" i="15" s="1"/>
  <c r="D180" i="16" l="1"/>
  <c r="E179" i="16"/>
  <c r="E186" i="16" s="1"/>
  <c r="B241" i="15"/>
  <c r="D241" i="15" s="1"/>
  <c r="D242" i="15" s="1"/>
  <c r="C187" i="16" l="1"/>
  <c r="E241" i="15"/>
  <c r="E246" i="15" s="1"/>
  <c r="C247" i="15" s="1"/>
  <c r="B187" i="16" l="1"/>
  <c r="B247" i="15"/>
  <c r="D247" i="15" s="1"/>
  <c r="E247" i="15" s="1"/>
  <c r="D187" i="16" l="1"/>
  <c r="C248" i="15"/>
  <c r="B248" i="15" s="1"/>
  <c r="D248" i="15" s="1"/>
  <c r="E187" i="16" l="1"/>
  <c r="E248" i="15"/>
  <c r="C188" i="16" l="1"/>
  <c r="C249" i="15"/>
  <c r="B249" i="15" s="1"/>
  <c r="D249" i="15" s="1"/>
  <c r="B188" i="16" l="1"/>
  <c r="E249" i="15"/>
  <c r="D188" i="16" l="1"/>
  <c r="C250" i="15"/>
  <c r="B250" i="15" s="1"/>
  <c r="D250" i="15" s="1"/>
  <c r="E250" i="15" s="1"/>
  <c r="E188" i="16" l="1"/>
  <c r="C251" i="15"/>
  <c r="B251" i="15" s="1"/>
  <c r="D251" i="15" s="1"/>
  <c r="E251" i="15" s="1"/>
  <c r="C189" i="16" l="1"/>
  <c r="C252" i="15"/>
  <c r="B252" i="15" s="1"/>
  <c r="D252" i="15" s="1"/>
  <c r="E252" i="15" s="1"/>
  <c r="B189" i="16" l="1"/>
  <c r="C253" i="15"/>
  <c r="B253" i="15" s="1"/>
  <c r="D253" i="15" s="1"/>
  <c r="E253" i="15" s="1"/>
  <c r="D189" i="16" l="1"/>
  <c r="C254" i="15"/>
  <c r="B254" i="15" s="1"/>
  <c r="D254" i="15" s="1"/>
  <c r="E254" i="15" s="1"/>
  <c r="E189" i="16" l="1"/>
  <c r="C255" i="15"/>
  <c r="B255" i="15" s="1"/>
  <c r="D255" i="15" s="1"/>
  <c r="E255" i="15" s="1"/>
  <c r="C190" i="16" l="1"/>
  <c r="B190" i="16" s="1"/>
  <c r="C256" i="15"/>
  <c r="B256" i="15" s="1"/>
  <c r="D256" i="15" s="1"/>
  <c r="E256" i="15" s="1"/>
  <c r="D190" i="16" l="1"/>
  <c r="C257" i="15"/>
  <c r="B257" i="15" s="1"/>
  <c r="D257" i="15" s="1"/>
  <c r="E257" i="15" s="1"/>
  <c r="E190" i="16" l="1"/>
  <c r="C258" i="15"/>
  <c r="B258" i="15" s="1"/>
  <c r="D258" i="15" s="1"/>
  <c r="E258" i="15" s="1"/>
  <c r="C191" i="16" l="1"/>
  <c r="B191" i="16" s="1"/>
  <c r="C259" i="15"/>
  <c r="B259" i="15" s="1"/>
  <c r="D259" i="15" s="1"/>
  <c r="E259" i="15" s="1"/>
  <c r="D191" i="16" l="1"/>
  <c r="C260" i="15"/>
  <c r="B260" i="15" s="1"/>
  <c r="D260" i="15" s="1"/>
  <c r="E260" i="15" s="1"/>
  <c r="E191" i="16" l="1"/>
  <c r="C261" i="15"/>
  <c r="B261" i="15" s="1"/>
  <c r="D261" i="15" s="1"/>
  <c r="E261" i="15" s="1"/>
  <c r="C192" i="16" l="1"/>
  <c r="B192" i="16" s="1"/>
  <c r="D192" i="16" s="1"/>
  <c r="E192" i="16" s="1"/>
  <c r="C262" i="15"/>
  <c r="B262" i="15" s="1"/>
  <c r="D262" i="15" s="1"/>
  <c r="E262" i="15" s="1"/>
  <c r="C193" i="16" l="1"/>
  <c r="B193" i="16" s="1"/>
  <c r="D193" i="16" s="1"/>
  <c r="E193" i="16" s="1"/>
  <c r="C263" i="15"/>
  <c r="B263" i="15" s="1"/>
  <c r="D263" i="15" s="1"/>
  <c r="E263" i="15" s="1"/>
  <c r="C194" i="16" l="1"/>
  <c r="B194" i="16" s="1"/>
  <c r="D194" i="16" s="1"/>
  <c r="E194" i="16" s="1"/>
  <c r="C264" i="15"/>
  <c r="B264" i="15" s="1"/>
  <c r="D264" i="15" s="1"/>
  <c r="E264" i="15" s="1"/>
  <c r="C195" i="16" l="1"/>
  <c r="B195" i="16" s="1"/>
  <c r="D195" i="16" s="1"/>
  <c r="E195" i="16" s="1"/>
  <c r="C265" i="15"/>
  <c r="B265" i="15" s="1"/>
  <c r="D265" i="15" s="1"/>
  <c r="E265" i="15" s="1"/>
  <c r="C196" i="16" l="1"/>
  <c r="B196" i="16" s="1"/>
  <c r="D196" i="16" s="1"/>
  <c r="E196" i="16" s="1"/>
  <c r="C266" i="15"/>
  <c r="B266" i="15" s="1"/>
  <c r="D266" i="15" s="1"/>
  <c r="E266" i="15" s="1"/>
  <c r="C197" i="16" l="1"/>
  <c r="B197" i="16" s="1"/>
  <c r="D197" i="16" s="1"/>
  <c r="E197" i="16" s="1"/>
  <c r="C267" i="15"/>
  <c r="B267" i="15" s="1"/>
  <c r="D267" i="15" s="1"/>
  <c r="E267" i="15" s="1"/>
  <c r="C198" i="16" l="1"/>
  <c r="B198" i="16" s="1"/>
  <c r="D198" i="16" s="1"/>
  <c r="E198" i="16" s="1"/>
  <c r="C268" i="15"/>
  <c r="B268" i="15" s="1"/>
  <c r="D268" i="15" s="1"/>
  <c r="E268" i="15" s="1"/>
  <c r="C199" i="16" l="1"/>
  <c r="B199" i="16" s="1"/>
  <c r="D199" i="16" s="1"/>
  <c r="E199" i="16" s="1"/>
  <c r="C269" i="15"/>
  <c r="B269" i="15" s="1"/>
  <c r="D269" i="15" s="1"/>
  <c r="E269" i="15" s="1"/>
  <c r="C200" i="16" l="1"/>
  <c r="B200" i="16" s="1"/>
  <c r="D200" i="16" s="1"/>
  <c r="E200" i="16" s="1"/>
  <c r="C270" i="15"/>
  <c r="B270" i="15" s="1"/>
  <c r="D270" i="15" s="1"/>
  <c r="E270" i="15" s="1"/>
  <c r="C201" i="16" l="1"/>
  <c r="B201" i="16" s="1"/>
  <c r="D201" i="16" s="1"/>
  <c r="E201" i="16" s="1"/>
  <c r="C271" i="15"/>
  <c r="B271" i="15" s="1"/>
  <c r="D271" i="15" s="1"/>
  <c r="E271" i="15" s="1"/>
  <c r="C202" i="16" l="1"/>
  <c r="B202" i="16" s="1"/>
  <c r="D202" i="16" s="1"/>
  <c r="E202" i="16" s="1"/>
  <c r="C272" i="15"/>
  <c r="B272" i="15" s="1"/>
  <c r="D272" i="15" s="1"/>
  <c r="E272" i="15" s="1"/>
  <c r="C203" i="16" l="1"/>
  <c r="B203" i="16" s="1"/>
  <c r="D203" i="16" s="1"/>
  <c r="E203" i="16" s="1"/>
  <c r="C273" i="15"/>
  <c r="B273" i="15" s="1"/>
  <c r="D273" i="15" s="1"/>
  <c r="E273" i="15" s="1"/>
  <c r="C204" i="16" l="1"/>
  <c r="B204" i="16" s="1"/>
  <c r="D204" i="16" s="1"/>
  <c r="E204" i="16" s="1"/>
  <c r="C274" i="15"/>
  <c r="B274" i="15" s="1"/>
  <c r="D274" i="15" s="1"/>
  <c r="E274" i="15" s="1"/>
  <c r="C205" i="16" l="1"/>
  <c r="B205" i="16" s="1"/>
  <c r="D205" i="16" s="1"/>
  <c r="E205" i="16" s="1"/>
  <c r="C275" i="15"/>
  <c r="B275" i="15" s="1"/>
  <c r="D275" i="15" s="1"/>
  <c r="E275" i="15" s="1"/>
  <c r="C206" i="16" l="1"/>
  <c r="B206" i="16" s="1"/>
  <c r="D206" i="16" s="1"/>
  <c r="E206" i="16" s="1"/>
  <c r="C276" i="15"/>
  <c r="B276" i="15" s="1"/>
  <c r="D276" i="15" s="1"/>
  <c r="E276" i="15" s="1"/>
  <c r="C207" i="16" l="1"/>
  <c r="B207" i="16" s="1"/>
  <c r="D207" i="16" s="1"/>
  <c r="E207" i="16" s="1"/>
  <c r="C277" i="15"/>
  <c r="B277" i="15" s="1"/>
  <c r="D277" i="15" s="1"/>
  <c r="E277" i="15" s="1"/>
  <c r="C208" i="16" l="1"/>
  <c r="B208" i="16" s="1"/>
  <c r="D208" i="16" s="1"/>
  <c r="E208" i="16" s="1"/>
  <c r="C278" i="15"/>
  <c r="B278" i="15" s="1"/>
  <c r="D278" i="15" s="1"/>
  <c r="E278" i="15" s="1"/>
  <c r="C209" i="16" l="1"/>
  <c r="B209" i="16" s="1"/>
  <c r="D209" i="16" s="1"/>
  <c r="E209" i="16" s="1"/>
  <c r="C279" i="15"/>
  <c r="B279" i="15" s="1"/>
  <c r="D279" i="15" s="1"/>
  <c r="E279" i="15" s="1"/>
  <c r="C210" i="16" l="1"/>
  <c r="B210" i="16" s="1"/>
  <c r="D210" i="16" s="1"/>
  <c r="E210" i="16" s="1"/>
  <c r="C280" i="15"/>
  <c r="B280" i="15" s="1"/>
  <c r="D280" i="15" s="1"/>
  <c r="E280" i="15" s="1"/>
  <c r="C211" i="16" l="1"/>
  <c r="B211" i="16" s="1"/>
  <c r="D211" i="16" s="1"/>
  <c r="E211" i="16" s="1"/>
  <c r="C281" i="15"/>
  <c r="B281" i="15" s="1"/>
  <c r="D281" i="15" s="1"/>
  <c r="E281" i="15" s="1"/>
  <c r="C212" i="16" l="1"/>
  <c r="C213" i="16" s="1"/>
  <c r="E11" i="16" s="1"/>
  <c r="C282" i="15"/>
  <c r="B282" i="15" s="1"/>
  <c r="D282" i="15" s="1"/>
  <c r="E282" i="15" s="1"/>
  <c r="B212" i="16" l="1"/>
  <c r="C283" i="15"/>
  <c r="B283" i="15" s="1"/>
  <c r="D283" i="15" s="1"/>
  <c r="E283" i="15" s="1"/>
  <c r="D212" i="16" l="1"/>
  <c r="B213" i="16"/>
  <c r="C284" i="15"/>
  <c r="B284" i="15" s="1"/>
  <c r="D284" i="15" s="1"/>
  <c r="E284" i="15" s="1"/>
  <c r="D213" i="16" l="1"/>
  <c r="E212" i="16"/>
  <c r="E219" i="16" s="1"/>
  <c r="C285" i="15"/>
  <c r="B285" i="15" s="1"/>
  <c r="D285" i="15" s="1"/>
  <c r="E285" i="15" s="1"/>
  <c r="C220" i="16" l="1"/>
  <c r="C286" i="15"/>
  <c r="B286" i="15" s="1"/>
  <c r="D286" i="15" s="1"/>
  <c r="E286" i="15" s="1"/>
  <c r="B220" i="16" l="1"/>
  <c r="C287" i="15"/>
  <c r="B287" i="15" s="1"/>
  <c r="D287" i="15" s="1"/>
  <c r="E287" i="15" s="1"/>
  <c r="D220" i="16" l="1"/>
  <c r="C288" i="15"/>
  <c r="B288" i="15" s="1"/>
  <c r="D288" i="15" s="1"/>
  <c r="E288" i="15" s="1"/>
  <c r="E220" i="16" l="1"/>
  <c r="C289" i="15"/>
  <c r="B289" i="15" s="1"/>
  <c r="D289" i="15" s="1"/>
  <c r="E289" i="15" s="1"/>
  <c r="C221" i="16" l="1"/>
  <c r="C290" i="15"/>
  <c r="B290" i="15" s="1"/>
  <c r="D290" i="15" s="1"/>
  <c r="E290" i="15" s="1"/>
  <c r="B221" i="16" l="1"/>
  <c r="C291" i="15"/>
  <c r="B291" i="15" s="1"/>
  <c r="D291" i="15" s="1"/>
  <c r="E291" i="15" s="1"/>
  <c r="D221" i="16" l="1"/>
  <c r="C292" i="15"/>
  <c r="B292" i="15" s="1"/>
  <c r="D292" i="15" s="1"/>
  <c r="E292" i="15" s="1"/>
  <c r="E221" i="16" l="1"/>
  <c r="C293" i="15"/>
  <c r="B293" i="15" s="1"/>
  <c r="D293" i="15" s="1"/>
  <c r="E293" i="15" s="1"/>
  <c r="C222" i="16" l="1"/>
  <c r="C294" i="15"/>
  <c r="B294" i="15" s="1"/>
  <c r="D294" i="15" s="1"/>
  <c r="E294" i="15" s="1"/>
  <c r="B222" i="16" l="1"/>
  <c r="C295" i="15"/>
  <c r="B295" i="15" s="1"/>
  <c r="D295" i="15" s="1"/>
  <c r="E295" i="15" s="1"/>
  <c r="D222" i="16" l="1"/>
  <c r="C296" i="15"/>
  <c r="B296" i="15" s="1"/>
  <c r="D296" i="15" s="1"/>
  <c r="E296" i="15" s="1"/>
  <c r="E222" i="16" l="1"/>
  <c r="C297" i="15"/>
  <c r="B297" i="15" s="1"/>
  <c r="D297" i="15" s="1"/>
  <c r="E297" i="15" s="1"/>
  <c r="C223" i="16" l="1"/>
  <c r="B223" i="16" s="1"/>
  <c r="C298" i="15"/>
  <c r="C299" i="15" s="1"/>
  <c r="E11" i="15" s="1"/>
  <c r="D223" i="16" l="1"/>
  <c r="B298" i="15"/>
  <c r="D298" i="15" s="1"/>
  <c r="D299" i="15" s="1"/>
  <c r="E223" i="16" l="1"/>
  <c r="E298" i="15"/>
  <c r="E303" i="15" s="1"/>
  <c r="C304" i="15" s="1"/>
  <c r="C224" i="16" l="1"/>
  <c r="B224" i="16" s="1"/>
  <c r="B304" i="15"/>
  <c r="D304" i="15" s="1"/>
  <c r="D224" i="16" l="1"/>
  <c r="E304" i="15"/>
  <c r="E224" i="16" l="1"/>
  <c r="C305" i="15"/>
  <c r="B305" i="15" s="1"/>
  <c r="D305" i="15" s="1"/>
  <c r="E305" i="15" s="1"/>
  <c r="C225" i="16" l="1"/>
  <c r="B225" i="16" s="1"/>
  <c r="D225" i="16" s="1"/>
  <c r="E225" i="16" s="1"/>
  <c r="C306" i="15"/>
  <c r="B306" i="15" s="1"/>
  <c r="D306" i="15" s="1"/>
  <c r="E306" i="15" s="1"/>
  <c r="C226" i="16" l="1"/>
  <c r="B226" i="16" s="1"/>
  <c r="D226" i="16" s="1"/>
  <c r="E226" i="16" s="1"/>
  <c r="C307" i="15"/>
  <c r="B307" i="15" s="1"/>
  <c r="D307" i="15" s="1"/>
  <c r="E307" i="15" s="1"/>
  <c r="C227" i="16" l="1"/>
  <c r="B227" i="16" s="1"/>
  <c r="D227" i="16" s="1"/>
  <c r="E227" i="16" s="1"/>
  <c r="C308" i="15"/>
  <c r="B308" i="15" s="1"/>
  <c r="D308" i="15" s="1"/>
  <c r="E308" i="15" s="1"/>
  <c r="C228" i="16" l="1"/>
  <c r="B228" i="16" s="1"/>
  <c r="D228" i="16" s="1"/>
  <c r="E228" i="16" s="1"/>
  <c r="C309" i="15"/>
  <c r="B309" i="15" s="1"/>
  <c r="D309" i="15" s="1"/>
  <c r="E309" i="15" s="1"/>
  <c r="C229" i="16" l="1"/>
  <c r="B229" i="16" s="1"/>
  <c r="D229" i="16" s="1"/>
  <c r="E229" i="16" s="1"/>
  <c r="C310" i="15"/>
  <c r="B310" i="15" s="1"/>
  <c r="D310" i="15" s="1"/>
  <c r="E310" i="15" s="1"/>
  <c r="C230" i="16" l="1"/>
  <c r="B230" i="16" s="1"/>
  <c r="D230" i="16" s="1"/>
  <c r="E230" i="16" s="1"/>
  <c r="C311" i="15"/>
  <c r="B311" i="15" s="1"/>
  <c r="D311" i="15" s="1"/>
  <c r="E311" i="15" s="1"/>
  <c r="C231" i="16" l="1"/>
  <c r="B231" i="16" s="1"/>
  <c r="D231" i="16" s="1"/>
  <c r="E231" i="16" s="1"/>
  <c r="C312" i="15"/>
  <c r="B312" i="15" s="1"/>
  <c r="D312" i="15" s="1"/>
  <c r="E312" i="15" s="1"/>
  <c r="C232" i="16" l="1"/>
  <c r="B232" i="16" s="1"/>
  <c r="D232" i="16" s="1"/>
  <c r="E232" i="16" s="1"/>
  <c r="C313" i="15"/>
  <c r="B313" i="15" s="1"/>
  <c r="D313" i="15" s="1"/>
  <c r="E313" i="15" s="1"/>
  <c r="C233" i="16" l="1"/>
  <c r="B233" i="16" s="1"/>
  <c r="D233" i="16" s="1"/>
  <c r="E233" i="16" s="1"/>
  <c r="C314" i="15"/>
  <c r="B314" i="15" s="1"/>
  <c r="D314" i="15" s="1"/>
  <c r="E314" i="15" s="1"/>
  <c r="C234" i="16" l="1"/>
  <c r="B234" i="16" s="1"/>
  <c r="D234" i="16" s="1"/>
  <c r="E234" i="16" s="1"/>
  <c r="C315" i="15"/>
  <c r="B315" i="15" s="1"/>
  <c r="D315" i="15" s="1"/>
  <c r="E315" i="15" s="1"/>
  <c r="C235" i="16" l="1"/>
  <c r="B235" i="16" s="1"/>
  <c r="D235" i="16" s="1"/>
  <c r="E235" i="16" s="1"/>
  <c r="C316" i="15"/>
  <c r="B316" i="15" s="1"/>
  <c r="D316" i="15" s="1"/>
  <c r="E316" i="15" s="1"/>
  <c r="C236" i="16" l="1"/>
  <c r="B236" i="16" s="1"/>
  <c r="D236" i="16" s="1"/>
  <c r="E236" i="16" s="1"/>
  <c r="C317" i="15"/>
  <c r="B317" i="15" s="1"/>
  <c r="D317" i="15" s="1"/>
  <c r="E317" i="15" s="1"/>
  <c r="C237" i="16" l="1"/>
  <c r="B237" i="16" s="1"/>
  <c r="D237" i="16" s="1"/>
  <c r="E237" i="16" s="1"/>
  <c r="C318" i="15"/>
  <c r="B318" i="15" s="1"/>
  <c r="D318" i="15" s="1"/>
  <c r="E318" i="15" s="1"/>
  <c r="C238" i="16" l="1"/>
  <c r="B238" i="16" s="1"/>
  <c r="D238" i="16" s="1"/>
  <c r="E238" i="16" s="1"/>
  <c r="C319" i="15"/>
  <c r="B319" i="15" s="1"/>
  <c r="D319" i="15" s="1"/>
  <c r="E319" i="15" s="1"/>
  <c r="C239" i="16" l="1"/>
  <c r="B239" i="16" s="1"/>
  <c r="D239" i="16" s="1"/>
  <c r="E239" i="16" s="1"/>
  <c r="C320" i="15"/>
  <c r="B320" i="15" s="1"/>
  <c r="D320" i="15" s="1"/>
  <c r="E320" i="15" s="1"/>
  <c r="C240" i="16" l="1"/>
  <c r="B240" i="16" s="1"/>
  <c r="D240" i="16" s="1"/>
  <c r="E240" i="16" s="1"/>
  <c r="C321" i="15"/>
  <c r="B321" i="15" s="1"/>
  <c r="D321" i="15" s="1"/>
  <c r="E321" i="15" s="1"/>
  <c r="C241" i="16" l="1"/>
  <c r="B241" i="16" s="1"/>
  <c r="D241" i="16" s="1"/>
  <c r="E241" i="16" s="1"/>
  <c r="C322" i="15"/>
  <c r="B322" i="15" s="1"/>
  <c r="D322" i="15" s="1"/>
  <c r="E322" i="15" s="1"/>
  <c r="C242" i="16" l="1"/>
  <c r="B242" i="16" s="1"/>
  <c r="D242" i="16" s="1"/>
  <c r="E242" i="16" s="1"/>
  <c r="C323" i="15"/>
  <c r="B323" i="15" s="1"/>
  <c r="D323" i="15" s="1"/>
  <c r="E323" i="15" s="1"/>
  <c r="C243" i="16" l="1"/>
  <c r="B243" i="16" s="1"/>
  <c r="D243" i="16" s="1"/>
  <c r="E243" i="16" s="1"/>
  <c r="C324" i="15"/>
  <c r="B324" i="15" s="1"/>
  <c r="D324" i="15" s="1"/>
  <c r="E324" i="15" s="1"/>
  <c r="C244" i="16" l="1"/>
  <c r="B244" i="16" s="1"/>
  <c r="D244" i="16" s="1"/>
  <c r="E244" i="16" s="1"/>
  <c r="C325" i="15"/>
  <c r="B325" i="15" s="1"/>
  <c r="D325" i="15" s="1"/>
  <c r="E325" i="15" s="1"/>
  <c r="C245" i="16" l="1"/>
  <c r="C246" i="16" s="1"/>
  <c r="E12" i="16" s="1"/>
  <c r="C326" i="15"/>
  <c r="B326" i="15" s="1"/>
  <c r="D326" i="15" s="1"/>
  <c r="E326" i="15" s="1"/>
  <c r="B245" i="16" l="1"/>
  <c r="D245" i="16" s="1"/>
  <c r="B246" i="16"/>
  <c r="C327" i="15"/>
  <c r="B327" i="15" s="1"/>
  <c r="D327" i="15" s="1"/>
  <c r="E327" i="15" s="1"/>
  <c r="D246" i="16" l="1"/>
  <c r="E245" i="16"/>
  <c r="E252" i="16" s="1"/>
  <c r="C328" i="15"/>
  <c r="B328" i="15" s="1"/>
  <c r="D328" i="15" s="1"/>
  <c r="E328" i="15" s="1"/>
  <c r="C253" i="16" l="1"/>
  <c r="C329" i="15"/>
  <c r="B329" i="15" s="1"/>
  <c r="D329" i="15" s="1"/>
  <c r="E329" i="15" s="1"/>
  <c r="B253" i="16" l="1"/>
  <c r="C330" i="15"/>
  <c r="B330" i="15" s="1"/>
  <c r="D330" i="15" s="1"/>
  <c r="E330" i="15" s="1"/>
  <c r="D253" i="16" l="1"/>
  <c r="C331" i="15"/>
  <c r="B331" i="15" s="1"/>
  <c r="D331" i="15" s="1"/>
  <c r="E331" i="15" s="1"/>
  <c r="E253" i="16" l="1"/>
  <c r="C332" i="15"/>
  <c r="B332" i="15" s="1"/>
  <c r="D332" i="15" s="1"/>
  <c r="E332" i="15" s="1"/>
  <c r="C254" i="16" l="1"/>
  <c r="C333" i="15"/>
  <c r="B333" i="15" s="1"/>
  <c r="D333" i="15" s="1"/>
  <c r="E333" i="15" s="1"/>
  <c r="B254" i="16" l="1"/>
  <c r="C334" i="15"/>
  <c r="B334" i="15" s="1"/>
  <c r="D334" i="15" s="1"/>
  <c r="E334" i="15" s="1"/>
  <c r="D254" i="16" l="1"/>
  <c r="C335" i="15"/>
  <c r="B335" i="15" s="1"/>
  <c r="D335" i="15" s="1"/>
  <c r="E335" i="15" s="1"/>
  <c r="E254" i="16" l="1"/>
  <c r="C336" i="15"/>
  <c r="B336" i="15" s="1"/>
  <c r="D336" i="15" s="1"/>
  <c r="E336" i="15" s="1"/>
  <c r="C255" i="16" l="1"/>
  <c r="C337" i="15"/>
  <c r="B337" i="15" s="1"/>
  <c r="D337" i="15" s="1"/>
  <c r="E337" i="15" s="1"/>
  <c r="B255" i="16" l="1"/>
  <c r="C338" i="15"/>
  <c r="B338" i="15" s="1"/>
  <c r="D338" i="15" s="1"/>
  <c r="E338" i="15" s="1"/>
  <c r="D255" i="16" l="1"/>
  <c r="C339" i="15"/>
  <c r="B339" i="15" s="1"/>
  <c r="D339" i="15" s="1"/>
  <c r="E339" i="15" s="1"/>
  <c r="E255" i="16" l="1"/>
  <c r="C340" i="15"/>
  <c r="B340" i="15" s="1"/>
  <c r="D340" i="15" s="1"/>
  <c r="E340" i="15" s="1"/>
  <c r="C256" i="16" l="1"/>
  <c r="B256" i="16" s="1"/>
  <c r="C341" i="15"/>
  <c r="B341" i="15" s="1"/>
  <c r="D341" i="15" s="1"/>
  <c r="E341" i="15" s="1"/>
  <c r="D256" i="16" l="1"/>
  <c r="C342" i="15"/>
  <c r="B342" i="15" s="1"/>
  <c r="D342" i="15" s="1"/>
  <c r="E342" i="15" s="1"/>
  <c r="E256" i="16" l="1"/>
  <c r="C343" i="15"/>
  <c r="B343" i="15" s="1"/>
  <c r="D343" i="15" s="1"/>
  <c r="E343" i="15" s="1"/>
  <c r="C257" i="16" l="1"/>
  <c r="B257" i="16" s="1"/>
  <c r="C344" i="15"/>
  <c r="B344" i="15" s="1"/>
  <c r="D344" i="15" s="1"/>
  <c r="E344" i="15" s="1"/>
  <c r="D257" i="16" l="1"/>
  <c r="C345" i="15"/>
  <c r="B345" i="15" s="1"/>
  <c r="D345" i="15" s="1"/>
  <c r="E345" i="15" s="1"/>
  <c r="E257" i="16" l="1"/>
  <c r="C346" i="15"/>
  <c r="B346" i="15" s="1"/>
  <c r="D346" i="15" s="1"/>
  <c r="E346" i="15" s="1"/>
  <c r="C258" i="16" l="1"/>
  <c r="B258" i="16" s="1"/>
  <c r="D258" i="16" s="1"/>
  <c r="E258" i="16" s="1"/>
  <c r="C347" i="15"/>
  <c r="B347" i="15" s="1"/>
  <c r="D347" i="15" s="1"/>
  <c r="E347" i="15" s="1"/>
  <c r="C259" i="16" l="1"/>
  <c r="B259" i="16" s="1"/>
  <c r="D259" i="16" s="1"/>
  <c r="E259" i="16" s="1"/>
  <c r="C348" i="15"/>
  <c r="B348" i="15" s="1"/>
  <c r="D348" i="15" s="1"/>
  <c r="E348" i="15" s="1"/>
  <c r="C260" i="16" l="1"/>
  <c r="B260" i="16" s="1"/>
  <c r="D260" i="16" s="1"/>
  <c r="E260" i="16" s="1"/>
  <c r="C349" i="15"/>
  <c r="B349" i="15"/>
  <c r="D349" i="15" s="1"/>
  <c r="E349" i="15" s="1"/>
  <c r="C261" i="16" l="1"/>
  <c r="B261" i="16" s="1"/>
  <c r="D261" i="16" s="1"/>
  <c r="E261" i="16" s="1"/>
  <c r="C350" i="15"/>
  <c r="B350" i="15" s="1"/>
  <c r="D350" i="15" s="1"/>
  <c r="E350" i="15" s="1"/>
  <c r="C262" i="16" l="1"/>
  <c r="B262" i="16" s="1"/>
  <c r="D262" i="16" s="1"/>
  <c r="E262" i="16" s="1"/>
  <c r="C351" i="15"/>
  <c r="B351" i="15" s="1"/>
  <c r="D351" i="15" s="1"/>
  <c r="E351" i="15" s="1"/>
  <c r="C263" i="16" l="1"/>
  <c r="B263" i="16" s="1"/>
  <c r="D263" i="16" s="1"/>
  <c r="E263" i="16" s="1"/>
  <c r="C352" i="15"/>
  <c r="B352" i="15" s="1"/>
  <c r="D352" i="15" s="1"/>
  <c r="E352" i="15" s="1"/>
  <c r="C264" i="16" l="1"/>
  <c r="B264" i="16" s="1"/>
  <c r="D264" i="16" s="1"/>
  <c r="E264" i="16" s="1"/>
  <c r="C353" i="15"/>
  <c r="B353" i="15" s="1"/>
  <c r="D353" i="15" s="1"/>
  <c r="E353" i="15" s="1"/>
  <c r="C265" i="16" l="1"/>
  <c r="B265" i="16" s="1"/>
  <c r="D265" i="16" s="1"/>
  <c r="E265" i="16" s="1"/>
  <c r="C354" i="15"/>
  <c r="B354" i="15" s="1"/>
  <c r="D354" i="15" s="1"/>
  <c r="E354" i="15" s="1"/>
  <c r="C266" i="16" l="1"/>
  <c r="B266" i="16" s="1"/>
  <c r="D266" i="16" s="1"/>
  <c r="E266" i="16" s="1"/>
  <c r="C355" i="15"/>
  <c r="C356" i="15" s="1"/>
  <c r="E12" i="15" s="1"/>
  <c r="C267" i="16" l="1"/>
  <c r="B267" i="16" s="1"/>
  <c r="D267" i="16" s="1"/>
  <c r="E267" i="16" s="1"/>
  <c r="B355" i="15"/>
  <c r="D355" i="15" s="1"/>
  <c r="D356" i="15" s="1"/>
  <c r="C268" i="16" l="1"/>
  <c r="B268" i="16" s="1"/>
  <c r="D268" i="16" s="1"/>
  <c r="E268" i="16" s="1"/>
  <c r="E355" i="15"/>
  <c r="E360" i="15" s="1"/>
  <c r="C361" i="15" s="1"/>
  <c r="C269" i="16" l="1"/>
  <c r="B269" i="16" s="1"/>
  <c r="D269" i="16" s="1"/>
  <c r="E269" i="16" s="1"/>
  <c r="B361" i="15"/>
  <c r="D361" i="15" s="1"/>
  <c r="E361" i="15" s="1"/>
  <c r="C270" i="16" l="1"/>
  <c r="B270" i="16" s="1"/>
  <c r="D270" i="16" s="1"/>
  <c r="E270" i="16" s="1"/>
  <c r="C362" i="15"/>
  <c r="C271" i="16" l="1"/>
  <c r="B271" i="16" s="1"/>
  <c r="D271" i="16" s="1"/>
  <c r="E271" i="16" s="1"/>
  <c r="B362" i="15"/>
  <c r="D362" i="15" s="1"/>
  <c r="C272" i="16" l="1"/>
  <c r="B272" i="16" s="1"/>
  <c r="D272" i="16" s="1"/>
  <c r="E272" i="16" s="1"/>
  <c r="E362" i="15"/>
  <c r="C273" i="16" l="1"/>
  <c r="B273" i="16" s="1"/>
  <c r="D273" i="16" s="1"/>
  <c r="E273" i="16" s="1"/>
  <c r="C363" i="15"/>
  <c r="C274" i="16" l="1"/>
  <c r="B274" i="16" s="1"/>
  <c r="D274" i="16" s="1"/>
  <c r="E274" i="16" s="1"/>
  <c r="B363" i="15"/>
  <c r="D363" i="15" s="1"/>
  <c r="C275" i="16" l="1"/>
  <c r="B275" i="16" s="1"/>
  <c r="D275" i="16" s="1"/>
  <c r="E275" i="16" s="1"/>
  <c r="E363" i="15"/>
  <c r="C276" i="16" l="1"/>
  <c r="B276" i="16" s="1"/>
  <c r="D276" i="16" s="1"/>
  <c r="E276" i="16" s="1"/>
  <c r="C364" i="15"/>
  <c r="B364" i="15" s="1"/>
  <c r="D364" i="15" s="1"/>
  <c r="C277" i="16" l="1"/>
  <c r="B277" i="16" s="1"/>
  <c r="D277" i="16" s="1"/>
  <c r="E277" i="16" s="1"/>
  <c r="E364" i="15"/>
  <c r="C278" i="16" l="1"/>
  <c r="C279" i="16" s="1"/>
  <c r="E13" i="16" s="1"/>
  <c r="E14" i="16" s="1"/>
  <c r="C365" i="15"/>
  <c r="B365" i="15" s="1"/>
  <c r="D365" i="15" s="1"/>
  <c r="E365" i="15" s="1"/>
  <c r="B278" i="16" l="1"/>
  <c r="D278" i="16" s="1"/>
  <c r="B279" i="16"/>
  <c r="C366" i="15"/>
  <c r="B366" i="15" s="1"/>
  <c r="D366" i="15" s="1"/>
  <c r="E366" i="15" s="1"/>
  <c r="D279" i="16" l="1"/>
  <c r="E278" i="16"/>
  <c r="C367" i="15"/>
  <c r="B367" i="15" s="1"/>
  <c r="D367" i="15" s="1"/>
  <c r="E367" i="15" s="1"/>
  <c r="C368" i="15" l="1"/>
  <c r="B368" i="15" s="1"/>
  <c r="D368" i="15" s="1"/>
  <c r="E368" i="15" s="1"/>
  <c r="C369" i="15" l="1"/>
  <c r="B369" i="15" s="1"/>
  <c r="D369" i="15" s="1"/>
  <c r="E369" i="15" s="1"/>
  <c r="C370" i="15" l="1"/>
  <c r="B370" i="15" s="1"/>
  <c r="D370" i="15" s="1"/>
  <c r="E370" i="15" s="1"/>
  <c r="C371" i="15" l="1"/>
  <c r="B371" i="15" s="1"/>
  <c r="D371" i="15" s="1"/>
  <c r="E371" i="15" s="1"/>
  <c r="C372" i="15" l="1"/>
  <c r="B372" i="15" s="1"/>
  <c r="D372" i="15" s="1"/>
  <c r="E372" i="15" s="1"/>
  <c r="C373" i="15" l="1"/>
  <c r="B373" i="15" s="1"/>
  <c r="D373" i="15" s="1"/>
  <c r="E373" i="15" s="1"/>
  <c r="C374" i="15" l="1"/>
  <c r="B374" i="15" s="1"/>
  <c r="D374" i="15" s="1"/>
  <c r="E374" i="15" s="1"/>
  <c r="C375" i="15" l="1"/>
  <c r="B375" i="15" s="1"/>
  <c r="D375" i="15" s="1"/>
  <c r="E375" i="15" s="1"/>
  <c r="C376" i="15" l="1"/>
  <c r="B376" i="15" s="1"/>
  <c r="D376" i="15" s="1"/>
  <c r="E376" i="15" s="1"/>
  <c r="C377" i="15" l="1"/>
  <c r="B377" i="15" s="1"/>
  <c r="D377" i="15" s="1"/>
  <c r="E377" i="15" s="1"/>
  <c r="C378" i="15" l="1"/>
  <c r="B378" i="15" s="1"/>
  <c r="D378" i="15" s="1"/>
  <c r="E378" i="15" s="1"/>
  <c r="C379" i="15" l="1"/>
  <c r="B379" i="15" s="1"/>
  <c r="D379" i="15" s="1"/>
  <c r="E379" i="15" s="1"/>
  <c r="C380" i="15" l="1"/>
  <c r="B380" i="15" s="1"/>
  <c r="D380" i="15" s="1"/>
  <c r="E380" i="15" s="1"/>
  <c r="C381" i="15" l="1"/>
  <c r="B381" i="15" s="1"/>
  <c r="D381" i="15" s="1"/>
  <c r="E381" i="15" s="1"/>
  <c r="C382" i="15" l="1"/>
  <c r="B382" i="15" s="1"/>
  <c r="D382" i="15" s="1"/>
  <c r="E382" i="15" s="1"/>
  <c r="C383" i="15" l="1"/>
  <c r="B383" i="15" s="1"/>
  <c r="D383" i="15" s="1"/>
  <c r="E383" i="15" s="1"/>
  <c r="C384" i="15" l="1"/>
  <c r="B384" i="15" s="1"/>
  <c r="D384" i="15" s="1"/>
  <c r="E384" i="15" s="1"/>
  <c r="C385" i="15" l="1"/>
  <c r="B385" i="15" s="1"/>
  <c r="D385" i="15" s="1"/>
  <c r="E385" i="15" s="1"/>
  <c r="C386" i="15" l="1"/>
  <c r="B386" i="15" s="1"/>
  <c r="D386" i="15" s="1"/>
  <c r="E386" i="15" s="1"/>
  <c r="C387" i="15" l="1"/>
  <c r="B387" i="15" s="1"/>
  <c r="D387" i="15" s="1"/>
  <c r="E387" i="15" s="1"/>
  <c r="C388" i="15" l="1"/>
  <c r="B388" i="15" s="1"/>
  <c r="D388" i="15" s="1"/>
  <c r="E388" i="15" s="1"/>
  <c r="C389" i="15" l="1"/>
  <c r="B389" i="15" s="1"/>
  <c r="D389" i="15" s="1"/>
  <c r="E389" i="15" s="1"/>
  <c r="C390" i="15" l="1"/>
  <c r="B390" i="15" s="1"/>
  <c r="D390" i="15" s="1"/>
  <c r="E390" i="15" s="1"/>
  <c r="C391" i="15" l="1"/>
  <c r="B391" i="15" s="1"/>
  <c r="D391" i="15" s="1"/>
  <c r="E391" i="15" s="1"/>
  <c r="C392" i="15" l="1"/>
  <c r="B392" i="15" s="1"/>
  <c r="D392" i="15" s="1"/>
  <c r="E392" i="15" s="1"/>
  <c r="C393" i="15" l="1"/>
  <c r="B393" i="15" s="1"/>
  <c r="D393" i="15" s="1"/>
  <c r="E393" i="15" s="1"/>
  <c r="C394" i="15" l="1"/>
  <c r="B394" i="15" s="1"/>
  <c r="D394" i="15" s="1"/>
  <c r="E394" i="15" s="1"/>
  <c r="C395" i="15" l="1"/>
  <c r="B395" i="15" s="1"/>
  <c r="D395" i="15" s="1"/>
  <c r="E395" i="15" s="1"/>
  <c r="C396" i="15" l="1"/>
  <c r="B396" i="15" s="1"/>
  <c r="D396" i="15" s="1"/>
  <c r="E396" i="15" s="1"/>
  <c r="C397" i="15" l="1"/>
  <c r="B397" i="15" s="1"/>
  <c r="D397" i="15" s="1"/>
  <c r="E397" i="15" s="1"/>
  <c r="C398" i="15" l="1"/>
  <c r="B398" i="15" s="1"/>
  <c r="D398" i="15" s="1"/>
  <c r="E398" i="15" s="1"/>
  <c r="C399" i="15" l="1"/>
  <c r="B399" i="15" s="1"/>
  <c r="D399" i="15" s="1"/>
  <c r="E399" i="15" s="1"/>
  <c r="C400" i="15" l="1"/>
  <c r="B400" i="15" s="1"/>
  <c r="D400" i="15" s="1"/>
  <c r="E400" i="15" s="1"/>
  <c r="C401" i="15" l="1"/>
  <c r="B401" i="15" s="1"/>
  <c r="D401" i="15" s="1"/>
  <c r="E401" i="15" s="1"/>
  <c r="C402" i="15" l="1"/>
  <c r="B402" i="15" s="1"/>
  <c r="D402" i="15" s="1"/>
  <c r="E402" i="15" s="1"/>
  <c r="C403" i="15" l="1"/>
  <c r="B403" i="15" s="1"/>
  <c r="D403" i="15" s="1"/>
  <c r="E403" i="15" s="1"/>
  <c r="C404" i="15" l="1"/>
  <c r="B404" i="15" s="1"/>
  <c r="D404" i="15" s="1"/>
  <c r="E404" i="15" s="1"/>
  <c r="C405" i="15" l="1"/>
  <c r="B405" i="15" s="1"/>
  <c r="D405" i="15" s="1"/>
  <c r="E405" i="15" s="1"/>
  <c r="C406" i="15" l="1"/>
  <c r="B406" i="15" s="1"/>
  <c r="D406" i="15" s="1"/>
  <c r="E406" i="15" s="1"/>
  <c r="C407" i="15" l="1"/>
  <c r="B407" i="15" s="1"/>
  <c r="D407" i="15" s="1"/>
  <c r="E407" i="15" s="1"/>
  <c r="C408" i="15" l="1"/>
  <c r="B408" i="15" s="1"/>
  <c r="D408" i="15" s="1"/>
  <c r="E408" i="15" s="1"/>
  <c r="C409" i="15" l="1"/>
  <c r="B409" i="15" s="1"/>
  <c r="D409" i="15" s="1"/>
  <c r="E409" i="15" s="1"/>
  <c r="C410" i="15" l="1"/>
  <c r="B410" i="15" s="1"/>
  <c r="D410" i="15" s="1"/>
  <c r="E410" i="15" s="1"/>
  <c r="C411" i="15" l="1"/>
  <c r="B411" i="15" s="1"/>
  <c r="D411" i="15" s="1"/>
  <c r="E411" i="15" s="1"/>
  <c r="C412" i="15" l="1"/>
  <c r="C413" i="15" s="1"/>
  <c r="E13" i="15" s="1"/>
  <c r="B412" i="15" l="1"/>
  <c r="D412" i="15" s="1"/>
  <c r="D413" i="15" l="1"/>
  <c r="E412" i="15"/>
  <c r="E417" i="15" s="1"/>
  <c r="C418" i="15" l="1"/>
  <c r="B418" i="15" s="1"/>
  <c r="D418" i="15" s="1"/>
  <c r="E418" i="15" l="1"/>
  <c r="C419" i="15" l="1"/>
  <c r="B419" i="15" s="1"/>
  <c r="D419" i="15" s="1"/>
  <c r="E419" i="15" l="1"/>
  <c r="C420" i="15" l="1"/>
  <c r="B420" i="15" s="1"/>
  <c r="D420" i="15" s="1"/>
  <c r="E420" i="15" l="1"/>
  <c r="C421" i="15" l="1"/>
  <c r="B421" i="15" s="1"/>
  <c r="D421" i="15" s="1"/>
  <c r="E421" i="15" s="1"/>
  <c r="C422" i="15" l="1"/>
  <c r="B422" i="15" s="1"/>
  <c r="D422" i="15" s="1"/>
  <c r="E422" i="15" s="1"/>
  <c r="C423" i="15" l="1"/>
  <c r="B423" i="15" s="1"/>
  <c r="D423" i="15" s="1"/>
  <c r="E423" i="15" s="1"/>
  <c r="C424" i="15" l="1"/>
  <c r="B424" i="15" s="1"/>
  <c r="D424" i="15" s="1"/>
  <c r="E424" i="15" s="1"/>
  <c r="C425" i="15" l="1"/>
  <c r="B425" i="15" s="1"/>
  <c r="D425" i="15" s="1"/>
  <c r="E425" i="15" s="1"/>
  <c r="C426" i="15" l="1"/>
  <c r="B426" i="15" s="1"/>
  <c r="D426" i="15" s="1"/>
  <c r="E426" i="15" s="1"/>
  <c r="C427" i="15" l="1"/>
  <c r="B427" i="15" s="1"/>
  <c r="D427" i="15" s="1"/>
  <c r="E427" i="15" s="1"/>
  <c r="C428" i="15" l="1"/>
  <c r="B428" i="15" s="1"/>
  <c r="D428" i="15" s="1"/>
  <c r="E428" i="15" s="1"/>
  <c r="C429" i="15" l="1"/>
  <c r="B429" i="15" s="1"/>
  <c r="D429" i="15" s="1"/>
  <c r="E429" i="15" s="1"/>
  <c r="C430" i="15" l="1"/>
  <c r="B430" i="15" s="1"/>
  <c r="D430" i="15" s="1"/>
  <c r="E430" i="15" s="1"/>
  <c r="C431" i="15" l="1"/>
  <c r="B431" i="15" s="1"/>
  <c r="D431" i="15" s="1"/>
  <c r="E431" i="15" s="1"/>
  <c r="C432" i="15" l="1"/>
  <c r="B432" i="15" s="1"/>
  <c r="D432" i="15" s="1"/>
  <c r="E432" i="15" s="1"/>
  <c r="C433" i="15" l="1"/>
  <c r="B433" i="15" s="1"/>
  <c r="D433" i="15" s="1"/>
  <c r="E433" i="15" s="1"/>
  <c r="C434" i="15" l="1"/>
  <c r="B434" i="15" s="1"/>
  <c r="D434" i="15" s="1"/>
  <c r="E434" i="15" s="1"/>
  <c r="C435" i="15" l="1"/>
  <c r="B435" i="15" s="1"/>
  <c r="D435" i="15" s="1"/>
  <c r="E435" i="15" s="1"/>
  <c r="C436" i="15" l="1"/>
  <c r="B436" i="15" s="1"/>
  <c r="D436" i="15" s="1"/>
  <c r="E436" i="15" s="1"/>
  <c r="C437" i="15" l="1"/>
  <c r="B437" i="15" s="1"/>
  <c r="D437" i="15" s="1"/>
  <c r="E437" i="15" s="1"/>
  <c r="C438" i="15" l="1"/>
  <c r="B438" i="15" s="1"/>
  <c r="D438" i="15" s="1"/>
  <c r="E438" i="15" s="1"/>
  <c r="C439" i="15" l="1"/>
  <c r="B439" i="15" s="1"/>
  <c r="D439" i="15" s="1"/>
  <c r="E439" i="15" s="1"/>
  <c r="C440" i="15" l="1"/>
  <c r="B440" i="15" s="1"/>
  <c r="D440" i="15" s="1"/>
  <c r="E440" i="15" s="1"/>
  <c r="C441" i="15" l="1"/>
  <c r="B441" i="15" s="1"/>
  <c r="D441" i="15" s="1"/>
  <c r="E441" i="15" s="1"/>
  <c r="C442" i="15" l="1"/>
  <c r="B442" i="15" s="1"/>
  <c r="D442" i="15" s="1"/>
  <c r="E442" i="15" s="1"/>
  <c r="C443" i="15" l="1"/>
  <c r="B443" i="15" s="1"/>
  <c r="D443" i="15" s="1"/>
  <c r="E443" i="15" s="1"/>
  <c r="C444" i="15" l="1"/>
  <c r="B444" i="15" s="1"/>
  <c r="D444" i="15" s="1"/>
  <c r="E444" i="15" s="1"/>
  <c r="C445" i="15" l="1"/>
  <c r="B445" i="15" s="1"/>
  <c r="D445" i="15" s="1"/>
  <c r="E445" i="15" s="1"/>
  <c r="C446" i="15" l="1"/>
  <c r="B446" i="15" s="1"/>
  <c r="D446" i="15" s="1"/>
  <c r="E446" i="15" s="1"/>
  <c r="C447" i="15" l="1"/>
  <c r="B447" i="15" s="1"/>
  <c r="D447" i="15" s="1"/>
  <c r="E447" i="15" s="1"/>
  <c r="C448" i="15" l="1"/>
  <c r="B448" i="15" s="1"/>
  <c r="D448" i="15" s="1"/>
  <c r="E448" i="15" s="1"/>
  <c r="C449" i="15" l="1"/>
  <c r="B449" i="15" s="1"/>
  <c r="D449" i="15" s="1"/>
  <c r="E449" i="15" s="1"/>
  <c r="C450" i="15" l="1"/>
  <c r="B450" i="15" s="1"/>
  <c r="D450" i="15" s="1"/>
  <c r="E450" i="15" s="1"/>
  <c r="C451" i="15" l="1"/>
  <c r="B451" i="15" s="1"/>
  <c r="D451" i="15" s="1"/>
  <c r="E451" i="15" s="1"/>
  <c r="C452" i="15" l="1"/>
  <c r="B452" i="15" s="1"/>
  <c r="D452" i="15" s="1"/>
  <c r="E452" i="15" s="1"/>
  <c r="C453" i="15" l="1"/>
  <c r="B453" i="15" s="1"/>
  <c r="D453" i="15" s="1"/>
  <c r="E453" i="15" s="1"/>
  <c r="C454" i="15" l="1"/>
  <c r="B454" i="15" s="1"/>
  <c r="D454" i="15" s="1"/>
  <c r="E454" i="15" s="1"/>
  <c r="C455" i="15" l="1"/>
  <c r="B455" i="15" s="1"/>
  <c r="D455" i="15" s="1"/>
  <c r="E455" i="15" s="1"/>
  <c r="C456" i="15" l="1"/>
  <c r="B456" i="15" s="1"/>
  <c r="D456" i="15" s="1"/>
  <c r="E456" i="15" s="1"/>
  <c r="C457" i="15" l="1"/>
  <c r="B457" i="15" s="1"/>
  <c r="D457" i="15" s="1"/>
  <c r="E457" i="15" s="1"/>
  <c r="C458" i="15" l="1"/>
  <c r="B458" i="15" s="1"/>
  <c r="D458" i="15" s="1"/>
  <c r="E458" i="15" s="1"/>
  <c r="C459" i="15" l="1"/>
  <c r="B459" i="15" s="1"/>
  <c r="D459" i="15" s="1"/>
  <c r="E459" i="15" s="1"/>
  <c r="C460" i="15" l="1"/>
  <c r="B460" i="15" s="1"/>
  <c r="D460" i="15" s="1"/>
  <c r="E460" i="15" s="1"/>
  <c r="C461" i="15" l="1"/>
  <c r="B461" i="15" s="1"/>
  <c r="D461" i="15" s="1"/>
  <c r="E461" i="15" s="1"/>
  <c r="C462" i="15" l="1"/>
  <c r="B462" i="15" s="1"/>
  <c r="D462" i="15" s="1"/>
  <c r="E462" i="15" s="1"/>
  <c r="C463" i="15" l="1"/>
  <c r="B463" i="15" s="1"/>
  <c r="D463" i="15" s="1"/>
  <c r="E463" i="15" s="1"/>
  <c r="C464" i="15" l="1"/>
  <c r="B464" i="15" s="1"/>
  <c r="D464" i="15" s="1"/>
  <c r="E464" i="15" s="1"/>
  <c r="C465" i="15" l="1"/>
  <c r="B465" i="15" s="1"/>
  <c r="D465" i="15" s="1"/>
  <c r="E465" i="15" s="1"/>
  <c r="C466" i="15" l="1"/>
  <c r="B466" i="15" s="1"/>
  <c r="D466" i="15" s="1"/>
  <c r="E466" i="15" s="1"/>
  <c r="C467" i="15" l="1"/>
  <c r="B467" i="15" s="1"/>
  <c r="D467" i="15" s="1"/>
  <c r="E467" i="15" s="1"/>
  <c r="C468" i="15" l="1"/>
  <c r="B468" i="15" s="1"/>
  <c r="D468" i="15" s="1"/>
  <c r="E468" i="15" s="1"/>
  <c r="C469" i="15" l="1"/>
  <c r="C470" i="15" s="1"/>
  <c r="E14" i="15" s="1"/>
  <c r="E15" i="15" s="1"/>
  <c r="B469" i="15" l="1"/>
  <c r="D469" i="15" s="1"/>
  <c r="D470" i="15" l="1"/>
  <c r="E46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Jean-François Robert</author>
  </authors>
  <commentList>
    <comment ref="B6" authorId="0" shapeId="0" xr:uid="{E0C3683E-7F26-4653-8F6D-1D637050A546}">
      <text>
        <r>
          <rPr>
            <b/>
            <sz val="9"/>
            <color indexed="81"/>
            <rFont val="Tahoma"/>
            <family val="2"/>
          </rPr>
          <t>Autrement dit, devez-vous charger les taxes de ventes ? Si vos ventes des 4 derniers trimestres dépassent 30 000$ vous devrez obligatoirement vous inscrire dès le trimestre suivant.</t>
        </r>
      </text>
    </comment>
    <comment ref="B7" authorId="0" shapeId="0" xr:uid="{0CD0ACCF-F030-4A6E-A82D-585C51857C7E}">
      <text>
        <r>
          <rPr>
            <b/>
            <sz val="9"/>
            <color indexed="81"/>
            <rFont val="Tahoma"/>
            <family val="2"/>
          </rPr>
          <t>Cette question vise à m'aider à identifier certains frais que vous désirez déduire, plus particulièrement les frais de bureau à domicile</t>
        </r>
      </text>
    </comment>
    <comment ref="B8" authorId="0" shapeId="0" xr:uid="{977ECDAC-65BB-4111-AAC5-F7B97AF4ACD3}">
      <text>
        <r>
          <rPr>
            <b/>
            <sz val="9"/>
            <color indexed="81"/>
            <rFont val="Tahoma"/>
            <family val="2"/>
          </rPr>
          <t>Si vous vivez en couple, inscrire 2; Sinon le chiffre 1</t>
        </r>
      </text>
    </comment>
    <comment ref="B10" authorId="0" shapeId="0" xr:uid="{46784C4E-B981-420F-A974-BFC45159105C}">
      <text>
        <r>
          <rPr>
            <b/>
            <sz val="9"/>
            <color indexed="81"/>
            <rFont val="Tahoma"/>
            <family val="2"/>
          </rPr>
          <t>Si cela ne s'applique pas à vous, inscrire 2</t>
        </r>
      </text>
    </comment>
    <comment ref="B17" authorId="0" shapeId="0" xr:uid="{46A032A2-E63F-4699-82BB-D98071CD8215}">
      <text>
        <r>
          <rPr>
            <b/>
            <sz val="9"/>
            <color indexed="81"/>
            <rFont val="Tahoma"/>
            <family val="2"/>
          </rPr>
          <t xml:space="preserve">Inscrire par exemple 10 juin 2017 sans ni tiret ni /
</t>
        </r>
        <r>
          <rPr>
            <sz val="9"/>
            <color indexed="81"/>
            <rFont val="Tahoma"/>
            <family val="2"/>
          </rPr>
          <t xml:space="preserve">
</t>
        </r>
      </text>
    </comment>
    <comment ref="A37" authorId="0" shapeId="0" xr:uid="{902AD29C-BB47-4971-970B-FC57A75F361A}">
      <text>
        <r>
          <rPr>
            <sz val="9"/>
            <color indexed="81"/>
            <rFont val="Tahoma"/>
            <family val="2"/>
          </rPr>
          <t xml:space="preserve">Vous trouverez des informations supplémentaires en cliquant sur ces cellules </t>
        </r>
      </text>
    </comment>
    <comment ref="B37" authorId="0" shapeId="0" xr:uid="{2AED3118-07E7-4613-8906-D7FF685964EC}">
      <text>
        <r>
          <rPr>
            <sz val="9"/>
            <color indexed="81"/>
            <rFont val="Tahoma"/>
            <family val="2"/>
          </rPr>
          <t>Voici une cellule qui contient des informations additionnelles pour vous aider à répartir vos dépenses dans les différentes catégories.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B7" authorId="0" shapeId="0" xr:uid="{00000000-0006-0000-0A00-000001000000}">
      <text>
        <r>
          <rPr>
            <b/>
            <sz val="9"/>
            <color indexed="81"/>
            <rFont val="Tahoma"/>
            <family val="2"/>
          </rPr>
          <t xml:space="preserve">Coût total du prêt tel que financé
</t>
        </r>
        <r>
          <rPr>
            <sz val="9"/>
            <color indexed="81"/>
            <rFont val="Tahoma"/>
            <family val="2"/>
          </rPr>
          <t xml:space="preserve">
</t>
        </r>
      </text>
    </comment>
    <comment ref="B8" authorId="0" shapeId="0" xr:uid="{00000000-0006-0000-0A00-000002000000}">
      <text>
        <r>
          <rPr>
            <b/>
            <sz val="9"/>
            <color indexed="81"/>
            <rFont val="Tahoma"/>
            <family val="2"/>
          </rPr>
          <t xml:space="preserve">Taux d'intérêt du prêt, sans assurance
</t>
        </r>
      </text>
    </comment>
    <comment ref="B9" authorId="0" shapeId="0" xr:uid="{00000000-0006-0000-0A00-000003000000}">
      <text>
        <r>
          <rPr>
            <b/>
            <sz val="9"/>
            <color indexed="81"/>
            <rFont val="Tahoma"/>
            <family val="2"/>
          </rPr>
          <t>Uniquement pour prêt payé à la semaine</t>
        </r>
        <r>
          <rPr>
            <sz val="9"/>
            <color indexed="81"/>
            <rFont val="Tahoma"/>
            <family val="2"/>
          </rPr>
          <t xml:space="preserve">
</t>
        </r>
      </text>
    </comment>
    <comment ref="B11" authorId="0" shapeId="0" xr:uid="{00000000-0006-0000-0A00-000004000000}">
      <text>
        <r>
          <rPr>
            <b/>
            <sz val="9"/>
            <color indexed="81"/>
            <rFont val="Tahoma"/>
            <family val="2"/>
          </rPr>
          <t>Nombre d'années du prêt</t>
        </r>
      </text>
    </comment>
    <comment ref="C13" authorId="0" shapeId="0" xr:uid="{00000000-0006-0000-0A00-000005000000}">
      <text>
        <r>
          <rPr>
            <b/>
            <sz val="9"/>
            <color indexed="81"/>
            <rFont val="Tahoma"/>
            <family val="2"/>
          </rPr>
          <t>Année acquisition véhicule</t>
        </r>
        <r>
          <rPr>
            <sz val="9"/>
            <color indexed="81"/>
            <rFont val="Tahoma"/>
            <family val="2"/>
          </rPr>
          <t xml:space="preserve">
</t>
        </r>
      </text>
    </comment>
    <comment ref="B14" authorId="0" shapeId="0" xr:uid="{00000000-0006-0000-0A00-000006000000}">
      <text>
        <r>
          <rPr>
            <b/>
            <sz val="9"/>
            <color indexed="81"/>
            <rFont val="Tahoma"/>
            <family val="2"/>
          </rPr>
          <t>Date 1er paiement</t>
        </r>
        <r>
          <rPr>
            <sz val="9"/>
            <color indexed="81"/>
            <rFont val="Tahoma"/>
            <family val="2"/>
          </rPr>
          <t xml:space="preserve">
</t>
        </r>
      </text>
    </comment>
    <comment ref="C14" authorId="0" shapeId="0" xr:uid="{00000000-0006-0000-0A00-000007000000}">
      <text>
        <r>
          <rPr>
            <b/>
            <sz val="9"/>
            <color indexed="81"/>
            <rFont val="Tahoma"/>
            <family val="2"/>
          </rPr>
          <t>Inscrire 1er janvier de l'année d'acquisition</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B6" authorId="0" shapeId="0" xr:uid="{00000000-0006-0000-0B00-000001000000}">
      <text>
        <r>
          <rPr>
            <b/>
            <sz val="9"/>
            <color indexed="81"/>
            <rFont val="Tahoma"/>
            <family val="2"/>
          </rPr>
          <t xml:space="preserve">Inscrire montant  total du prêt tel que financé
</t>
        </r>
      </text>
    </comment>
    <comment ref="B7" authorId="0" shapeId="0" xr:uid="{00000000-0006-0000-0B00-000002000000}">
      <text>
        <r>
          <rPr>
            <b/>
            <sz val="9"/>
            <color indexed="81"/>
            <rFont val="Tahoma"/>
            <family val="2"/>
          </rPr>
          <t xml:space="preserve">Inscrire le taux du prêt
</t>
        </r>
      </text>
    </comment>
    <comment ref="B8" authorId="0" shapeId="0" xr:uid="{00000000-0006-0000-0B00-000003000000}">
      <text>
        <r>
          <rPr>
            <b/>
            <sz val="9"/>
            <color indexed="81"/>
            <rFont val="Tahoma"/>
            <family val="2"/>
          </rPr>
          <t xml:space="preserve">Paiement mensuel
</t>
        </r>
        <r>
          <rPr>
            <sz val="9"/>
            <color indexed="81"/>
            <rFont val="Tahoma"/>
            <family val="2"/>
          </rPr>
          <t xml:space="preserve">
</t>
        </r>
      </text>
    </comment>
    <comment ref="B10" authorId="0" shapeId="0" xr:uid="{00000000-0006-0000-0B00-000004000000}">
      <text>
        <r>
          <rPr>
            <b/>
            <sz val="9"/>
            <color indexed="81"/>
            <rFont val="Tahoma"/>
            <family val="2"/>
          </rPr>
          <t xml:space="preserve">Nombre d'années de paiement du prêt
</t>
        </r>
        <r>
          <rPr>
            <sz val="9"/>
            <color indexed="81"/>
            <rFont val="Tahoma"/>
            <family val="2"/>
          </rPr>
          <t xml:space="preserve">
</t>
        </r>
      </text>
    </comment>
    <comment ref="C12" authorId="0" shapeId="0" xr:uid="{00000000-0006-0000-0B00-000005000000}">
      <text>
        <r>
          <rPr>
            <b/>
            <sz val="9"/>
            <color indexed="81"/>
            <rFont val="Tahoma"/>
            <family val="2"/>
          </rPr>
          <t xml:space="preserve">Année début du prêt
</t>
        </r>
      </text>
    </comment>
    <comment ref="B13" authorId="0" shapeId="0" xr:uid="{00000000-0006-0000-0B00-000006000000}">
      <text>
        <r>
          <rPr>
            <b/>
            <sz val="9"/>
            <color indexed="81"/>
            <rFont val="Tahoma"/>
            <family val="2"/>
          </rPr>
          <t>toshiba:</t>
        </r>
        <r>
          <rPr>
            <sz val="9"/>
            <color indexed="81"/>
            <rFont val="Tahoma"/>
            <family val="2"/>
          </rPr>
          <t xml:space="preserve">
Date premier PMT</t>
        </r>
      </text>
    </comment>
    <comment ref="C13" authorId="0" shapeId="0" xr:uid="{00000000-0006-0000-0B00-000007000000}">
      <text>
        <r>
          <rPr>
            <b/>
            <sz val="9"/>
            <color indexed="81"/>
            <rFont val="Tahoma"/>
            <family val="2"/>
          </rPr>
          <t>toshiba:</t>
        </r>
        <r>
          <rPr>
            <sz val="9"/>
            <color indexed="81"/>
            <rFont val="Tahoma"/>
            <family val="2"/>
          </rPr>
          <t xml:space="preserve">
1er janvier de l'année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Jean-François Robert</author>
  </authors>
  <commentList>
    <comment ref="B5" authorId="0" shapeId="0" xr:uid="{3ADDC096-30C4-443A-B03B-E1875DEA7386}">
      <text>
        <r>
          <rPr>
            <b/>
            <sz val="9"/>
            <color indexed="81"/>
            <rFont val="Tahoma"/>
            <family val="2"/>
          </rPr>
          <t xml:space="preserve">Identifiez la personne à qui vous avez offert le produit ou le service. 
En cas de vérifications fiscales votre recherche sera plus facile à faire. </t>
        </r>
      </text>
    </comment>
    <comment ref="G5" authorId="0" shapeId="0" xr:uid="{F22E3BC3-867D-43DC-84AD-7838BB805906}">
      <text>
        <r>
          <rPr>
            <b/>
            <sz val="9"/>
            <color indexed="81"/>
            <rFont val="Tahoma"/>
            <family val="2"/>
          </rPr>
          <t>Si vous avez offert des services de plus de 500$ à une entreprise ou un T.A. vous devriez recevoir un T4A avec un montant inscrit à la case 48. Veuillez l'inscrire dans cette colonne pour s'assurer qu'il ne pas comptabilisé deux fois.</t>
        </r>
      </text>
    </comment>
    <comment ref="H5" authorId="0" shapeId="0" xr:uid="{E14F2CC8-22DF-465B-A816-FB151DFF023E}">
      <text>
        <r>
          <rPr>
            <b/>
            <sz val="9"/>
            <color indexed="81"/>
            <rFont val="Tahoma"/>
            <family val="2"/>
          </rPr>
          <t>Si vous avez reçu un feuillet T4A avec un montant inscrit à la case 20 ou 28, l'inscrire ci-dessous pour s'assurer qu'il n'aura pas été comptabilisé deux fois</t>
        </r>
      </text>
    </comment>
    <comment ref="C7" authorId="0" shapeId="0" xr:uid="{C4869687-EBAF-40AE-AC8A-5C0670D8BB29}">
      <text>
        <r>
          <rPr>
            <b/>
            <sz val="9"/>
            <color indexed="81"/>
            <rFont val="Tahoma"/>
            <family val="2"/>
          </rPr>
          <t>Ventes normales effectuées au Québec pour produit(s) ou service(s)s générant les plus grandes revenus</t>
        </r>
      </text>
    </comment>
    <comment ref="D7" authorId="0" shapeId="0" xr:uid="{8C81E0DD-1D53-4386-A582-EE8085751D07}">
      <text>
        <r>
          <rPr>
            <b/>
            <sz val="9"/>
            <color indexed="81"/>
            <rFont val="Tahoma"/>
            <family val="2"/>
          </rPr>
          <t>Ventes normales effectuées au Québec pour produit(s) ou service(s)s complémentaires</t>
        </r>
      </text>
    </comment>
    <comment ref="E7" authorId="0" shapeId="0" xr:uid="{077EEA84-B91D-4863-ADBC-60347B3BE886}">
      <text>
        <r>
          <rPr>
            <b/>
            <sz val="9"/>
            <color indexed="81"/>
            <rFont val="Tahoma"/>
            <family val="2"/>
          </rPr>
          <t xml:space="preserve">Ventes effectuées au Canada mais à l'extérieur du Québec. Seul la TPS sera comptabilisée
</t>
        </r>
      </text>
    </comment>
    <comment ref="F7" authorId="0" shapeId="0" xr:uid="{6E066831-7A9D-4B21-B460-0F8F1DD07534}">
      <text>
        <r>
          <rPr>
            <b/>
            <sz val="9"/>
            <color indexed="81"/>
            <rFont val="Tahoma"/>
            <family val="2"/>
          </rPr>
          <t>Ventes effectuées à l'extérieur du Canada
Aucune TPS ni TVQ ne sera considéré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E16" authorId="0" shapeId="0" xr:uid="{00000000-0006-0000-0200-000001000000}">
      <text>
        <r>
          <rPr>
            <b/>
            <sz val="9"/>
            <color indexed="81"/>
            <rFont val="Tahoma"/>
            <family val="2"/>
          </rPr>
          <t>toshiba:</t>
        </r>
        <r>
          <rPr>
            <sz val="9"/>
            <color indexed="81"/>
            <rFont val="Tahoma"/>
            <family val="2"/>
          </rPr>
          <t xml:space="preserve">
Inscrire le kilométrage de fin d'année (31 déc), de fin de trimestre ou de fin d'utilisation à des fins commerciales</t>
        </r>
      </text>
    </comment>
    <comment ref="H16" authorId="0" shapeId="0" xr:uid="{00000000-0006-0000-0200-000002000000}">
      <text>
        <r>
          <rPr>
            <b/>
            <sz val="9"/>
            <color indexed="81"/>
            <rFont val="Tahoma"/>
            <family val="2"/>
          </rPr>
          <t>toshiba:</t>
        </r>
        <r>
          <rPr>
            <sz val="9"/>
            <color indexed="81"/>
            <rFont val="Tahoma"/>
            <family val="2"/>
          </rPr>
          <t xml:space="preserve">
Inscrire le nom de la marque du véhicule utiilisé pour fins d'affaires</t>
        </r>
      </text>
    </comment>
    <comment ref="L16" authorId="0" shapeId="0" xr:uid="{00000000-0006-0000-0200-000003000000}">
      <text>
        <r>
          <rPr>
            <b/>
            <sz val="9"/>
            <color indexed="81"/>
            <rFont val="Tahoma"/>
            <family val="2"/>
          </rPr>
          <t>toshiba:</t>
        </r>
        <r>
          <rPr>
            <sz val="9"/>
            <color indexed="81"/>
            <rFont val="Tahoma"/>
            <family val="2"/>
          </rPr>
          <t xml:space="preserve">
Si vous n'avez conservé que certaines factures lors de déplacements d'affaires inscrire le total ici</t>
        </r>
      </text>
    </comment>
    <comment ref="E17" authorId="0" shapeId="0" xr:uid="{00000000-0006-0000-0200-000004000000}">
      <text>
        <r>
          <rPr>
            <b/>
            <sz val="9"/>
            <color indexed="81"/>
            <rFont val="Tahoma"/>
            <family val="2"/>
          </rPr>
          <t>toshiba:</t>
        </r>
        <r>
          <rPr>
            <sz val="9"/>
            <color indexed="81"/>
            <rFont val="Tahoma"/>
            <family val="2"/>
          </rPr>
          <t xml:space="preserve">
Inscrire le Kilométrage de début d'année, du début du trimestre ou du début d'utilisation pour fins d'affaires</t>
        </r>
      </text>
    </comment>
    <comment ref="H17" authorId="0" shapeId="0" xr:uid="{00000000-0006-0000-0200-000005000000}">
      <text>
        <r>
          <rPr>
            <b/>
            <sz val="9"/>
            <color indexed="81"/>
            <rFont val="Tahoma"/>
            <family val="2"/>
          </rPr>
          <t>toshiba:</t>
        </r>
        <r>
          <rPr>
            <sz val="9"/>
            <color indexed="81"/>
            <rFont val="Tahoma"/>
            <family val="2"/>
          </rPr>
          <t xml:space="preserve">
Inscrire le modèle du véhicule utilisé pour fins d'affaires</t>
        </r>
      </text>
    </comment>
    <comment ref="H18" authorId="0" shapeId="0" xr:uid="{00000000-0006-0000-0200-000006000000}">
      <text>
        <r>
          <rPr>
            <b/>
            <sz val="9"/>
            <color indexed="81"/>
            <rFont val="Tahoma"/>
            <family val="2"/>
          </rPr>
          <t>toshiba:</t>
        </r>
        <r>
          <rPr>
            <sz val="9"/>
            <color indexed="81"/>
            <rFont val="Tahoma"/>
            <family val="2"/>
          </rPr>
          <t xml:space="preserve">
Inscrire l'année du véhicule</t>
        </r>
      </text>
    </comment>
    <comment ref="L18" authorId="0" shapeId="0" xr:uid="{00000000-0006-0000-0200-000007000000}">
      <text>
        <r>
          <rPr>
            <b/>
            <sz val="9"/>
            <color indexed="81"/>
            <rFont val="Tahoma"/>
            <family val="2"/>
          </rPr>
          <t>toshiba:</t>
        </r>
        <r>
          <rPr>
            <sz val="9"/>
            <color indexed="81"/>
            <rFont val="Tahoma"/>
            <family val="2"/>
          </rPr>
          <t xml:space="preserve">
Inscrire votre consommation moyenne en litres au 100 km
</t>
        </r>
      </text>
    </comment>
    <comment ref="M18" authorId="0" shapeId="0" xr:uid="{00000000-0006-0000-0200-000008000000}">
      <text>
        <r>
          <rPr>
            <b/>
            <sz val="9"/>
            <color indexed="81"/>
            <rFont val="Tahoma"/>
            <family val="2"/>
          </rPr>
          <t>toshiba:</t>
        </r>
        <r>
          <rPr>
            <sz val="9"/>
            <color indexed="81"/>
            <rFont val="Tahoma"/>
            <family val="2"/>
          </rPr>
          <t xml:space="preserve">
Inscrire votre consommation moyenne en litres au 100 km
</t>
        </r>
      </text>
    </comment>
    <comment ref="N18" authorId="0" shapeId="0" xr:uid="{00000000-0006-0000-0200-000009000000}">
      <text>
        <r>
          <rPr>
            <b/>
            <sz val="9"/>
            <color indexed="81"/>
            <rFont val="Tahoma"/>
            <family val="2"/>
          </rPr>
          <t>toshiba:</t>
        </r>
        <r>
          <rPr>
            <sz val="9"/>
            <color indexed="81"/>
            <rFont val="Tahoma"/>
            <family val="2"/>
          </rPr>
          <t xml:space="preserve">
Inscrire votre consommation moyenne en litres au 100 km
</t>
        </r>
      </text>
    </comment>
    <comment ref="H19" authorId="0" shapeId="0" xr:uid="{00000000-0006-0000-0200-00000A000000}">
      <text>
        <r>
          <rPr>
            <b/>
            <sz val="9"/>
            <color indexed="81"/>
            <rFont val="Tahoma"/>
            <family val="2"/>
          </rPr>
          <t>toshiba:</t>
        </r>
        <r>
          <rPr>
            <sz val="9"/>
            <color indexed="81"/>
            <rFont val="Tahoma"/>
            <family val="2"/>
          </rPr>
          <t xml:space="preserve">
Si ce véhicule est utilisé pour fins d'affaires pour la première année, Inscrire la date initiale d'achat</t>
        </r>
      </text>
    </comment>
    <comment ref="H20" authorId="0" shapeId="0" xr:uid="{00000000-0006-0000-0200-00000B000000}">
      <text>
        <r>
          <rPr>
            <sz val="9"/>
            <color indexed="81"/>
            <rFont val="Tahoma"/>
            <family val="2"/>
          </rPr>
          <t xml:space="preserve">Inscrire la valeur de ce véhicule au moment où il a été utilisé pour la première fois pour fins d'affaires : coût achat ou http://www.auto123.com/en/used-cars ou autre sites </t>
        </r>
      </text>
    </comment>
    <comment ref="L20" authorId="0" shapeId="0" xr:uid="{00000000-0006-0000-0200-00000C000000}">
      <text>
        <r>
          <rPr>
            <sz val="9"/>
            <color indexed="81"/>
            <rFont val="Tahoma"/>
            <family val="2"/>
          </rPr>
          <t>Inscrire le pourcentage approximatif d'utilisation pour fins d'affaires. En l'absence d'un registre pourcentage &lt; 50%</t>
        </r>
      </text>
    </comment>
    <comment ref="M20" authorId="0" shapeId="0" xr:uid="{00000000-0006-0000-0200-00000D000000}">
      <text>
        <r>
          <rPr>
            <sz val="9"/>
            <color indexed="81"/>
            <rFont val="Tahoma"/>
            <family val="2"/>
          </rPr>
          <t>Inscrire le pourcentage approximatif d'utilisation pour fins d'affaires. En l'absence d'un registre pourcentage &lt; 50%</t>
        </r>
      </text>
    </comment>
    <comment ref="N20" authorId="0" shapeId="0" xr:uid="{00000000-0006-0000-0200-00000E000000}">
      <text>
        <r>
          <rPr>
            <sz val="9"/>
            <color indexed="81"/>
            <rFont val="Tahoma"/>
            <family val="2"/>
          </rPr>
          <t>Inscrire le pourcentage approximatif d'utilisation pour fins d'affaires. En l'absence d'un registre pourcentage &lt; 50%</t>
        </r>
      </text>
    </comment>
    <comment ref="H21" authorId="0" shapeId="0" xr:uid="{00000000-0006-0000-0200-00000F000000}">
      <text>
        <r>
          <rPr>
            <sz val="9"/>
            <color indexed="81"/>
            <rFont val="Tahoma"/>
            <family val="2"/>
          </rPr>
          <t>Inscrire l'année où ce véhicule a été utilisé pour la première fois pour affaires</t>
        </r>
      </text>
    </comment>
    <comment ref="N21" authorId="0" shapeId="0" xr:uid="{00000000-0006-0000-0200-000010000000}">
      <text>
        <r>
          <rPr>
            <b/>
            <sz val="9"/>
            <color indexed="81"/>
            <rFont val="Tahoma"/>
            <family val="2"/>
          </rPr>
          <t>Si vous connaissez votre kilomètrage total mais que vous n'avez pas toutes vos factures</t>
        </r>
        <r>
          <rPr>
            <sz val="9"/>
            <color indexed="81"/>
            <rFont val="Tahoma"/>
            <family val="2"/>
          </rPr>
          <t xml:space="preserve">
</t>
        </r>
      </text>
    </comment>
    <comment ref="H22" authorId="0" shapeId="0" xr:uid="{00000000-0006-0000-0200-000011000000}">
      <text>
        <r>
          <rPr>
            <b/>
            <sz val="9"/>
            <color indexed="81"/>
            <rFont val="Tahoma"/>
            <family val="2"/>
          </rPr>
          <t>Si vous avez vendu ou changé de véhicule en cours d'année, inscrire le montant reçu suite à la vente du véhicule</t>
        </r>
        <r>
          <rPr>
            <sz val="9"/>
            <color indexed="81"/>
            <rFont val="Tahoma"/>
            <family val="2"/>
          </rPr>
          <t xml:space="preserve">
</t>
        </r>
      </text>
    </comment>
    <comment ref="M22" authorId="0" shapeId="0" xr:uid="{00000000-0006-0000-0200-000012000000}">
      <text>
        <r>
          <rPr>
            <b/>
            <sz val="9"/>
            <color indexed="81"/>
            <rFont val="Tahoma"/>
            <family val="2"/>
          </rPr>
          <t>toshiba:</t>
        </r>
        <r>
          <rPr>
            <sz val="9"/>
            <color indexed="81"/>
            <rFont val="Tahoma"/>
            <family val="2"/>
          </rPr>
          <t xml:space="preserve">
Si vous avez comptabilisé toutes vos dépenses de gaz mais pas tous vos déplacements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Jean-François Robert</author>
  </authors>
  <commentList>
    <comment ref="C7" authorId="0" shapeId="0" xr:uid="{3F7E0449-8F81-48D8-9085-135E88786D0F}">
      <text>
        <r>
          <rPr>
            <b/>
            <sz val="9"/>
            <color indexed="81"/>
            <rFont val="Tahoma"/>
            <family val="2"/>
          </rPr>
          <t>Si vous vendez des produits TAXABLES ou sous-traitez avec une entreprise inscrite aux taxes de vente, utilisez cette colonne pour inscrire vos dépenses : coût des produits vendus &amp; coût de sous-traitance.</t>
        </r>
      </text>
    </comment>
    <comment ref="D7" authorId="0" shapeId="0" xr:uid="{82B43F34-C9FF-4C93-A6F9-EB5B1EEC4D1E}">
      <text>
        <r>
          <rPr>
            <b/>
            <sz val="9"/>
            <color indexed="81"/>
            <rFont val="Tahoma"/>
            <family val="2"/>
          </rPr>
          <t>Si vous offfrez des produits NON-TAXABLES ou sous-traitez avec une entreprise non- inscrite aux taxes de vente, utilisez cette colonne pour inscrire vos dépenses : coût des produits vendus &amp; coût de sous-traitance</t>
        </r>
      </text>
    </comment>
    <comment ref="E7" authorId="0" shapeId="0" xr:uid="{00000000-0006-0000-0300-000003000000}">
      <text>
        <r>
          <rPr>
            <sz val="9"/>
            <color indexed="81"/>
            <rFont val="Tahoma"/>
            <family val="2"/>
          </rPr>
          <t xml:space="preserve">Inscrire les frais de publicité comme les cartes et dépliants d'affaires.
Inscrire les dépenses en rapport avec le site WEB séparément à la colonne T
</t>
        </r>
      </text>
    </comment>
    <comment ref="F7" authorId="0" shapeId="0" xr:uid="{00000000-0006-0000-0300-000004000000}">
      <text>
        <r>
          <rPr>
            <sz val="9"/>
            <color indexed="81"/>
            <rFont val="Tahoma"/>
            <family val="2"/>
          </rPr>
          <t>Frais de repas déductibles uniquement si effectués pour
1- rencontrer un client
2- conférences, congrès et colloques
Inscrire le montant TOTAL et laisser 100% !</t>
        </r>
      </text>
    </comment>
    <comment ref="H7" authorId="0" shapeId="0" xr:uid="{00000000-0006-0000-0300-000005000000}">
      <text>
        <r>
          <rPr>
            <sz val="9"/>
            <color indexed="81"/>
            <rFont val="Tahoma"/>
            <family val="2"/>
          </rPr>
          <t>Pour qu'il y ait une mauvaise créance c'est que le revenu a déjà été comptabilisé auparavant.
Si le revenu n'a jamais été comptabilisé, ne rien inscrire ICI</t>
        </r>
      </text>
    </comment>
    <comment ref="I7" authorId="0" shapeId="0" xr:uid="{00000000-0006-0000-0300-000006000000}">
      <text>
        <r>
          <rPr>
            <sz val="9"/>
            <color indexed="81"/>
            <rFont val="Tahoma"/>
            <family val="2"/>
          </rPr>
          <t xml:space="preserve">Il existe deux types d'assurances déductibles :
1- l'assurance professionnelle
2- l'assurance pour le local commercial
L'assurance-vie ainsi que l'assurance-invalidité ne sont pas déductibles.
Inscrire le coût de l'assurance (feu/vol) de votre maison/loyer dans l'ongle "domicile" uniquement si vous ne louez aucun bureau d'affaires.
</t>
        </r>
      </text>
    </comment>
    <comment ref="J7" authorId="0" shapeId="0" xr:uid="{00000000-0006-0000-0300-000007000000}">
      <text>
        <r>
          <rPr>
            <sz val="9"/>
            <color indexed="81"/>
            <rFont val="Tahoma"/>
            <family val="2"/>
          </rPr>
          <t xml:space="preserve">Taxes d'affaires, droits d'adhésion, permis et cotisation à une association professionnelle
Si vous êtes inscrit à un ordre professionnelle inscrire plutôt la cotisation professionnelle à la colonne M
</t>
        </r>
      </text>
    </comment>
    <comment ref="K7" authorId="0" shapeId="0" xr:uid="{00000000-0006-0000-0300-000008000000}">
      <text>
        <r>
          <rPr>
            <sz val="9"/>
            <color indexed="81"/>
            <rFont val="Tahoma"/>
            <family val="2"/>
          </rPr>
          <t>Si vous possédez un compte bancaire, une carte de crédit ou une marge de crédit qui sert EXCLUSIVEMENT à des fins d'affaires, vous pouvez déduire les intérêts. 
Pour les prêts affaires n'inscrire que le total des intérêts payés et non le montant du paiement</t>
        </r>
      </text>
    </comment>
    <comment ref="L7" authorId="0" shapeId="0" xr:uid="{00000000-0006-0000-0300-000009000000}">
      <text>
        <r>
          <rPr>
            <sz val="9"/>
            <color indexed="81"/>
            <rFont val="Tahoma"/>
            <family val="2"/>
          </rPr>
          <t xml:space="preserve">Aussi appelé frais de bureau. 
Couvre la papeterie, les timbres,  les abonnements affaires &amp; les décorations utilisées pour l'accueil des clients
</t>
        </r>
      </text>
    </comment>
    <comment ref="M7" authorId="0" shapeId="0" xr:uid="{4C716C9F-5317-4C8D-BC3C-2F78648F48A0}">
      <text>
        <r>
          <rPr>
            <sz val="9"/>
            <color indexed="81"/>
            <rFont val="Tahoma"/>
            <family val="2"/>
          </rPr>
          <t xml:space="preserve">Couvre les frais de réparation et de réparation pour les ordinateur, le mobilier de bureau et équipements
</t>
        </r>
      </text>
    </comment>
    <comment ref="N7" authorId="0" shapeId="0" xr:uid="{DA5D80F4-5A88-44FD-ADDC-8A02BD49FB4C}">
      <text>
        <r>
          <rPr>
            <sz val="9"/>
            <color indexed="81"/>
            <rFont val="Tahoma"/>
            <family val="2"/>
          </rPr>
          <t>Inscrire le coût d'achat de vos livres qui servent à des fins de références</t>
        </r>
      </text>
    </comment>
    <comment ref="O7" authorId="0" shapeId="0" xr:uid="{00000000-0006-0000-0300-00000A000000}">
      <text>
        <r>
          <rPr>
            <sz val="9"/>
            <color indexed="81"/>
            <rFont val="Tahoma"/>
            <family val="2"/>
          </rPr>
          <t>Une fourniture c'est ce qui est utilisée pour offrir un service, mais dont vous ne facturez par le coût. 
Ex : aiguilles de l'acupuncteur, Shampoings et teintures utilisés pas la coiffeuse, huile de massage et serviettes nécessaires pour le massothérapeute.</t>
        </r>
      </text>
    </comment>
    <comment ref="P7" authorId="0" shapeId="0" xr:uid="{00000000-0006-0000-0300-00000B000000}">
      <text>
        <r>
          <rPr>
            <sz val="9"/>
            <color indexed="81"/>
            <rFont val="Tahoma"/>
            <family val="2"/>
          </rPr>
          <t xml:space="preserve">Si vous faites parties d'un ordre professionnel, votre cotisation doit être inscrite ICI
</t>
        </r>
      </text>
    </comment>
    <comment ref="Q7" authorId="0" shapeId="0" xr:uid="{00000000-0006-0000-0300-00000C000000}">
      <text>
        <r>
          <rPr>
            <sz val="9"/>
            <color indexed="81"/>
            <rFont val="Tahoma"/>
            <family val="2"/>
          </rPr>
          <t xml:space="preserve">Comme je ne facture présentement aucune taxe de vente, inscrire les honoraires que vous avez payé au cours de l'année dans cette colonne
</t>
        </r>
      </text>
    </comment>
    <comment ref="R7" authorId="0" shapeId="0" xr:uid="{00000000-0006-0000-0300-00000D000000}">
      <text>
        <r>
          <rPr>
            <sz val="9"/>
            <color indexed="81"/>
            <rFont val="Tahoma"/>
            <family val="2"/>
          </rPr>
          <t xml:space="preserve">Tous les honoraires taxables doivent être inscrit dans cette colonne, sauf les frais de sous-traitance.
</t>
        </r>
      </text>
    </comment>
    <comment ref="S7" authorId="0" shapeId="0" xr:uid="{00000000-0006-0000-0300-00000E000000}">
      <text>
        <r>
          <rPr>
            <sz val="9"/>
            <color indexed="81"/>
            <rFont val="Tahoma"/>
            <family val="2"/>
          </rPr>
          <t xml:space="preserve">Inscrire ICI les frais de transport et de logement  pour vos déplacements affaires : Taxi, avions, hôtel.
Attention vous ne pouvez déduire plus de 2 congrès par année
</t>
        </r>
      </text>
    </comment>
    <comment ref="T7" authorId="0" shapeId="0" xr:uid="{00000000-0006-0000-0300-00000F000000}">
      <text>
        <r>
          <rPr>
            <sz val="9"/>
            <color indexed="81"/>
            <rFont val="Tahoma"/>
            <family val="2"/>
          </rPr>
          <t xml:space="preserve">Si vous engagez des frais de formation continue pour des services que vous offrez déjà, c'est ICI. 
Si vos formations visent l'acquisition d'un nouveau titre, vous ne pourrez les déduire à 100% et devrez me fournir des feuillets qui précisent leur admissibilité au fédéral et au provincial à titre de frais de scolarité. 
</t>
        </r>
      </text>
    </comment>
    <comment ref="U7" authorId="0" shapeId="0" xr:uid="{00000000-0006-0000-0300-000010000000}">
      <text>
        <r>
          <rPr>
            <sz val="9"/>
            <color indexed="81"/>
            <rFont val="Tahoma"/>
            <family val="2"/>
          </rPr>
          <t xml:space="preserve">Si vous utilisez un cellulaire vous devez indiquer un pourcentage d'utilisation affaires qui correspond le plus à la réalité de vos relevés
</t>
        </r>
      </text>
    </comment>
    <comment ref="V7" authorId="0" shapeId="0" xr:uid="{00000000-0006-0000-0300-000011000000}">
      <text>
        <r>
          <rPr>
            <sz val="9"/>
            <color indexed="81"/>
            <rFont val="Tahoma"/>
            <family val="2"/>
          </rPr>
          <t xml:space="preserve">Pour Internet, il y a deux possibilités :
Si son utilisation est indispensable pour vos affaires, inscrire le pourcentage qui correspond le plus à votre réalité d'affaires. N'oubliez pas que si vous avez des enfants que vous devriez réduire le pourcentage affaires.
Si l'utilisation de l'internet est accessoire et que vous avez un bureau à domicile l'inscrire plutôt dans l'onglet Domicile
</t>
        </r>
      </text>
    </comment>
    <comment ref="W7" authorId="0" shapeId="0" xr:uid="{00000000-0006-0000-0300-000012000000}">
      <text>
        <r>
          <rPr>
            <sz val="9"/>
            <color indexed="81"/>
            <rFont val="Tahoma"/>
            <family val="2"/>
          </rPr>
          <t>Avez-vous un site WEB ?
Si oui vous devez payer des frais d'hébergement web et/ou de domaine. 
Si vous avez créer un nouveau site WEB  et que les frais sont raisonnables inscrire le tout ICI</t>
        </r>
      </text>
    </comment>
    <comment ref="X7" authorId="0" shapeId="0" xr:uid="{00000000-0006-0000-0300-000013000000}">
      <text>
        <r>
          <rPr>
            <sz val="9"/>
            <color indexed="81"/>
            <rFont val="Tahoma"/>
            <family val="2"/>
          </rPr>
          <t>Certaines dépenses telles qu'ordinateur, mobilier de bureau, équipement de production doivent être déduites en fonction de leur dépréciation.
Inscrire l'informatique dans la première colonne et les autres équipements dans la deuxième colonne</t>
        </r>
      </text>
    </comment>
    <comment ref="Z7" authorId="0" shapeId="0" xr:uid="{00000000-0006-0000-0300-000014000000}">
      <text>
        <r>
          <rPr>
            <sz val="9"/>
            <color indexed="81"/>
            <rFont val="Tahoma"/>
            <family val="2"/>
          </rPr>
          <t xml:space="preserve">Si vous avez une ligne téléphonique affaires
 ou une 2e ligne qui sert exclusivement aux fins d'affaires, inscrire le coût ici.
</t>
        </r>
      </text>
    </comment>
    <comment ref="AA7" authorId="0" shapeId="0" xr:uid="{00000000-0006-0000-0300-000015000000}">
      <text>
        <r>
          <rPr>
            <sz val="9"/>
            <color indexed="81"/>
            <rFont val="Tahoma"/>
            <family val="2"/>
          </rPr>
          <t xml:space="preserve">Inscrire ici les frais relatifs au traitement des paiements de vos clients
</t>
        </r>
      </text>
    </comment>
    <comment ref="AB7" authorId="0" shapeId="0" xr:uid="{1E924577-088E-419E-B5B0-281317BCB2A2}">
      <text>
        <r>
          <rPr>
            <sz val="9"/>
            <color indexed="81"/>
            <rFont val="Tahoma"/>
            <family val="2"/>
          </rPr>
          <t xml:space="preserve">Devez-vous payer pour un local commercial ?
</t>
        </r>
      </text>
    </comment>
    <comment ref="AF7" authorId="0" shapeId="0" xr:uid="{5CEA0A26-519C-4EC6-A6E0-95357BA3CC1B}">
      <text>
        <r>
          <rPr>
            <sz val="9"/>
            <color indexed="81"/>
            <rFont val="Tahoma"/>
            <family val="2"/>
          </rPr>
          <t xml:space="preserve">Si vous avez effectuées des dépenses dans la province de l'Ontario et que vous êtes inscrit à la TPS, veuillez utiliser ces deux colonnes pour les frais de repas et les autres dépenses
</t>
        </r>
      </text>
    </comment>
    <comment ref="AH7" authorId="0" shapeId="0" xr:uid="{00000000-0006-0000-0300-000016000000}">
      <text>
        <r>
          <rPr>
            <sz val="9"/>
            <color indexed="81"/>
            <rFont val="Tahoma"/>
            <family val="2"/>
          </rPr>
          <t xml:space="preserve">Vous effectuez des achats 
à l'Ile du Pince Édouard, au Nouveau Brunswick, à la Nouvelle Écosse et à Terre-Neuve
 </t>
        </r>
      </text>
    </comment>
    <comment ref="AI7" authorId="0" shapeId="0" xr:uid="{D46AE2BD-C7F3-462C-B249-FC85B6F9234C}">
      <text>
        <r>
          <rPr>
            <sz val="9"/>
            <color indexed="81"/>
            <rFont val="Tahoma"/>
            <family val="2"/>
          </rPr>
          <t xml:space="preserve">Vous avez pris des repas à L'île du Prince Édouard, au Nouveau Brunswick, à Terre Neuve ou à la Nouvelle Écosse ?
Inscrire le coût total incluant le pourboire s'il figure sur la facture. Veuillez laisser le % affaires à 100%. La déduction de 50% est caclulé implicitement.
</t>
        </r>
      </text>
    </comment>
    <comment ref="AJ7" authorId="0" shapeId="0" xr:uid="{00000000-0006-0000-0300-000017000000}">
      <text>
        <r>
          <rPr>
            <sz val="9"/>
            <color indexed="81"/>
            <rFont val="Tahoma"/>
            <family val="2"/>
          </rPr>
          <t xml:space="preserve">Vous effectuez des achats hors Canada. S.V.P inscrire le coût en dollars CAN !
Vous pouvez aussi y inscrire toutes autres dépenses non taxables
</t>
        </r>
      </text>
    </comment>
    <comment ref="AK7" authorId="0" shapeId="0" xr:uid="{00000000-0006-0000-0300-000018000000}">
      <text>
        <r>
          <rPr>
            <sz val="9"/>
            <color indexed="81"/>
            <rFont val="Tahoma"/>
            <family val="2"/>
          </rPr>
          <t xml:space="preserve">Pour toute autre dépense non énumérée précédemment. 
Veuillez détailler cette dépense dans la colonne B et l'inscrire sur une ligne distincte des autres dépenses
</t>
        </r>
      </text>
    </comment>
    <comment ref="AL7" authorId="0" shapeId="0" xr:uid="{00000000-0006-0000-0300-000019000000}">
      <text>
        <r>
          <rPr>
            <sz val="9"/>
            <color indexed="81"/>
            <rFont val="Tahoma"/>
            <family val="2"/>
          </rPr>
          <t xml:space="preserve">Pour toute autre dépense non énumérée précédemment. 
Veuillez détailler cette dépense dans la colonne B et l'inscrire sur une ligne distincte des autres dépenses
</t>
        </r>
      </text>
    </comment>
    <comment ref="C9" authorId="0" shapeId="0" xr:uid="{B504927F-4B61-4AEA-980C-637F37FAF5B0}">
      <text>
        <r>
          <rPr>
            <sz val="9"/>
            <color indexed="81"/>
            <rFont val="Tahoma"/>
            <family val="2"/>
          </rPr>
          <t xml:space="preserve">Si vous vendez des produits TAXABLES, inscrire le coût des produits ICI. Vous devrez alors inscrire le coût de l'inventaire.
Si un sous-traitant inscrit aux taxes vous aide à effectuer une partie de vos contrats, inscrire le coût ICI. 
</t>
        </r>
      </text>
    </comment>
    <comment ref="D9" authorId="0" shapeId="0" xr:uid="{15A461A2-4162-4FD7-B0D3-957F47E19803}">
      <text>
        <r>
          <rPr>
            <sz val="9"/>
            <color indexed="81"/>
            <rFont val="Tahoma"/>
            <family val="2"/>
          </rPr>
          <t xml:space="preserve">Si vous vendez des produits </t>
        </r>
        <r>
          <rPr>
            <b/>
            <sz val="9"/>
            <color indexed="81"/>
            <rFont val="Tahoma"/>
            <family val="2"/>
          </rPr>
          <t>NON-TAXABLES</t>
        </r>
        <r>
          <rPr>
            <sz val="9"/>
            <color indexed="81"/>
            <rFont val="Tahoma"/>
            <family val="2"/>
          </rPr>
          <t xml:space="preserve">, inscrire le coût des produits ICI. Vous devrez alors inscrire le coût de l'inventaire.
Si un sous-traitant NON inscrit aux taxes vous aide à effectuer une partie de vos contrats, inscrire le coût ICI. 
</t>
        </r>
      </text>
    </comment>
    <comment ref="A12" authorId="0" shapeId="0" xr:uid="{CA618F76-4E2A-4754-B765-96AAB077E06A}">
      <text>
        <r>
          <rPr>
            <b/>
            <sz val="9"/>
            <color indexed="81"/>
            <rFont val="Tahoma"/>
            <family val="2"/>
          </rPr>
          <t xml:space="preserve">Inscrire date comme ceci :  9 jan 2019 
N.B Trois lettres suffisent pour le mois !
De plus, si les données sont entrées en 2019, 
vous n'avez pas à inscrire l'année !
</t>
        </r>
      </text>
    </comment>
    <comment ref="B12" authorId="0" shapeId="0" xr:uid="{456F4D46-5567-4DE1-B0AF-03270E1ADC18}">
      <text>
        <r>
          <rPr>
            <b/>
            <sz val="9"/>
            <color indexed="81"/>
            <rFont val="Tahoma"/>
            <family val="2"/>
          </rPr>
          <t>Pour savoir si vous avez utilisé la bonne colonne, S.V.P, m'indiquer de quelle type de dépenses il s'agit.
N.B. C'est votre Grand Livre ! À vous d'inscrire les informations les plus pertinentes.
S.V.P. Veuillez utiliser une ligne pour chaque type de dépense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B13" authorId="0" shapeId="0" xr:uid="{00000000-0006-0000-0400-000001000000}">
      <text>
        <r>
          <rPr>
            <b/>
            <sz val="9"/>
            <color indexed="81"/>
            <rFont val="Tahoma"/>
            <family val="2"/>
          </rPr>
          <t>Inscrire frais de chauffage et électricité Taxes incluses</t>
        </r>
      </text>
    </comment>
    <comment ref="D13" authorId="1" shapeId="0" xr:uid="{C444CA3C-F971-403A-B56B-B27DB74290CB}">
      <text>
        <r>
          <rPr>
            <b/>
            <sz val="9"/>
            <color indexed="81"/>
            <rFont val="Tahoma"/>
            <family val="2"/>
          </rPr>
          <t>Dépenses d'entretien ou de réparations mineures qui se rapportent à la fois à l’espace de travail et à d’autres parties du domicile - par exemple, l’entretien normal ou les réparations mineures de la fournaise ou de l’appareil de climatisation, ou l’achat de produits d’entretien ménager.</t>
        </r>
      </text>
    </comment>
    <comment ref="H13" authorId="0" shapeId="0" xr:uid="{00000000-0006-0000-0400-000002000000}">
      <text>
        <r>
          <rPr>
            <b/>
            <sz val="9"/>
            <color indexed="81"/>
            <rFont val="Tahoma"/>
            <family val="2"/>
          </rPr>
          <t>La ligne téléphonique de base n'est jamais déductible. N'Inscrire que les frais interurbains (taxes incluses)</t>
        </r>
      </text>
    </comment>
    <comment ref="I13" authorId="1" shapeId="0" xr:uid="{8DDD0314-46FF-4555-B746-8D08A19F6EEA}">
      <text>
        <r>
          <rPr>
            <b/>
            <sz val="9"/>
            <color indexed="81"/>
            <rFont val="Tahoma"/>
            <family val="2"/>
          </rPr>
          <t>Si votre % d'utilisation Internet est supérieur à la superficie occupée par votre bureau, inscrire le tout dans l'onglet dépenses affaires</t>
        </r>
        <r>
          <rPr>
            <sz val="9"/>
            <color indexed="81"/>
            <rFont val="Tahoma"/>
            <family val="2"/>
          </rPr>
          <t xml:space="preserve">
</t>
        </r>
      </text>
    </comment>
    <comment ref="C20" authorId="0" shapeId="0" xr:uid="{00000000-0006-0000-0400-000003000000}">
      <text>
        <r>
          <rPr>
            <sz val="9"/>
            <color indexed="81"/>
            <rFont val="Tahoma"/>
            <family val="2"/>
          </rPr>
          <t xml:space="preserve">Des informations utiles pour démontrer vos calculs aux gouvernements
</t>
        </r>
      </text>
    </comment>
    <comment ref="C24" authorId="0" shapeId="0" xr:uid="{00000000-0006-0000-0400-000004000000}">
      <text>
        <r>
          <rPr>
            <sz val="9"/>
            <color indexed="81"/>
            <rFont val="Tahoma"/>
            <family val="2"/>
          </rPr>
          <t>Le travailleur qui perçoit, aussi, un salaire ou celui qui offre un service de garde devrait tenir compte du temps passé à offrir des services où il reçoit des honoraires (heures ou mois, si première année en affaires)</t>
        </r>
      </text>
    </comment>
    <comment ref="C25" authorId="0" shapeId="0" xr:uid="{00000000-0006-0000-0400-000005000000}">
      <text>
        <r>
          <rPr>
            <b/>
            <sz val="9"/>
            <color indexed="81"/>
            <rFont val="Tahoma"/>
            <family val="2"/>
          </rPr>
          <t>Total des heures effectuées à titre de salarié (ou consacré à sa famille pour service de garde)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A5" authorId="0" shapeId="0" xr:uid="{00000000-0006-0000-0500-000001000000}">
      <text>
        <r>
          <rPr>
            <b/>
            <sz val="9"/>
            <color indexed="81"/>
            <rFont val="Tahoma"/>
            <family val="2"/>
          </rPr>
          <t>toshiba:</t>
        </r>
        <r>
          <rPr>
            <sz val="9"/>
            <color indexed="81"/>
            <rFont val="Tahoma"/>
            <family val="2"/>
          </rPr>
          <t xml:space="preserve">
Inscrire le type d'activités qui gérère votre plus gros revenus</t>
        </r>
      </text>
    </comment>
    <comment ref="A6" authorId="0" shapeId="0" xr:uid="{00000000-0006-0000-0500-000002000000}">
      <text>
        <r>
          <rPr>
            <b/>
            <sz val="9"/>
            <color indexed="81"/>
            <rFont val="Tahoma"/>
            <family val="2"/>
          </rPr>
          <t>toshiba:</t>
        </r>
        <r>
          <rPr>
            <sz val="9"/>
            <color indexed="81"/>
            <rFont val="Tahoma"/>
            <family val="2"/>
          </rPr>
          <t xml:space="preserve">
Inscrire, s'il y a lieu, votre deuxième d'activité en terme d'importance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B3" authorId="0" shapeId="0" xr:uid="{00000000-0006-0000-0600-000001000000}">
      <text>
        <r>
          <rPr>
            <b/>
            <sz val="9"/>
            <color indexed="81"/>
            <rFont val="Tahoma"/>
            <family val="2"/>
          </rPr>
          <t xml:space="preserve">Si vous êtes inscrit aux fins de la TPS inscrire 1; Sinon 2
</t>
        </r>
      </text>
    </comment>
    <comment ref="B6" authorId="1" shapeId="0" xr:uid="{02331CCE-B5E8-4D0A-BBB7-BA282BBC163B}">
      <text>
        <r>
          <rPr>
            <sz val="9"/>
            <color indexed="81"/>
            <rFont val="Tahoma"/>
            <family val="2"/>
          </rPr>
          <t xml:space="preserve">Si l'ensemble de vos revenus proviennent de ventes effectuées au QUÉBEC, 
</t>
        </r>
        <r>
          <rPr>
            <b/>
            <sz val="9"/>
            <color indexed="81"/>
            <rFont val="Tahoma"/>
            <family val="2"/>
          </rPr>
          <t xml:space="preserve"> inscrire ce montant à la case 101 </t>
        </r>
        <r>
          <rPr>
            <sz val="9"/>
            <color indexed="81"/>
            <rFont val="Tahoma"/>
            <family val="2"/>
          </rPr>
          <t>"Fournitures (Chiffres d'affaires) du bordereau de paiement.  Sinon prendre colonne de droite.</t>
        </r>
      </text>
    </comment>
    <comment ref="C6" authorId="1" shapeId="0" xr:uid="{D2735801-EDA3-4A6A-819C-62CDC79FE0EE}">
      <text>
        <r>
          <rPr>
            <b/>
            <sz val="9"/>
            <color indexed="81"/>
            <rFont val="Tahoma"/>
            <family val="2"/>
          </rPr>
          <t>Inscrire ce montant à la case 101 "Fournitures (chiffres d'affaires) du bordereau de paiement</t>
        </r>
      </text>
    </comment>
    <comment ref="B7" authorId="1" shapeId="0" xr:uid="{52F6DE06-F02E-4939-9B97-9F9A5D366415}">
      <text>
        <r>
          <rPr>
            <sz val="9"/>
            <color indexed="81"/>
            <rFont val="Tahoma"/>
            <family val="2"/>
          </rPr>
          <t xml:space="preserve">Si l'ensemble de vos revenus proviennent de ventes effectuées au QUÉBEC,
</t>
        </r>
        <r>
          <rPr>
            <b/>
            <sz val="9"/>
            <color indexed="81"/>
            <rFont val="Tahoma"/>
            <family val="2"/>
          </rPr>
          <t xml:space="preserve"> inscrire ce montant à case 105</t>
        </r>
        <r>
          <rPr>
            <sz val="9"/>
            <color indexed="81"/>
            <rFont val="Tahoma"/>
            <family val="2"/>
          </rPr>
          <t xml:space="preserve"> 
"TPS/TVH exigible et redressement" 
du bordereau de paiement.
Sinon prendre colonne de droite.</t>
        </r>
      </text>
    </comment>
    <comment ref="C7" authorId="1" shapeId="0" xr:uid="{F45F5B4E-2DEA-4296-9842-B6B412FD3118}">
      <text>
        <r>
          <rPr>
            <sz val="9"/>
            <color indexed="81"/>
            <rFont val="Tahoma"/>
            <family val="2"/>
          </rPr>
          <t xml:space="preserve">Si vous avez des revenus qui proviennent d'une autre province que le Québec, </t>
        </r>
        <r>
          <rPr>
            <b/>
            <sz val="9"/>
            <color indexed="81"/>
            <rFont val="Tahoma"/>
            <family val="2"/>
          </rPr>
          <t xml:space="preserve">
veuillez inscrire ce montant à la case 105 </t>
        </r>
        <r>
          <rPr>
            <sz val="9"/>
            <color indexed="81"/>
            <rFont val="Tahoma"/>
            <family val="2"/>
          </rPr>
          <t>"TPS/TVH exigible et redressements</t>
        </r>
      </text>
    </comment>
    <comment ref="B8" authorId="1" shapeId="0" xr:uid="{CE1935D2-89CD-4ACF-B1F0-3AA42F41E42C}">
      <text>
        <r>
          <rPr>
            <b/>
            <sz val="9"/>
            <color indexed="81"/>
            <rFont val="Tahoma"/>
            <family val="2"/>
          </rPr>
          <t xml:space="preserve">Inscrire ce montant à la case 205
</t>
        </r>
        <r>
          <rPr>
            <sz val="9"/>
            <color indexed="81"/>
            <rFont val="Tahoma"/>
            <family val="2"/>
          </rPr>
          <t>"TVQ exigible et redressements" 
 du bordereau de paiement</t>
        </r>
      </text>
    </comment>
    <comment ref="B21" authorId="1" shapeId="0" xr:uid="{B155A994-F138-499A-95F0-64917F985FB6}">
      <text>
        <r>
          <rPr>
            <b/>
            <sz val="9"/>
            <color indexed="81"/>
            <rFont val="Tahoma"/>
            <family val="2"/>
          </rPr>
          <t>Inscrire ce montant à la case 106
 "</t>
        </r>
        <r>
          <rPr>
            <sz val="9"/>
            <color indexed="81"/>
            <rFont val="Tahoma"/>
            <family val="2"/>
          </rPr>
          <t>CTI et redressements"
 du bordereau de paiement</t>
        </r>
      </text>
    </comment>
    <comment ref="C21" authorId="1" shapeId="0" xr:uid="{ACF12ED9-3D95-4F91-9B35-794670F4CCF0}">
      <text>
        <r>
          <rPr>
            <b/>
            <sz val="9"/>
            <color indexed="81"/>
            <rFont val="Tahoma"/>
            <family val="2"/>
          </rPr>
          <t>Inscrire ce montant à la case 206
 "</t>
        </r>
        <r>
          <rPr>
            <sz val="9"/>
            <color indexed="81"/>
            <rFont val="Tahoma"/>
            <family val="2"/>
          </rPr>
          <t>RTI et redressements"
 du bordereau de paiement</t>
        </r>
      </text>
    </comment>
    <comment ref="B23" authorId="1" shapeId="0" xr:uid="{5E2D35AB-0556-4224-A4FB-1A70B86029B5}">
      <text>
        <r>
          <rPr>
            <b/>
            <sz val="9"/>
            <color indexed="81"/>
            <rFont val="Tahoma"/>
            <family val="2"/>
          </rPr>
          <t>Inscrire ce montant à la ligne 113 "</t>
        </r>
        <r>
          <rPr>
            <sz val="9"/>
            <color indexed="81"/>
            <rFont val="Tahoma"/>
            <family val="2"/>
          </rPr>
          <t>TPS/TVH nette à payer"
 du bordeau de paiement</t>
        </r>
      </text>
    </comment>
    <comment ref="C23" authorId="1" shapeId="0" xr:uid="{F1F0550B-399B-438E-9EA2-EDDC0CB44083}">
      <text>
        <r>
          <rPr>
            <b/>
            <sz val="9"/>
            <color indexed="81"/>
            <rFont val="Tahoma"/>
            <family val="2"/>
          </rPr>
          <t xml:space="preserve">Inscrire ce montant à la ligne 213 </t>
        </r>
        <r>
          <rPr>
            <sz val="9"/>
            <color indexed="81"/>
            <rFont val="Tahoma"/>
            <family val="2"/>
          </rPr>
          <t>"TVQ nette à payer ou remb."
 du bordereau de paiement</t>
        </r>
      </text>
    </comment>
    <comment ref="D23" authorId="1" shapeId="0" xr:uid="{1E6A930D-CFD4-415B-8471-337EE367C47B}">
      <text>
        <r>
          <rPr>
            <sz val="9"/>
            <color indexed="81"/>
            <rFont val="Tahoma"/>
            <family val="2"/>
          </rPr>
          <t xml:space="preserve">Si le montant est </t>
        </r>
        <r>
          <rPr>
            <b/>
            <sz val="9"/>
            <color indexed="81"/>
            <rFont val="Tahoma"/>
            <family val="2"/>
          </rPr>
          <t>positif</t>
        </r>
        <r>
          <rPr>
            <sz val="9"/>
            <color indexed="81"/>
            <rFont val="Tahoma"/>
            <family val="2"/>
          </rPr>
          <t xml:space="preserve"> inscrire le tout dans la case intitulée "</t>
        </r>
        <r>
          <rPr>
            <b/>
            <sz val="9"/>
            <color indexed="81"/>
            <rFont val="Tahoma"/>
            <family val="2"/>
          </rPr>
          <t>Solde à remettre</t>
        </r>
        <r>
          <rPr>
            <sz val="9"/>
            <color indexed="81"/>
            <rFont val="Tahoma"/>
            <family val="2"/>
          </rPr>
          <t>" du bordereau de paiement.
S'il est négatif inscrire le montant
dans la case intitulée : 
"</t>
        </r>
        <r>
          <rPr>
            <b/>
            <sz val="9"/>
            <color indexed="81"/>
            <rFont val="Tahoma"/>
            <family val="2"/>
          </rPr>
          <t>Remboursement net demandé</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B9" authorId="0" shapeId="0" xr:uid="{00000000-0006-0000-0700-000001000000}">
      <text>
        <r>
          <rPr>
            <sz val="9"/>
            <color indexed="81"/>
            <rFont val="Tahoma"/>
            <family val="2"/>
          </rPr>
          <t>Inscrire le coût d'achat si nouveau véhicule ou sa valeur à l'acquisition   www.auto123.com/en/used-cars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toshiba</author>
  </authors>
  <commentList>
    <comment ref="B6" authorId="0" shapeId="0" xr:uid="{00000000-0006-0000-0900-000001000000}">
      <text>
        <r>
          <rPr>
            <b/>
            <sz val="9"/>
            <color indexed="81"/>
            <rFont val="Tahoma"/>
            <family val="2"/>
          </rPr>
          <t xml:space="preserve">Inscrire montant  total du prêt tel que financé
</t>
        </r>
      </text>
    </comment>
    <comment ref="B7" authorId="0" shapeId="0" xr:uid="{00000000-0006-0000-0900-000002000000}">
      <text>
        <r>
          <rPr>
            <b/>
            <sz val="9"/>
            <color indexed="81"/>
            <rFont val="Tahoma"/>
            <family val="2"/>
          </rPr>
          <t xml:space="preserve">Inscrire le taux du prêt
</t>
        </r>
      </text>
    </comment>
    <comment ref="B8" authorId="0" shapeId="0" xr:uid="{00000000-0006-0000-0900-000003000000}">
      <text>
        <r>
          <rPr>
            <b/>
            <sz val="9"/>
            <color indexed="81"/>
            <rFont val="Tahoma"/>
            <family val="2"/>
          </rPr>
          <t xml:space="preserve">Paiement mensuel
</t>
        </r>
        <r>
          <rPr>
            <sz val="9"/>
            <color indexed="81"/>
            <rFont val="Tahoma"/>
            <family val="2"/>
          </rPr>
          <t xml:space="preserve">
</t>
        </r>
      </text>
    </comment>
    <comment ref="B10" authorId="0" shapeId="0" xr:uid="{00000000-0006-0000-0900-000004000000}">
      <text>
        <r>
          <rPr>
            <b/>
            <sz val="9"/>
            <color indexed="81"/>
            <rFont val="Tahoma"/>
            <family val="2"/>
          </rPr>
          <t xml:space="preserve">Nombre d'années de paiement du prêt
</t>
        </r>
        <r>
          <rPr>
            <sz val="9"/>
            <color indexed="81"/>
            <rFont val="Tahoma"/>
            <family val="2"/>
          </rPr>
          <t xml:space="preserve">
</t>
        </r>
      </text>
    </comment>
    <comment ref="C12" authorId="0" shapeId="0" xr:uid="{00000000-0006-0000-0900-000005000000}">
      <text>
        <r>
          <rPr>
            <b/>
            <sz val="9"/>
            <color indexed="81"/>
            <rFont val="Tahoma"/>
            <family val="2"/>
          </rPr>
          <t xml:space="preserve">Année début du prêt
</t>
        </r>
      </text>
    </comment>
    <comment ref="B13" authorId="0" shapeId="0" xr:uid="{00000000-0006-0000-0900-000006000000}">
      <text>
        <r>
          <rPr>
            <b/>
            <sz val="9"/>
            <color indexed="81"/>
            <rFont val="Tahoma"/>
            <family val="2"/>
          </rPr>
          <t>toshiba:</t>
        </r>
        <r>
          <rPr>
            <sz val="9"/>
            <color indexed="81"/>
            <rFont val="Tahoma"/>
            <family val="2"/>
          </rPr>
          <t xml:space="preserve">
Date premier PMT</t>
        </r>
      </text>
    </comment>
    <comment ref="C13" authorId="0" shapeId="0" xr:uid="{00000000-0006-0000-0900-000007000000}">
      <text>
        <r>
          <rPr>
            <b/>
            <sz val="9"/>
            <color indexed="81"/>
            <rFont val="Tahoma"/>
            <family val="2"/>
          </rPr>
          <t>toshiba:</t>
        </r>
        <r>
          <rPr>
            <sz val="9"/>
            <color indexed="81"/>
            <rFont val="Tahoma"/>
            <family val="2"/>
          </rPr>
          <t xml:space="preserve">
1er janvier de l'année
</t>
        </r>
      </text>
    </comment>
  </commentList>
</comments>
</file>

<file path=xl/sharedStrings.xml><?xml version="1.0" encoding="utf-8"?>
<sst xmlns="http://schemas.openxmlformats.org/spreadsheetml/2006/main" count="689" uniqueCount="446">
  <si>
    <t>Date</t>
  </si>
  <si>
    <t>Immatriculation</t>
  </si>
  <si>
    <t>Assurance</t>
  </si>
  <si>
    <t>Frais</t>
  </si>
  <si>
    <t xml:space="preserve">     - Coût des assurances automobile</t>
  </si>
  <si>
    <t xml:space="preserve">     - Coût du permis et de l'immatriculation</t>
  </si>
  <si>
    <t xml:space="preserve">     - Dépenses de gaz</t>
  </si>
  <si>
    <t>Total des km parcourus pour l'année</t>
  </si>
  <si>
    <t>Distance totale parcourue pour affaires</t>
  </si>
  <si>
    <t>Diviser par la distance totale parcourue de l'année</t>
  </si>
  <si>
    <t>Pourcentage d'utilisation pour affaires</t>
  </si>
  <si>
    <t>Dépenses déductibles</t>
  </si>
  <si>
    <t>Réparation</t>
  </si>
  <si>
    <t xml:space="preserve">     - Coût des réparations et d'entretien du véhicule</t>
  </si>
  <si>
    <t>Distance</t>
  </si>
  <si>
    <t>parcourue</t>
  </si>
  <si>
    <t xml:space="preserve">Frais </t>
  </si>
  <si>
    <t>Toutefois, pour qu'elles soient déductibles, vous vous devez de préciser la distance totale parcouru pour affaires.</t>
  </si>
  <si>
    <t>et chaque fois que vous prenez votre véhicule pour affaires, vous devriez inscrire la distance que vous parcourez.</t>
  </si>
  <si>
    <t>&amp; permis</t>
  </si>
  <si>
    <t xml:space="preserve">     - Intérêts sur emprunt ou Frais de location </t>
  </si>
  <si>
    <t>intérêts</t>
  </si>
  <si>
    <t>* vous pouvez déduire ces dépenses uniquement si :</t>
  </si>
  <si>
    <t>Pourcentage</t>
  </si>
  <si>
    <t>affaires</t>
  </si>
  <si>
    <t>Ventes nettes</t>
  </si>
  <si>
    <t>Dépenses auto</t>
  </si>
  <si>
    <t>Amortissement auto</t>
  </si>
  <si>
    <t>Total</t>
  </si>
  <si>
    <t>Revenu net</t>
  </si>
  <si>
    <t>profession</t>
  </si>
  <si>
    <t>Permis &amp;</t>
  </si>
  <si>
    <t>Chauffage &amp;</t>
  </si>
  <si>
    <t>Électricité</t>
  </si>
  <si>
    <t>Total des dépenses</t>
  </si>
  <si>
    <t>Portion affaires</t>
  </si>
  <si>
    <t>Portion personnelle</t>
  </si>
  <si>
    <t>Coût carburant affaires</t>
  </si>
  <si>
    <t>Coût du litre d'essence</t>
  </si>
  <si>
    <t>Consommation aux 100 Km</t>
  </si>
  <si>
    <t>Distance parcourue affaires</t>
  </si>
  <si>
    <t>Distance totale parcourue</t>
  </si>
  <si>
    <t>Pourcentage affaires</t>
  </si>
  <si>
    <t>Exemple de calcul inversé</t>
  </si>
  <si>
    <t>Coût total carburant</t>
  </si>
  <si>
    <t>Méthode B</t>
  </si>
  <si>
    <t>Méthode C</t>
  </si>
  <si>
    <t>Pour ce faire, il serait préférable de prendre en note, au début de chaque année la lecture de l'odomètre</t>
  </si>
  <si>
    <t>Sinon vous devrez utiliser une méthode alternative selon les dépenses en carburant (méthode B ou C)</t>
  </si>
  <si>
    <t>Prenez donc soin de compiler tous vos déplacements ainsi que vos frais d'entretien et de gaz. L'utilisation d'une</t>
  </si>
  <si>
    <t>Intérêts</t>
  </si>
  <si>
    <t>Calcul du pourcentage affaires</t>
  </si>
  <si>
    <t>Superficie utilisée pour affaires</t>
  </si>
  <si>
    <t xml:space="preserve">Superficie totale habitable </t>
  </si>
  <si>
    <t>Marque</t>
  </si>
  <si>
    <t>Modèle</t>
  </si>
  <si>
    <t>Année</t>
  </si>
  <si>
    <t>JVM</t>
  </si>
  <si>
    <t>carte de crédit pour toutes les dépenses d'affaires est fortement suggérée</t>
  </si>
  <si>
    <t>ou location</t>
  </si>
  <si>
    <t xml:space="preserve">(Km) </t>
  </si>
  <si>
    <t>Papeterie</t>
  </si>
  <si>
    <t>interurbains</t>
  </si>
  <si>
    <t>N.B. Si vous utilisez un cellulaire strictement pour fins d'affaires ou si  l'internet est nécessaire pour votre entreprise, inscrire ces</t>
  </si>
  <si>
    <t>Sources de revenu /dépenses</t>
  </si>
  <si>
    <t>Taux d'amortissement véhicule catégorie 10</t>
  </si>
  <si>
    <t>Règle du demi taux pour première année</t>
  </si>
  <si>
    <t>Fraction non amortie (FNACC)</t>
  </si>
  <si>
    <t>Pourcentage d'utilisation du véhicule an 2</t>
  </si>
  <si>
    <t>JVM du véhicule an 2 si % utilisation différent</t>
  </si>
  <si>
    <t>Modification de la FNACC si modification %</t>
  </si>
  <si>
    <t>FNACC avant amortissement</t>
  </si>
  <si>
    <t>Amortissement an 2 : Portion an 1 * 30%</t>
  </si>
  <si>
    <t xml:space="preserve">     Règle demi taux pour portion additionnelle</t>
  </si>
  <si>
    <t>Amortissement corrigé pour l'an 2</t>
  </si>
  <si>
    <t>Fraction non amortie (FNACC) an 2</t>
  </si>
  <si>
    <t xml:space="preserve">Coût en capital du véhicule </t>
  </si>
  <si>
    <t>Année subséquente</t>
  </si>
  <si>
    <t xml:space="preserve">JVM du véhicule (début utilisation affaires) </t>
  </si>
  <si>
    <t>Détermination de l'amortissement du véhicule pour une année donnée</t>
  </si>
  <si>
    <t>Amortissement 1ère année</t>
  </si>
  <si>
    <t xml:space="preserve">Pourcentage d'utilisation du véhicule, première année </t>
  </si>
  <si>
    <t>3e année</t>
  </si>
  <si>
    <t>Pourcentage d'utilisation du véhicule an 3</t>
  </si>
  <si>
    <t>JVM du véhicule an 3 si % utilisation différent</t>
  </si>
  <si>
    <t>Amortissement an 3 : Portion an 2 * 30%</t>
  </si>
  <si>
    <t>Amortissement corrigé pour l'an 3</t>
  </si>
  <si>
    <t>Fraction non amortie (FNACC) an 3</t>
  </si>
  <si>
    <t>4e année</t>
  </si>
  <si>
    <t>Pourcentage d'utilisation du véhicule an 4</t>
  </si>
  <si>
    <t>JVM du véhicule an 4 si % utilisation différent</t>
  </si>
  <si>
    <t>Amortissement an 4 : Portion an 3 * 30%</t>
  </si>
  <si>
    <t>Amortissement corrigé pour l'an 4</t>
  </si>
  <si>
    <t>Fraction non amortie (FNACC) an 4</t>
  </si>
  <si>
    <t>5e année</t>
  </si>
  <si>
    <t>Pourcentage d'utilisation du véhicule an 5</t>
  </si>
  <si>
    <t>JVM du véhicule an 5 si % utilisation différent</t>
  </si>
  <si>
    <t>Amortissement an 5 : Portion an 4 * 30%</t>
  </si>
  <si>
    <t>Amortissement corrigé pour l'an 5</t>
  </si>
  <si>
    <t>Fraction non amortie (FNACC) an 5</t>
  </si>
  <si>
    <t>6e année</t>
  </si>
  <si>
    <t>Pourcentage d'utilisation du véhicule an 6</t>
  </si>
  <si>
    <t>7e année</t>
  </si>
  <si>
    <t>Pourcentage d'utilisation du véhicule an 7</t>
  </si>
  <si>
    <t>8e année</t>
  </si>
  <si>
    <t>Pourcentage d'utilisation du véhicule an 8</t>
  </si>
  <si>
    <t>9e année</t>
  </si>
  <si>
    <t>Pourcentage d'utilisation du véhicule an 9</t>
  </si>
  <si>
    <t>Amortissement an 6 : Portion an 5 * 30%</t>
  </si>
  <si>
    <t>Amortissement corrigé pour l'an 6</t>
  </si>
  <si>
    <t>Fraction non amortie (FNACC) an 6</t>
  </si>
  <si>
    <t>JVM du véhicule an 6 si % utilisation différent</t>
  </si>
  <si>
    <t>JVM du véhicule an 7 si % utilisation différent</t>
  </si>
  <si>
    <t>Amortissement an 7 : Portion an 6 * 30%</t>
  </si>
  <si>
    <t>Amortissement corrigé pour l'an 7</t>
  </si>
  <si>
    <t>Fraction non amortie (FNACC) an 7</t>
  </si>
  <si>
    <t>JVM du véhicule an 8 si % utilisation différent</t>
  </si>
  <si>
    <t>Amortissement an 8 : Portion an 7 * 30%</t>
  </si>
  <si>
    <t>Amortissement corrigé pour l'an 8</t>
  </si>
  <si>
    <t>Fraction non amortie (FNACC) an 8</t>
  </si>
  <si>
    <t>JVM du véhicule an 9 si % utilisation différent</t>
  </si>
  <si>
    <t>Amortissement an 9 : Portion an 8 * 30%</t>
  </si>
  <si>
    <t>Amortissement corrigé pour l'an 9</t>
  </si>
  <si>
    <t>Fraction non amortie (FNACC) an 9</t>
  </si>
  <si>
    <t>10e année</t>
  </si>
  <si>
    <t>Pourcentage d'utilisation du véhicule an 10</t>
  </si>
  <si>
    <t>JVM du véhicule an 10 si % utilisation différent</t>
  </si>
  <si>
    <t>Amortissement an 10 : Portion an 9 * 30%</t>
  </si>
  <si>
    <t>Amortissement corrigé pour l'an 10</t>
  </si>
  <si>
    <t>Fraction non amortie (FNACC) an 10</t>
  </si>
  <si>
    <t>Année 1</t>
  </si>
  <si>
    <t>Si vous connaissez la véritable valeur du véhicule (RED book ou site véhicules usagés) l'inscrire</t>
  </si>
  <si>
    <t>Si pourcentage d'utilisation semblable chaque année, ne rien inscrire</t>
  </si>
  <si>
    <t>Si pourcentage d'utilisation a augmenté, inscrire les nouveaux pourcentages</t>
  </si>
  <si>
    <t>Uniquement si vous désirez obtenir une idée plus exacte de votre véritable revenu net</t>
  </si>
  <si>
    <t>Première année d'utilisation du véhicule</t>
  </si>
  <si>
    <t>Date Achat</t>
  </si>
  <si>
    <t>Vente</t>
  </si>
  <si>
    <t>Total avant taxes</t>
  </si>
  <si>
    <t>N / A</t>
  </si>
  <si>
    <t>Fournitures</t>
  </si>
  <si>
    <t>Entretien</t>
  </si>
  <si>
    <t>Voyage</t>
  </si>
  <si>
    <t>Gaz/huile</t>
  </si>
  <si>
    <t>Calcul détaillé aux fins de la TPS et de la TVQ</t>
  </si>
  <si>
    <t>TPS facturé (exigible)</t>
  </si>
  <si>
    <t>TVQ facturé (exigible)</t>
  </si>
  <si>
    <t>Ventes totales incluant TPS &amp; TVQ</t>
  </si>
  <si>
    <t>Remboursement de la taxe sur les intrants</t>
  </si>
  <si>
    <t>TPS</t>
  </si>
  <si>
    <t>TVQ</t>
  </si>
  <si>
    <t>Frais automobile</t>
  </si>
  <si>
    <t>Dépenses affaires</t>
  </si>
  <si>
    <t>Frais de bureau à domicile</t>
  </si>
  <si>
    <t>Total des CTI et RTI</t>
  </si>
  <si>
    <t>TPS et TVQ à remettre au gouvernement</t>
  </si>
  <si>
    <t>Total dépenses avec taxes</t>
  </si>
  <si>
    <t>Total si inscrit</t>
  </si>
  <si>
    <t>Êtes-vous inscrit aux fins de la TPS &amp; TVQ</t>
  </si>
  <si>
    <t>Amortissement automobile</t>
  </si>
  <si>
    <t>Ventes 1</t>
  </si>
  <si>
    <t>Ventes 2</t>
  </si>
  <si>
    <t>TPV</t>
  </si>
  <si>
    <t>Veuillez inscrire les totaux des dépenses suivantes, incluant les taxes, dans les cases jaunes</t>
  </si>
  <si>
    <t>Remarques :</t>
  </si>
  <si>
    <t>Ne rien inscrire dans les autres cases</t>
  </si>
  <si>
    <t xml:space="preserve">      ou</t>
  </si>
  <si>
    <t xml:space="preserve">Si vous êtes inscrit (TPS &amp; TVQ), veuillez cliquer sur l'onglet TPS et inscrire 1 dans la case jaune </t>
  </si>
  <si>
    <t>Internet</t>
  </si>
  <si>
    <t>&amp; entretien</t>
  </si>
  <si>
    <t>Amortissement équipement de bureau</t>
  </si>
  <si>
    <t>Les dépenses suivantes peuvent être comptabilisées pour votre rapport d'impôt :</t>
  </si>
  <si>
    <t>Calcul des frais d'utilisation d'une automobile pour fins d'affaires :</t>
  </si>
  <si>
    <t>M'avez-vous déjà transmis ces autres renseignements ?</t>
  </si>
  <si>
    <t>Amortissement équipements bureau</t>
  </si>
  <si>
    <t>Cellules de calcul</t>
  </si>
  <si>
    <t>Achats produits &amp; sous-traitance</t>
  </si>
  <si>
    <t>Si vous êtes inscrit aux fins de la TPS et de la TVQ, allez à l'onglet TPS et inscrire 1  dans la zone en jaune</t>
  </si>
  <si>
    <t>Fédéral</t>
  </si>
  <si>
    <t>Provincial</t>
  </si>
  <si>
    <t>Seuils</t>
  </si>
  <si>
    <t>Taux</t>
  </si>
  <si>
    <t>Montant limite</t>
  </si>
  <si>
    <t>Frais généraux</t>
  </si>
  <si>
    <t>Limite des frais de repas (Québec)</t>
  </si>
  <si>
    <t xml:space="preserve">     - Cette partie de votre domicile constitue votre principal lieu d'affaires </t>
  </si>
  <si>
    <t xml:space="preserve">     - vous l'utilisez uniquement pour gagner un revenu d'entreprise </t>
  </si>
  <si>
    <t xml:space="preserve">                 i.e. Vous renconter les clients à leur domicile et vous utilisez cette pièce pour la gestion de votre entreprise</t>
  </si>
  <si>
    <t xml:space="preserve">                 i.e. Vous recevez à votre domicile des clients de façon régulière et cette pièce sert uniquement à tirer des revenus d'entreprise</t>
  </si>
  <si>
    <t xml:space="preserve">Essence : Prix moyen du litre (Ensemble du Québec) </t>
  </si>
  <si>
    <t>N.B. Si utilisation mixte ou T.A &amp; salariés</t>
  </si>
  <si>
    <t>Nombre heures affaires (T.A)</t>
  </si>
  <si>
    <t>Nombre hres à titre de salarié / pers</t>
  </si>
  <si>
    <t>cotisation prof</t>
  </si>
  <si>
    <t>Revenus sur T4A, case 48</t>
  </si>
  <si>
    <t>Revenus autonomes sans T4A</t>
  </si>
  <si>
    <t>Grand total revenus autonomes</t>
  </si>
  <si>
    <t>Amortissement ordinateur</t>
  </si>
  <si>
    <t>Web</t>
  </si>
  <si>
    <t>Limites relatives aux frais de location d'une automobile</t>
  </si>
  <si>
    <t>La déduction  pour les paiements de location est plafonné, au moins élevé des trois montants suivants :</t>
  </si>
  <si>
    <t>1 ) Frais de location (incluant les tases)</t>
  </si>
  <si>
    <t>2) Frais de location maximale de 800$/mois + TX</t>
  </si>
  <si>
    <t>3) Règle faisant intervenir les prix suggéré</t>
  </si>
  <si>
    <t>Avec TX</t>
  </si>
  <si>
    <t>Avant TX</t>
  </si>
  <si>
    <t>Comparaison avec amortissement</t>
  </si>
  <si>
    <t>Dépréciation</t>
  </si>
  <si>
    <t>Solde</t>
  </si>
  <si>
    <t>Année 2</t>
  </si>
  <si>
    <t>Année 3</t>
  </si>
  <si>
    <t>Année 4</t>
  </si>
  <si>
    <t>Année 5</t>
  </si>
  <si>
    <t>Attention si frais de location &gt; 800$ ou valeur automobile &gt; 40,579$</t>
  </si>
  <si>
    <t>Remplir case jaunes Onglet Location</t>
  </si>
  <si>
    <t>La règle du prorata s'applique dans les deux cas</t>
  </si>
  <si>
    <t>PMT</t>
  </si>
  <si>
    <t>Tableaux d'amortissement</t>
  </si>
  <si>
    <t>1- Prêt automobile</t>
  </si>
  <si>
    <t>Intérêts payés</t>
  </si>
  <si>
    <t>Calcul taux périodique</t>
  </si>
  <si>
    <t>Taux pour PMT</t>
  </si>
  <si>
    <t>PV =</t>
  </si>
  <si>
    <t># PMT</t>
  </si>
  <si>
    <t>i =</t>
  </si>
  <si>
    <t xml:space="preserve">P/Y = </t>
  </si>
  <si>
    <t>C/Y</t>
  </si>
  <si>
    <t>N =</t>
  </si>
  <si>
    <t>PMT = ?</t>
  </si>
  <si>
    <t>1er PMT</t>
  </si>
  <si>
    <t>Période</t>
  </si>
  <si>
    <t>Remb. Cap</t>
  </si>
  <si>
    <t>Cédule pour paiements mensuels</t>
  </si>
  <si>
    <t>Si PMT mensuel</t>
  </si>
  <si>
    <t>Montant déductible si location</t>
  </si>
  <si>
    <t>Montant annuel moyen déductible si achat</t>
  </si>
  <si>
    <t>Pour déterminer les frais d'intérêt lorsque achat : Compléter la page Achat</t>
  </si>
  <si>
    <t>Informations reliées à la location</t>
  </si>
  <si>
    <t>Frais de location mensuels</t>
  </si>
  <si>
    <t>Prix de détail suggéré</t>
  </si>
  <si>
    <t>Modèle du véhicule</t>
  </si>
  <si>
    <t>Date de début du contrat de location</t>
  </si>
  <si>
    <t>Date de fin du contrat de location</t>
  </si>
  <si>
    <t>Calcul des frais d'intérêts annuels si paiements mensuels</t>
  </si>
  <si>
    <t>Calcul des frais d'intérêts annuels si paiements hebdomadaires</t>
  </si>
  <si>
    <t>Inscrire, s'il y a lieu, votre numéro d'entreprise (NEQ)</t>
  </si>
  <si>
    <t>Cellulaire</t>
  </si>
  <si>
    <t>Ajout Tx non déduites</t>
  </si>
  <si>
    <t>Dépenses taxables</t>
  </si>
  <si>
    <t>Dépenses avant taxes</t>
  </si>
  <si>
    <t>Totaux</t>
  </si>
  <si>
    <t>Total dépenses déductibles</t>
  </si>
  <si>
    <t>Dépenses non taxables</t>
  </si>
  <si>
    <t>Total dépenses déduc</t>
  </si>
  <si>
    <t>Avec taxes</t>
  </si>
  <si>
    <t>Sans taxes</t>
  </si>
  <si>
    <t>Taxes déduite</t>
  </si>
  <si>
    <t>Tx non déduite</t>
  </si>
  <si>
    <t xml:space="preserve">Taxes </t>
  </si>
  <si>
    <t>Féd</t>
  </si>
  <si>
    <t>Qué</t>
  </si>
  <si>
    <t>Taxes à payer /100$ de revenus</t>
  </si>
  <si>
    <t>Taxes déductibles / 100$ achats taxables</t>
  </si>
  <si>
    <t>Si revenus taxables = dépenses taxables</t>
  </si>
  <si>
    <t>Toutefois, il faut se rappeler que certaines de vos dépenses ne sont pas taxables !</t>
  </si>
  <si>
    <t>Vos revenus nets taxables</t>
  </si>
  <si>
    <t>Total de vos dépenses taxables</t>
  </si>
  <si>
    <t>Revenus nets aux fins du calcul TPS &amp; TVQ</t>
  </si>
  <si>
    <t>D'où taxes à payer (TPS / TVQ)</t>
  </si>
  <si>
    <t xml:space="preserve">D'où taxes à payer UNIQUEMENT si revenus &gt; dépenses </t>
  </si>
  <si>
    <t>Pour une meilleure compréhension du solde à payer voir note 2 ci-dessous</t>
  </si>
  <si>
    <t xml:space="preserve">Si vous produisez un rapport trimestriel, voir note 1 ci-dessous pour l'amortissement auto </t>
  </si>
  <si>
    <t xml:space="preserve">de votre automobile que pour votre compilation des taxes du 4e trimestre ou </t>
  </si>
  <si>
    <t>pour votre rapport annuel</t>
  </si>
  <si>
    <t>Note 1 : Attention au calcul des taxes en rapport avec l'amortissement automobile !</t>
  </si>
  <si>
    <t xml:space="preserve">Dans l'onglet automobile, n'inscrire dans la case  H20,  la Juste Valeur Marchande (JVM) </t>
  </si>
  <si>
    <t>Note 2 : Pour mieux comprendre votre dû</t>
  </si>
  <si>
    <t>Non taxables</t>
  </si>
  <si>
    <t>Si PMT Bi-mensuel</t>
  </si>
  <si>
    <t>Méthode D</t>
  </si>
  <si>
    <t>Gaz affaires</t>
  </si>
  <si>
    <t>Gaz total</t>
  </si>
  <si>
    <t>Kilométrage</t>
  </si>
  <si>
    <t>Publicité</t>
  </si>
  <si>
    <t>Mauvaises</t>
  </si>
  <si>
    <t>créances</t>
  </si>
  <si>
    <t>bancaires</t>
  </si>
  <si>
    <t>membership</t>
  </si>
  <si>
    <t>Assurances</t>
  </si>
  <si>
    <t>Uniquement si local commercial</t>
  </si>
  <si>
    <t>Loyer</t>
  </si>
  <si>
    <t>Attention : si vous louer un local pour offrir vos produits et/ou services vous ne pouvez déduire de frais de bureau à domicile</t>
  </si>
  <si>
    <t>Ne jamais inscrire d'informations dans ces cellules</t>
  </si>
  <si>
    <t>Revenus sur T4A, case 20 ou 28</t>
  </si>
  <si>
    <t>Si vous êtes inscrit aux fins de la TPS et de la TVQ : Inscrire vos revenus sans les taxes de vente</t>
  </si>
  <si>
    <t xml:space="preserve">Ici, toutes les dépenses sont tx incluses </t>
  </si>
  <si>
    <t>Si vous êtes inscrit aux fins de la TPS : Inscrire les coûts sans les taxes</t>
  </si>
  <si>
    <t>Si vous n'êtes pas inscrit aux fins de la TPS, inscrire le total incluant les taxes</t>
  </si>
  <si>
    <t>Ventes 3</t>
  </si>
  <si>
    <t>Ventes 4</t>
  </si>
  <si>
    <t>Total des ventes taxables (chiffres affaires)</t>
  </si>
  <si>
    <t>Canada</t>
  </si>
  <si>
    <t>féd</t>
  </si>
  <si>
    <t>prov</t>
  </si>
  <si>
    <t>Etes-vous inscrit aux fins de la TPS/TVQ (Si oui, inscrire 1; sinon 2)</t>
  </si>
  <si>
    <t>Décrire le produit ou service que vous offrez en quelques mots</t>
  </si>
  <si>
    <t>Nom de votre page Web s'il y a lieu ?</t>
  </si>
  <si>
    <t>Si vous possédez un NEQ, veuillez confirmer par Oui ou Non</t>
  </si>
  <si>
    <t>Inscrire, s'il y a lieu, votre date d'enregistrement (NEQ)</t>
  </si>
  <si>
    <t xml:space="preserve">   - vos informations au registre des entreprises sont-elles exactes ?</t>
  </si>
  <si>
    <t>Case 48</t>
  </si>
  <si>
    <t>Case 20 ou</t>
  </si>
  <si>
    <t>Case 28</t>
  </si>
  <si>
    <t xml:space="preserve">Détail des achats et/ou </t>
  </si>
  <si>
    <t>automobille</t>
  </si>
  <si>
    <t>Carburant</t>
  </si>
  <si>
    <t>Frais intérêts</t>
  </si>
  <si>
    <t>Parking</t>
  </si>
  <si>
    <t>sous-traitant</t>
  </si>
  <si>
    <t>Sous-traitant</t>
  </si>
  <si>
    <t>Repas</t>
  </si>
  <si>
    <t>intérêts &amp;</t>
  </si>
  <si>
    <t>Timbres</t>
  </si>
  <si>
    <t>taxables</t>
  </si>
  <si>
    <t xml:space="preserve">Impôts </t>
  </si>
  <si>
    <t>fonciers</t>
  </si>
  <si>
    <t>Autres 1</t>
  </si>
  <si>
    <t>Autres 2</t>
  </si>
  <si>
    <t>Ordinateur</t>
  </si>
  <si>
    <t>Équipement</t>
  </si>
  <si>
    <t>&amp; Mobilier</t>
  </si>
  <si>
    <t>Acquisition long terme</t>
  </si>
  <si>
    <t>Formation</t>
  </si>
  <si>
    <t>Ordre</t>
  </si>
  <si>
    <t>Association</t>
  </si>
  <si>
    <t>professionn</t>
  </si>
  <si>
    <t>ou loyer</t>
  </si>
  <si>
    <t>Détail des dépenses</t>
  </si>
  <si>
    <t>Cotisation</t>
  </si>
  <si>
    <t>Impôts</t>
  </si>
  <si>
    <t>JF</t>
  </si>
  <si>
    <t>Honoraires</t>
  </si>
  <si>
    <t>Frais payés par T.A</t>
  </si>
  <si>
    <t>Si vous êtes propriétaire inscrire 1; si locataire inscrire 2</t>
  </si>
  <si>
    <t xml:space="preserve">des déplacements </t>
  </si>
  <si>
    <t>(Inscrire l'endroit ou la raison)</t>
  </si>
  <si>
    <t>Est-ce que le parking est taxable ou non ?</t>
  </si>
  <si>
    <t xml:space="preserve">Si vous vendez des produits : </t>
  </si>
  <si>
    <t>Coût du permis pour une ou plusieurs des classes 1 à 5</t>
  </si>
  <si>
    <t>Points d'inaptitude</t>
  </si>
  <si>
    <t>cont. Ass.</t>
  </si>
  <si>
    <t>droits</t>
  </si>
  <si>
    <t>De 1 à 3</t>
  </si>
  <si>
    <t>De 4 à 6</t>
  </si>
  <si>
    <t>De 7 à 9</t>
  </si>
  <si>
    <t>De 10 à 14</t>
  </si>
  <si>
    <t>15 et plus</t>
  </si>
  <si>
    <t>Hors Canada</t>
  </si>
  <si>
    <t>Hors Can</t>
  </si>
  <si>
    <t>Louez-vous un local commercial ? Si oui, inscrire 1; sinon 2</t>
  </si>
  <si>
    <t>Si vous êtes deux T.A. partagez-vous le même bureau ? 1 = Oui, 2 - non</t>
  </si>
  <si>
    <t>Si page web, pouvez-vous estimer le % des ventes qui découle du Web ?</t>
  </si>
  <si>
    <t xml:space="preserve">    -  Date de début de votre entreprise</t>
  </si>
  <si>
    <t xml:space="preserve">    -  S'agit-il de votre dernière année d'activité ?</t>
  </si>
  <si>
    <t xml:space="preserve">    -  L'adresse postale de votre entreprise si autre que domicile</t>
  </si>
  <si>
    <t xml:space="preserve">    -  Le code postal de votre entreprise si autre que domicle</t>
  </si>
  <si>
    <t xml:space="preserve">    -  Le nom de l'associé, s'il y a lieu</t>
  </si>
  <si>
    <t xml:space="preserve">    -  Le NAS de l'associé, s'il y a lieu</t>
  </si>
  <si>
    <t xml:space="preserve">    - Le pourcentage des revenus/dépenses qui vous revient</t>
  </si>
  <si>
    <t xml:space="preserve">    -  Le nom du 2e associé, s'il y a lieu</t>
  </si>
  <si>
    <t xml:space="preserve">    -  Le NAS du 2e associé, s'il y a lieu</t>
  </si>
  <si>
    <t>Ligne tél</t>
  </si>
  <si>
    <t>Qc</t>
  </si>
  <si>
    <t>QC</t>
  </si>
  <si>
    <t>Immatriculation : 30$ de moins si transport en commun inexsitant dans votre localité</t>
  </si>
  <si>
    <t>Taxe</t>
  </si>
  <si>
    <t>frais adm</t>
  </si>
  <si>
    <t>Coût Total</t>
  </si>
  <si>
    <t>batisse</t>
  </si>
  <si>
    <t>N-E &amp; T-N</t>
  </si>
  <si>
    <t>Dépenses hors Québec &amp; hors Ontario</t>
  </si>
  <si>
    <t>Frais repas</t>
  </si>
  <si>
    <t>Dépenses en Ontario</t>
  </si>
  <si>
    <t>Autres frais</t>
  </si>
  <si>
    <t xml:space="preserve">Dépenses </t>
  </si>
  <si>
    <t>IPE; N-B</t>
  </si>
  <si>
    <t>TPS/TVH</t>
  </si>
  <si>
    <t>Ass. feu/vol</t>
  </si>
  <si>
    <t>Inscrire la valeur de votre inventaire au début de l'année (prix coûtant)</t>
  </si>
  <si>
    <t>Inscrire la valeur de votre inventaire à la fin de l'année (prix coûtant)</t>
  </si>
  <si>
    <t>Inscrire valeur au prix coûtant de l'inventaire de fin d'année dans onglet Identification</t>
  </si>
  <si>
    <t>Je vous suggère de dresser le pourcentage d'utilisation pour fins d'affaires en utilisant les superficies et le temps investi dans votre travail autonome</t>
  </si>
  <si>
    <t>S.V.P Inscrire votre nom ou celui de l'entreprise</t>
  </si>
  <si>
    <t>Détail des ventes</t>
  </si>
  <si>
    <t>Vivez-vous seul ou en couple ? Seul = 1; Couple = 2</t>
  </si>
  <si>
    <t>Stock d'ouverture</t>
  </si>
  <si>
    <t>Stock de fermeture</t>
  </si>
  <si>
    <t>Cout des marchandises vendues</t>
  </si>
  <si>
    <t>Revenu net avant frais bureau dom</t>
  </si>
  <si>
    <t>Livres</t>
  </si>
  <si>
    <t>Dépenses livres</t>
  </si>
  <si>
    <t>équipement</t>
  </si>
  <si>
    <t>réparation</t>
  </si>
  <si>
    <t>Pourboires</t>
  </si>
  <si>
    <t>bureau</t>
  </si>
  <si>
    <t>dépenses</t>
  </si>
  <si>
    <t>non-tax</t>
  </si>
  <si>
    <t>CMV &amp;</t>
  </si>
  <si>
    <t>référence</t>
  </si>
  <si>
    <t xml:space="preserve">Vous trouverez des informations supplémentaires en cliquant sur ces cellules </t>
  </si>
  <si>
    <t>cellule de commentaires</t>
  </si>
  <si>
    <t xml:space="preserve">Les onglets importants pour la compilation de vos revenus et dépenses d'affaires d'affaires sont ceux en jaunes. </t>
  </si>
  <si>
    <t>L'onglet domicile est réservé pour les T.A qui n'ont pas à payer  un loyer commercial sur une base mensuelle</t>
  </si>
  <si>
    <t>Iimmatriculation</t>
  </si>
  <si>
    <t>Permis de conduire</t>
  </si>
  <si>
    <t xml:space="preserve">   - votre paiement pour 2019 (au registre des entreprises) est-il déjà fait ?</t>
  </si>
  <si>
    <t>TPS seul</t>
  </si>
  <si>
    <t>Feuillet T4A</t>
  </si>
  <si>
    <t>dépenses dans la feuille "dépenses affaires" . Idem si ligne téléphonique d'affaires</t>
  </si>
  <si>
    <t>Revenu T.A vs chiffrier REER 2019</t>
  </si>
  <si>
    <t>Cotisations Professionnelles</t>
  </si>
  <si>
    <t>Aperçu de votre état des résultats - Année 2019</t>
  </si>
  <si>
    <t>Revenus gagnés</t>
  </si>
  <si>
    <t>au Québec</t>
  </si>
  <si>
    <t>dans tout le Canada</t>
  </si>
  <si>
    <t>Nom de l'entreprise</t>
  </si>
  <si>
    <t>Prière de répondre - minimalement - aux 5 premiers questions</t>
  </si>
  <si>
    <t>Taxables</t>
  </si>
  <si>
    <t>Vous pouvez imprimer cette page et la conserver avec votre rapport de TPS &amp; TVQ !</t>
  </si>
  <si>
    <t>Amortissement années antérieures</t>
  </si>
  <si>
    <t>Revenus pour travail autonome 2020</t>
  </si>
  <si>
    <t>Frais d'utilisation d'une automobile (2020)</t>
  </si>
  <si>
    <t>Dépenses affaires 2020</t>
  </si>
  <si>
    <t>Dépenses reliées aux frais de bureau à domicile* (2020)</t>
  </si>
  <si>
    <t>11e année</t>
  </si>
  <si>
    <t>12e année</t>
  </si>
  <si>
    <t>13e année</t>
  </si>
  <si>
    <t>14e année</t>
  </si>
  <si>
    <t>Kilométrage de fin d'année ( ou fin du trimestre)</t>
  </si>
  <si>
    <t>Moins kilométrage de début d'année (début du trimestre)</t>
  </si>
  <si>
    <t>Frais de formation</t>
  </si>
  <si>
    <t>Crédit admissible 2020 pour formation</t>
  </si>
  <si>
    <t>Crédit déjà demandé antérieurement</t>
  </si>
  <si>
    <t xml:space="preserve">Frais de formation admissible </t>
  </si>
  <si>
    <t>Crédit demandé pour allocation forma</t>
  </si>
  <si>
    <t>Frais de scolarité déductibles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</si>
</sst>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_);[Red]\(#,##0.00\ &quot;$&quot;\)"/>
    <numFmt numFmtId="44" formatCode="_ * #,##0.00_)\ &quot;$&quot;_ ;_ * \(#,##0.00\)\ &quot;$&quot;_ ;_ * &quot;-&quot;??_)\ &quot;$&quot;_ ;_ @_ "/>
    <numFmt numFmtId="164" formatCode="[$-F800]dddd\,\ mmmm\ dd\,\ yyyy"/>
    <numFmt numFmtId="165" formatCode="#,##0.00\ &quot;$&quot;_-"/>
    <numFmt numFmtId="166" formatCode="#,##0\ &quot;$&quot;_-"/>
    <numFmt numFmtId="167" formatCode="[$$-1009]#,##0.00"/>
    <numFmt numFmtId="168" formatCode="0.0%"/>
    <numFmt numFmtId="169" formatCode="#,##0.00\ &quot;$&quot;"/>
    <numFmt numFmtId="170" formatCode="#,##0.00\ &quot;$&quot;_-;[Red]#,##0.00\ &quot;$&quot;\-"/>
    <numFmt numFmtId="171" formatCode="0.000%"/>
    <numFmt numFmtId="172" formatCode="[$-C0C]General"/>
  </numFmts>
  <fonts count="24">
    <font>
      <sz val="10"/>
      <name val="Arial"/>
    </font>
    <font>
      <sz val="8"/>
      <name val="Arial"/>
      <family val="2"/>
    </font>
    <font>
      <b/>
      <sz val="10"/>
      <name val="Arial"/>
      <family val="2"/>
    </font>
    <font>
      <b/>
      <sz val="18"/>
      <name val="Arial"/>
      <family val="2"/>
    </font>
    <font>
      <sz val="14"/>
      <name val="Arial"/>
      <family val="2"/>
    </font>
    <font>
      <sz val="10"/>
      <name val="Arial"/>
      <family val="2"/>
    </font>
    <font>
      <sz val="9"/>
      <color indexed="81"/>
      <name val="Tahoma"/>
      <family val="2"/>
    </font>
    <font>
      <b/>
      <sz val="9"/>
      <color indexed="81"/>
      <name val="Tahoma"/>
      <family val="2"/>
    </font>
    <font>
      <sz val="22"/>
      <name val="Arial"/>
      <family val="2"/>
    </font>
    <font>
      <b/>
      <sz val="12"/>
      <name val="Arial"/>
      <family val="2"/>
    </font>
    <font>
      <sz val="12"/>
      <name val="Arial"/>
      <family val="2"/>
    </font>
    <font>
      <sz val="11"/>
      <name val="Arial"/>
      <family val="2"/>
    </font>
    <font>
      <b/>
      <sz val="11"/>
      <name val="Arial"/>
      <family val="2"/>
    </font>
    <font>
      <sz val="18"/>
      <name val="Arial"/>
      <family val="2"/>
    </font>
    <font>
      <b/>
      <sz val="20"/>
      <name val="Arial"/>
      <family val="2"/>
    </font>
    <font>
      <sz val="16"/>
      <name val="Arial"/>
      <family val="2"/>
    </font>
    <font>
      <b/>
      <sz val="16"/>
      <name val="Arial"/>
      <family val="2"/>
    </font>
    <font>
      <b/>
      <sz val="14"/>
      <name val="Arial"/>
      <family val="2"/>
    </font>
    <font>
      <sz val="10"/>
      <name val="Arial"/>
      <family val="2"/>
    </font>
    <font>
      <u/>
      <sz val="10"/>
      <color theme="10"/>
      <name val="Arial"/>
      <family val="2"/>
    </font>
    <font>
      <u/>
      <sz val="12"/>
      <color theme="10"/>
      <name val="Arial"/>
      <family val="2"/>
    </font>
    <font>
      <sz val="10"/>
      <color rgb="FF000000"/>
      <name val="Arial1"/>
    </font>
    <font>
      <sz val="10"/>
      <color rgb="FF000000"/>
      <name val="Arial"/>
      <family val="2"/>
    </font>
    <font>
      <b/>
      <sz val="10"/>
      <color rgb="FF000000"/>
      <name val="Arial"/>
      <family val="2"/>
    </font>
  </fonts>
  <fills count="14">
    <fill>
      <patternFill patternType="none"/>
    </fill>
    <fill>
      <patternFill patternType="gray125"/>
    </fill>
    <fill>
      <patternFill patternType="gray0625"/>
    </fill>
    <fill>
      <patternFill patternType="solid">
        <fgColor indexed="43"/>
        <bgColor indexed="64"/>
      </patternFill>
    </fill>
    <fill>
      <patternFill patternType="solid">
        <fgColor rgb="FFFFFF99"/>
        <bgColor indexed="64"/>
      </patternFill>
    </fill>
    <fill>
      <patternFill patternType="gray0625">
        <bgColor auto="1"/>
      </patternFill>
    </fill>
    <fill>
      <patternFill patternType="solid">
        <fgColor rgb="FFFFFFCC"/>
        <bgColor indexed="64"/>
      </patternFill>
    </fill>
    <fill>
      <patternFill patternType="solid">
        <fgColor rgb="FF00FF00"/>
        <bgColor indexed="64"/>
      </patternFill>
    </fill>
    <fill>
      <patternFill patternType="gray0625">
        <fgColor theme="1" tint="0.499984740745262"/>
        <bgColor indexed="65"/>
      </patternFill>
    </fill>
    <fill>
      <patternFill patternType="gray0625">
        <fgColor theme="1" tint="0.499984740745262"/>
        <bgColor auto="1"/>
      </patternFill>
    </fill>
    <fill>
      <patternFill patternType="gray0625">
        <fgColor theme="1" tint="0.499984740745262"/>
        <bgColor rgb="FFFFFF99"/>
      </patternFill>
    </fill>
    <fill>
      <patternFill patternType="solid">
        <fgColor indexed="65"/>
        <bgColor theme="1" tint="0.499984740745262"/>
      </patternFill>
    </fill>
    <fill>
      <patternFill patternType="solid">
        <fgColor rgb="FFFFFF99"/>
        <bgColor theme="1" tint="0.499984740745262"/>
      </patternFill>
    </fill>
    <fill>
      <patternFill patternType="solid">
        <fgColor rgb="FFFF0000"/>
        <bgColor theme="0" tint="-4.9989318521683403E-2"/>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ck">
        <color indexed="64"/>
      </left>
      <right style="thin">
        <color indexed="64"/>
      </right>
      <top/>
      <bottom/>
      <diagonal/>
    </border>
    <border>
      <left style="thin">
        <color indexed="64"/>
      </left>
      <right style="thin">
        <color indexed="64"/>
      </right>
      <top/>
      <bottom style="thick">
        <color indexed="64"/>
      </bottom>
      <diagonal/>
    </border>
    <border>
      <left style="thick">
        <color indexed="64"/>
      </left>
      <right/>
      <top/>
      <bottom/>
      <diagonal/>
    </border>
    <border>
      <left style="thin">
        <color indexed="64"/>
      </left>
      <right/>
      <top/>
      <bottom/>
      <diagonal/>
    </border>
    <border>
      <left style="thin">
        <color indexed="64"/>
      </left>
      <right style="thin">
        <color indexed="64"/>
      </right>
      <top/>
      <bottom/>
      <diagonal/>
    </border>
    <border>
      <left/>
      <right style="thick">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thin">
        <color auto="1"/>
      </left>
      <right style="thick">
        <color auto="1"/>
      </right>
      <top/>
      <bottom/>
      <diagonal/>
    </border>
    <border>
      <left style="thin">
        <color auto="1"/>
      </left>
      <right/>
      <top style="thick">
        <color auto="1"/>
      </top>
      <bottom style="medium">
        <color auto="1"/>
      </bottom>
      <diagonal/>
    </border>
    <border>
      <left/>
      <right style="thin">
        <color auto="1"/>
      </right>
      <top style="thick">
        <color auto="1"/>
      </top>
      <bottom/>
      <diagonal/>
    </border>
    <border>
      <left style="thick">
        <color auto="1"/>
      </left>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auto="1"/>
      </right>
      <top style="medium">
        <color auto="1"/>
      </top>
      <bottom style="thin">
        <color auto="1"/>
      </bottom>
      <diagonal/>
    </border>
    <border>
      <left style="thin">
        <color indexed="64"/>
      </left>
      <right/>
      <top style="medium">
        <color indexed="64"/>
      </top>
      <bottom style="thick">
        <color auto="1"/>
      </bottom>
      <diagonal/>
    </border>
    <border>
      <left/>
      <right style="thick">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bottom/>
      <diagonal/>
    </border>
    <border>
      <left/>
      <right style="thin">
        <color auto="1"/>
      </right>
      <top style="medium">
        <color auto="1"/>
      </top>
      <bottom style="thick">
        <color auto="1"/>
      </bottom>
      <diagonal/>
    </border>
    <border>
      <left style="medium">
        <color auto="1"/>
      </left>
      <right/>
      <top/>
      <bottom/>
      <diagonal/>
    </border>
    <border>
      <left/>
      <right style="medium">
        <color auto="1"/>
      </right>
      <top/>
      <bottom/>
      <diagonal/>
    </border>
    <border>
      <left style="medium">
        <color auto="1"/>
      </left>
      <right style="thin">
        <color indexed="64"/>
      </right>
      <top style="thick">
        <color indexed="64"/>
      </top>
      <bottom/>
      <diagonal/>
    </border>
    <border>
      <left style="thin">
        <color indexed="64"/>
      </left>
      <right style="medium">
        <color auto="1"/>
      </right>
      <top style="thick">
        <color indexed="64"/>
      </top>
      <bottom/>
      <diagonal/>
    </border>
    <border>
      <left style="medium">
        <color auto="1"/>
      </left>
      <right style="thin">
        <color indexed="64"/>
      </right>
      <top/>
      <bottom/>
      <diagonal/>
    </border>
    <border>
      <left style="thin">
        <color indexed="64"/>
      </left>
      <right style="medium">
        <color auto="1"/>
      </right>
      <top/>
      <bottom/>
      <diagonal/>
    </border>
    <border>
      <left/>
      <right/>
      <top style="thick">
        <color indexed="64"/>
      </top>
      <bottom/>
      <diagonal/>
    </border>
    <border>
      <left style="medium">
        <color auto="1"/>
      </left>
      <right/>
      <top style="thick">
        <color indexed="64"/>
      </top>
      <bottom/>
      <diagonal/>
    </border>
    <border>
      <left style="thick">
        <color auto="1"/>
      </left>
      <right/>
      <top style="medium">
        <color auto="1"/>
      </top>
      <bottom/>
      <diagonal/>
    </border>
  </borders>
  <cellStyleXfs count="4">
    <xf numFmtId="0" fontId="0" fillId="0" borderId="0"/>
    <xf numFmtId="44" fontId="18" fillId="0" borderId="0" applyFont="0" applyFill="0" applyBorder="0" applyAlignment="0" applyProtection="0"/>
    <xf numFmtId="0" fontId="19" fillId="0" borderId="0" applyNumberFormat="0" applyFill="0" applyBorder="0" applyAlignment="0" applyProtection="0"/>
    <xf numFmtId="172" fontId="21" fillId="0" borderId="0" applyBorder="0" applyProtection="0"/>
  </cellStyleXfs>
  <cellXfs count="325">
    <xf numFmtId="0" fontId="0" fillId="0" borderId="0" xfId="0"/>
    <xf numFmtId="0" fontId="2" fillId="0" borderId="0" xfId="0" applyFont="1"/>
    <xf numFmtId="164" fontId="0" fillId="0" borderId="6" xfId="0" applyNumberFormat="1" applyBorder="1"/>
    <xf numFmtId="0" fontId="4" fillId="0" borderId="0" xfId="0" applyFont="1"/>
    <xf numFmtId="0" fontId="0" fillId="0" borderId="9" xfId="0" applyBorder="1"/>
    <xf numFmtId="0" fontId="0" fillId="0" borderId="11" xfId="0" applyBorder="1"/>
    <xf numFmtId="0" fontId="0" fillId="0" borderId="0" xfId="0" applyBorder="1"/>
    <xf numFmtId="10" fontId="0" fillId="0" borderId="0" xfId="0" applyNumberFormat="1"/>
    <xf numFmtId="164" fontId="0" fillId="0" borderId="0" xfId="0" applyNumberFormat="1" applyBorder="1"/>
    <xf numFmtId="0" fontId="0" fillId="0" borderId="0" xfId="0" applyFill="1" applyBorder="1"/>
    <xf numFmtId="0" fontId="0" fillId="2" borderId="0" xfId="0" applyFill="1"/>
    <xf numFmtId="10" fontId="0" fillId="2" borderId="0" xfId="0" applyNumberFormat="1" applyFill="1"/>
    <xf numFmtId="0" fontId="0" fillId="0" borderId="4" xfId="0" applyBorder="1" applyProtection="1">
      <protection locked="0"/>
    </xf>
    <xf numFmtId="0" fontId="0" fillId="0" borderId="27" xfId="0" applyBorder="1" applyProtection="1">
      <protection locked="0"/>
    </xf>
    <xf numFmtId="0" fontId="0" fillId="3" borderId="0" xfId="0" applyFill="1" applyProtection="1">
      <protection locked="0"/>
    </xf>
    <xf numFmtId="165" fontId="0" fillId="3" borderId="0" xfId="0" applyNumberFormat="1" applyFill="1" applyProtection="1">
      <protection locked="0"/>
    </xf>
    <xf numFmtId="16" fontId="0" fillId="0" borderId="3" xfId="0" applyNumberFormat="1" applyBorder="1" applyProtection="1">
      <protection locked="0"/>
    </xf>
    <xf numFmtId="167" fontId="0" fillId="0" borderId="0" xfId="0" applyNumberFormat="1"/>
    <xf numFmtId="167" fontId="0" fillId="2" borderId="0" xfId="0" applyNumberFormat="1" applyFill="1"/>
    <xf numFmtId="0" fontId="0" fillId="0" borderId="0" xfId="0" applyBorder="1" applyAlignment="1">
      <alignment horizontal="center"/>
    </xf>
    <xf numFmtId="165" fontId="2" fillId="2" borderId="0" xfId="0" applyNumberFormat="1" applyFont="1" applyFill="1" applyBorder="1"/>
    <xf numFmtId="0" fontId="5" fillId="0" borderId="0" xfId="0" applyFont="1"/>
    <xf numFmtId="0" fontId="0" fillId="4" borderId="0" xfId="0" applyFill="1" applyProtection="1">
      <protection locked="0"/>
    </xf>
    <xf numFmtId="0" fontId="0" fillId="0" borderId="31" xfId="0" applyBorder="1" applyProtection="1">
      <protection locked="0"/>
    </xf>
    <xf numFmtId="0" fontId="5" fillId="0" borderId="7" xfId="0" applyFont="1" applyBorder="1"/>
    <xf numFmtId="0" fontId="8" fillId="0" borderId="0" xfId="0" applyFont="1"/>
    <xf numFmtId="9" fontId="0" fillId="0" borderId="0" xfId="0" applyNumberFormat="1"/>
    <xf numFmtId="1" fontId="0" fillId="0" borderId="0" xfId="0" applyNumberFormat="1"/>
    <xf numFmtId="1" fontId="5" fillId="0" borderId="0" xfId="0" applyNumberFormat="1" applyFont="1"/>
    <xf numFmtId="9" fontId="0" fillId="4" borderId="0" xfId="0" applyNumberFormat="1" applyFill="1"/>
    <xf numFmtId="8" fontId="0" fillId="0" borderId="0" xfId="0" applyNumberFormat="1"/>
    <xf numFmtId="0" fontId="9" fillId="0" borderId="0" xfId="0" applyFont="1"/>
    <xf numFmtId="0" fontId="10" fillId="0" borderId="0" xfId="0" applyFont="1"/>
    <xf numFmtId="0" fontId="5" fillId="0" borderId="0" xfId="0" applyFont="1" applyAlignment="1">
      <alignment horizontal="right"/>
    </xf>
    <xf numFmtId="4" fontId="0" fillId="0" borderId="0" xfId="0" applyNumberFormat="1"/>
    <xf numFmtId="0" fontId="0" fillId="0" borderId="0" xfId="0" applyFill="1"/>
    <xf numFmtId="0" fontId="11" fillId="0" borderId="0" xfId="0" applyFont="1"/>
    <xf numFmtId="0" fontId="0" fillId="0" borderId="0" xfId="0" applyAlignment="1">
      <alignment horizontal="center"/>
    </xf>
    <xf numFmtId="0" fontId="2" fillId="0" borderId="0" xfId="0" applyFont="1" applyFill="1"/>
    <xf numFmtId="0" fontId="2" fillId="2" borderId="4" xfId="0" applyFont="1" applyFill="1" applyBorder="1"/>
    <xf numFmtId="0" fontId="11" fillId="0" borderId="10" xfId="0" applyFont="1" applyBorder="1"/>
    <xf numFmtId="0" fontId="11" fillId="0" borderId="14" xfId="0" applyFont="1" applyBorder="1"/>
    <xf numFmtId="0" fontId="11" fillId="0" borderId="10" xfId="0" applyFont="1" applyFill="1" applyBorder="1"/>
    <xf numFmtId="0" fontId="11" fillId="0" borderId="16" xfId="0" applyFont="1" applyFill="1" applyBorder="1"/>
    <xf numFmtId="0" fontId="11" fillId="0" borderId="12" xfId="0" applyFont="1" applyBorder="1"/>
    <xf numFmtId="0" fontId="11" fillId="0" borderId="15" xfId="0" applyFont="1" applyBorder="1"/>
    <xf numFmtId="0" fontId="11" fillId="0" borderId="19" xfId="0" applyFont="1" applyFill="1" applyBorder="1"/>
    <xf numFmtId="0" fontId="11" fillId="0" borderId="17" xfId="0" applyFont="1" applyFill="1" applyBorder="1" applyAlignment="1">
      <alignment horizontal="center"/>
    </xf>
    <xf numFmtId="0" fontId="11" fillId="0" borderId="18" xfId="0" applyFont="1" applyBorder="1"/>
    <xf numFmtId="0" fontId="11" fillId="0" borderId="20" xfId="0" applyFont="1" applyBorder="1"/>
    <xf numFmtId="165" fontId="11" fillId="0" borderId="20" xfId="0" applyNumberFormat="1" applyFont="1" applyBorder="1"/>
    <xf numFmtId="0" fontId="11" fillId="0" borderId="13" xfId="0" applyFont="1" applyBorder="1"/>
    <xf numFmtId="0" fontId="12" fillId="0" borderId="0" xfId="0" applyFont="1"/>
    <xf numFmtId="2" fontId="0" fillId="0" borderId="31" xfId="0" applyNumberFormat="1" applyBorder="1" applyProtection="1">
      <protection locked="0"/>
    </xf>
    <xf numFmtId="2" fontId="0" fillId="0" borderId="4" xfId="0" applyNumberFormat="1" applyBorder="1" applyProtection="1">
      <protection locked="0"/>
    </xf>
    <xf numFmtId="2" fontId="0" fillId="0" borderId="5" xfId="0" applyNumberFormat="1" applyBorder="1" applyProtection="1">
      <protection locked="0"/>
    </xf>
    <xf numFmtId="0" fontId="12" fillId="2" borderId="29" xfId="0" applyFont="1" applyFill="1" applyBorder="1" applyAlignment="1"/>
    <xf numFmtId="0" fontId="0" fillId="0" borderId="0" xfId="0" applyAlignment="1">
      <alignment horizontal="right"/>
    </xf>
    <xf numFmtId="169" fontId="0" fillId="3" borderId="22" xfId="0" applyNumberFormat="1" applyFill="1" applyBorder="1" applyProtection="1">
      <protection locked="0"/>
    </xf>
    <xf numFmtId="169" fontId="0" fillId="3" borderId="24" xfId="0" applyNumberFormat="1" applyFill="1" applyBorder="1" applyProtection="1">
      <protection locked="0"/>
    </xf>
    <xf numFmtId="169" fontId="0" fillId="3" borderId="10" xfId="0" applyNumberFormat="1" applyFill="1" applyBorder="1" applyProtection="1">
      <protection locked="0"/>
    </xf>
    <xf numFmtId="169" fontId="0" fillId="3" borderId="0" xfId="0" applyNumberFormat="1" applyFill="1" applyBorder="1" applyProtection="1">
      <protection locked="0"/>
    </xf>
    <xf numFmtId="0" fontId="5" fillId="4" borderId="0" xfId="0" applyFont="1" applyFill="1" applyProtection="1">
      <protection locked="0"/>
    </xf>
    <xf numFmtId="165" fontId="0" fillId="2" borderId="0" xfId="0" applyNumberFormat="1" applyFill="1" applyProtection="1"/>
    <xf numFmtId="0" fontId="5" fillId="0" borderId="41" xfId="0" applyFont="1" applyBorder="1" applyAlignment="1">
      <alignment horizontal="center"/>
    </xf>
    <xf numFmtId="0" fontId="5" fillId="0" borderId="42" xfId="0" applyFont="1" applyBorder="1" applyAlignment="1">
      <alignment horizontal="center"/>
    </xf>
    <xf numFmtId="0" fontId="0" fillId="0" borderId="42" xfId="0" applyBorder="1" applyAlignment="1">
      <alignment horizontal="center"/>
    </xf>
    <xf numFmtId="0" fontId="12" fillId="2" borderId="0" xfId="0" applyFont="1" applyFill="1" applyBorder="1" applyAlignment="1">
      <alignment horizontal="left"/>
    </xf>
    <xf numFmtId="169" fontId="0" fillId="2" borderId="35" xfId="0" applyNumberFormat="1" applyFill="1" applyBorder="1" applyProtection="1"/>
    <xf numFmtId="0" fontId="13" fillId="0" borderId="0" xfId="0" applyFont="1"/>
    <xf numFmtId="165" fontId="10" fillId="0" borderId="0" xfId="0" applyNumberFormat="1" applyFont="1"/>
    <xf numFmtId="2" fontId="10" fillId="0" borderId="0" xfId="0" applyNumberFormat="1" applyFont="1"/>
    <xf numFmtId="4" fontId="10" fillId="0" borderId="0" xfId="0" applyNumberFormat="1" applyFont="1"/>
    <xf numFmtId="170" fontId="10" fillId="0" borderId="0" xfId="0" applyNumberFormat="1" applyFont="1"/>
    <xf numFmtId="2" fontId="10" fillId="2" borderId="0" xfId="0" applyNumberFormat="1" applyFont="1" applyFill="1"/>
    <xf numFmtId="10" fontId="10" fillId="0" borderId="0" xfId="0" applyNumberFormat="1" applyFont="1"/>
    <xf numFmtId="2" fontId="0" fillId="0" borderId="0" xfId="0" applyNumberFormat="1"/>
    <xf numFmtId="15" fontId="10" fillId="0" borderId="0" xfId="0" applyNumberFormat="1" applyFont="1" applyFill="1"/>
    <xf numFmtId="16" fontId="10" fillId="0" borderId="0" xfId="0" applyNumberFormat="1" applyFont="1"/>
    <xf numFmtId="0" fontId="10" fillId="0" borderId="1" xfId="0" applyFont="1" applyBorder="1"/>
    <xf numFmtId="0" fontId="10" fillId="0" borderId="2" xfId="0" applyFont="1" applyBorder="1"/>
    <xf numFmtId="0" fontId="10" fillId="0" borderId="8" xfId="0" applyFont="1" applyBorder="1"/>
    <xf numFmtId="0" fontId="10" fillId="0" borderId="3" xfId="0" applyFont="1" applyBorder="1"/>
    <xf numFmtId="0" fontId="10" fillId="0" borderId="4" xfId="0" applyFont="1" applyBorder="1"/>
    <xf numFmtId="165" fontId="10" fillId="0" borderId="5" xfId="0" applyNumberFormat="1" applyFont="1" applyBorder="1"/>
    <xf numFmtId="170" fontId="10" fillId="0" borderId="4" xfId="0" applyNumberFormat="1" applyFont="1" applyBorder="1"/>
    <xf numFmtId="165" fontId="10" fillId="0" borderId="4" xfId="0" applyNumberFormat="1" applyFont="1" applyBorder="1"/>
    <xf numFmtId="170" fontId="10" fillId="0" borderId="5" xfId="0" applyNumberFormat="1" applyFont="1" applyBorder="1"/>
    <xf numFmtId="0" fontId="10" fillId="0" borderId="6" xfId="0" applyFont="1" applyBorder="1"/>
    <xf numFmtId="170" fontId="10" fillId="0" borderId="7" xfId="0" applyNumberFormat="1" applyFont="1" applyBorder="1"/>
    <xf numFmtId="170" fontId="10" fillId="0" borderId="25" xfId="0" applyNumberFormat="1" applyFont="1" applyBorder="1"/>
    <xf numFmtId="0" fontId="10" fillId="0" borderId="0" xfId="0" applyFont="1" applyBorder="1"/>
    <xf numFmtId="170" fontId="10" fillId="0" borderId="0" xfId="0" applyNumberFormat="1" applyFont="1" applyBorder="1"/>
    <xf numFmtId="0" fontId="10" fillId="0" borderId="26" xfId="0" applyFont="1" applyBorder="1"/>
    <xf numFmtId="171" fontId="0" fillId="0" borderId="0" xfId="0" applyNumberFormat="1"/>
    <xf numFmtId="0" fontId="15" fillId="0" borderId="0" xfId="0" applyFont="1"/>
    <xf numFmtId="167" fontId="9" fillId="0" borderId="0" xfId="0" applyNumberFormat="1" applyFont="1"/>
    <xf numFmtId="167" fontId="10" fillId="0" borderId="0" xfId="0" applyNumberFormat="1" applyFont="1"/>
    <xf numFmtId="0" fontId="10" fillId="0" borderId="0" xfId="0" applyFont="1" applyAlignment="1">
      <alignment horizontal="center"/>
    </xf>
    <xf numFmtId="0" fontId="16" fillId="0" borderId="0" xfId="0" applyFont="1"/>
    <xf numFmtId="2" fontId="0" fillId="0" borderId="27" xfId="0" applyNumberFormat="1" applyBorder="1" applyProtection="1">
      <protection locked="0"/>
    </xf>
    <xf numFmtId="2" fontId="0" fillId="0" borderId="28" xfId="0" applyNumberFormat="1" applyBorder="1" applyProtection="1">
      <protection locked="0"/>
    </xf>
    <xf numFmtId="2" fontId="0" fillId="2" borderId="7" xfId="0" applyNumberFormat="1" applyFill="1" applyBorder="1"/>
    <xf numFmtId="0" fontId="17" fillId="0" borderId="0" xfId="0" applyFont="1"/>
    <xf numFmtId="0" fontId="0" fillId="0" borderId="0" xfId="0" applyFill="1" applyProtection="1">
      <protection locked="0"/>
    </xf>
    <xf numFmtId="0" fontId="5" fillId="0" borderId="0" xfId="0" applyFont="1" applyFill="1" applyBorder="1"/>
    <xf numFmtId="169" fontId="0" fillId="0" borderId="0" xfId="0" applyNumberFormat="1"/>
    <xf numFmtId="44" fontId="0" fillId="0" borderId="0" xfId="1" applyFont="1"/>
    <xf numFmtId="0" fontId="11" fillId="0" borderId="0" xfId="0" applyFont="1" applyFill="1" applyBorder="1"/>
    <xf numFmtId="165" fontId="10" fillId="0" borderId="0" xfId="0" applyNumberFormat="1" applyFont="1" applyBorder="1"/>
    <xf numFmtId="165" fontId="10" fillId="0" borderId="48" xfId="0" applyNumberFormat="1" applyFont="1" applyBorder="1"/>
    <xf numFmtId="10" fontId="0" fillId="6" borderId="0" xfId="0" applyNumberFormat="1" applyFill="1" applyProtection="1">
      <protection locked="0"/>
    </xf>
    <xf numFmtId="165" fontId="0" fillId="6" borderId="0" xfId="0" applyNumberFormat="1" applyFill="1" applyProtection="1">
      <protection locked="0"/>
    </xf>
    <xf numFmtId="167" fontId="0" fillId="6" borderId="0" xfId="0" applyNumberFormat="1" applyFill="1" applyProtection="1">
      <protection locked="0"/>
    </xf>
    <xf numFmtId="0" fontId="0" fillId="6" borderId="0" xfId="0" applyFill="1" applyProtection="1">
      <protection locked="0"/>
    </xf>
    <xf numFmtId="0" fontId="12" fillId="0" borderId="0" xfId="0" applyFont="1" applyFill="1" applyBorder="1" applyAlignment="1">
      <alignment horizontal="left"/>
    </xf>
    <xf numFmtId="0" fontId="0" fillId="0" borderId="0" xfId="0" applyAlignment="1">
      <alignment horizontal="center"/>
    </xf>
    <xf numFmtId="0" fontId="17" fillId="0" borderId="0" xfId="0" applyFont="1" applyFill="1" applyBorder="1"/>
    <xf numFmtId="16" fontId="0" fillId="0" borderId="26" xfId="0" applyNumberFormat="1" applyBorder="1" applyProtection="1">
      <protection locked="0"/>
    </xf>
    <xf numFmtId="16" fontId="0" fillId="0" borderId="6" xfId="0" applyNumberFormat="1" applyBorder="1"/>
    <xf numFmtId="0" fontId="0" fillId="7" borderId="0" xfId="0" applyFill="1"/>
    <xf numFmtId="9" fontId="0" fillId="2" borderId="0" xfId="0" applyNumberFormat="1" applyFill="1"/>
    <xf numFmtId="0" fontId="0" fillId="5" borderId="0" xfId="0" applyFill="1"/>
    <xf numFmtId="168" fontId="0" fillId="5" borderId="0" xfId="0" applyNumberFormat="1" applyFill="1"/>
    <xf numFmtId="16" fontId="0" fillId="0" borderId="30" xfId="0" applyNumberFormat="1" applyBorder="1" applyProtection="1">
      <protection locked="0"/>
    </xf>
    <xf numFmtId="0" fontId="0" fillId="0" borderId="38" xfId="0" applyBorder="1" applyAlignment="1">
      <alignment horizontal="center"/>
    </xf>
    <xf numFmtId="0" fontId="12" fillId="0" borderId="0" xfId="0" applyFont="1" applyFill="1" applyBorder="1" applyAlignment="1">
      <alignment horizontal="left"/>
    </xf>
    <xf numFmtId="0" fontId="5" fillId="0" borderId="18" xfId="0" applyFont="1" applyBorder="1" applyAlignment="1">
      <alignment horizontal="center"/>
    </xf>
    <xf numFmtId="0" fontId="5" fillId="0" borderId="22" xfId="0" applyFont="1" applyBorder="1" applyAlignment="1">
      <alignment horizontal="center"/>
    </xf>
    <xf numFmtId="0" fontId="0" fillId="0" borderId="22" xfId="0" applyBorder="1" applyAlignment="1">
      <alignment horizontal="center"/>
    </xf>
    <xf numFmtId="0" fontId="5" fillId="0" borderId="33" xfId="0" applyFont="1" applyBorder="1" applyProtection="1">
      <protection locked="0"/>
    </xf>
    <xf numFmtId="9" fontId="0" fillId="4" borderId="33" xfId="0" applyNumberFormat="1" applyFill="1" applyBorder="1" applyProtection="1">
      <protection locked="0"/>
    </xf>
    <xf numFmtId="9" fontId="0" fillId="4" borderId="40" xfId="0" applyNumberFormat="1" applyFill="1" applyBorder="1" applyProtection="1">
      <protection locked="0"/>
    </xf>
    <xf numFmtId="0" fontId="5" fillId="0" borderId="39" xfId="0" applyFont="1" applyBorder="1" applyAlignment="1" applyProtection="1">
      <alignment horizontal="center"/>
      <protection locked="0"/>
    </xf>
    <xf numFmtId="0" fontId="0" fillId="0" borderId="0" xfId="0" applyProtection="1">
      <protection locked="0"/>
    </xf>
    <xf numFmtId="166" fontId="0" fillId="0" borderId="22" xfId="0" applyNumberFormat="1" applyBorder="1" applyAlignment="1">
      <alignment horizontal="center"/>
    </xf>
    <xf numFmtId="0" fontId="0" fillId="0" borderId="49" xfId="0"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0" fillId="0" borderId="10" xfId="0" applyBorder="1" applyAlignment="1">
      <alignment horizontal="center"/>
    </xf>
    <xf numFmtId="166" fontId="5" fillId="0" borderId="10" xfId="0" applyNumberFormat="1" applyFont="1" applyBorder="1" applyAlignment="1">
      <alignment horizontal="center"/>
    </xf>
    <xf numFmtId="166" fontId="0" fillId="0" borderId="10" xfId="0" applyNumberFormat="1" applyBorder="1" applyAlignment="1">
      <alignment horizontal="center"/>
    </xf>
    <xf numFmtId="0" fontId="0" fillId="0" borderId="16" xfId="0" applyBorder="1" applyAlignment="1">
      <alignment horizontal="center"/>
    </xf>
    <xf numFmtId="0" fontId="5" fillId="0" borderId="53" xfId="0" applyFont="1" applyBorder="1" applyProtection="1">
      <protection locked="0"/>
    </xf>
    <xf numFmtId="9" fontId="0" fillId="4" borderId="53" xfId="0" applyNumberFormat="1" applyFill="1" applyBorder="1" applyProtection="1">
      <protection locked="0"/>
    </xf>
    <xf numFmtId="2" fontId="0" fillId="0" borderId="54" xfId="0" applyNumberFormat="1" applyBorder="1" applyProtection="1">
      <protection locked="0"/>
    </xf>
    <xf numFmtId="0" fontId="11" fillId="0" borderId="52" xfId="0" applyFont="1" applyBorder="1"/>
    <xf numFmtId="15" fontId="0" fillId="4" borderId="0" xfId="0" applyNumberFormat="1" applyFill="1" applyProtection="1">
      <protection locked="0"/>
    </xf>
    <xf numFmtId="0" fontId="11" fillId="7" borderId="0" xfId="0" applyFont="1" applyFill="1"/>
    <xf numFmtId="0" fontId="0" fillId="0" borderId="60" xfId="0" applyBorder="1" applyProtection="1">
      <protection locked="0"/>
    </xf>
    <xf numFmtId="0" fontId="0" fillId="0" borderId="63" xfId="0" applyBorder="1" applyProtection="1">
      <protection locked="0"/>
    </xf>
    <xf numFmtId="0" fontId="5" fillId="0" borderId="14" xfId="0" applyFont="1" applyBorder="1" applyAlignment="1">
      <alignment horizontal="center"/>
    </xf>
    <xf numFmtId="0" fontId="0" fillId="0" borderId="21" xfId="0" applyBorder="1" applyAlignment="1">
      <alignment horizontal="center"/>
    </xf>
    <xf numFmtId="0" fontId="0" fillId="0" borderId="65" xfId="0" applyBorder="1" applyAlignment="1">
      <alignment horizontal="center"/>
    </xf>
    <xf numFmtId="9" fontId="0" fillId="4" borderId="19" xfId="0" applyNumberFormat="1" applyFill="1" applyBorder="1" applyProtection="1">
      <protection locked="0"/>
    </xf>
    <xf numFmtId="0" fontId="0" fillId="0" borderId="67" xfId="0" applyBorder="1"/>
    <xf numFmtId="0" fontId="0" fillId="0" borderId="68" xfId="0" applyBorder="1"/>
    <xf numFmtId="0" fontId="5" fillId="0" borderId="69" xfId="0" applyFont="1" applyBorder="1" applyAlignment="1">
      <alignment horizontal="center"/>
    </xf>
    <xf numFmtId="0" fontId="0" fillId="0" borderId="70" xfId="0" applyBorder="1" applyAlignment="1">
      <alignment horizontal="center"/>
    </xf>
    <xf numFmtId="0" fontId="5" fillId="0" borderId="71" xfId="0" applyFont="1" applyBorder="1" applyAlignment="1">
      <alignment horizontal="center"/>
    </xf>
    <xf numFmtId="0" fontId="0" fillId="0" borderId="72" xfId="0" applyBorder="1" applyAlignment="1">
      <alignment horizontal="center"/>
    </xf>
    <xf numFmtId="0" fontId="12" fillId="7" borderId="0" xfId="0" applyFont="1" applyFill="1"/>
    <xf numFmtId="0" fontId="5" fillId="0" borderId="51" xfId="0" applyFont="1" applyBorder="1" applyAlignment="1">
      <alignment horizontal="center"/>
    </xf>
    <xf numFmtId="0" fontId="5" fillId="0" borderId="65" xfId="0" applyFont="1" applyBorder="1" applyAlignment="1">
      <alignment horizontal="center"/>
    </xf>
    <xf numFmtId="0" fontId="5" fillId="0" borderId="0" xfId="0" applyFont="1" applyBorder="1" applyAlignment="1">
      <alignment horizontal="center"/>
    </xf>
    <xf numFmtId="0" fontId="0" fillId="0" borderId="0" xfId="0" applyAlignment="1">
      <alignment horizontal="left"/>
    </xf>
    <xf numFmtId="0" fontId="9" fillId="7" borderId="0" xfId="0" applyFont="1" applyFill="1"/>
    <xf numFmtId="0" fontId="5" fillId="0" borderId="0" xfId="0" applyFont="1" applyAlignment="1">
      <alignment wrapText="1"/>
    </xf>
    <xf numFmtId="0" fontId="10" fillId="4" borderId="0" xfId="0" applyFont="1" applyFill="1" applyAlignment="1" applyProtection="1">
      <alignment horizontal="right"/>
      <protection locked="0"/>
    </xf>
    <xf numFmtId="0" fontId="20" fillId="4" borderId="0" xfId="2" applyFont="1" applyFill="1" applyAlignment="1" applyProtection="1">
      <alignment horizontal="right"/>
      <protection locked="0"/>
    </xf>
    <xf numFmtId="9" fontId="10" fillId="4" borderId="0" xfId="0" applyNumberFormat="1" applyFont="1" applyFill="1" applyAlignment="1" applyProtection="1">
      <alignment horizontal="right"/>
      <protection locked="0"/>
    </xf>
    <xf numFmtId="0" fontId="10" fillId="4" borderId="0" xfId="0" applyFont="1" applyFill="1" applyProtection="1">
      <protection locked="0"/>
    </xf>
    <xf numFmtId="15" fontId="10" fillId="4" borderId="0" xfId="0" applyNumberFormat="1" applyFont="1" applyFill="1" applyProtection="1">
      <protection locked="0"/>
    </xf>
    <xf numFmtId="49" fontId="10" fillId="4" borderId="0" xfId="0" applyNumberFormat="1" applyFont="1" applyFill="1" applyAlignment="1" applyProtection="1">
      <alignment horizontal="right"/>
      <protection locked="0"/>
    </xf>
    <xf numFmtId="3" fontId="10" fillId="4" borderId="0" xfId="0" applyNumberFormat="1" applyFont="1" applyFill="1" applyAlignment="1" applyProtection="1">
      <alignment horizontal="right"/>
      <protection locked="0"/>
    </xf>
    <xf numFmtId="10" fontId="10" fillId="4" borderId="0" xfId="0" applyNumberFormat="1" applyFont="1" applyFill="1" applyAlignment="1" applyProtection="1">
      <alignment horizontal="right"/>
      <protection locked="0"/>
    </xf>
    <xf numFmtId="0" fontId="5" fillId="0" borderId="41" xfId="0" applyFont="1" applyBorder="1" applyAlignment="1" applyProtection="1">
      <alignment horizontal="center"/>
    </xf>
    <xf numFmtId="0" fontId="5" fillId="0" borderId="42" xfId="0" applyFont="1" applyBorder="1" applyAlignment="1" applyProtection="1">
      <alignment horizontal="center"/>
    </xf>
    <xf numFmtId="0" fontId="5" fillId="0" borderId="50" xfId="0" applyFont="1" applyBorder="1" applyAlignment="1" applyProtection="1">
      <alignment horizontal="center"/>
    </xf>
    <xf numFmtId="0" fontId="5" fillId="0" borderId="18" xfId="0" applyFont="1" applyBorder="1" applyAlignment="1" applyProtection="1">
      <alignment horizontal="center"/>
    </xf>
    <xf numFmtId="0" fontId="5" fillId="0" borderId="22" xfId="0" applyFont="1" applyBorder="1" applyAlignment="1" applyProtection="1">
      <alignment horizontal="center"/>
    </xf>
    <xf numFmtId="0" fontId="5" fillId="0" borderId="12" xfId="0" applyFont="1" applyBorder="1" applyAlignment="1" applyProtection="1">
      <alignment horizontal="center"/>
    </xf>
    <xf numFmtId="0" fontId="5" fillId="0" borderId="33" xfId="0" applyFont="1" applyBorder="1" applyAlignment="1" applyProtection="1">
      <alignment horizontal="center"/>
    </xf>
    <xf numFmtId="0" fontId="5" fillId="0" borderId="23" xfId="0" applyFont="1" applyFill="1" applyBorder="1" applyAlignment="1" applyProtection="1">
      <alignment horizontal="center"/>
    </xf>
    <xf numFmtId="0" fontId="5" fillId="0" borderId="7" xfId="0" applyFont="1" applyBorder="1" applyAlignment="1" applyProtection="1">
      <alignment horizontal="center"/>
    </xf>
    <xf numFmtId="0" fontId="0" fillId="0" borderId="22" xfId="0" applyBorder="1" applyAlignment="1" applyProtection="1">
      <alignment horizontal="center"/>
    </xf>
    <xf numFmtId="0" fontId="0" fillId="0" borderId="23" xfId="0" applyBorder="1" applyProtection="1"/>
    <xf numFmtId="16" fontId="0" fillId="0" borderId="3" xfId="0" applyNumberFormat="1" applyBorder="1" applyProtection="1"/>
    <xf numFmtId="0" fontId="5" fillId="0" borderId="4" xfId="0" applyFont="1" applyBorder="1" applyProtection="1"/>
    <xf numFmtId="4" fontId="0" fillId="2" borderId="4" xfId="0" applyNumberFormat="1" applyFill="1" applyBorder="1" applyProtection="1"/>
    <xf numFmtId="4" fontId="0" fillId="2" borderId="57" xfId="0" applyNumberFormat="1" applyFill="1" applyBorder="1" applyProtection="1"/>
    <xf numFmtId="3" fontId="0" fillId="2" borderId="46" xfId="0" applyNumberFormat="1" applyFill="1" applyBorder="1" applyProtection="1"/>
    <xf numFmtId="0" fontId="0" fillId="0" borderId="26" xfId="0" applyBorder="1" applyProtection="1"/>
    <xf numFmtId="0" fontId="5" fillId="0" borderId="27" xfId="0" applyFont="1" applyBorder="1" applyProtection="1"/>
    <xf numFmtId="4" fontId="5" fillId="2" borderId="27" xfId="0" applyNumberFormat="1" applyFont="1" applyFill="1" applyBorder="1" applyAlignment="1" applyProtection="1">
      <alignment horizontal="center"/>
    </xf>
    <xf numFmtId="4" fontId="0" fillId="2" borderId="27" xfId="0" applyNumberFormat="1" applyFill="1" applyBorder="1" applyProtection="1"/>
    <xf numFmtId="4" fontId="0" fillId="2" borderId="58" xfId="0" applyNumberFormat="1" applyFill="1" applyBorder="1" applyProtection="1"/>
    <xf numFmtId="0" fontId="0" fillId="0" borderId="6" xfId="0" applyBorder="1" applyProtection="1"/>
    <xf numFmtId="0" fontId="5" fillId="0" borderId="7" xfId="0" applyFont="1" applyBorder="1" applyProtection="1"/>
    <xf numFmtId="165" fontId="0" fillId="0" borderId="7" xfId="0" applyNumberFormat="1" applyBorder="1" applyProtection="1"/>
    <xf numFmtId="4" fontId="0" fillId="2" borderId="7" xfId="0" applyNumberFormat="1" applyFill="1" applyBorder="1" applyProtection="1"/>
    <xf numFmtId="4" fontId="0" fillId="2" borderId="59" xfId="0" applyNumberFormat="1" applyFill="1" applyBorder="1" applyProtection="1"/>
    <xf numFmtId="4" fontId="2" fillId="2" borderId="47" xfId="0" applyNumberFormat="1" applyFont="1" applyFill="1" applyBorder="1" applyProtection="1"/>
    <xf numFmtId="165" fontId="2" fillId="2" borderId="29" xfId="0" applyNumberFormat="1" applyFont="1" applyFill="1" applyBorder="1" applyProtection="1"/>
    <xf numFmtId="0" fontId="5" fillId="0" borderId="60" xfId="0" applyFont="1" applyBorder="1" applyProtection="1"/>
    <xf numFmtId="0" fontId="0" fillId="0" borderId="64" xfId="0" applyBorder="1" applyProtection="1">
      <protection locked="0"/>
    </xf>
    <xf numFmtId="0" fontId="0" fillId="0" borderId="0" xfId="0" applyFill="1" applyBorder="1" applyAlignment="1">
      <alignment horizontal="center"/>
    </xf>
    <xf numFmtId="2" fontId="0" fillId="0" borderId="32" xfId="0" applyNumberFormat="1" applyBorder="1" applyAlignment="1" applyProtection="1">
      <alignment horizontal="center"/>
      <protection locked="0"/>
    </xf>
    <xf numFmtId="167" fontId="10" fillId="4" borderId="0" xfId="0" applyNumberFormat="1" applyFont="1" applyFill="1" applyProtection="1">
      <protection locked="0"/>
    </xf>
    <xf numFmtId="164" fontId="10" fillId="4" borderId="0" xfId="0" applyNumberFormat="1" applyFont="1" applyFill="1" applyProtection="1">
      <protection locked="0"/>
    </xf>
    <xf numFmtId="0" fontId="10" fillId="3" borderId="0" xfId="0" applyFont="1" applyFill="1" applyProtection="1">
      <protection locked="0"/>
    </xf>
    <xf numFmtId="10" fontId="10" fillId="3" borderId="0" xfId="0" applyNumberFormat="1" applyFont="1" applyFill="1" applyProtection="1">
      <protection locked="0"/>
    </xf>
    <xf numFmtId="0" fontId="10" fillId="4" borderId="0" xfId="0" applyNumberFormat="1" applyFont="1" applyFill="1" applyProtection="1">
      <protection locked="0"/>
    </xf>
    <xf numFmtId="172" fontId="22" fillId="0" borderId="0" xfId="3" applyFont="1" applyFill="1" applyAlignment="1" applyProtection="1"/>
    <xf numFmtId="0" fontId="5" fillId="0" borderId="39" xfId="0" applyFont="1" applyFill="1" applyBorder="1"/>
    <xf numFmtId="0" fontId="5" fillId="0" borderId="0" xfId="0" applyFont="1" applyFill="1"/>
    <xf numFmtId="0" fontId="2" fillId="0" borderId="39" xfId="0" applyFont="1" applyFill="1" applyBorder="1"/>
    <xf numFmtId="172" fontId="23" fillId="0" borderId="0" xfId="3" applyFont="1" applyFill="1" applyBorder="1" applyAlignment="1" applyProtection="1"/>
    <xf numFmtId="167" fontId="0" fillId="8" borderId="0" xfId="0" applyNumberFormat="1" applyFill="1"/>
    <xf numFmtId="167" fontId="0" fillId="9" borderId="0" xfId="0" applyNumberFormat="1" applyFill="1" applyProtection="1"/>
    <xf numFmtId="167" fontId="0" fillId="8" borderId="33" xfId="0" applyNumberFormat="1" applyFill="1" applyBorder="1" applyProtection="1"/>
    <xf numFmtId="167" fontId="0" fillId="8" borderId="40" xfId="0" applyNumberFormat="1" applyFill="1" applyBorder="1" applyProtection="1"/>
    <xf numFmtId="167" fontId="2" fillId="8" borderId="33" xfId="0" applyNumberFormat="1" applyFont="1" applyFill="1" applyBorder="1" applyProtection="1"/>
    <xf numFmtId="167" fontId="2" fillId="9" borderId="40" xfId="0" applyNumberFormat="1" applyFont="1" applyFill="1" applyBorder="1" applyProtection="1"/>
    <xf numFmtId="167" fontId="23" fillId="9" borderId="0" xfId="3" applyNumberFormat="1" applyFont="1" applyFill="1" applyBorder="1" applyAlignment="1" applyProtection="1"/>
    <xf numFmtId="167" fontId="2" fillId="9" borderId="0" xfId="0" applyNumberFormat="1" applyFont="1" applyFill="1" applyBorder="1" applyProtection="1"/>
    <xf numFmtId="167" fontId="0" fillId="8" borderId="0" xfId="0" applyNumberFormat="1" applyFill="1" applyProtection="1"/>
    <xf numFmtId="167" fontId="21" fillId="9" borderId="0" xfId="3" applyNumberFormat="1" applyFont="1" applyFill="1" applyAlignment="1" applyProtection="1"/>
    <xf numFmtId="167" fontId="0" fillId="8" borderId="39" xfId="0" applyNumberFormat="1" applyFill="1" applyBorder="1" applyProtection="1"/>
    <xf numFmtId="167" fontId="0" fillId="9" borderId="40" xfId="0" applyNumberFormat="1" applyFill="1" applyBorder="1" applyProtection="1"/>
    <xf numFmtId="167" fontId="0" fillId="9" borderId="39" xfId="0" applyNumberFormat="1" applyFill="1" applyBorder="1" applyProtection="1"/>
    <xf numFmtId="167" fontId="0" fillId="9" borderId="1" xfId="0" applyNumberFormat="1" applyFill="1" applyBorder="1" applyProtection="1"/>
    <xf numFmtId="167" fontId="0" fillId="9" borderId="8" xfId="0" applyNumberFormat="1" applyFill="1" applyBorder="1" applyProtection="1"/>
    <xf numFmtId="167" fontId="0" fillId="8" borderId="3" xfId="0" applyNumberFormat="1" applyFill="1" applyBorder="1" applyProtection="1"/>
    <xf numFmtId="167" fontId="0" fillId="8" borderId="5" xfId="0" applyNumberFormat="1" applyFill="1" applyBorder="1" applyProtection="1"/>
    <xf numFmtId="167" fontId="0" fillId="8" borderId="6" xfId="0" applyNumberFormat="1" applyFill="1" applyBorder="1" applyProtection="1"/>
    <xf numFmtId="167" fontId="0" fillId="8" borderId="25" xfId="0" applyNumberFormat="1" applyFill="1" applyBorder="1" applyProtection="1"/>
    <xf numFmtId="0" fontId="0" fillId="8" borderId="75" xfId="0" applyFill="1" applyBorder="1" applyAlignment="1">
      <alignment horizontal="center"/>
    </xf>
    <xf numFmtId="4" fontId="2" fillId="8" borderId="39" xfId="0" applyNumberFormat="1" applyFont="1" applyFill="1" applyBorder="1"/>
    <xf numFmtId="4" fontId="2" fillId="8" borderId="33" xfId="0" applyNumberFormat="1" applyFont="1" applyFill="1" applyBorder="1"/>
    <xf numFmtId="4" fontId="2" fillId="8" borderId="40" xfId="0" applyNumberFormat="1" applyFont="1" applyFill="1" applyBorder="1"/>
    <xf numFmtId="0" fontId="0" fillId="8" borderId="43" xfId="0" applyFill="1" applyBorder="1" applyAlignment="1" applyProtection="1">
      <alignment horizontal="center"/>
    </xf>
    <xf numFmtId="0" fontId="2" fillId="8" borderId="44" xfId="0" applyFont="1" applyFill="1" applyBorder="1" applyProtection="1"/>
    <xf numFmtId="2" fontId="2" fillId="8" borderId="44" xfId="0" applyNumberFormat="1" applyFont="1" applyFill="1" applyBorder="1" applyProtection="1"/>
    <xf numFmtId="2" fontId="2" fillId="8" borderId="62" xfId="0" applyNumberFormat="1" applyFont="1" applyFill="1" applyBorder="1" applyProtection="1"/>
    <xf numFmtId="0" fontId="2" fillId="8" borderId="0" xfId="0" applyFont="1" applyFill="1" applyProtection="1"/>
    <xf numFmtId="3" fontId="2" fillId="8" borderId="0" xfId="0" applyNumberFormat="1" applyFont="1" applyFill="1" applyProtection="1"/>
    <xf numFmtId="0" fontId="0" fillId="8" borderId="0" xfId="0" applyFill="1" applyProtection="1"/>
    <xf numFmtId="10" fontId="0" fillId="8" borderId="0" xfId="0" applyNumberFormat="1" applyFill="1" applyProtection="1"/>
    <xf numFmtId="37" fontId="0" fillId="8" borderId="0" xfId="1" applyNumberFormat="1" applyFont="1" applyFill="1" applyProtection="1"/>
    <xf numFmtId="165" fontId="0" fillId="8" borderId="0" xfId="0" applyNumberFormat="1" applyFill="1" applyProtection="1"/>
    <xf numFmtId="169" fontId="0" fillId="8" borderId="0" xfId="0" applyNumberFormat="1" applyFill="1" applyProtection="1"/>
    <xf numFmtId="0" fontId="0" fillId="8" borderId="43" xfId="0" applyFill="1" applyBorder="1" applyAlignment="1">
      <alignment horizontal="center"/>
    </xf>
    <xf numFmtId="0" fontId="2" fillId="8" borderId="44" xfId="0" applyFont="1" applyFill="1" applyBorder="1" applyAlignment="1">
      <alignment horizontal="center"/>
    </xf>
    <xf numFmtId="4" fontId="2" fillId="8" borderId="44" xfId="0" applyNumberFormat="1" applyFont="1" applyFill="1" applyBorder="1"/>
    <xf numFmtId="4" fontId="2" fillId="8" borderId="61" xfId="0" applyNumberFormat="1" applyFont="1" applyFill="1" applyBorder="1"/>
    <xf numFmtId="4" fontId="2" fillId="8" borderId="66" xfId="0" applyNumberFormat="1" applyFont="1" applyFill="1" applyBorder="1"/>
    <xf numFmtId="4" fontId="2" fillId="8" borderId="45" xfId="0" applyNumberFormat="1" applyFont="1" applyFill="1" applyBorder="1"/>
    <xf numFmtId="0" fontId="5" fillId="8" borderId="52" xfId="0" applyFont="1" applyFill="1" applyBorder="1" applyAlignment="1">
      <alignment horizontal="center"/>
    </xf>
    <xf numFmtId="169" fontId="0" fillId="9" borderId="21" xfId="0" applyNumberFormat="1" applyFill="1" applyBorder="1" applyProtection="1"/>
    <xf numFmtId="10" fontId="0" fillId="10" borderId="23" xfId="0" applyNumberFormat="1" applyFill="1" applyBorder="1" applyAlignment="1" applyProtection="1">
      <alignment horizontal="center"/>
      <protection locked="0"/>
    </xf>
    <xf numFmtId="169" fontId="0" fillId="9" borderId="55" xfId="0" applyNumberFormat="1" applyFill="1" applyBorder="1" applyProtection="1"/>
    <xf numFmtId="169" fontId="0" fillId="9" borderId="56" xfId="0" applyNumberFormat="1" applyFill="1" applyBorder="1" applyAlignment="1" applyProtection="1">
      <alignment horizontal="center"/>
    </xf>
    <xf numFmtId="169" fontId="0" fillId="8" borderId="21" xfId="0" applyNumberFormat="1" applyFill="1" applyBorder="1" applyProtection="1"/>
    <xf numFmtId="169" fontId="0" fillId="8" borderId="23" xfId="0" applyNumberFormat="1" applyFill="1" applyBorder="1" applyAlignment="1" applyProtection="1">
      <alignment horizontal="center"/>
    </xf>
    <xf numFmtId="169" fontId="0" fillId="8" borderId="19" xfId="0" applyNumberFormat="1" applyFill="1" applyBorder="1" applyProtection="1"/>
    <xf numFmtId="169" fontId="0" fillId="8" borderId="34" xfId="0" applyNumberFormat="1" applyFill="1" applyBorder="1" applyAlignment="1" applyProtection="1">
      <alignment horizontal="center"/>
    </xf>
    <xf numFmtId="167" fontId="10" fillId="8" borderId="0" xfId="0" applyNumberFormat="1" applyFont="1" applyFill="1"/>
    <xf numFmtId="167" fontId="2" fillId="8" borderId="0" xfId="0" applyNumberFormat="1" applyFont="1" applyFill="1"/>
    <xf numFmtId="0" fontId="0" fillId="8" borderId="0" xfId="0" applyNumberFormat="1" applyFill="1" applyProtection="1"/>
    <xf numFmtId="0" fontId="12" fillId="8" borderId="29" xfId="0" applyFont="1" applyFill="1" applyBorder="1" applyAlignment="1"/>
    <xf numFmtId="167" fontId="10" fillId="9" borderId="0" xfId="0" applyNumberFormat="1" applyFont="1" applyFill="1"/>
    <xf numFmtId="167" fontId="9" fillId="8" borderId="0" xfId="0" applyNumberFormat="1" applyFont="1" applyFill="1"/>
    <xf numFmtId="2" fontId="0" fillId="8" borderId="7" xfId="0" applyNumberFormat="1" applyFill="1" applyBorder="1"/>
    <xf numFmtId="2" fontId="0" fillId="8" borderId="25" xfId="0" applyNumberFormat="1" applyFill="1" applyBorder="1"/>
    <xf numFmtId="0" fontId="0" fillId="9" borderId="0" xfId="0" applyFill="1"/>
    <xf numFmtId="0" fontId="10" fillId="8" borderId="29" xfId="0" applyFont="1" applyFill="1" applyBorder="1"/>
    <xf numFmtId="0" fontId="10" fillId="8" borderId="29" xfId="0" applyFont="1" applyFill="1" applyBorder="1" applyAlignment="1">
      <alignment horizontal="center"/>
    </xf>
    <xf numFmtId="16" fontId="0" fillId="0" borderId="4" xfId="0" applyNumberFormat="1" applyBorder="1" applyProtection="1">
      <protection locked="0"/>
    </xf>
    <xf numFmtId="0" fontId="0" fillId="0" borderId="21" xfId="0"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15" fontId="10" fillId="4" borderId="0" xfId="0" applyNumberFormat="1" applyFont="1" applyFill="1" applyAlignment="1" applyProtection="1">
      <alignment horizontal="right"/>
      <protection locked="0"/>
    </xf>
    <xf numFmtId="167" fontId="0" fillId="12" borderId="0" xfId="0" applyNumberFormat="1" applyFill="1" applyProtection="1">
      <protection locked="0"/>
    </xf>
    <xf numFmtId="9" fontId="0" fillId="4" borderId="0" xfId="0" applyNumberFormat="1" applyFill="1" applyProtection="1">
      <protection locked="0"/>
    </xf>
    <xf numFmtId="0" fontId="14" fillId="13" borderId="0" xfId="0" applyFont="1" applyFill="1" applyAlignment="1">
      <alignment horizontal="center"/>
    </xf>
    <xf numFmtId="0" fontId="12" fillId="0" borderId="0" xfId="0" applyFont="1" applyFill="1" applyBorder="1" applyAlignment="1">
      <alignment horizontal="left"/>
    </xf>
    <xf numFmtId="0" fontId="0" fillId="0" borderId="0" xfId="0" applyFill="1" applyBorder="1" applyAlignment="1">
      <alignment horizontal="left"/>
    </xf>
    <xf numFmtId="0" fontId="5" fillId="0" borderId="36" xfId="0" applyFont="1" applyBorder="1" applyAlignment="1">
      <alignment horizontal="center"/>
    </xf>
    <xf numFmtId="0" fontId="5" fillId="0" borderId="38" xfId="0" applyFont="1" applyBorder="1" applyAlignment="1">
      <alignment horizontal="center"/>
    </xf>
    <xf numFmtId="0" fontId="0" fillId="0" borderId="38" xfId="0" applyBorder="1" applyAlignment="1">
      <alignment horizontal="center"/>
    </xf>
    <xf numFmtId="0" fontId="0" fillId="0" borderId="37" xfId="0" applyBorder="1" applyAlignment="1">
      <alignment horizontal="center"/>
    </xf>
    <xf numFmtId="0" fontId="13" fillId="0" borderId="0" xfId="0" applyFont="1" applyAlignment="1">
      <alignment horizontal="center"/>
    </xf>
    <xf numFmtId="0" fontId="0" fillId="0" borderId="0" xfId="0" applyAlignment="1">
      <alignment horizontal="center"/>
    </xf>
    <xf numFmtId="0" fontId="12" fillId="2" borderId="38" xfId="0" applyFont="1" applyFill="1" applyBorder="1" applyAlignment="1">
      <alignment horizontal="center"/>
    </xf>
    <xf numFmtId="15" fontId="0" fillId="2" borderId="36" xfId="0" applyNumberFormat="1" applyFill="1" applyBorder="1" applyAlignment="1">
      <alignment horizontal="center"/>
    </xf>
    <xf numFmtId="0" fontId="3" fillId="0" borderId="0" xfId="0" applyFont="1" applyAlignment="1">
      <alignment horizontal="center"/>
    </xf>
    <xf numFmtId="49" fontId="12" fillId="2" borderId="36" xfId="0" applyNumberFormat="1" applyFont="1" applyFill="1" applyBorder="1" applyAlignment="1" applyProtection="1">
      <alignment horizontal="right"/>
    </xf>
    <xf numFmtId="49" fontId="12" fillId="0" borderId="37" xfId="0" applyNumberFormat="1" applyFont="1" applyBorder="1" applyAlignment="1" applyProtection="1">
      <alignment horizontal="right"/>
    </xf>
    <xf numFmtId="0" fontId="0" fillId="0" borderId="36" xfId="0" applyBorder="1" applyAlignment="1" applyProtection="1">
      <alignment horizontal="center"/>
    </xf>
    <xf numFmtId="0" fontId="0" fillId="0" borderId="38" xfId="0" applyBorder="1" applyAlignment="1" applyProtection="1">
      <alignment horizontal="center"/>
    </xf>
    <xf numFmtId="0" fontId="0" fillId="0" borderId="37" xfId="0" applyBorder="1" applyAlignment="1" applyProtection="1">
      <alignment horizontal="center"/>
    </xf>
    <xf numFmtId="0" fontId="2" fillId="0" borderId="74" xfId="0" applyFont="1" applyBorder="1" applyAlignment="1">
      <alignment horizontal="center"/>
    </xf>
    <xf numFmtId="0" fontId="2" fillId="0" borderId="73" xfId="0" applyFont="1" applyBorder="1" applyAlignment="1">
      <alignment horizontal="center"/>
    </xf>
    <xf numFmtId="169" fontId="12" fillId="9" borderId="36" xfId="0" applyNumberFormat="1" applyFont="1" applyFill="1" applyBorder="1" applyAlignment="1">
      <alignment horizontal="left"/>
    </xf>
    <xf numFmtId="169" fontId="0" fillId="9" borderId="38" xfId="0" applyNumberFormat="1" applyFill="1" applyBorder="1" applyAlignment="1">
      <alignment horizontal="left"/>
    </xf>
    <xf numFmtId="169" fontId="0" fillId="9" borderId="37" xfId="0" applyNumberFormat="1" applyFill="1" applyBorder="1" applyAlignment="1">
      <alignment horizontal="left"/>
    </xf>
    <xf numFmtId="0" fontId="12" fillId="8" borderId="36" xfId="0" applyFont="1" applyFill="1" applyBorder="1" applyAlignment="1"/>
    <xf numFmtId="0" fontId="12" fillId="8" borderId="38" xfId="0" applyFont="1" applyFill="1" applyBorder="1" applyAlignment="1"/>
    <xf numFmtId="0" fontId="12" fillId="8" borderId="37" xfId="0" applyFont="1" applyFill="1" applyBorder="1" applyAlignment="1"/>
    <xf numFmtId="0" fontId="5" fillId="7" borderId="36" xfId="0" applyFont="1" applyFill="1" applyBorder="1" applyAlignment="1">
      <alignment horizontal="center"/>
    </xf>
    <xf numFmtId="0" fontId="5" fillId="7" borderId="38" xfId="0" applyFont="1" applyFill="1" applyBorder="1" applyAlignment="1">
      <alignment horizontal="center"/>
    </xf>
    <xf numFmtId="0" fontId="0" fillId="7" borderId="38" xfId="0" applyFill="1" applyBorder="1" applyAlignment="1">
      <alignment horizontal="center"/>
    </xf>
    <xf numFmtId="0" fontId="0" fillId="7" borderId="37" xfId="0" applyFill="1" applyBorder="1" applyAlignment="1">
      <alignment horizontal="center"/>
    </xf>
    <xf numFmtId="0" fontId="12" fillId="8" borderId="36" xfId="0" applyFont="1" applyFill="1" applyBorder="1" applyAlignment="1">
      <alignment horizontal="left"/>
    </xf>
    <xf numFmtId="0" fontId="0" fillId="11" borderId="38" xfId="0" applyFill="1" applyBorder="1" applyAlignment="1">
      <alignment horizontal="left"/>
    </xf>
    <xf numFmtId="0" fontId="0" fillId="11" borderId="37" xfId="0" applyFill="1" applyBorder="1" applyAlignment="1">
      <alignment horizontal="left"/>
    </xf>
    <xf numFmtId="166" fontId="0" fillId="0" borderId="14" xfId="0" applyNumberFormat="1" applyBorder="1" applyAlignment="1">
      <alignment horizontal="center"/>
    </xf>
    <xf numFmtId="0" fontId="0" fillId="0" borderId="51" xfId="0" applyBorder="1" applyAlignment="1">
      <alignment horizontal="center"/>
    </xf>
    <xf numFmtId="0" fontId="12" fillId="2" borderId="36" xfId="0" applyFont="1" applyFill="1" applyBorder="1" applyAlignment="1" applyProtection="1"/>
    <xf numFmtId="0" fontId="11" fillId="0" borderId="37" xfId="0" applyFont="1" applyBorder="1" applyAlignment="1" applyProtection="1"/>
    <xf numFmtId="0" fontId="9" fillId="7" borderId="0" xfId="0" applyFont="1" applyFill="1" applyAlignment="1"/>
    <xf numFmtId="0" fontId="0" fillId="7" borderId="0" xfId="0" applyFill="1" applyAlignment="1"/>
    <xf numFmtId="0" fontId="0" fillId="4" borderId="0" xfId="0" applyFill="1"/>
    <xf numFmtId="4" fontId="0" fillId="0" borderId="0" xfId="0" applyNumberFormat="1" applyFill="1"/>
  </cellXfs>
  <cellStyles count="4">
    <cellStyle name="Excel Built-in Normal" xfId="3" xr:uid="{DEA85740-84B4-497B-81A5-77326BC4B598}"/>
    <cellStyle name="Lien hypertexte" xfId="2" builtinId="8"/>
    <cellStyle name="Monétaire" xfId="1" builtinId="4"/>
    <cellStyle name="Normal" xfId="0" builtinId="0"/>
  </cellStyles>
  <dxfs count="0"/>
  <tableStyles count="0" defaultTableStyle="TableStyleMedium9" defaultPivotStyle="PivotStyleLight16"/>
  <colors>
    <mruColors>
      <color rgb="FFFFFF99"/>
      <color rgb="FFFFFF00"/>
      <color rgb="FFFFFF66"/>
      <color rgb="FF00FF00"/>
      <color rgb="FFFF6D6D"/>
      <color rgb="FFFF7D7D"/>
      <color rgb="FFFD494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255270</xdr:colOff>
      <xdr:row>0</xdr:row>
      <xdr:rowOff>179070</xdr:rowOff>
    </xdr:from>
    <xdr:ext cx="184731" cy="264560"/>
    <xdr:sp macro="" textlink="">
      <xdr:nvSpPr>
        <xdr:cNvPr id="2" name="ZoneTexte 1">
          <a:extLst>
            <a:ext uri="{FF2B5EF4-FFF2-40B4-BE49-F238E27FC236}">
              <a16:creationId xmlns:a16="http://schemas.microsoft.com/office/drawing/2014/main" id="{98640D5F-9F4F-455C-BEBA-2CF2F56F4A9A}"/>
            </a:ext>
          </a:extLst>
        </xdr:cNvPr>
        <xdr:cNvSpPr txBox="1"/>
      </xdr:nvSpPr>
      <xdr:spPr>
        <a:xfrm>
          <a:off x="4541520" y="179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9"/>
  <sheetViews>
    <sheetView tabSelected="1" workbookViewId="0">
      <selection activeCell="B5" sqref="B5"/>
    </sheetView>
  </sheetViews>
  <sheetFormatPr baseColWidth="10" defaultRowHeight="13.2"/>
  <cols>
    <col min="1" max="1" width="77.33203125" customWidth="1"/>
    <col min="2" max="2" width="39.88671875" customWidth="1"/>
  </cols>
  <sheetData>
    <row r="1" spans="1:2" ht="24.6">
      <c r="A1" s="285" t="s">
        <v>426</v>
      </c>
      <c r="B1" s="285"/>
    </row>
    <row r="3" spans="1:2" ht="15" hidden="1">
      <c r="A3" s="32"/>
    </row>
    <row r="4" spans="1:2" ht="7.5" hidden="1" customHeight="1">
      <c r="A4" s="32"/>
    </row>
    <row r="5" spans="1:2" ht="15.6">
      <c r="A5" s="31" t="s">
        <v>392</v>
      </c>
      <c r="B5" s="168" t="s">
        <v>425</v>
      </c>
    </row>
    <row r="6" spans="1:2" ht="15.6">
      <c r="A6" s="31" t="s">
        <v>304</v>
      </c>
      <c r="B6" s="168">
        <v>2</v>
      </c>
    </row>
    <row r="7" spans="1:2" ht="15.6">
      <c r="A7" s="31" t="s">
        <v>343</v>
      </c>
      <c r="B7" s="168">
        <v>1</v>
      </c>
    </row>
    <row r="8" spans="1:2" ht="15.6">
      <c r="A8" s="31" t="s">
        <v>394</v>
      </c>
      <c r="B8" s="168">
        <v>2</v>
      </c>
    </row>
    <row r="9" spans="1:2" ht="15.6">
      <c r="A9" s="31" t="s">
        <v>359</v>
      </c>
      <c r="B9" s="168">
        <v>2</v>
      </c>
    </row>
    <row r="10" spans="1:2" ht="15.6">
      <c r="A10" s="31" t="s">
        <v>360</v>
      </c>
      <c r="B10" s="168">
        <v>2</v>
      </c>
    </row>
    <row r="11" spans="1:2" ht="15.6">
      <c r="A11" s="31" t="s">
        <v>305</v>
      </c>
      <c r="B11" s="168"/>
    </row>
    <row r="12" spans="1:2" ht="15.6">
      <c r="A12" s="31" t="s">
        <v>306</v>
      </c>
      <c r="B12" s="169"/>
    </row>
    <row r="13" spans="1:2" ht="15.6">
      <c r="A13" s="31" t="s">
        <v>361</v>
      </c>
      <c r="B13" s="170"/>
    </row>
    <row r="14" spans="1:2" ht="15.6">
      <c r="A14" s="31" t="s">
        <v>388</v>
      </c>
      <c r="B14" s="212"/>
    </row>
    <row r="15" spans="1:2" ht="15.6">
      <c r="A15" s="31" t="s">
        <v>389</v>
      </c>
      <c r="B15" s="212"/>
    </row>
    <row r="16" spans="1:2" ht="15.6">
      <c r="A16" s="31" t="s">
        <v>245</v>
      </c>
      <c r="B16" s="171"/>
    </row>
    <row r="17" spans="1:2" ht="15.6">
      <c r="A17" s="31" t="s">
        <v>308</v>
      </c>
      <c r="B17" s="172"/>
    </row>
    <row r="18" spans="1:2" ht="7.2" customHeight="1"/>
    <row r="19" spans="1:2" ht="15.6">
      <c r="A19" s="31" t="s">
        <v>307</v>
      </c>
      <c r="B19" s="134"/>
    </row>
    <row r="20" spans="1:2" ht="15">
      <c r="A20" s="32" t="s">
        <v>309</v>
      </c>
      <c r="B20" s="168"/>
    </row>
    <row r="21" spans="1:2" ht="15">
      <c r="A21" s="32" t="s">
        <v>415</v>
      </c>
      <c r="B21" s="168"/>
    </row>
    <row r="22" spans="1:2" ht="7.2" customHeight="1">
      <c r="A22" s="32"/>
      <c r="B22" s="134"/>
    </row>
    <row r="23" spans="1:2" ht="17.399999999999999">
      <c r="A23" s="103" t="s">
        <v>173</v>
      </c>
      <c r="B23" s="134"/>
    </row>
    <row r="24" spans="1:2" ht="15">
      <c r="A24" s="32" t="s">
        <v>362</v>
      </c>
      <c r="B24" s="172"/>
    </row>
    <row r="25" spans="1:2" ht="15">
      <c r="A25" s="32" t="s">
        <v>363</v>
      </c>
      <c r="B25" s="282"/>
    </row>
    <row r="26" spans="1:2" ht="15">
      <c r="A26" s="32" t="s">
        <v>364</v>
      </c>
      <c r="B26" s="168"/>
    </row>
    <row r="27" spans="1:2" ht="15">
      <c r="A27" s="32" t="s">
        <v>365</v>
      </c>
      <c r="B27" s="173"/>
    </row>
    <row r="28" spans="1:2" ht="15">
      <c r="A28" s="32" t="s">
        <v>366</v>
      </c>
      <c r="B28" s="168"/>
    </row>
    <row r="29" spans="1:2" ht="15">
      <c r="A29" s="32" t="s">
        <v>367</v>
      </c>
      <c r="B29" s="174"/>
    </row>
    <row r="30" spans="1:2" ht="15">
      <c r="A30" s="32" t="s">
        <v>369</v>
      </c>
      <c r="B30" s="174"/>
    </row>
    <row r="31" spans="1:2" ht="15">
      <c r="A31" s="32" t="s">
        <v>370</v>
      </c>
      <c r="B31" s="174"/>
    </row>
    <row r="32" spans="1:2" ht="15">
      <c r="A32" s="32" t="s">
        <v>368</v>
      </c>
      <c r="B32" s="175"/>
    </row>
    <row r="33" spans="1:2" ht="8.4" customHeight="1">
      <c r="A33" s="32"/>
    </row>
    <row r="34" spans="1:2" ht="18" thickBot="1">
      <c r="A34" s="103" t="s">
        <v>164</v>
      </c>
    </row>
    <row r="35" spans="1:2" ht="18" hidden="1" thickBot="1">
      <c r="A35" s="117" t="s">
        <v>177</v>
      </c>
    </row>
    <row r="36" spans="1:2" ht="15.6" thickBot="1">
      <c r="A36" s="276" t="s">
        <v>292</v>
      </c>
      <c r="B36" s="277" t="s">
        <v>175</v>
      </c>
    </row>
    <row r="37" spans="1:2" ht="15.75" customHeight="1">
      <c r="A37" s="32" t="s">
        <v>409</v>
      </c>
      <c r="B37" s="98" t="s">
        <v>410</v>
      </c>
    </row>
    <row r="38" spans="1:2" ht="15">
      <c r="A38" s="32" t="s">
        <v>411</v>
      </c>
    </row>
    <row r="39" spans="1:2" ht="15">
      <c r="A39" s="32" t="s">
        <v>412</v>
      </c>
    </row>
  </sheetData>
  <sheetProtection algorithmName="SHA-512" hashValue="t5wjFMNKWUju0yD00pYmxUFkV365f+9V5LG7b+IiB5+IoZxFOSYlsf8EJmPCyTkB2OH1D84BxyYoJBWvBB11tQ==" saltValue="VQ1/kLNYUtPxRDuDJy2CTA==" spinCount="100000" sheet="1" objects="1" scenarios="1"/>
  <mergeCells count="1">
    <mergeCell ref="A1:B1"/>
  </mergeCells>
  <pageMargins left="0.70866141732283472" right="0.70866141732283472" top="0.74803149606299213" bottom="0.55118110236220474" header="0.31496062992125984" footer="0.31496062992125984"/>
  <pageSetup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52"/>
  <sheetViews>
    <sheetView workbookViewId="0">
      <selection activeCell="C14" sqref="C14"/>
    </sheetView>
  </sheetViews>
  <sheetFormatPr baseColWidth="10" defaultRowHeight="13.2"/>
  <cols>
    <col min="2" max="2" width="15.109375" customWidth="1"/>
    <col min="3" max="3" width="13.33203125" customWidth="1"/>
    <col min="4" max="4" width="14.6640625" customWidth="1"/>
    <col min="5" max="5" width="15" customWidth="1"/>
  </cols>
  <sheetData>
    <row r="1" spans="1:16" ht="27.75" customHeight="1">
      <c r="A1" s="99" t="s">
        <v>243</v>
      </c>
    </row>
    <row r="3" spans="1:16" ht="22.8">
      <c r="A3" s="69" t="s">
        <v>217</v>
      </c>
      <c r="B3" s="69"/>
      <c r="C3" s="69"/>
      <c r="D3" s="69"/>
      <c r="E3" s="69"/>
    </row>
    <row r="4" spans="1:16">
      <c r="E4" s="21" t="s">
        <v>233</v>
      </c>
    </row>
    <row r="5" spans="1:16" ht="15.6">
      <c r="A5" s="31" t="s">
        <v>218</v>
      </c>
      <c r="B5" s="32"/>
      <c r="C5" s="32"/>
      <c r="D5" s="32"/>
      <c r="E5" s="32" t="s">
        <v>219</v>
      </c>
      <c r="F5" s="32"/>
      <c r="K5" t="s">
        <v>220</v>
      </c>
      <c r="O5" t="s">
        <v>221</v>
      </c>
    </row>
    <row r="6" spans="1:16" ht="15">
      <c r="A6" s="32" t="s">
        <v>222</v>
      </c>
      <c r="B6" s="210">
        <v>20000</v>
      </c>
      <c r="C6" s="32"/>
      <c r="D6" s="32">
        <f>C12</f>
        <v>2020</v>
      </c>
      <c r="E6" s="70">
        <f>C32</f>
        <v>346.59307116066702</v>
      </c>
      <c r="F6" s="71"/>
      <c r="J6" s="57" t="s">
        <v>223</v>
      </c>
      <c r="K6">
        <v>4</v>
      </c>
      <c r="L6">
        <v>12</v>
      </c>
      <c r="M6">
        <v>26</v>
      </c>
      <c r="N6">
        <v>52</v>
      </c>
      <c r="O6">
        <f>B8</f>
        <v>12</v>
      </c>
      <c r="P6">
        <f>O6*B10</f>
        <v>60</v>
      </c>
    </row>
    <row r="7" spans="1:16" ht="15">
      <c r="A7" s="32" t="s">
        <v>224</v>
      </c>
      <c r="B7" s="211">
        <v>1.9E-2</v>
      </c>
      <c r="C7" s="32"/>
      <c r="D7" s="32">
        <f>D6+1</f>
        <v>2021</v>
      </c>
      <c r="E7" s="70">
        <f>C51</f>
        <v>272.80915201251418</v>
      </c>
      <c r="F7" s="72"/>
      <c r="K7" t="b">
        <f>IF($B$8=K6,POWER(1+$B$7/12,12/K6)-1)</f>
        <v>0</v>
      </c>
      <c r="L7">
        <f>IF($B$8=L6,POWER(1+$B$7/12,12/L6)-1)</f>
        <v>1.58333333333327E-3</v>
      </c>
      <c r="M7" t="b">
        <f>IF($B$8=M6,POWER(1+$B$7/12,12/M6)-1)</f>
        <v>0</v>
      </c>
      <c r="N7" t="b">
        <f>IF($B$8=N6,POWER(1+$B$7/N16,12/N6)-1)</f>
        <v>0</v>
      </c>
      <c r="O7">
        <f>IF($B$8=4,POWER(1+$B$7/12,12/4)-1,IF($B$8=26,POWER(1+$B$7/12,12/26)-1,IF($B$8=52,POWER(1+$B$7/12,12/52)-1,$B$7/12)))</f>
        <v>1.5833333333333333E-3</v>
      </c>
    </row>
    <row r="8" spans="1:16" ht="15">
      <c r="A8" s="32" t="s">
        <v>225</v>
      </c>
      <c r="B8" s="210">
        <v>12</v>
      </c>
      <c r="C8" s="32"/>
      <c r="D8" s="32">
        <f>D6+2</f>
        <v>2022</v>
      </c>
      <c r="E8" s="70">
        <f>C67</f>
        <v>197.61267925418784</v>
      </c>
      <c r="F8" s="71"/>
      <c r="K8" s="7">
        <f>K7*K6</f>
        <v>0</v>
      </c>
      <c r="L8" s="7">
        <f>L7*L6</f>
        <v>1.899999999999924E-2</v>
      </c>
      <c r="M8" s="7">
        <f>M7*M6</f>
        <v>0</v>
      </c>
      <c r="N8" s="7">
        <f>N7*N6</f>
        <v>0</v>
      </c>
      <c r="O8" s="7">
        <f>O7*O6</f>
        <v>1.9E-2</v>
      </c>
    </row>
    <row r="9" spans="1:16" ht="15">
      <c r="A9" s="32" t="s">
        <v>226</v>
      </c>
      <c r="B9" s="32">
        <v>12</v>
      </c>
      <c r="C9" s="32"/>
      <c r="D9" s="32">
        <f>D6+3</f>
        <v>2023</v>
      </c>
      <c r="E9" s="70">
        <f>C83</f>
        <v>120.97496573037715</v>
      </c>
      <c r="F9" s="32"/>
    </row>
    <row r="10" spans="1:16" ht="15">
      <c r="A10" s="32" t="s">
        <v>227</v>
      </c>
      <c r="B10" s="210">
        <v>5</v>
      </c>
      <c r="C10" s="32"/>
      <c r="D10" s="32">
        <f>D6+4</f>
        <v>2024</v>
      </c>
      <c r="E10" s="70">
        <f>C100</f>
        <v>42.86838813818111</v>
      </c>
      <c r="F10" s="32"/>
      <c r="M10">
        <f>POWER(1+B7/26,26/12)-1</f>
        <v>1.5840083073119793E-3</v>
      </c>
      <c r="O10" s="30">
        <f>PMT(O7,B8*B10,-B6)</f>
        <v>349.68094454937659</v>
      </c>
    </row>
    <row r="11" spans="1:16" ht="15">
      <c r="A11" s="32" t="s">
        <v>228</v>
      </c>
      <c r="B11" s="73">
        <f>PMT(O7,B8*B10,-B6)</f>
        <v>349.68094454937659</v>
      </c>
      <c r="C11" s="32"/>
      <c r="D11" s="32">
        <f>D6+5</f>
        <v>2025</v>
      </c>
      <c r="E11" s="70">
        <f>C116</f>
        <v>0</v>
      </c>
      <c r="F11" s="32"/>
    </row>
    <row r="12" spans="1:16" ht="15">
      <c r="A12" s="32" t="s">
        <v>229</v>
      </c>
      <c r="B12" s="74">
        <f>ROUNDUP(K13*12/360,0)</f>
        <v>1</v>
      </c>
      <c r="C12" s="171">
        <v>2020</v>
      </c>
      <c r="D12" s="32">
        <f>D6+6</f>
        <v>2026</v>
      </c>
      <c r="E12" s="70">
        <f>C134</f>
        <v>0</v>
      </c>
      <c r="F12" s="75"/>
      <c r="K12" s="76">
        <f>K13*12/360</f>
        <v>0.3</v>
      </c>
      <c r="L12" s="76">
        <f>ROUNDUP(K12,0)</f>
        <v>1</v>
      </c>
    </row>
    <row r="13" spans="1:16" ht="15">
      <c r="A13" s="32"/>
      <c r="B13" s="172">
        <v>43840</v>
      </c>
      <c r="C13" s="172">
        <v>43831</v>
      </c>
      <c r="D13" s="32">
        <f>D6+7</f>
        <v>2027</v>
      </c>
      <c r="E13" s="70">
        <f>C152</f>
        <v>0</v>
      </c>
      <c r="F13" s="75"/>
      <c r="K13">
        <f>DAYS360(C13,B13)</f>
        <v>9</v>
      </c>
    </row>
    <row r="14" spans="1:16" ht="15">
      <c r="A14" s="32"/>
      <c r="B14" s="77"/>
      <c r="C14" s="77"/>
      <c r="D14" s="32" t="s">
        <v>28</v>
      </c>
      <c r="E14" s="70">
        <f>SUM(E6:E13)</f>
        <v>980.85825629592728</v>
      </c>
      <c r="F14" s="75"/>
    </row>
    <row r="15" spans="1:16" ht="15">
      <c r="A15" s="32"/>
      <c r="B15" s="78"/>
      <c r="C15" s="32"/>
      <c r="D15" s="32"/>
      <c r="E15" s="32"/>
      <c r="F15" s="32"/>
    </row>
    <row r="16" spans="1:16" ht="15.6">
      <c r="A16" s="31" t="s">
        <v>232</v>
      </c>
      <c r="B16" s="32"/>
      <c r="C16" s="32"/>
      <c r="D16" s="32"/>
      <c r="E16" s="32"/>
      <c r="F16" s="32"/>
    </row>
    <row r="17" spans="1:16" ht="15.6" thickBot="1">
      <c r="A17" s="32"/>
      <c r="B17" s="32"/>
      <c r="C17" s="32"/>
      <c r="D17" s="32"/>
      <c r="E17" s="32"/>
      <c r="F17" s="32"/>
    </row>
    <row r="18" spans="1:16" ht="15">
      <c r="A18" s="79" t="s">
        <v>230</v>
      </c>
      <c r="B18" s="80" t="s">
        <v>216</v>
      </c>
      <c r="C18" s="80" t="s">
        <v>21</v>
      </c>
      <c r="D18" s="80" t="s">
        <v>231</v>
      </c>
      <c r="E18" s="81" t="s">
        <v>208</v>
      </c>
      <c r="F18" s="32"/>
    </row>
    <row r="19" spans="1:16" ht="15">
      <c r="A19" s="82">
        <v>0</v>
      </c>
      <c r="B19" s="83"/>
      <c r="C19" s="83">
        <f>O7</f>
        <v>1.5833333333333333E-3</v>
      </c>
      <c r="D19" s="83"/>
      <c r="E19" s="84">
        <f>IF(B12=1,B6,0)</f>
        <v>20000</v>
      </c>
      <c r="F19" s="32"/>
      <c r="J19" s="32"/>
      <c r="K19" s="32"/>
    </row>
    <row r="20" spans="1:16" ht="15">
      <c r="A20" s="82">
        <v>1</v>
      </c>
      <c r="B20" s="85">
        <f>IF(B12=1,$B$11,0)</f>
        <v>349.68094454937659</v>
      </c>
      <c r="C20" s="86">
        <f>E19*$C$19</f>
        <v>31.666666666666664</v>
      </c>
      <c r="D20" s="85">
        <f>B20-C20</f>
        <v>318.01427788270991</v>
      </c>
      <c r="E20" s="87">
        <f>IF(B12=2,B6,IF(B12=1,E19-D20,0))</f>
        <v>19681.98572211729</v>
      </c>
      <c r="F20" s="32"/>
      <c r="J20" s="32"/>
      <c r="K20" s="75"/>
      <c r="P20">
        <f>A20</f>
        <v>1</v>
      </c>
    </row>
    <row r="21" spans="1:16" ht="15">
      <c r="A21" s="82">
        <f>A20+1</f>
        <v>2</v>
      </c>
      <c r="B21" s="85">
        <f>IF(B12&gt;2,0,$B$11)</f>
        <v>349.68094454937659</v>
      </c>
      <c r="C21" s="86">
        <f t="shared" ref="C21:C31" si="0">E20*$C$19</f>
        <v>31.163144060019039</v>
      </c>
      <c r="D21" s="85">
        <f>B21-C21</f>
        <v>318.51780048935757</v>
      </c>
      <c r="E21" s="87">
        <f>IF($B$12=3,$B$6,IF($B$12&gt;2,0,E20-D21))</f>
        <v>19363.467921627933</v>
      </c>
      <c r="F21" s="32"/>
      <c r="J21" s="32"/>
      <c r="K21" s="32"/>
      <c r="P21">
        <f>P20+1</f>
        <v>2</v>
      </c>
    </row>
    <row r="22" spans="1:16" ht="15">
      <c r="A22" s="82">
        <f>A21+1</f>
        <v>3</v>
      </c>
      <c r="B22" s="85">
        <f>IF(B12&gt;3,0,$B$11)</f>
        <v>349.68094454937659</v>
      </c>
      <c r="C22" s="86">
        <f t="shared" si="0"/>
        <v>30.658824209244226</v>
      </c>
      <c r="D22" s="85">
        <f>B22-C22</f>
        <v>319.02212034013235</v>
      </c>
      <c r="E22" s="87">
        <f>IF($B$12=4,$B$6,IF($B$12&gt;3,0,E21-D22))</f>
        <v>19044.445801287802</v>
      </c>
      <c r="F22" s="32"/>
      <c r="J22" s="32"/>
      <c r="K22" s="32"/>
    </row>
    <row r="23" spans="1:16" ht="15">
      <c r="A23" s="82">
        <f t="shared" ref="A23:A31" si="1">A22+1</f>
        <v>4</v>
      </c>
      <c r="B23" s="85">
        <f>IF(B12&gt;4,0,$B$11)</f>
        <v>349.68094454937659</v>
      </c>
      <c r="C23" s="86">
        <f t="shared" si="0"/>
        <v>30.153705852039021</v>
      </c>
      <c r="D23" s="85">
        <f t="shared" ref="D23:D31" si="2">B23-C23</f>
        <v>319.52723869733757</v>
      </c>
      <c r="E23" s="87">
        <f>IF($B$12=5,$B$6,IF($B$12&gt;4,0,E22-D23))</f>
        <v>18724.918562590465</v>
      </c>
      <c r="F23" s="32"/>
      <c r="J23" s="32"/>
      <c r="K23" s="75"/>
    </row>
    <row r="24" spans="1:16" ht="15">
      <c r="A24" s="82">
        <f t="shared" si="1"/>
        <v>5</v>
      </c>
      <c r="B24" s="85">
        <f>IF(B12&gt;5,0,$B$11)</f>
        <v>349.68094454937659</v>
      </c>
      <c r="C24" s="86">
        <f t="shared" si="0"/>
        <v>29.647787724101569</v>
      </c>
      <c r="D24" s="85">
        <f t="shared" si="2"/>
        <v>320.033156825275</v>
      </c>
      <c r="E24" s="87">
        <f>IF($B$12=6,$B$6,IF($B$12&gt;5,0,E23-D24))</f>
        <v>18404.885405765192</v>
      </c>
      <c r="F24" s="32"/>
    </row>
    <row r="25" spans="1:16" ht="15">
      <c r="A25" s="82">
        <f t="shared" si="1"/>
        <v>6</v>
      </c>
      <c r="B25" s="85">
        <f>IF(B12&gt;6,0,$B$11)</f>
        <v>349.68094454937659</v>
      </c>
      <c r="C25" s="86">
        <f t="shared" si="0"/>
        <v>29.141068559128218</v>
      </c>
      <c r="D25" s="85">
        <f t="shared" si="2"/>
        <v>320.53987599024839</v>
      </c>
      <c r="E25" s="87">
        <f>IF($B$12=7,$B$6,IF($B$12&gt;6,0,E24-D25))</f>
        <v>18084.345529774942</v>
      </c>
      <c r="F25" s="32"/>
    </row>
    <row r="26" spans="1:16" ht="15">
      <c r="A26" s="82">
        <f t="shared" si="1"/>
        <v>7</v>
      </c>
      <c r="B26" s="85">
        <f>IF(B12&gt;7,0,$B$11)</f>
        <v>349.68094454937659</v>
      </c>
      <c r="C26" s="86">
        <f t="shared" si="0"/>
        <v>28.633547088810325</v>
      </c>
      <c r="D26" s="85">
        <f t="shared" si="2"/>
        <v>321.04739746056629</v>
      </c>
      <c r="E26" s="87">
        <f>IF($B$12=8,$B$6,IF($B$12&gt;7,0,E25-D26))</f>
        <v>17763.298132314376</v>
      </c>
      <c r="F26" s="32"/>
    </row>
    <row r="27" spans="1:16" ht="15">
      <c r="A27" s="82">
        <f t="shared" si="1"/>
        <v>8</v>
      </c>
      <c r="B27" s="85">
        <f>IF(B12&gt;8,0,$B$11)</f>
        <v>349.68094454937659</v>
      </c>
      <c r="C27" s="86">
        <f t="shared" si="0"/>
        <v>28.125222042831094</v>
      </c>
      <c r="D27" s="85">
        <f t="shared" si="2"/>
        <v>321.55572250654552</v>
      </c>
      <c r="E27" s="87">
        <f>IF($B$12=9,$B$6,IF($B$12&gt;8,0,E26-D27))</f>
        <v>17441.74240980783</v>
      </c>
      <c r="F27" s="32"/>
    </row>
    <row r="28" spans="1:16" ht="15">
      <c r="A28" s="82">
        <f t="shared" si="1"/>
        <v>9</v>
      </c>
      <c r="B28" s="85">
        <f>IF(B12&gt;9,0,$B$11)</f>
        <v>349.68094454937659</v>
      </c>
      <c r="C28" s="86">
        <f t="shared" si="0"/>
        <v>27.616092148862396</v>
      </c>
      <c r="D28" s="85">
        <f t="shared" si="2"/>
        <v>322.06485240051421</v>
      </c>
      <c r="E28" s="87">
        <f>IF($B$12=10,$B$6,IF($B$12&gt;9,0,E27-D28))</f>
        <v>17119.677557407314</v>
      </c>
      <c r="F28" s="32"/>
    </row>
    <row r="29" spans="1:16" ht="15">
      <c r="A29" s="82">
        <f t="shared" si="1"/>
        <v>10</v>
      </c>
      <c r="B29" s="85">
        <f>IF(B12&gt;10,0,$B$11)</f>
        <v>349.68094454937659</v>
      </c>
      <c r="C29" s="86">
        <f t="shared" si="0"/>
        <v>27.10615613256158</v>
      </c>
      <c r="D29" s="85">
        <f t="shared" si="2"/>
        <v>322.57478841681501</v>
      </c>
      <c r="E29" s="87">
        <f>IF($B$12=11,$B$6,IF($B$12&gt;10,0,E28-D29))</f>
        <v>16797.102768990499</v>
      </c>
      <c r="F29" s="32"/>
    </row>
    <row r="30" spans="1:16" ht="15">
      <c r="A30" s="82">
        <f t="shared" si="1"/>
        <v>11</v>
      </c>
      <c r="B30" s="85">
        <f>IF(B12&gt;11,0,$B$11)</f>
        <v>349.68094454937659</v>
      </c>
      <c r="C30" s="86">
        <f t="shared" si="0"/>
        <v>26.595412717568287</v>
      </c>
      <c r="D30" s="85">
        <f t="shared" si="2"/>
        <v>323.08553183180828</v>
      </c>
      <c r="E30" s="87">
        <f>IF($B$12=12,$B$6,IF($B$12&gt;11,0,E29-D30))</f>
        <v>16474.017237158689</v>
      </c>
      <c r="F30" s="32"/>
    </row>
    <row r="31" spans="1:16" ht="15">
      <c r="A31" s="82">
        <f t="shared" si="1"/>
        <v>12</v>
      </c>
      <c r="B31" s="85">
        <f>$B$11</f>
        <v>349.68094454937659</v>
      </c>
      <c r="C31" s="86">
        <f t="shared" si="0"/>
        <v>26.083860625501256</v>
      </c>
      <c r="D31" s="85">
        <f t="shared" si="2"/>
        <v>323.59708392387535</v>
      </c>
      <c r="E31" s="87">
        <f>E30-D31</f>
        <v>16150.420153234812</v>
      </c>
      <c r="F31" s="32"/>
    </row>
    <row r="32" spans="1:16" ht="15.6" thickBot="1">
      <c r="A32" s="88">
        <f>C12</f>
        <v>2020</v>
      </c>
      <c r="B32" s="89"/>
      <c r="C32" s="70">
        <f>SUM(C19:C31)</f>
        <v>346.59307116066702</v>
      </c>
      <c r="D32" s="73">
        <f>SUM(D19:D31)</f>
        <v>3849.5798467651848</v>
      </c>
      <c r="E32" s="90"/>
      <c r="F32" s="32"/>
    </row>
    <row r="33" spans="1:6" ht="15">
      <c r="A33" s="91"/>
      <c r="B33" s="92"/>
      <c r="C33" s="70"/>
      <c r="D33" s="73"/>
      <c r="E33" s="92"/>
      <c r="F33" s="32"/>
    </row>
    <row r="34" spans="1:6" ht="15">
      <c r="A34" s="91"/>
      <c r="B34" s="92"/>
      <c r="C34" s="70"/>
      <c r="D34" s="73"/>
      <c r="E34" s="92"/>
      <c r="F34" s="32"/>
    </row>
    <row r="35" spans="1:6" ht="15">
      <c r="A35" s="91"/>
      <c r="B35" s="92"/>
      <c r="C35" s="70"/>
      <c r="D35" s="73"/>
      <c r="E35" s="92"/>
      <c r="F35" s="32"/>
    </row>
    <row r="36" spans="1:6" ht="13.8" thickBot="1"/>
    <row r="37" spans="1:6" ht="15">
      <c r="A37" s="79" t="s">
        <v>230</v>
      </c>
      <c r="B37" s="80" t="s">
        <v>216</v>
      </c>
      <c r="C37" s="80" t="s">
        <v>21</v>
      </c>
      <c r="D37" s="80" t="s">
        <v>231</v>
      </c>
      <c r="E37" s="81" t="s">
        <v>208</v>
      </c>
    </row>
    <row r="38" spans="1:6" ht="15">
      <c r="A38" s="82">
        <v>0</v>
      </c>
      <c r="B38" s="83"/>
      <c r="C38" s="83"/>
      <c r="D38" s="83"/>
      <c r="E38" s="84">
        <f>E31</f>
        <v>16150.420153234812</v>
      </c>
    </row>
    <row r="39" spans="1:6" ht="15">
      <c r="A39" s="82">
        <v>1</v>
      </c>
      <c r="B39" s="85">
        <f t="shared" ref="B39:B50" si="3">$B$11</f>
        <v>349.68094454937659</v>
      </c>
      <c r="C39" s="86">
        <f>E38*$C$19</f>
        <v>25.571498575955118</v>
      </c>
      <c r="D39" s="85">
        <f t="shared" ref="D39:D50" si="4">B39-C39</f>
        <v>324.10944597342149</v>
      </c>
      <c r="E39" s="87">
        <f t="shared" ref="E39:E50" si="5">E38-D39</f>
        <v>15826.310707261391</v>
      </c>
    </row>
    <row r="40" spans="1:6" ht="15">
      <c r="A40" s="82">
        <f>A39+1</f>
        <v>2</v>
      </c>
      <c r="B40" s="85">
        <f t="shared" si="3"/>
        <v>349.68094454937659</v>
      </c>
      <c r="C40" s="86">
        <f t="shared" ref="C40:C50" si="6">E39*$C$19</f>
        <v>25.058325286497201</v>
      </c>
      <c r="D40" s="85">
        <f t="shared" si="4"/>
        <v>324.62261926287937</v>
      </c>
      <c r="E40" s="87">
        <f t="shared" si="5"/>
        <v>15501.688087998511</v>
      </c>
    </row>
    <row r="41" spans="1:6" ht="15">
      <c r="A41" s="82">
        <f>A40+1</f>
        <v>3</v>
      </c>
      <c r="B41" s="85">
        <f t="shared" si="3"/>
        <v>349.68094454937659</v>
      </c>
      <c r="C41" s="86">
        <f t="shared" si="6"/>
        <v>24.544339472664308</v>
      </c>
      <c r="D41" s="85">
        <f t="shared" si="4"/>
        <v>325.13660507671227</v>
      </c>
      <c r="E41" s="87">
        <f t="shared" si="5"/>
        <v>15176.551482921799</v>
      </c>
    </row>
    <row r="42" spans="1:6" ht="15">
      <c r="A42" s="82">
        <f>A41+1</f>
        <v>4</v>
      </c>
      <c r="B42" s="85">
        <f t="shared" si="3"/>
        <v>349.68094454937659</v>
      </c>
      <c r="C42" s="86">
        <f t="shared" si="6"/>
        <v>24.029539847959516</v>
      </c>
      <c r="D42" s="85">
        <f t="shared" si="4"/>
        <v>325.65140470141705</v>
      </c>
      <c r="E42" s="87">
        <f t="shared" si="5"/>
        <v>14850.900078220382</v>
      </c>
    </row>
    <row r="43" spans="1:6" ht="15">
      <c r="A43" s="93">
        <v>5</v>
      </c>
      <c r="B43" s="85">
        <f t="shared" si="3"/>
        <v>349.68094454937659</v>
      </c>
      <c r="C43" s="86">
        <f t="shared" si="6"/>
        <v>23.513925123848939</v>
      </c>
      <c r="D43" s="85">
        <f t="shared" si="4"/>
        <v>326.16701942552766</v>
      </c>
      <c r="E43" s="87">
        <f t="shared" si="5"/>
        <v>14524.733058794855</v>
      </c>
    </row>
    <row r="44" spans="1:6" ht="15">
      <c r="A44" s="93">
        <v>6</v>
      </c>
      <c r="B44" s="85">
        <f t="shared" si="3"/>
        <v>349.68094454937659</v>
      </c>
      <c r="C44" s="86">
        <f t="shared" si="6"/>
        <v>22.997494009758519</v>
      </c>
      <c r="D44" s="85">
        <f t="shared" si="4"/>
        <v>326.68345053961809</v>
      </c>
      <c r="E44" s="87">
        <f t="shared" si="5"/>
        <v>14198.049608255236</v>
      </c>
    </row>
    <row r="45" spans="1:6" ht="15">
      <c r="A45" s="93">
        <v>7</v>
      </c>
      <c r="B45" s="85">
        <f t="shared" si="3"/>
        <v>349.68094454937659</v>
      </c>
      <c r="C45" s="86">
        <f t="shared" si="6"/>
        <v>22.480245213070791</v>
      </c>
      <c r="D45" s="85">
        <f t="shared" si="4"/>
        <v>327.20069933630577</v>
      </c>
      <c r="E45" s="87">
        <f t="shared" si="5"/>
        <v>13870.84890891893</v>
      </c>
    </row>
    <row r="46" spans="1:6" ht="15">
      <c r="A46" s="93">
        <v>8</v>
      </c>
      <c r="B46" s="85">
        <f t="shared" si="3"/>
        <v>349.68094454937659</v>
      </c>
      <c r="C46" s="86">
        <f t="shared" si="6"/>
        <v>21.962177439121639</v>
      </c>
      <c r="D46" s="85">
        <f t="shared" si="4"/>
        <v>327.71876711025493</v>
      </c>
      <c r="E46" s="87">
        <f t="shared" si="5"/>
        <v>13543.130141808675</v>
      </c>
    </row>
    <row r="47" spans="1:6" ht="15">
      <c r="A47" s="93">
        <v>9</v>
      </c>
      <c r="B47" s="85">
        <f t="shared" si="3"/>
        <v>349.68094454937659</v>
      </c>
      <c r="C47" s="86">
        <f t="shared" si="6"/>
        <v>21.443289391197069</v>
      </c>
      <c r="D47" s="85">
        <f t="shared" si="4"/>
        <v>328.23765515817951</v>
      </c>
      <c r="E47" s="87">
        <f t="shared" si="5"/>
        <v>13214.892486650495</v>
      </c>
    </row>
    <row r="48" spans="1:6" ht="15">
      <c r="A48" s="93">
        <v>10</v>
      </c>
      <c r="B48" s="85">
        <f t="shared" si="3"/>
        <v>349.68094454937659</v>
      </c>
      <c r="C48" s="86">
        <f t="shared" si="6"/>
        <v>20.923579770529951</v>
      </c>
      <c r="D48" s="85">
        <f t="shared" si="4"/>
        <v>328.75736477884664</v>
      </c>
      <c r="E48" s="87">
        <f t="shared" si="5"/>
        <v>12886.135121871648</v>
      </c>
    </row>
    <row r="49" spans="1:5" ht="15">
      <c r="A49" s="93">
        <v>11</v>
      </c>
      <c r="B49" s="85">
        <f t="shared" si="3"/>
        <v>349.68094454937659</v>
      </c>
      <c r="C49" s="86">
        <f t="shared" si="6"/>
        <v>20.403047276296775</v>
      </c>
      <c r="D49" s="85">
        <f t="shared" si="4"/>
        <v>329.27789727307982</v>
      </c>
      <c r="E49" s="87">
        <f t="shared" si="5"/>
        <v>12556.857224598569</v>
      </c>
    </row>
    <row r="50" spans="1:5" ht="15">
      <c r="A50" s="93">
        <v>12</v>
      </c>
      <c r="B50" s="85">
        <f t="shared" si="3"/>
        <v>349.68094454937659</v>
      </c>
      <c r="C50" s="86">
        <f t="shared" si="6"/>
        <v>19.881690605614398</v>
      </c>
      <c r="D50" s="85">
        <f t="shared" si="4"/>
        <v>329.79925394376221</v>
      </c>
      <c r="E50" s="87">
        <f t="shared" si="5"/>
        <v>12227.057970654807</v>
      </c>
    </row>
    <row r="51" spans="1:5" ht="15.6" thickBot="1">
      <c r="A51" s="88">
        <f>A32+1</f>
        <v>2021</v>
      </c>
      <c r="B51" s="89"/>
      <c r="C51" s="70">
        <f>SUM(C39:C50)</f>
        <v>272.80915201251418</v>
      </c>
      <c r="D51" s="73">
        <f>SUM(D39:D50)</f>
        <v>3923.3621825800051</v>
      </c>
      <c r="E51" s="90"/>
    </row>
    <row r="52" spans="1:5" ht="13.8" thickBot="1"/>
    <row r="53" spans="1:5" ht="15">
      <c r="A53" s="79" t="s">
        <v>230</v>
      </c>
      <c r="B53" s="80" t="s">
        <v>216</v>
      </c>
      <c r="C53" s="80" t="s">
        <v>21</v>
      </c>
      <c r="D53" s="80" t="s">
        <v>231</v>
      </c>
      <c r="E53" s="81" t="s">
        <v>208</v>
      </c>
    </row>
    <row r="54" spans="1:5" ht="15">
      <c r="A54" s="82">
        <v>0</v>
      </c>
      <c r="B54" s="83"/>
      <c r="C54" s="83"/>
      <c r="D54" s="83"/>
      <c r="E54" s="84">
        <f>E50</f>
        <v>12227.057970654807</v>
      </c>
    </row>
    <row r="55" spans="1:5" ht="15">
      <c r="A55" s="82">
        <v>1</v>
      </c>
      <c r="B55" s="85">
        <f t="shared" ref="B55:B66" si="7">IF(E54+C55&lt;$B$11,E54+C55,$B$11)</f>
        <v>349.68094454937659</v>
      </c>
      <c r="C55" s="86">
        <f>E54*C$19</f>
        <v>19.359508453536776</v>
      </c>
      <c r="D55" s="85">
        <f>B55-C55</f>
        <v>330.32143609583983</v>
      </c>
      <c r="E55" s="87">
        <f>E54-D55</f>
        <v>11896.736534558968</v>
      </c>
    </row>
    <row r="56" spans="1:5" ht="15">
      <c r="A56" s="82">
        <f>A55+1</f>
        <v>2</v>
      </c>
      <c r="B56" s="85">
        <f t="shared" si="7"/>
        <v>349.68094454937659</v>
      </c>
      <c r="C56" s="86">
        <f t="shared" ref="C56:C66" si="8">E55*C$19</f>
        <v>18.836499513051699</v>
      </c>
      <c r="D56" s="85">
        <f>B56-C56</f>
        <v>330.84444503632488</v>
      </c>
      <c r="E56" s="87">
        <f>E55-D56</f>
        <v>11565.892089522644</v>
      </c>
    </row>
    <row r="57" spans="1:5" ht="15">
      <c r="A57" s="82">
        <f>A56+1</f>
        <v>3</v>
      </c>
      <c r="B57" s="85">
        <f t="shared" si="7"/>
        <v>349.68094454937659</v>
      </c>
      <c r="C57" s="86">
        <f t="shared" si="8"/>
        <v>18.31266247507752</v>
      </c>
      <c r="D57" s="85">
        <f>B57-C57</f>
        <v>331.36828207429909</v>
      </c>
      <c r="E57" s="87">
        <f>E56-D57</f>
        <v>11234.523807448344</v>
      </c>
    </row>
    <row r="58" spans="1:5" ht="15">
      <c r="A58" s="82">
        <f>A57+1</f>
        <v>4</v>
      </c>
      <c r="B58" s="85">
        <f t="shared" si="7"/>
        <v>349.68094454937659</v>
      </c>
      <c r="C58" s="86">
        <f t="shared" si="8"/>
        <v>17.787996028459876</v>
      </c>
      <c r="D58" s="85">
        <f>B58-C58</f>
        <v>331.89294852091672</v>
      </c>
      <c r="E58" s="87">
        <f>E57-D58</f>
        <v>10902.630858927427</v>
      </c>
    </row>
    <row r="59" spans="1:5" ht="15">
      <c r="A59" s="93">
        <v>5</v>
      </c>
      <c r="B59" s="85">
        <f t="shared" si="7"/>
        <v>349.68094454937659</v>
      </c>
      <c r="C59" s="86">
        <f t="shared" si="8"/>
        <v>17.262498859968424</v>
      </c>
      <c r="D59" s="85">
        <f t="shared" ref="D59:D66" si="9">B59-C59</f>
        <v>332.41844568940814</v>
      </c>
      <c r="E59" s="87">
        <f t="shared" ref="E59:E66" si="10">E58-D59</f>
        <v>10570.21241323802</v>
      </c>
    </row>
    <row r="60" spans="1:5" ht="15">
      <c r="A60" s="93">
        <v>6</v>
      </c>
      <c r="B60" s="85">
        <f t="shared" si="7"/>
        <v>349.68094454937659</v>
      </c>
      <c r="C60" s="86">
        <f t="shared" si="8"/>
        <v>16.73616965429353</v>
      </c>
      <c r="D60" s="85">
        <f t="shared" si="9"/>
        <v>332.94477489508307</v>
      </c>
      <c r="E60" s="87">
        <f t="shared" si="10"/>
        <v>10237.267638342937</v>
      </c>
    </row>
    <row r="61" spans="1:5" ht="15">
      <c r="A61" s="93">
        <v>7</v>
      </c>
      <c r="B61" s="85">
        <f t="shared" si="7"/>
        <v>349.68094454937659</v>
      </c>
      <c r="C61" s="86">
        <f t="shared" si="8"/>
        <v>16.209007094042985</v>
      </c>
      <c r="D61" s="85">
        <f t="shared" si="9"/>
        <v>333.4719374553336</v>
      </c>
      <c r="E61" s="87">
        <f t="shared" si="10"/>
        <v>9903.7957008876037</v>
      </c>
    </row>
    <row r="62" spans="1:5" ht="15">
      <c r="A62" s="93">
        <v>8</v>
      </c>
      <c r="B62" s="85">
        <f t="shared" si="7"/>
        <v>349.68094454937659</v>
      </c>
      <c r="C62" s="86">
        <f t="shared" si="8"/>
        <v>15.681009859738706</v>
      </c>
      <c r="D62" s="85">
        <f t="shared" si="9"/>
        <v>333.99993468963788</v>
      </c>
      <c r="E62" s="87">
        <f t="shared" si="10"/>
        <v>9569.7957661979653</v>
      </c>
    </row>
    <row r="63" spans="1:5" ht="15">
      <c r="A63" s="93">
        <v>9</v>
      </c>
      <c r="B63" s="85">
        <f t="shared" si="7"/>
        <v>349.68094454937659</v>
      </c>
      <c r="C63" s="86">
        <f t="shared" si="8"/>
        <v>15.152176629813445</v>
      </c>
      <c r="D63" s="85">
        <f t="shared" si="9"/>
        <v>334.52876791956317</v>
      </c>
      <c r="E63" s="87">
        <f t="shared" si="10"/>
        <v>9235.2669982784028</v>
      </c>
    </row>
    <row r="64" spans="1:5" ht="15">
      <c r="A64" s="93">
        <v>10</v>
      </c>
      <c r="B64" s="85">
        <f t="shared" si="7"/>
        <v>349.68094454937659</v>
      </c>
      <c r="C64" s="86">
        <f t="shared" si="8"/>
        <v>14.62250608060747</v>
      </c>
      <c r="D64" s="85">
        <f t="shared" si="9"/>
        <v>335.05843846876911</v>
      </c>
      <c r="E64" s="87">
        <f t="shared" si="10"/>
        <v>8900.2085598096328</v>
      </c>
    </row>
    <row r="65" spans="1:5" ht="15">
      <c r="A65" s="93">
        <v>11</v>
      </c>
      <c r="B65" s="85">
        <f t="shared" si="7"/>
        <v>349.68094454937659</v>
      </c>
      <c r="C65" s="86">
        <f t="shared" si="8"/>
        <v>14.091996886365251</v>
      </c>
      <c r="D65" s="85">
        <f t="shared" si="9"/>
        <v>335.58894766301137</v>
      </c>
      <c r="E65" s="87">
        <f t="shared" si="10"/>
        <v>8564.6196121466219</v>
      </c>
    </row>
    <row r="66" spans="1:5" ht="15">
      <c r="A66" s="93">
        <v>12</v>
      </c>
      <c r="B66" s="85">
        <f t="shared" si="7"/>
        <v>349.68094454937659</v>
      </c>
      <c r="C66" s="86">
        <f t="shared" si="8"/>
        <v>13.560647719232151</v>
      </c>
      <c r="D66" s="85">
        <f t="shared" si="9"/>
        <v>336.12029683014441</v>
      </c>
      <c r="E66" s="87">
        <f t="shared" si="10"/>
        <v>8228.4993153164778</v>
      </c>
    </row>
    <row r="67" spans="1:5" ht="15.6" thickBot="1">
      <c r="A67" s="88">
        <f>A51+1</f>
        <v>2022</v>
      </c>
      <c r="B67" s="89"/>
      <c r="C67" s="70">
        <f>SUM(C55:C66)</f>
        <v>197.61267925418784</v>
      </c>
      <c r="D67" s="73">
        <f>SUM(D55:D66)</f>
        <v>3998.5586553383314</v>
      </c>
      <c r="E67" s="90"/>
    </row>
    <row r="68" spans="1:5" ht="13.8" thickBot="1"/>
    <row r="69" spans="1:5" ht="15">
      <c r="A69" s="79" t="s">
        <v>230</v>
      </c>
      <c r="B69" s="80" t="s">
        <v>216</v>
      </c>
      <c r="C69" s="80" t="s">
        <v>21</v>
      </c>
      <c r="D69" s="80" t="s">
        <v>231</v>
      </c>
      <c r="E69" s="81" t="s">
        <v>208</v>
      </c>
    </row>
    <row r="70" spans="1:5" ht="15">
      <c r="A70" s="82">
        <v>0</v>
      </c>
      <c r="B70" s="83"/>
      <c r="C70" s="83"/>
      <c r="D70" s="83"/>
      <c r="E70" s="84">
        <f>E66</f>
        <v>8228.4993153164778</v>
      </c>
    </row>
    <row r="71" spans="1:5" ht="15">
      <c r="A71" s="82">
        <v>1</v>
      </c>
      <c r="B71" s="85">
        <f t="shared" ref="B71:B82" si="11">IF(E70+C71&lt;$B$11,E70+C71,$B$11)</f>
        <v>349.68094454937659</v>
      </c>
      <c r="C71" s="86">
        <f>E70*$C$19</f>
        <v>13.02845724925109</v>
      </c>
      <c r="D71" s="85">
        <f>B71-C71</f>
        <v>336.65248730012547</v>
      </c>
      <c r="E71" s="87">
        <f>E70-D71</f>
        <v>7891.8468280163524</v>
      </c>
    </row>
    <row r="72" spans="1:5" ht="15">
      <c r="A72" s="82">
        <f>A71+1</f>
        <v>2</v>
      </c>
      <c r="B72" s="85">
        <f t="shared" si="11"/>
        <v>349.68094454937659</v>
      </c>
      <c r="C72" s="86">
        <f t="shared" ref="C72:C82" si="12">E71*$C$19</f>
        <v>12.495424144359225</v>
      </c>
      <c r="D72" s="85">
        <f>B72-C72</f>
        <v>337.18552040501737</v>
      </c>
      <c r="E72" s="87">
        <f>E71-D72</f>
        <v>7554.6613076113354</v>
      </c>
    </row>
    <row r="73" spans="1:5" ht="15">
      <c r="A73" s="82">
        <f>A72+1</f>
        <v>3</v>
      </c>
      <c r="B73" s="85">
        <f t="shared" si="11"/>
        <v>349.68094454937659</v>
      </c>
      <c r="C73" s="86">
        <f t="shared" si="12"/>
        <v>11.961547070384613</v>
      </c>
      <c r="D73" s="85">
        <f>B73-C73</f>
        <v>337.71939747899199</v>
      </c>
      <c r="E73" s="87">
        <f>E72-D73</f>
        <v>7216.9419101323438</v>
      </c>
    </row>
    <row r="74" spans="1:5" ht="15">
      <c r="A74" s="82">
        <f>A73+1</f>
        <v>4</v>
      </c>
      <c r="B74" s="85">
        <f t="shared" si="11"/>
        <v>349.68094454937659</v>
      </c>
      <c r="C74" s="86">
        <f t="shared" si="12"/>
        <v>11.426824691042878</v>
      </c>
      <c r="D74" s="85">
        <f>B74-C74</f>
        <v>338.25411985833369</v>
      </c>
      <c r="E74" s="87">
        <f>E73-D74</f>
        <v>6878.6877902740098</v>
      </c>
    </row>
    <row r="75" spans="1:5" ht="15">
      <c r="A75" s="93">
        <v>5</v>
      </c>
      <c r="B75" s="85">
        <f t="shared" si="11"/>
        <v>349.68094454937659</v>
      </c>
      <c r="C75" s="86">
        <f t="shared" si="12"/>
        <v>10.891255667933848</v>
      </c>
      <c r="D75" s="85">
        <f t="shared" ref="D75:D82" si="13">B75-C75</f>
        <v>338.78968888144277</v>
      </c>
      <c r="E75" s="87">
        <f t="shared" ref="E75:E82" si="14">E74-D75</f>
        <v>6539.8981013925668</v>
      </c>
    </row>
    <row r="76" spans="1:5" ht="15">
      <c r="A76" s="93">
        <v>6</v>
      </c>
      <c r="B76" s="85">
        <f t="shared" si="11"/>
        <v>349.68094454937659</v>
      </c>
      <c r="C76" s="86">
        <f t="shared" si="12"/>
        <v>10.354838660538231</v>
      </c>
      <c r="D76" s="85">
        <f t="shared" si="13"/>
        <v>339.32610588883836</v>
      </c>
      <c r="E76" s="87">
        <f t="shared" si="14"/>
        <v>6200.5719955037284</v>
      </c>
    </row>
    <row r="77" spans="1:5" ht="15">
      <c r="A77" s="93">
        <v>7</v>
      </c>
      <c r="B77" s="85">
        <f t="shared" si="11"/>
        <v>349.68094454937659</v>
      </c>
      <c r="C77" s="86">
        <f t="shared" si="12"/>
        <v>9.8175723262142363</v>
      </c>
      <c r="D77" s="85">
        <f t="shared" si="13"/>
        <v>339.86337222316234</v>
      </c>
      <c r="E77" s="87">
        <f t="shared" si="14"/>
        <v>5860.7086232805659</v>
      </c>
    </row>
    <row r="78" spans="1:5" ht="15">
      <c r="A78" s="93">
        <v>8</v>
      </c>
      <c r="B78" s="85">
        <f t="shared" si="11"/>
        <v>349.68094454937659</v>
      </c>
      <c r="C78" s="86">
        <f t="shared" si="12"/>
        <v>9.2794553201942289</v>
      </c>
      <c r="D78" s="85">
        <f t="shared" si="13"/>
        <v>340.40148922918235</v>
      </c>
      <c r="E78" s="87">
        <f t="shared" si="14"/>
        <v>5520.3071340513834</v>
      </c>
    </row>
    <row r="79" spans="1:5" ht="15">
      <c r="A79" s="93">
        <v>9</v>
      </c>
      <c r="B79" s="85">
        <f t="shared" si="11"/>
        <v>349.68094454937659</v>
      </c>
      <c r="C79" s="86">
        <f t="shared" si="12"/>
        <v>8.7404862955813574</v>
      </c>
      <c r="D79" s="85">
        <f t="shared" si="13"/>
        <v>340.94045825379521</v>
      </c>
      <c r="E79" s="87">
        <f t="shared" si="14"/>
        <v>5179.366675797588</v>
      </c>
    </row>
    <row r="80" spans="1:5" ht="15">
      <c r="A80" s="93">
        <v>10</v>
      </c>
      <c r="B80" s="85">
        <f t="shared" si="11"/>
        <v>349.68094454937659</v>
      </c>
      <c r="C80" s="86">
        <f t="shared" si="12"/>
        <v>8.2006639033461806</v>
      </c>
      <c r="D80" s="85">
        <f t="shared" si="13"/>
        <v>341.48028064603039</v>
      </c>
      <c r="E80" s="87">
        <f t="shared" si="14"/>
        <v>4837.8863951515577</v>
      </c>
    </row>
    <row r="81" spans="1:5" ht="15">
      <c r="A81" s="93">
        <v>11</v>
      </c>
      <c r="B81" s="85">
        <f t="shared" si="11"/>
        <v>349.68094454937659</v>
      </c>
      <c r="C81" s="86">
        <f t="shared" si="12"/>
        <v>7.6599867923232994</v>
      </c>
      <c r="D81" s="85">
        <f t="shared" si="13"/>
        <v>342.02095775705328</v>
      </c>
      <c r="E81" s="87">
        <f t="shared" si="14"/>
        <v>4495.8654373945046</v>
      </c>
    </row>
    <row r="82" spans="1:5" ht="15">
      <c r="A82" s="93">
        <v>12</v>
      </c>
      <c r="B82" s="85">
        <f t="shared" si="11"/>
        <v>349.68094454937659</v>
      </c>
      <c r="C82" s="86">
        <f t="shared" si="12"/>
        <v>7.1184536092079655</v>
      </c>
      <c r="D82" s="85">
        <f t="shared" si="13"/>
        <v>342.56249094016863</v>
      </c>
      <c r="E82" s="87">
        <f t="shared" si="14"/>
        <v>4153.3029464543361</v>
      </c>
    </row>
    <row r="83" spans="1:5" ht="15.6" thickBot="1">
      <c r="A83" s="88">
        <f>A67+1</f>
        <v>2023</v>
      </c>
      <c r="B83" s="89"/>
      <c r="C83" s="70">
        <f>SUM(C71:C82)</f>
        <v>120.97496573037715</v>
      </c>
      <c r="D83" s="73">
        <f>SUM(D71:D82)</f>
        <v>4075.1963688621418</v>
      </c>
      <c r="E83" s="90"/>
    </row>
    <row r="85" spans="1:5" ht="13.8" thickBot="1"/>
    <row r="86" spans="1:5" ht="15">
      <c r="A86" s="79" t="s">
        <v>230</v>
      </c>
      <c r="B86" s="80" t="s">
        <v>216</v>
      </c>
      <c r="C86" s="80" t="s">
        <v>21</v>
      </c>
      <c r="D86" s="80" t="s">
        <v>231</v>
      </c>
      <c r="E86" s="81" t="s">
        <v>208</v>
      </c>
    </row>
    <row r="87" spans="1:5" ht="15">
      <c r="A87" s="82">
        <v>0</v>
      </c>
      <c r="B87" s="83"/>
      <c r="C87" s="83"/>
      <c r="D87" s="83"/>
      <c r="E87" s="84">
        <f>E82</f>
        <v>4153.3029464543361</v>
      </c>
    </row>
    <row r="88" spans="1:5" ht="15">
      <c r="A88" s="82">
        <v>1</v>
      </c>
      <c r="B88" s="85">
        <f>IF(E87+C88&lt;$B$11,E87+C88,$B$11)</f>
        <v>349.68094454937659</v>
      </c>
      <c r="C88" s="86">
        <f>E87*$C$19</f>
        <v>6.5760629985526986</v>
      </c>
      <c r="D88" s="85">
        <f>B88-C88</f>
        <v>343.1048815508239</v>
      </c>
      <c r="E88" s="87">
        <f>E87-D88</f>
        <v>3810.1980649035122</v>
      </c>
    </row>
    <row r="89" spans="1:5" ht="15">
      <c r="A89" s="82">
        <f>A88+1</f>
        <v>2</v>
      </c>
      <c r="B89" s="85">
        <f t="shared" ref="B89:B99" si="15">IF(E88+C89&lt;$B$11,E88+C89,$B$11)</f>
        <v>349.68094454937659</v>
      </c>
      <c r="C89" s="86">
        <f t="shared" ref="C89:C99" si="16">E88*$C$19</f>
        <v>6.0328136027638939</v>
      </c>
      <c r="D89" s="85">
        <f>B89-C89</f>
        <v>343.6481309466127</v>
      </c>
      <c r="E89" s="87">
        <f>E88-D89</f>
        <v>3466.5499339568996</v>
      </c>
    </row>
    <row r="90" spans="1:5" ht="15">
      <c r="A90" s="82">
        <f>A89+1</f>
        <v>3</v>
      </c>
      <c r="B90" s="85">
        <f t="shared" si="15"/>
        <v>349.68094454937659</v>
      </c>
      <c r="C90" s="86">
        <f t="shared" si="16"/>
        <v>5.4887040620984244</v>
      </c>
      <c r="D90" s="85">
        <f>B90-C90</f>
        <v>344.19224048727818</v>
      </c>
      <c r="E90" s="87">
        <f>E89-D90</f>
        <v>3122.3576934696216</v>
      </c>
    </row>
    <row r="91" spans="1:5" ht="15">
      <c r="A91" s="82">
        <f>A90+1</f>
        <v>4</v>
      </c>
      <c r="B91" s="85">
        <f t="shared" si="15"/>
        <v>349.68094454937659</v>
      </c>
      <c r="C91" s="86">
        <f t="shared" si="16"/>
        <v>4.9437330146602338</v>
      </c>
      <c r="D91" s="85">
        <f>B91-C91</f>
        <v>344.73721153471638</v>
      </c>
      <c r="E91" s="87">
        <f>E90-D91</f>
        <v>2777.620481934905</v>
      </c>
    </row>
    <row r="92" spans="1:5" ht="15">
      <c r="A92" s="93">
        <v>5</v>
      </c>
      <c r="B92" s="85">
        <f t="shared" si="15"/>
        <v>349.68094454937659</v>
      </c>
      <c r="C92" s="86">
        <f t="shared" si="16"/>
        <v>4.3978990963969329</v>
      </c>
      <c r="D92" s="85">
        <f t="shared" ref="D92:D99" si="17">B92-C92</f>
        <v>345.28304545297965</v>
      </c>
      <c r="E92" s="87">
        <f t="shared" ref="E92:E99" si="18">E91-D92</f>
        <v>2432.3374364819256</v>
      </c>
    </row>
    <row r="93" spans="1:5" ht="15">
      <c r="A93" s="93">
        <v>6</v>
      </c>
      <c r="B93" s="85">
        <f t="shared" si="15"/>
        <v>349.68094454937659</v>
      </c>
      <c r="C93" s="86">
        <f t="shared" si="16"/>
        <v>3.8512009410963821</v>
      </c>
      <c r="D93" s="85">
        <f t="shared" si="17"/>
        <v>345.82974360828018</v>
      </c>
      <c r="E93" s="87">
        <f t="shared" si="18"/>
        <v>2086.5076928736453</v>
      </c>
    </row>
    <row r="94" spans="1:5" ht="15">
      <c r="A94" s="93">
        <v>7</v>
      </c>
      <c r="B94" s="85">
        <f t="shared" si="15"/>
        <v>349.68094454937659</v>
      </c>
      <c r="C94" s="86">
        <f t="shared" si="16"/>
        <v>3.3036371803832716</v>
      </c>
      <c r="D94" s="85">
        <f t="shared" si="17"/>
        <v>346.37730736899334</v>
      </c>
      <c r="E94" s="87">
        <f t="shared" si="18"/>
        <v>1740.1303855046519</v>
      </c>
    </row>
    <row r="95" spans="1:5" ht="15">
      <c r="A95" s="93">
        <v>8</v>
      </c>
      <c r="B95" s="85">
        <f t="shared" si="15"/>
        <v>349.68094454937659</v>
      </c>
      <c r="C95" s="86">
        <f t="shared" si="16"/>
        <v>2.7552064437156987</v>
      </c>
      <c r="D95" s="85">
        <f t="shared" si="17"/>
        <v>346.92573810566091</v>
      </c>
      <c r="E95" s="87">
        <f t="shared" si="18"/>
        <v>1393.204647398991</v>
      </c>
    </row>
    <row r="96" spans="1:5" ht="15">
      <c r="A96" s="93">
        <v>9</v>
      </c>
      <c r="B96" s="85">
        <f t="shared" si="15"/>
        <v>349.68094454937659</v>
      </c>
      <c r="C96" s="86">
        <f t="shared" si="16"/>
        <v>2.2059073583817357</v>
      </c>
      <c r="D96" s="85">
        <f t="shared" si="17"/>
        <v>347.47503719099484</v>
      </c>
      <c r="E96" s="87">
        <f t="shared" si="18"/>
        <v>1045.7296102079963</v>
      </c>
    </row>
    <row r="97" spans="1:5" ht="15">
      <c r="A97" s="93">
        <v>10</v>
      </c>
      <c r="B97" s="85">
        <f t="shared" si="15"/>
        <v>349.68094454937659</v>
      </c>
      <c r="C97" s="86">
        <f t="shared" si="16"/>
        <v>1.6557385494959942</v>
      </c>
      <c r="D97" s="85">
        <f t="shared" si="17"/>
        <v>348.0252059998806</v>
      </c>
      <c r="E97" s="87">
        <f t="shared" si="18"/>
        <v>697.70440420811565</v>
      </c>
    </row>
    <row r="98" spans="1:5" ht="15">
      <c r="A98" s="93">
        <v>11</v>
      </c>
      <c r="B98" s="85">
        <f t="shared" si="15"/>
        <v>349.68094454937659</v>
      </c>
      <c r="C98" s="86">
        <f t="shared" si="16"/>
        <v>1.1046986399961831</v>
      </c>
      <c r="D98" s="85">
        <f t="shared" si="17"/>
        <v>348.57624590938042</v>
      </c>
      <c r="E98" s="87">
        <f t="shared" si="18"/>
        <v>349.12815829873523</v>
      </c>
    </row>
    <row r="99" spans="1:5" ht="15">
      <c r="A99" s="93">
        <v>12</v>
      </c>
      <c r="B99" s="85">
        <f t="shared" si="15"/>
        <v>349.68094454937489</v>
      </c>
      <c r="C99" s="86">
        <f t="shared" si="16"/>
        <v>0.55278625063966413</v>
      </c>
      <c r="D99" s="85">
        <f t="shared" si="17"/>
        <v>349.12815829873523</v>
      </c>
      <c r="E99" s="87">
        <f t="shared" si="18"/>
        <v>0</v>
      </c>
    </row>
    <row r="100" spans="1:5" ht="15.6" thickBot="1">
      <c r="A100" s="88">
        <f>A83+1</f>
        <v>2024</v>
      </c>
      <c r="B100" s="89"/>
      <c r="C100" s="70">
        <f>SUM(C88:C99)</f>
        <v>42.86838813818111</v>
      </c>
      <c r="D100" s="73">
        <f>SUM(D88:D99)</f>
        <v>4153.3029464543361</v>
      </c>
      <c r="E100" s="90"/>
    </row>
    <row r="101" spans="1:5" ht="13.8" thickBot="1"/>
    <row r="102" spans="1:5" ht="15">
      <c r="A102" s="79" t="s">
        <v>230</v>
      </c>
      <c r="B102" s="80" t="s">
        <v>216</v>
      </c>
      <c r="C102" s="80" t="s">
        <v>21</v>
      </c>
      <c r="D102" s="80" t="s">
        <v>231</v>
      </c>
      <c r="E102" s="81" t="s">
        <v>208</v>
      </c>
    </row>
    <row r="103" spans="1:5" ht="15">
      <c r="A103" s="82">
        <v>0</v>
      </c>
      <c r="B103" s="83"/>
      <c r="C103" s="83"/>
      <c r="D103" s="83"/>
      <c r="E103" s="84">
        <f>E99</f>
        <v>0</v>
      </c>
    </row>
    <row r="104" spans="1:5" ht="15">
      <c r="A104" s="82">
        <v>1</v>
      </c>
      <c r="B104" s="85">
        <f t="shared" ref="B104:B113" si="19">IF(E103+C104&lt;$B$11,E103+C104,$B$11)</f>
        <v>0</v>
      </c>
      <c r="C104" s="86">
        <f>E103*$C$19</f>
        <v>0</v>
      </c>
      <c r="D104" s="85">
        <f>B104-C104</f>
        <v>0</v>
      </c>
      <c r="E104" s="87">
        <f>E103-D104</f>
        <v>0</v>
      </c>
    </row>
    <row r="105" spans="1:5" ht="15">
      <c r="A105" s="82">
        <f>A104+1</f>
        <v>2</v>
      </c>
      <c r="B105" s="85">
        <f t="shared" si="19"/>
        <v>0</v>
      </c>
      <c r="C105" s="86">
        <f t="shared" ref="C105:C115" si="20">E104*$C$19</f>
        <v>0</v>
      </c>
      <c r="D105" s="85">
        <f>B105-C105</f>
        <v>0</v>
      </c>
      <c r="E105" s="87">
        <f>E104-D105</f>
        <v>0</v>
      </c>
    </row>
    <row r="106" spans="1:5" ht="15">
      <c r="A106" s="82">
        <f>A105+1</f>
        <v>3</v>
      </c>
      <c r="B106" s="85">
        <f t="shared" si="19"/>
        <v>0</v>
      </c>
      <c r="C106" s="86">
        <f t="shared" si="20"/>
        <v>0</v>
      </c>
      <c r="D106" s="85">
        <f>B106-C106</f>
        <v>0</v>
      </c>
      <c r="E106" s="87">
        <f>E105-D106</f>
        <v>0</v>
      </c>
    </row>
    <row r="107" spans="1:5" ht="15">
      <c r="A107" s="82">
        <f>A106+1</f>
        <v>4</v>
      </c>
      <c r="B107" s="85">
        <f t="shared" si="19"/>
        <v>0</v>
      </c>
      <c r="C107" s="86">
        <f t="shared" si="20"/>
        <v>0</v>
      </c>
      <c r="D107" s="85">
        <f>B107-C107</f>
        <v>0</v>
      </c>
      <c r="E107" s="87">
        <f>E106-D107</f>
        <v>0</v>
      </c>
    </row>
    <row r="108" spans="1:5" ht="15">
      <c r="A108" s="93">
        <v>5</v>
      </c>
      <c r="B108" s="85">
        <f t="shared" si="19"/>
        <v>0</v>
      </c>
      <c r="C108" s="86">
        <f t="shared" si="20"/>
        <v>0</v>
      </c>
      <c r="D108" s="85">
        <f t="shared" ref="D108:D115" si="21">B108-C108</f>
        <v>0</v>
      </c>
      <c r="E108" s="87">
        <f t="shared" ref="E108:E115" si="22">E107-D108</f>
        <v>0</v>
      </c>
    </row>
    <row r="109" spans="1:5" ht="15">
      <c r="A109" s="93">
        <v>6</v>
      </c>
      <c r="B109" s="85">
        <f t="shared" si="19"/>
        <v>0</v>
      </c>
      <c r="C109" s="86">
        <f t="shared" si="20"/>
        <v>0</v>
      </c>
      <c r="D109" s="85">
        <f t="shared" si="21"/>
        <v>0</v>
      </c>
      <c r="E109" s="87">
        <f t="shared" si="22"/>
        <v>0</v>
      </c>
    </row>
    <row r="110" spans="1:5" ht="15">
      <c r="A110" s="93">
        <v>7</v>
      </c>
      <c r="B110" s="85">
        <f t="shared" si="19"/>
        <v>0</v>
      </c>
      <c r="C110" s="86">
        <f t="shared" si="20"/>
        <v>0</v>
      </c>
      <c r="D110" s="85">
        <f t="shared" si="21"/>
        <v>0</v>
      </c>
      <c r="E110" s="87">
        <f t="shared" si="22"/>
        <v>0</v>
      </c>
    </row>
    <row r="111" spans="1:5" ht="15">
      <c r="A111" s="93">
        <v>8</v>
      </c>
      <c r="B111" s="85">
        <f t="shared" si="19"/>
        <v>0</v>
      </c>
      <c r="C111" s="86">
        <f t="shared" si="20"/>
        <v>0</v>
      </c>
      <c r="D111" s="85">
        <f t="shared" si="21"/>
        <v>0</v>
      </c>
      <c r="E111" s="87">
        <f t="shared" si="22"/>
        <v>0</v>
      </c>
    </row>
    <row r="112" spans="1:5" ht="15">
      <c r="A112" s="93">
        <v>9</v>
      </c>
      <c r="B112" s="85">
        <f t="shared" si="19"/>
        <v>0</v>
      </c>
      <c r="C112" s="86">
        <f t="shared" si="20"/>
        <v>0</v>
      </c>
      <c r="D112" s="85">
        <f t="shared" si="21"/>
        <v>0</v>
      </c>
      <c r="E112" s="87">
        <f t="shared" si="22"/>
        <v>0</v>
      </c>
    </row>
    <row r="113" spans="1:12" ht="15">
      <c r="A113" s="93">
        <v>10</v>
      </c>
      <c r="B113" s="85">
        <f t="shared" si="19"/>
        <v>0</v>
      </c>
      <c r="C113" s="86">
        <f t="shared" si="20"/>
        <v>0</v>
      </c>
      <c r="D113" s="85">
        <f t="shared" si="21"/>
        <v>0</v>
      </c>
      <c r="E113" s="87">
        <f t="shared" si="22"/>
        <v>0</v>
      </c>
    </row>
    <row r="114" spans="1:12" ht="15">
      <c r="A114" s="93">
        <v>11</v>
      </c>
      <c r="B114" s="85">
        <f>IF(E113+C114&lt;$B$11,E113+C114,$B$11)</f>
        <v>0</v>
      </c>
      <c r="C114" s="86">
        <f t="shared" si="20"/>
        <v>0</v>
      </c>
      <c r="D114" s="85">
        <f t="shared" si="21"/>
        <v>0</v>
      </c>
      <c r="E114" s="87">
        <f t="shared" si="22"/>
        <v>0</v>
      </c>
    </row>
    <row r="115" spans="1:12" ht="15">
      <c r="A115" s="93">
        <v>12</v>
      </c>
      <c r="B115" s="85">
        <f>IF(E114+C115&lt;$B$11,E114+C115,$B$11)</f>
        <v>0</v>
      </c>
      <c r="C115" s="86">
        <f t="shared" si="20"/>
        <v>0</v>
      </c>
      <c r="D115" s="85">
        <f t="shared" si="21"/>
        <v>0</v>
      </c>
      <c r="E115" s="87">
        <f t="shared" si="22"/>
        <v>0</v>
      </c>
      <c r="L115">
        <f>IF(E114&lt;B11,E114,B11)</f>
        <v>0</v>
      </c>
    </row>
    <row r="116" spans="1:12" ht="15.6" thickBot="1">
      <c r="A116" s="88">
        <f>A100+1</f>
        <v>2025</v>
      </c>
      <c r="B116" s="89"/>
      <c r="C116" s="70">
        <f>SUM(C104:C115)</f>
        <v>0</v>
      </c>
      <c r="D116" s="73">
        <f>SUM(D104:D115)</f>
        <v>0</v>
      </c>
      <c r="E116" s="90"/>
    </row>
    <row r="119" spans="1:12" ht="13.8" thickBot="1"/>
    <row r="120" spans="1:12" ht="15">
      <c r="A120" s="79" t="s">
        <v>230</v>
      </c>
      <c r="B120" s="80" t="s">
        <v>216</v>
      </c>
      <c r="C120" s="80" t="s">
        <v>21</v>
      </c>
      <c r="D120" s="80" t="s">
        <v>231</v>
      </c>
      <c r="E120" s="81" t="s">
        <v>208</v>
      </c>
    </row>
    <row r="121" spans="1:12" ht="15">
      <c r="A121" s="82">
        <v>0</v>
      </c>
      <c r="B121" s="83"/>
      <c r="C121" s="83"/>
      <c r="D121" s="83"/>
      <c r="E121" s="84">
        <f>E115</f>
        <v>0</v>
      </c>
    </row>
    <row r="122" spans="1:12" ht="15">
      <c r="A122" s="82">
        <v>1</v>
      </c>
      <c r="B122" s="85">
        <f t="shared" ref="B122:B133" si="23">IF(E121+C122&lt;$B$11,E121+C122,$B$11)</f>
        <v>0</v>
      </c>
      <c r="C122" s="86">
        <f>E121*$B$7/$B$8</f>
        <v>0</v>
      </c>
      <c r="D122" s="85">
        <f>B122-C122</f>
        <v>0</v>
      </c>
      <c r="E122" s="87">
        <f>E121-D122</f>
        <v>0</v>
      </c>
    </row>
    <row r="123" spans="1:12" ht="15">
      <c r="A123" s="82">
        <f>A122+1</f>
        <v>2</v>
      </c>
      <c r="B123" s="85">
        <f t="shared" si="23"/>
        <v>0</v>
      </c>
      <c r="C123" s="85">
        <f>E122*$C$19</f>
        <v>0</v>
      </c>
      <c r="D123" s="85">
        <f>B123-C123</f>
        <v>0</v>
      </c>
      <c r="E123" s="87">
        <f>E122-D123</f>
        <v>0</v>
      </c>
    </row>
    <row r="124" spans="1:12" ht="15">
      <c r="A124" s="82">
        <f>A123+1</f>
        <v>3</v>
      </c>
      <c r="B124" s="85">
        <f t="shared" si="23"/>
        <v>0</v>
      </c>
      <c r="C124" s="85">
        <f>E123*$C$19</f>
        <v>0</v>
      </c>
      <c r="D124" s="85">
        <f>B124-C124</f>
        <v>0</v>
      </c>
      <c r="E124" s="87">
        <f>E123-D124</f>
        <v>0</v>
      </c>
    </row>
    <row r="125" spans="1:12" ht="15">
      <c r="A125" s="82">
        <f>A124+1</f>
        <v>4</v>
      </c>
      <c r="B125" s="85">
        <f t="shared" si="23"/>
        <v>0</v>
      </c>
      <c r="C125" s="85">
        <f>E124*$C$19</f>
        <v>0</v>
      </c>
      <c r="D125" s="85">
        <f>B125-C125</f>
        <v>0</v>
      </c>
      <c r="E125" s="87">
        <f>E124-D125</f>
        <v>0</v>
      </c>
    </row>
    <row r="126" spans="1:12" ht="15">
      <c r="A126" s="93">
        <v>5</v>
      </c>
      <c r="B126" s="85">
        <f t="shared" si="23"/>
        <v>0</v>
      </c>
      <c r="C126" s="85">
        <f t="shared" ref="C126:C133" si="24">E125*$C$19</f>
        <v>0</v>
      </c>
      <c r="D126" s="85">
        <f t="shared" ref="D126:D133" si="25">B126-C126</f>
        <v>0</v>
      </c>
      <c r="E126" s="87">
        <f t="shared" ref="E126:E133" si="26">E125-D126</f>
        <v>0</v>
      </c>
    </row>
    <row r="127" spans="1:12" ht="15">
      <c r="A127" s="93">
        <v>6</v>
      </c>
      <c r="B127" s="85">
        <f t="shared" si="23"/>
        <v>0</v>
      </c>
      <c r="C127" s="85">
        <f t="shared" si="24"/>
        <v>0</v>
      </c>
      <c r="D127" s="85">
        <f t="shared" si="25"/>
        <v>0</v>
      </c>
      <c r="E127" s="87">
        <f t="shared" si="26"/>
        <v>0</v>
      </c>
    </row>
    <row r="128" spans="1:12" ht="15">
      <c r="A128" s="93">
        <v>7</v>
      </c>
      <c r="B128" s="85">
        <f t="shared" si="23"/>
        <v>0</v>
      </c>
      <c r="C128" s="85">
        <f t="shared" si="24"/>
        <v>0</v>
      </c>
      <c r="D128" s="85">
        <f t="shared" si="25"/>
        <v>0</v>
      </c>
      <c r="E128" s="87">
        <f t="shared" si="26"/>
        <v>0</v>
      </c>
    </row>
    <row r="129" spans="1:5" ht="15">
      <c r="A129" s="93">
        <v>8</v>
      </c>
      <c r="B129" s="85">
        <f t="shared" si="23"/>
        <v>0</v>
      </c>
      <c r="C129" s="85">
        <f t="shared" si="24"/>
        <v>0</v>
      </c>
      <c r="D129" s="85">
        <f t="shared" si="25"/>
        <v>0</v>
      </c>
      <c r="E129" s="87">
        <f t="shared" si="26"/>
        <v>0</v>
      </c>
    </row>
    <row r="130" spans="1:5" ht="15">
      <c r="A130" s="93">
        <v>9</v>
      </c>
      <c r="B130" s="85">
        <f t="shared" si="23"/>
        <v>0</v>
      </c>
      <c r="C130" s="85">
        <f t="shared" si="24"/>
        <v>0</v>
      </c>
      <c r="D130" s="85">
        <f t="shared" si="25"/>
        <v>0</v>
      </c>
      <c r="E130" s="87">
        <f t="shared" si="26"/>
        <v>0</v>
      </c>
    </row>
    <row r="131" spans="1:5" ht="15">
      <c r="A131" s="93">
        <v>10</v>
      </c>
      <c r="B131" s="85">
        <f t="shared" si="23"/>
        <v>0</v>
      </c>
      <c r="C131" s="85">
        <f t="shared" si="24"/>
        <v>0</v>
      </c>
      <c r="D131" s="85">
        <f t="shared" si="25"/>
        <v>0</v>
      </c>
      <c r="E131" s="87">
        <f t="shared" si="26"/>
        <v>0</v>
      </c>
    </row>
    <row r="132" spans="1:5" ht="15">
      <c r="A132" s="93">
        <v>11</v>
      </c>
      <c r="B132" s="85">
        <f t="shared" si="23"/>
        <v>0</v>
      </c>
      <c r="C132" s="85">
        <f t="shared" si="24"/>
        <v>0</v>
      </c>
      <c r="D132" s="85">
        <f t="shared" si="25"/>
        <v>0</v>
      </c>
      <c r="E132" s="87">
        <f t="shared" si="26"/>
        <v>0</v>
      </c>
    </row>
    <row r="133" spans="1:5" ht="15">
      <c r="A133" s="93">
        <v>12</v>
      </c>
      <c r="B133" s="85">
        <f t="shared" si="23"/>
        <v>0</v>
      </c>
      <c r="C133" s="85">
        <f t="shared" si="24"/>
        <v>0</v>
      </c>
      <c r="D133" s="85">
        <f t="shared" si="25"/>
        <v>0</v>
      </c>
      <c r="E133" s="87">
        <f t="shared" si="26"/>
        <v>0</v>
      </c>
    </row>
    <row r="134" spans="1:5" ht="15.6" thickBot="1">
      <c r="A134" s="88">
        <f>A116+1</f>
        <v>2026</v>
      </c>
      <c r="B134" s="89"/>
      <c r="C134" s="70">
        <f>SUM(C122:C133)</f>
        <v>0</v>
      </c>
      <c r="D134" s="73">
        <f>SUM(D122:D133)</f>
        <v>0</v>
      </c>
      <c r="E134" s="90"/>
    </row>
    <row r="137" spans="1:5" ht="13.8" thickBot="1"/>
    <row r="138" spans="1:5" ht="15">
      <c r="A138" s="79" t="s">
        <v>230</v>
      </c>
      <c r="B138" s="80" t="s">
        <v>216</v>
      </c>
      <c r="C138" s="80" t="s">
        <v>21</v>
      </c>
      <c r="D138" s="80" t="s">
        <v>231</v>
      </c>
      <c r="E138" s="81" t="s">
        <v>208</v>
      </c>
    </row>
    <row r="139" spans="1:5" ht="15">
      <c r="A139" s="82">
        <v>0</v>
      </c>
      <c r="B139" s="83"/>
      <c r="C139" s="83"/>
      <c r="D139" s="83"/>
      <c r="E139" s="84">
        <f>E133</f>
        <v>0</v>
      </c>
    </row>
    <row r="140" spans="1:5" ht="15">
      <c r="A140" s="82">
        <v>1</v>
      </c>
      <c r="B140" s="85">
        <f t="shared" ref="B140:B151" si="27">IF(E139+C140&lt;$B$11,E139+C140,$B$11)</f>
        <v>0</v>
      </c>
      <c r="C140" s="86">
        <f>E139*$B$7/$B$8</f>
        <v>0</v>
      </c>
      <c r="D140" s="85">
        <f>B140-C140</f>
        <v>0</v>
      </c>
      <c r="E140" s="87">
        <f>E139-D140</f>
        <v>0</v>
      </c>
    </row>
    <row r="141" spans="1:5" ht="15">
      <c r="A141" s="82">
        <f>A140+1</f>
        <v>2</v>
      </c>
      <c r="B141" s="85">
        <f t="shared" si="27"/>
        <v>0</v>
      </c>
      <c r="C141" s="85">
        <f>E140*$C$19</f>
        <v>0</v>
      </c>
      <c r="D141" s="85">
        <f>B141-C141</f>
        <v>0</v>
      </c>
      <c r="E141" s="87">
        <f>E140-D141</f>
        <v>0</v>
      </c>
    </row>
    <row r="142" spans="1:5" ht="15">
      <c r="A142" s="82">
        <f>A141+1</f>
        <v>3</v>
      </c>
      <c r="B142" s="85">
        <f t="shared" si="27"/>
        <v>0</v>
      </c>
      <c r="C142" s="85">
        <f>E141*$C$19</f>
        <v>0</v>
      </c>
      <c r="D142" s="85">
        <f>B142-C142</f>
        <v>0</v>
      </c>
      <c r="E142" s="87">
        <f>E141-D142</f>
        <v>0</v>
      </c>
    </row>
    <row r="143" spans="1:5" ht="15">
      <c r="A143" s="82">
        <f>A142+1</f>
        <v>4</v>
      </c>
      <c r="B143" s="85">
        <f t="shared" si="27"/>
        <v>0</v>
      </c>
      <c r="C143" s="85">
        <f>E142*$C$19</f>
        <v>0</v>
      </c>
      <c r="D143" s="85">
        <f>B143-C143</f>
        <v>0</v>
      </c>
      <c r="E143" s="87">
        <f>E142-D143</f>
        <v>0</v>
      </c>
    </row>
    <row r="144" spans="1:5" ht="15">
      <c r="A144" s="93">
        <v>5</v>
      </c>
      <c r="B144" s="85">
        <f t="shared" si="27"/>
        <v>0</v>
      </c>
      <c r="C144" s="85">
        <f t="shared" ref="C144:C151" si="28">E143*$C$19</f>
        <v>0</v>
      </c>
      <c r="D144" s="85">
        <f t="shared" ref="D144:D151" si="29">B144-C144</f>
        <v>0</v>
      </c>
      <c r="E144" s="87">
        <f t="shared" ref="E144:E151" si="30">E143-D144</f>
        <v>0</v>
      </c>
    </row>
    <row r="145" spans="1:5" ht="15">
      <c r="A145" s="93">
        <v>6</v>
      </c>
      <c r="B145" s="85">
        <f t="shared" si="27"/>
        <v>0</v>
      </c>
      <c r="C145" s="85">
        <f t="shared" si="28"/>
        <v>0</v>
      </c>
      <c r="D145" s="85">
        <f t="shared" si="29"/>
        <v>0</v>
      </c>
      <c r="E145" s="87">
        <f t="shared" si="30"/>
        <v>0</v>
      </c>
    </row>
    <row r="146" spans="1:5" ht="15">
      <c r="A146" s="93">
        <v>7</v>
      </c>
      <c r="B146" s="85">
        <f t="shared" si="27"/>
        <v>0</v>
      </c>
      <c r="C146" s="85">
        <f t="shared" si="28"/>
        <v>0</v>
      </c>
      <c r="D146" s="85">
        <f t="shared" si="29"/>
        <v>0</v>
      </c>
      <c r="E146" s="87">
        <f t="shared" si="30"/>
        <v>0</v>
      </c>
    </row>
    <row r="147" spans="1:5" ht="15">
      <c r="A147" s="93">
        <v>8</v>
      </c>
      <c r="B147" s="85">
        <f t="shared" si="27"/>
        <v>0</v>
      </c>
      <c r="C147" s="85">
        <f t="shared" si="28"/>
        <v>0</v>
      </c>
      <c r="D147" s="85">
        <f t="shared" si="29"/>
        <v>0</v>
      </c>
      <c r="E147" s="87">
        <f t="shared" si="30"/>
        <v>0</v>
      </c>
    </row>
    <row r="148" spans="1:5" ht="15">
      <c r="A148" s="93">
        <v>9</v>
      </c>
      <c r="B148" s="85">
        <f t="shared" si="27"/>
        <v>0</v>
      </c>
      <c r="C148" s="85">
        <f t="shared" si="28"/>
        <v>0</v>
      </c>
      <c r="D148" s="85">
        <f t="shared" si="29"/>
        <v>0</v>
      </c>
      <c r="E148" s="87">
        <f t="shared" si="30"/>
        <v>0</v>
      </c>
    </row>
    <row r="149" spans="1:5" ht="15">
      <c r="A149" s="93">
        <v>10</v>
      </c>
      <c r="B149" s="85">
        <f t="shared" si="27"/>
        <v>0</v>
      </c>
      <c r="C149" s="85">
        <f t="shared" si="28"/>
        <v>0</v>
      </c>
      <c r="D149" s="85">
        <f t="shared" si="29"/>
        <v>0</v>
      </c>
      <c r="E149" s="87">
        <f t="shared" si="30"/>
        <v>0</v>
      </c>
    </row>
    <row r="150" spans="1:5" ht="15">
      <c r="A150" s="93">
        <v>11</v>
      </c>
      <c r="B150" s="85">
        <f t="shared" si="27"/>
        <v>0</v>
      </c>
      <c r="C150" s="85">
        <f t="shared" si="28"/>
        <v>0</v>
      </c>
      <c r="D150" s="85">
        <f t="shared" si="29"/>
        <v>0</v>
      </c>
      <c r="E150" s="87">
        <f t="shared" si="30"/>
        <v>0</v>
      </c>
    </row>
    <row r="151" spans="1:5" ht="15">
      <c r="A151" s="93">
        <v>12</v>
      </c>
      <c r="B151" s="85">
        <f t="shared" si="27"/>
        <v>0</v>
      </c>
      <c r="C151" s="85">
        <f t="shared" si="28"/>
        <v>0</v>
      </c>
      <c r="D151" s="85">
        <f t="shared" si="29"/>
        <v>0</v>
      </c>
      <c r="E151" s="87">
        <f t="shared" si="30"/>
        <v>0</v>
      </c>
    </row>
    <row r="152" spans="1:5" ht="15.6" thickBot="1">
      <c r="A152" s="88">
        <f>A134+1</f>
        <v>2027</v>
      </c>
      <c r="B152" s="89"/>
      <c r="C152" s="70">
        <f>SUM(C140:C151)</f>
        <v>0</v>
      </c>
      <c r="D152" s="73">
        <f>SUM(D140:D151)</f>
        <v>0</v>
      </c>
      <c r="E152" s="90"/>
    </row>
  </sheetData>
  <sheetProtection algorithmName="SHA-512" hashValue="UWm+hoKrHewqT4tTBf2osbfGTyouFj0MQdDOHl9+pxvp/SXCqVNElLPo7+WpHvEdiJNt0ziX21pEPhOgkn1GHw==" saltValue="LG4AppCF+b5Tcx8IzKyaPg==" spinCount="100000" sheet="1" objects="1" scenarios="1"/>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0"/>
  <sheetViews>
    <sheetView workbookViewId="0">
      <selection activeCell="B15" sqref="B15"/>
    </sheetView>
  </sheetViews>
  <sheetFormatPr baseColWidth="10" defaultRowHeight="13.2"/>
  <cols>
    <col min="4" max="4" width="12.6640625" customWidth="1"/>
    <col min="5" max="5" width="15.33203125" customWidth="1"/>
  </cols>
  <sheetData>
    <row r="1" spans="1:16" ht="21">
      <c r="A1" s="99" t="s">
        <v>244</v>
      </c>
    </row>
    <row r="4" spans="1:16" ht="22.8">
      <c r="A4" s="69" t="s">
        <v>217</v>
      </c>
      <c r="B4" s="69"/>
      <c r="C4" s="69"/>
      <c r="D4" s="69"/>
      <c r="E4" s="69"/>
    </row>
    <row r="6" spans="1:16" ht="15.6">
      <c r="A6" s="31" t="s">
        <v>218</v>
      </c>
      <c r="B6" s="32"/>
      <c r="C6" s="32"/>
      <c r="D6" s="32"/>
      <c r="E6" s="32" t="s">
        <v>219</v>
      </c>
      <c r="F6" s="32"/>
      <c r="K6" t="s">
        <v>220</v>
      </c>
      <c r="O6" t="s">
        <v>221</v>
      </c>
    </row>
    <row r="7" spans="1:16" ht="15">
      <c r="A7" s="32" t="s">
        <v>222</v>
      </c>
      <c r="B7" s="210">
        <v>22000</v>
      </c>
      <c r="C7" s="32"/>
      <c r="D7" s="32">
        <f>C13</f>
        <v>2020</v>
      </c>
      <c r="E7" s="70">
        <f>C71</f>
        <v>470.534691460045</v>
      </c>
      <c r="F7" s="71"/>
      <c r="J7" s="57" t="s">
        <v>223</v>
      </c>
      <c r="K7">
        <v>4</v>
      </c>
      <c r="L7">
        <v>12</v>
      </c>
      <c r="M7">
        <v>26</v>
      </c>
      <c r="N7">
        <v>52</v>
      </c>
      <c r="O7">
        <f>B9</f>
        <v>52</v>
      </c>
      <c r="P7">
        <f>O7*B11</f>
        <v>312</v>
      </c>
    </row>
    <row r="8" spans="1:16" ht="15">
      <c r="A8" s="32" t="s">
        <v>224</v>
      </c>
      <c r="B8" s="211">
        <v>0.04</v>
      </c>
      <c r="C8" s="32"/>
      <c r="D8" s="32">
        <f>D7+1</f>
        <v>2021</v>
      </c>
      <c r="E8" s="70">
        <f>C128</f>
        <v>739.90283051593667</v>
      </c>
      <c r="F8" s="72"/>
      <c r="K8" t="b">
        <f>IF($B$9=K7,POWER(1+$B$8/12,12/K7)-1)</f>
        <v>0</v>
      </c>
      <c r="L8" t="b">
        <f>IF($B$9=L7,POWER(1+$B$8/12,12/L7)-1)</f>
        <v>0</v>
      </c>
      <c r="M8" t="b">
        <f>IF($B$9=M7,POWER(1+$B$8/12,12/M7)-1)</f>
        <v>0</v>
      </c>
      <c r="N8" t="e">
        <f>IF($B$9=N7,POWER(1+$B$8/N15,12/N7)-1)</f>
        <v>#DIV/0!</v>
      </c>
      <c r="O8">
        <f>IF($B$9=4,POWER(1+$B$8/12,12/4)-1,IF($B$9=26,POWER(1+$B$8/12,12/26)-1,IF($B$9=52,POWER(1+$B$8/12,12/52)-1,$B$8/12)))</f>
        <v>7.6824651014484324E-4</v>
      </c>
    </row>
    <row r="9" spans="1:16" ht="15">
      <c r="A9" s="32" t="s">
        <v>225</v>
      </c>
      <c r="B9" s="210">
        <v>52</v>
      </c>
      <c r="C9" s="32"/>
      <c r="D9" s="32">
        <f>D7+2</f>
        <v>2022</v>
      </c>
      <c r="E9" s="70">
        <f>C185</f>
        <v>601.98697973669516</v>
      </c>
      <c r="F9" s="71"/>
      <c r="K9" s="7">
        <f>K8*K7</f>
        <v>0</v>
      </c>
      <c r="L9" s="7">
        <f>L8*L7</f>
        <v>0</v>
      </c>
      <c r="M9" s="7">
        <f>M8*M7</f>
        <v>0</v>
      </c>
      <c r="N9" s="7" t="e">
        <f>N8*N7</f>
        <v>#DIV/0!</v>
      </c>
      <c r="O9" s="7">
        <f>O8*O7</f>
        <v>3.9948818527531849E-2</v>
      </c>
    </row>
    <row r="10" spans="1:16" ht="15">
      <c r="A10" s="32" t="s">
        <v>226</v>
      </c>
      <c r="B10" s="32">
        <v>12</v>
      </c>
      <c r="C10" s="32"/>
      <c r="D10" s="32">
        <f>D7+3</f>
        <v>2023</v>
      </c>
      <c r="E10" s="70">
        <f>C242</f>
        <v>458.45222440361141</v>
      </c>
      <c r="F10" s="32"/>
    </row>
    <row r="11" spans="1:16" ht="15">
      <c r="A11" s="32" t="s">
        <v>227</v>
      </c>
      <c r="B11" s="210">
        <v>6</v>
      </c>
      <c r="C11" s="32"/>
      <c r="D11" s="32">
        <f>D7+4</f>
        <v>2024</v>
      </c>
      <c r="E11" s="70">
        <f>C299</f>
        <v>309.06964167564337</v>
      </c>
      <c r="F11" s="32"/>
      <c r="M11">
        <f>POWER(1+B8/26,26/12)-1</f>
        <v>3.3363250419224943E-3</v>
      </c>
      <c r="O11" s="30">
        <f>PMT(O8,B9*B11,-B7)</f>
        <v>79.327758153980241</v>
      </c>
    </row>
    <row r="12" spans="1:16" ht="15">
      <c r="A12" s="32" t="s">
        <v>228</v>
      </c>
      <c r="B12" s="73">
        <f>PMT(O8,B9*B11,-B7)</f>
        <v>79.327758153980241</v>
      </c>
      <c r="C12" s="32"/>
      <c r="D12" s="32">
        <f>D7+5</f>
        <v>2025</v>
      </c>
      <c r="E12" s="70">
        <f>C356</f>
        <v>153.6009820419944</v>
      </c>
      <c r="F12" s="32"/>
    </row>
    <row r="13" spans="1:16" ht="15">
      <c r="A13" s="32" t="s">
        <v>229</v>
      </c>
      <c r="B13" s="74">
        <f>ROUNDUP(K14*B9/360,0)</f>
        <v>24</v>
      </c>
      <c r="C13" s="171">
        <v>2020</v>
      </c>
      <c r="D13" s="32">
        <f>D8+5</f>
        <v>2026</v>
      </c>
      <c r="E13" s="70">
        <f>C413</f>
        <v>16.713194207910377</v>
      </c>
      <c r="F13" s="75"/>
      <c r="K13" s="76">
        <f>K14*12/360</f>
        <v>5.4</v>
      </c>
    </row>
    <row r="14" spans="1:16" ht="15">
      <c r="A14" s="32"/>
      <c r="B14" s="172">
        <v>43995</v>
      </c>
      <c r="C14" s="172">
        <v>43831</v>
      </c>
      <c r="D14" s="32">
        <f>D9+5</f>
        <v>2027</v>
      </c>
      <c r="E14" s="70">
        <f>C470</f>
        <v>0</v>
      </c>
      <c r="F14" s="75"/>
      <c r="K14">
        <f>DAYS360(C14,B14)</f>
        <v>162</v>
      </c>
    </row>
    <row r="15" spans="1:16" ht="15">
      <c r="A15" s="32"/>
      <c r="B15" s="32"/>
      <c r="C15" s="32"/>
      <c r="D15" s="32" t="s">
        <v>28</v>
      </c>
      <c r="E15" s="70">
        <f>SUM(E7:E14)</f>
        <v>2750.2605440418365</v>
      </c>
      <c r="F15" s="32"/>
    </row>
    <row r="16" spans="1:16" ht="15.6" thickBot="1">
      <c r="A16" s="32"/>
      <c r="B16" s="32"/>
      <c r="C16" s="32"/>
      <c r="D16" s="32"/>
      <c r="E16" s="32"/>
      <c r="F16" s="32"/>
    </row>
    <row r="17" spans="1:16" ht="15">
      <c r="A17" s="79" t="s">
        <v>230</v>
      </c>
      <c r="B17" s="80" t="s">
        <v>216</v>
      </c>
      <c r="C17" s="80" t="s">
        <v>21</v>
      </c>
      <c r="D17" s="80" t="s">
        <v>231</v>
      </c>
      <c r="E17" s="81" t="s">
        <v>208</v>
      </c>
      <c r="F17" s="32"/>
    </row>
    <row r="18" spans="1:16" ht="15">
      <c r="A18" s="82">
        <v>0</v>
      </c>
      <c r="B18" s="83"/>
      <c r="C18" s="83">
        <f>O8</f>
        <v>7.6824651014484324E-4</v>
      </c>
      <c r="D18" s="83"/>
      <c r="E18" s="84">
        <f>IF(B13=1,B7,0)</f>
        <v>0</v>
      </c>
      <c r="F18" s="32"/>
      <c r="J18" s="32"/>
      <c r="K18" s="32"/>
    </row>
    <row r="19" spans="1:16" ht="15">
      <c r="A19" s="82">
        <v>1</v>
      </c>
      <c r="B19" s="85">
        <f>IF(B13=1,$B$12,0)</f>
        <v>0</v>
      </c>
      <c r="C19" s="86">
        <f>E18*$C$18</f>
        <v>0</v>
      </c>
      <c r="D19" s="85">
        <f>B19-C19</f>
        <v>0</v>
      </c>
      <c r="E19" s="87">
        <f>IF(B13=2,B7,IF(B13=1,E18-D19,0))</f>
        <v>0</v>
      </c>
      <c r="F19" s="32"/>
      <c r="J19" s="32"/>
      <c r="K19" s="75"/>
      <c r="P19">
        <f>A19</f>
        <v>1</v>
      </c>
    </row>
    <row r="20" spans="1:16" ht="15">
      <c r="A20" s="82">
        <f>A19+1</f>
        <v>2</v>
      </c>
      <c r="B20" s="85">
        <f>IF($B$13&gt;A20,0,$B$12)</f>
        <v>0</v>
      </c>
      <c r="C20" s="86">
        <f t="shared" ref="C20:C70" si="0">E19*$C$18</f>
        <v>0</v>
      </c>
      <c r="D20" s="85">
        <f>B20-C20</f>
        <v>0</v>
      </c>
      <c r="E20" s="87">
        <f>IF($B$13=A21,$B$7,IF($B$13&gt;A20,0,E19-D20))</f>
        <v>0</v>
      </c>
      <c r="F20" s="32"/>
      <c r="J20" s="32"/>
      <c r="K20" s="32"/>
      <c r="P20">
        <f>P19+1</f>
        <v>2</v>
      </c>
    </row>
    <row r="21" spans="1:16" ht="15">
      <c r="A21" s="82">
        <f>A20+1</f>
        <v>3</v>
      </c>
      <c r="B21" s="85">
        <f t="shared" ref="B21:B70" si="1">IF($B$13&gt;A21,0,$B$12)</f>
        <v>0</v>
      </c>
      <c r="C21" s="86">
        <f t="shared" si="0"/>
        <v>0</v>
      </c>
      <c r="D21" s="85">
        <f t="shared" ref="D21:D70" si="2">B21-C21</f>
        <v>0</v>
      </c>
      <c r="E21" s="87">
        <f t="shared" ref="E21:E70" si="3">IF($B$13=A22,$B$7,IF($B$13&gt;A21,0,E20-D21))</f>
        <v>0</v>
      </c>
      <c r="F21" s="32"/>
      <c r="J21" s="32"/>
      <c r="K21" s="32"/>
    </row>
    <row r="22" spans="1:16" ht="15">
      <c r="A22" s="82">
        <f t="shared" ref="A22:A70" si="4">A21+1</f>
        <v>4</v>
      </c>
      <c r="B22" s="85">
        <f t="shared" si="1"/>
        <v>0</v>
      </c>
      <c r="C22" s="86">
        <f t="shared" si="0"/>
        <v>0</v>
      </c>
      <c r="D22" s="85">
        <f t="shared" si="2"/>
        <v>0</v>
      </c>
      <c r="E22" s="87">
        <f t="shared" si="3"/>
        <v>0</v>
      </c>
      <c r="F22" s="32"/>
      <c r="J22" s="32"/>
      <c r="K22" s="75"/>
    </row>
    <row r="23" spans="1:16" ht="15">
      <c r="A23" s="82">
        <f t="shared" si="4"/>
        <v>5</v>
      </c>
      <c r="B23" s="85">
        <f t="shared" si="1"/>
        <v>0</v>
      </c>
      <c r="C23" s="86">
        <f t="shared" si="0"/>
        <v>0</v>
      </c>
      <c r="D23" s="85">
        <f t="shared" si="2"/>
        <v>0</v>
      </c>
      <c r="E23" s="87">
        <f t="shared" si="3"/>
        <v>0</v>
      </c>
      <c r="F23" s="32"/>
    </row>
    <row r="24" spans="1:16" ht="15">
      <c r="A24" s="82">
        <f t="shared" si="4"/>
        <v>6</v>
      </c>
      <c r="B24" s="85">
        <f t="shared" si="1"/>
        <v>0</v>
      </c>
      <c r="C24" s="86">
        <f t="shared" si="0"/>
        <v>0</v>
      </c>
      <c r="D24" s="85">
        <f t="shared" si="2"/>
        <v>0</v>
      </c>
      <c r="E24" s="87">
        <f t="shared" si="3"/>
        <v>0</v>
      </c>
      <c r="F24" s="32"/>
    </row>
    <row r="25" spans="1:16" ht="15">
      <c r="A25" s="82">
        <f t="shared" si="4"/>
        <v>7</v>
      </c>
      <c r="B25" s="85">
        <f t="shared" si="1"/>
        <v>0</v>
      </c>
      <c r="C25" s="86">
        <f t="shared" si="0"/>
        <v>0</v>
      </c>
      <c r="D25" s="85">
        <f t="shared" si="2"/>
        <v>0</v>
      </c>
      <c r="E25" s="87">
        <f t="shared" si="3"/>
        <v>0</v>
      </c>
      <c r="F25" s="32"/>
    </row>
    <row r="26" spans="1:16" ht="15">
      <c r="A26" s="82">
        <f t="shared" si="4"/>
        <v>8</v>
      </c>
      <c r="B26" s="85">
        <f t="shared" si="1"/>
        <v>0</v>
      </c>
      <c r="C26" s="86">
        <f t="shared" si="0"/>
        <v>0</v>
      </c>
      <c r="D26" s="85">
        <f t="shared" si="2"/>
        <v>0</v>
      </c>
      <c r="E26" s="87">
        <f t="shared" si="3"/>
        <v>0</v>
      </c>
      <c r="F26" s="32"/>
    </row>
    <row r="27" spans="1:16" ht="15">
      <c r="A27" s="82">
        <f t="shared" si="4"/>
        <v>9</v>
      </c>
      <c r="B27" s="85">
        <f t="shared" si="1"/>
        <v>0</v>
      </c>
      <c r="C27" s="86">
        <f t="shared" si="0"/>
        <v>0</v>
      </c>
      <c r="D27" s="85">
        <f t="shared" si="2"/>
        <v>0</v>
      </c>
      <c r="E27" s="87">
        <f t="shared" si="3"/>
        <v>0</v>
      </c>
      <c r="F27" s="32"/>
    </row>
    <row r="28" spans="1:16" ht="15">
      <c r="A28" s="82">
        <f t="shared" si="4"/>
        <v>10</v>
      </c>
      <c r="B28" s="85">
        <f t="shared" si="1"/>
        <v>0</v>
      </c>
      <c r="C28" s="86">
        <f t="shared" si="0"/>
        <v>0</v>
      </c>
      <c r="D28" s="85">
        <f t="shared" si="2"/>
        <v>0</v>
      </c>
      <c r="E28" s="87">
        <f t="shared" si="3"/>
        <v>0</v>
      </c>
      <c r="F28" s="32"/>
    </row>
    <row r="29" spans="1:16" ht="15">
      <c r="A29" s="82">
        <f t="shared" si="4"/>
        <v>11</v>
      </c>
      <c r="B29" s="85">
        <f t="shared" si="1"/>
        <v>0</v>
      </c>
      <c r="C29" s="86">
        <f t="shared" si="0"/>
        <v>0</v>
      </c>
      <c r="D29" s="85">
        <f t="shared" si="2"/>
        <v>0</v>
      </c>
      <c r="E29" s="87">
        <f t="shared" si="3"/>
        <v>0</v>
      </c>
      <c r="F29" s="32"/>
    </row>
    <row r="30" spans="1:16" ht="15">
      <c r="A30" s="82">
        <f t="shared" si="4"/>
        <v>12</v>
      </c>
      <c r="B30" s="85">
        <f t="shared" si="1"/>
        <v>0</v>
      </c>
      <c r="C30" s="86">
        <f t="shared" si="0"/>
        <v>0</v>
      </c>
      <c r="D30" s="85">
        <f t="shared" si="2"/>
        <v>0</v>
      </c>
      <c r="E30" s="87">
        <f t="shared" si="3"/>
        <v>0</v>
      </c>
      <c r="F30" s="32"/>
    </row>
    <row r="31" spans="1:16" ht="15">
      <c r="A31" s="82">
        <f t="shared" si="4"/>
        <v>13</v>
      </c>
      <c r="B31" s="85">
        <f t="shared" si="1"/>
        <v>0</v>
      </c>
      <c r="C31" s="86">
        <f t="shared" si="0"/>
        <v>0</v>
      </c>
      <c r="D31" s="85">
        <f t="shared" si="2"/>
        <v>0</v>
      </c>
      <c r="E31" s="87">
        <f t="shared" si="3"/>
        <v>0</v>
      </c>
      <c r="F31" s="32"/>
    </row>
    <row r="32" spans="1:16" ht="15">
      <c r="A32" s="82">
        <f t="shared" si="4"/>
        <v>14</v>
      </c>
      <c r="B32" s="85">
        <f t="shared" si="1"/>
        <v>0</v>
      </c>
      <c r="C32" s="86">
        <f t="shared" si="0"/>
        <v>0</v>
      </c>
      <c r="D32" s="85">
        <f t="shared" si="2"/>
        <v>0</v>
      </c>
      <c r="E32" s="87">
        <f t="shared" si="3"/>
        <v>0</v>
      </c>
      <c r="F32" s="32"/>
    </row>
    <row r="33" spans="1:6" ht="15">
      <c r="A33" s="82">
        <f t="shared" si="4"/>
        <v>15</v>
      </c>
      <c r="B33" s="85">
        <f t="shared" si="1"/>
        <v>0</v>
      </c>
      <c r="C33" s="86">
        <f t="shared" si="0"/>
        <v>0</v>
      </c>
      <c r="D33" s="85">
        <f t="shared" si="2"/>
        <v>0</v>
      </c>
      <c r="E33" s="87">
        <f t="shared" si="3"/>
        <v>0</v>
      </c>
      <c r="F33" s="32"/>
    </row>
    <row r="34" spans="1:6" ht="15">
      <c r="A34" s="82">
        <f t="shared" si="4"/>
        <v>16</v>
      </c>
      <c r="B34" s="85">
        <f t="shared" si="1"/>
        <v>0</v>
      </c>
      <c r="C34" s="86">
        <f t="shared" si="0"/>
        <v>0</v>
      </c>
      <c r="D34" s="85">
        <f t="shared" si="2"/>
        <v>0</v>
      </c>
      <c r="E34" s="87">
        <f t="shared" si="3"/>
        <v>0</v>
      </c>
      <c r="F34" s="32"/>
    </row>
    <row r="35" spans="1:6" ht="15">
      <c r="A35" s="82">
        <f t="shared" si="4"/>
        <v>17</v>
      </c>
      <c r="B35" s="85">
        <f t="shared" si="1"/>
        <v>0</v>
      </c>
      <c r="C35" s="86">
        <f t="shared" si="0"/>
        <v>0</v>
      </c>
      <c r="D35" s="85">
        <f t="shared" si="2"/>
        <v>0</v>
      </c>
      <c r="E35" s="87">
        <f t="shared" si="3"/>
        <v>0</v>
      </c>
      <c r="F35" s="32"/>
    </row>
    <row r="36" spans="1:6" ht="15">
      <c r="A36" s="82">
        <f t="shared" si="4"/>
        <v>18</v>
      </c>
      <c r="B36" s="85">
        <f t="shared" si="1"/>
        <v>0</v>
      </c>
      <c r="C36" s="86">
        <f t="shared" si="0"/>
        <v>0</v>
      </c>
      <c r="D36" s="85">
        <f t="shared" si="2"/>
        <v>0</v>
      </c>
      <c r="E36" s="87">
        <f t="shared" si="3"/>
        <v>0</v>
      </c>
      <c r="F36" s="32"/>
    </row>
    <row r="37" spans="1:6" ht="15">
      <c r="A37" s="82">
        <f t="shared" si="4"/>
        <v>19</v>
      </c>
      <c r="B37" s="85">
        <f t="shared" si="1"/>
        <v>0</v>
      </c>
      <c r="C37" s="86">
        <f t="shared" si="0"/>
        <v>0</v>
      </c>
      <c r="D37" s="85">
        <f t="shared" si="2"/>
        <v>0</v>
      </c>
      <c r="E37" s="87">
        <f t="shared" si="3"/>
        <v>0</v>
      </c>
      <c r="F37" s="32"/>
    </row>
    <row r="38" spans="1:6" ht="15">
      <c r="A38" s="82">
        <f t="shared" si="4"/>
        <v>20</v>
      </c>
      <c r="B38" s="85">
        <f t="shared" si="1"/>
        <v>0</v>
      </c>
      <c r="C38" s="86">
        <f t="shared" si="0"/>
        <v>0</v>
      </c>
      <c r="D38" s="85">
        <f t="shared" si="2"/>
        <v>0</v>
      </c>
      <c r="E38" s="87">
        <f t="shared" si="3"/>
        <v>0</v>
      </c>
      <c r="F38" s="32"/>
    </row>
    <row r="39" spans="1:6" ht="15">
      <c r="A39" s="82">
        <f t="shared" si="4"/>
        <v>21</v>
      </c>
      <c r="B39" s="85">
        <f t="shared" si="1"/>
        <v>0</v>
      </c>
      <c r="C39" s="86">
        <f t="shared" si="0"/>
        <v>0</v>
      </c>
      <c r="D39" s="85">
        <f t="shared" si="2"/>
        <v>0</v>
      </c>
      <c r="E39" s="87">
        <f t="shared" si="3"/>
        <v>0</v>
      </c>
      <c r="F39" s="32"/>
    </row>
    <row r="40" spans="1:6" ht="15">
      <c r="A40" s="82">
        <f t="shared" si="4"/>
        <v>22</v>
      </c>
      <c r="B40" s="85">
        <f t="shared" si="1"/>
        <v>0</v>
      </c>
      <c r="C40" s="86">
        <f t="shared" si="0"/>
        <v>0</v>
      </c>
      <c r="D40" s="85">
        <f t="shared" si="2"/>
        <v>0</v>
      </c>
      <c r="E40" s="87">
        <f t="shared" si="3"/>
        <v>0</v>
      </c>
      <c r="F40" s="32"/>
    </row>
    <row r="41" spans="1:6" ht="15">
      <c r="A41" s="82">
        <f t="shared" si="4"/>
        <v>23</v>
      </c>
      <c r="B41" s="85">
        <f t="shared" si="1"/>
        <v>0</v>
      </c>
      <c r="C41" s="86">
        <f t="shared" si="0"/>
        <v>0</v>
      </c>
      <c r="D41" s="85">
        <f t="shared" si="2"/>
        <v>0</v>
      </c>
      <c r="E41" s="87">
        <f t="shared" si="3"/>
        <v>22000</v>
      </c>
      <c r="F41" s="32"/>
    </row>
    <row r="42" spans="1:6" ht="15">
      <c r="A42" s="82">
        <f t="shared" si="4"/>
        <v>24</v>
      </c>
      <c r="B42" s="85">
        <f t="shared" si="1"/>
        <v>79.327758153980241</v>
      </c>
      <c r="C42" s="86">
        <f t="shared" si="0"/>
        <v>16.901423223186551</v>
      </c>
      <c r="D42" s="85">
        <f t="shared" si="2"/>
        <v>62.426334930793686</v>
      </c>
      <c r="E42" s="87">
        <f t="shared" si="3"/>
        <v>21937.573665069205</v>
      </c>
      <c r="F42" s="32"/>
    </row>
    <row r="43" spans="1:6" ht="15">
      <c r="A43" s="82">
        <f t="shared" si="4"/>
        <v>25</v>
      </c>
      <c r="B43" s="85">
        <f t="shared" si="1"/>
        <v>79.327758153980241</v>
      </c>
      <c r="C43" s="86">
        <f t="shared" si="0"/>
        <v>16.853464409234835</v>
      </c>
      <c r="D43" s="85">
        <f t="shared" si="2"/>
        <v>62.47429374474541</v>
      </c>
      <c r="E43" s="87">
        <f t="shared" si="3"/>
        <v>21875.099371324461</v>
      </c>
      <c r="F43" s="32"/>
    </row>
    <row r="44" spans="1:6" ht="15">
      <c r="A44" s="82">
        <f t="shared" si="4"/>
        <v>26</v>
      </c>
      <c r="B44" s="85">
        <f t="shared" si="1"/>
        <v>79.327758153980241</v>
      </c>
      <c r="C44" s="86">
        <f t="shared" si="0"/>
        <v>16.80546875109167</v>
      </c>
      <c r="D44" s="85">
        <f t="shared" si="2"/>
        <v>62.522289402888575</v>
      </c>
      <c r="E44" s="87">
        <f t="shared" si="3"/>
        <v>21812.577081921572</v>
      </c>
      <c r="F44" s="32"/>
    </row>
    <row r="45" spans="1:6" ht="15">
      <c r="A45" s="82">
        <f t="shared" si="4"/>
        <v>27</v>
      </c>
      <c r="B45" s="85">
        <f t="shared" si="1"/>
        <v>79.327758153980241</v>
      </c>
      <c r="C45" s="86">
        <f t="shared" si="0"/>
        <v>16.757436220451638</v>
      </c>
      <c r="D45" s="85">
        <f t="shared" si="2"/>
        <v>62.570321933528604</v>
      </c>
      <c r="E45" s="87">
        <f t="shared" si="3"/>
        <v>21750.006759988042</v>
      </c>
      <c r="F45" s="32"/>
    </row>
    <row r="46" spans="1:6" ht="15">
      <c r="A46" s="82">
        <f t="shared" si="4"/>
        <v>28</v>
      </c>
      <c r="B46" s="85">
        <f t="shared" si="1"/>
        <v>79.327758153980241</v>
      </c>
      <c r="C46" s="86">
        <f t="shared" si="0"/>
        <v>16.709366788987563</v>
      </c>
      <c r="D46" s="85">
        <f t="shared" si="2"/>
        <v>62.618391364992675</v>
      </c>
      <c r="E46" s="87">
        <f t="shared" si="3"/>
        <v>21687.388368623051</v>
      </c>
      <c r="F46" s="32"/>
    </row>
    <row r="47" spans="1:6" ht="15">
      <c r="A47" s="82">
        <f t="shared" si="4"/>
        <v>29</v>
      </c>
      <c r="B47" s="85">
        <f t="shared" si="1"/>
        <v>79.327758153980241</v>
      </c>
      <c r="C47" s="86">
        <f t="shared" si="0"/>
        <v>16.661260428350523</v>
      </c>
      <c r="D47" s="85">
        <f t="shared" si="2"/>
        <v>62.666497725629718</v>
      </c>
      <c r="E47" s="87">
        <f t="shared" si="3"/>
        <v>21624.721870897421</v>
      </c>
      <c r="F47" s="32"/>
    </row>
    <row r="48" spans="1:6" ht="15">
      <c r="A48" s="82">
        <f t="shared" si="4"/>
        <v>30</v>
      </c>
      <c r="B48" s="85">
        <f t="shared" si="1"/>
        <v>79.327758153980241</v>
      </c>
      <c r="C48" s="86">
        <f t="shared" si="0"/>
        <v>16.61311711016981</v>
      </c>
      <c r="D48" s="85">
        <f t="shared" si="2"/>
        <v>62.714641043810431</v>
      </c>
      <c r="E48" s="87">
        <f t="shared" si="3"/>
        <v>21562.007229853611</v>
      </c>
      <c r="F48" s="32"/>
    </row>
    <row r="49" spans="1:6" ht="15">
      <c r="A49" s="82">
        <f t="shared" si="4"/>
        <v>31</v>
      </c>
      <c r="B49" s="85">
        <f t="shared" si="1"/>
        <v>79.327758153980241</v>
      </c>
      <c r="C49" s="86">
        <f t="shared" si="0"/>
        <v>16.564936806052916</v>
      </c>
      <c r="D49" s="85">
        <f t="shared" si="2"/>
        <v>62.762821347927328</v>
      </c>
      <c r="E49" s="87">
        <f t="shared" si="3"/>
        <v>21499.244408505685</v>
      </c>
      <c r="F49" s="32"/>
    </row>
    <row r="50" spans="1:6" ht="15">
      <c r="A50" s="82">
        <f t="shared" si="4"/>
        <v>32</v>
      </c>
      <c r="B50" s="85">
        <f t="shared" si="1"/>
        <v>79.327758153980241</v>
      </c>
      <c r="C50" s="86">
        <f t="shared" si="0"/>
        <v>16.516719487585526</v>
      </c>
      <c r="D50" s="85">
        <f t="shared" si="2"/>
        <v>62.811038666394715</v>
      </c>
      <c r="E50" s="87">
        <f t="shared" si="3"/>
        <v>21436.433369839291</v>
      </c>
      <c r="F50" s="32"/>
    </row>
    <row r="51" spans="1:6" ht="15">
      <c r="A51" s="82">
        <f t="shared" si="4"/>
        <v>33</v>
      </c>
      <c r="B51" s="85">
        <f t="shared" si="1"/>
        <v>79.327758153980241</v>
      </c>
      <c r="C51" s="86">
        <f t="shared" si="0"/>
        <v>16.468465126331498</v>
      </c>
      <c r="D51" s="85">
        <f t="shared" si="2"/>
        <v>62.859293027648746</v>
      </c>
      <c r="E51" s="87">
        <f t="shared" si="3"/>
        <v>21373.574076811641</v>
      </c>
      <c r="F51" s="32"/>
    </row>
    <row r="52" spans="1:6" ht="15">
      <c r="A52" s="82">
        <f t="shared" si="4"/>
        <v>34</v>
      </c>
      <c r="B52" s="85">
        <f t="shared" si="1"/>
        <v>79.327758153980241</v>
      </c>
      <c r="C52" s="86">
        <f t="shared" si="0"/>
        <v>16.420173693832833</v>
      </c>
      <c r="D52" s="85">
        <f t="shared" si="2"/>
        <v>62.907584460147405</v>
      </c>
      <c r="E52" s="87">
        <f t="shared" si="3"/>
        <v>21310.666492351495</v>
      </c>
      <c r="F52" s="32"/>
    </row>
    <row r="53" spans="1:6" ht="15">
      <c r="A53" s="82">
        <f t="shared" si="4"/>
        <v>35</v>
      </c>
      <c r="B53" s="85">
        <f t="shared" si="1"/>
        <v>79.327758153980241</v>
      </c>
      <c r="C53" s="86">
        <f t="shared" si="0"/>
        <v>16.371845161609684</v>
      </c>
      <c r="D53" s="85">
        <f t="shared" si="2"/>
        <v>62.955912992370557</v>
      </c>
      <c r="E53" s="87">
        <f t="shared" si="3"/>
        <v>21247.710579359125</v>
      </c>
      <c r="F53" s="32"/>
    </row>
    <row r="54" spans="1:6" ht="15">
      <c r="A54" s="82">
        <f t="shared" si="4"/>
        <v>36</v>
      </c>
      <c r="B54" s="85">
        <f t="shared" si="1"/>
        <v>79.327758153980241</v>
      </c>
      <c r="C54" s="86">
        <f t="shared" si="0"/>
        <v>16.323479501160314</v>
      </c>
      <c r="D54" s="85">
        <f t="shared" si="2"/>
        <v>63.004278652819927</v>
      </c>
      <c r="E54" s="87">
        <f t="shared" si="3"/>
        <v>21184.706300706304</v>
      </c>
      <c r="F54" s="32"/>
    </row>
    <row r="55" spans="1:6" ht="15">
      <c r="A55" s="82">
        <f t="shared" si="4"/>
        <v>37</v>
      </c>
      <c r="B55" s="85">
        <f t="shared" si="1"/>
        <v>79.327758153980241</v>
      </c>
      <c r="C55" s="86">
        <f t="shared" si="0"/>
        <v>16.275076683961089</v>
      </c>
      <c r="D55" s="85">
        <f t="shared" si="2"/>
        <v>63.052681470019152</v>
      </c>
      <c r="E55" s="87">
        <f t="shared" si="3"/>
        <v>21121.653619236284</v>
      </c>
      <c r="F55" s="32"/>
    </row>
    <row r="56" spans="1:6" ht="15">
      <c r="A56" s="82">
        <f t="shared" si="4"/>
        <v>38</v>
      </c>
      <c r="B56" s="85">
        <f t="shared" si="1"/>
        <v>79.327758153980241</v>
      </c>
      <c r="C56" s="86">
        <f t="shared" si="0"/>
        <v>16.226636681466474</v>
      </c>
      <c r="D56" s="85">
        <f t="shared" si="2"/>
        <v>63.101121472513768</v>
      </c>
      <c r="E56" s="87">
        <f t="shared" si="3"/>
        <v>21058.552497763769</v>
      </c>
      <c r="F56" s="32"/>
    </row>
    <row r="57" spans="1:6" ht="15">
      <c r="A57" s="82">
        <f t="shared" si="4"/>
        <v>39</v>
      </c>
      <c r="B57" s="85">
        <f t="shared" si="1"/>
        <v>79.327758153980241</v>
      </c>
      <c r="C57" s="86">
        <f t="shared" si="0"/>
        <v>16.178159465108987</v>
      </c>
      <c r="D57" s="85">
        <f t="shared" si="2"/>
        <v>63.149598688871251</v>
      </c>
      <c r="E57" s="87">
        <f t="shared" si="3"/>
        <v>20995.402899074899</v>
      </c>
      <c r="F57" s="32"/>
    </row>
    <row r="58" spans="1:6" ht="15">
      <c r="A58" s="82">
        <f t="shared" si="4"/>
        <v>40</v>
      </c>
      <c r="B58" s="85">
        <f t="shared" si="1"/>
        <v>79.327758153980241</v>
      </c>
      <c r="C58" s="86">
        <f t="shared" si="0"/>
        <v>16.129645006299217</v>
      </c>
      <c r="D58" s="85">
        <f t="shared" si="2"/>
        <v>63.198113147681028</v>
      </c>
      <c r="E58" s="87">
        <f t="shared" si="3"/>
        <v>20932.204785927217</v>
      </c>
      <c r="F58" s="32"/>
    </row>
    <row r="59" spans="1:6" ht="15">
      <c r="A59" s="82">
        <f t="shared" si="4"/>
        <v>41</v>
      </c>
      <c r="B59" s="85">
        <f t="shared" si="1"/>
        <v>79.327758153980241</v>
      </c>
      <c r="C59" s="86">
        <f t="shared" si="0"/>
        <v>16.081093276425769</v>
      </c>
      <c r="D59" s="85">
        <f t="shared" si="2"/>
        <v>63.246664877554473</v>
      </c>
      <c r="E59" s="87">
        <f t="shared" si="3"/>
        <v>20868.958121049662</v>
      </c>
      <c r="F59" s="32"/>
    </row>
    <row r="60" spans="1:6" ht="15">
      <c r="A60" s="82">
        <f t="shared" si="4"/>
        <v>42</v>
      </c>
      <c r="B60" s="85">
        <f t="shared" si="1"/>
        <v>79.327758153980241</v>
      </c>
      <c r="C60" s="86">
        <f t="shared" si="0"/>
        <v>16.032504246855289</v>
      </c>
      <c r="D60" s="85">
        <f t="shared" si="2"/>
        <v>63.295253907124952</v>
      </c>
      <c r="E60" s="87">
        <f t="shared" si="3"/>
        <v>20805.662867142535</v>
      </c>
      <c r="F60" s="32"/>
    </row>
    <row r="61" spans="1:6" ht="15">
      <c r="A61" s="82">
        <f t="shared" si="4"/>
        <v>43</v>
      </c>
      <c r="B61" s="85">
        <f t="shared" si="1"/>
        <v>79.327758153980241</v>
      </c>
      <c r="C61" s="86">
        <f t="shared" si="0"/>
        <v>15.983877888932406</v>
      </c>
      <c r="D61" s="85">
        <f t="shared" si="2"/>
        <v>63.343880265047837</v>
      </c>
      <c r="E61" s="87">
        <f t="shared" si="3"/>
        <v>20742.318986877486</v>
      </c>
      <c r="F61" s="32"/>
    </row>
    <row r="62" spans="1:6" ht="15">
      <c r="A62" s="82">
        <f t="shared" si="4"/>
        <v>44</v>
      </c>
      <c r="B62" s="85">
        <f t="shared" si="1"/>
        <v>79.327758153980241</v>
      </c>
      <c r="C62" s="86">
        <f t="shared" si="0"/>
        <v>15.93521417397975</v>
      </c>
      <c r="D62" s="85">
        <f t="shared" si="2"/>
        <v>63.39254398000049</v>
      </c>
      <c r="E62" s="87">
        <f t="shared" si="3"/>
        <v>20678.926442897486</v>
      </c>
      <c r="F62" s="32"/>
    </row>
    <row r="63" spans="1:6" ht="15">
      <c r="A63" s="82">
        <f t="shared" si="4"/>
        <v>45</v>
      </c>
      <c r="B63" s="85">
        <f t="shared" si="1"/>
        <v>79.327758153980241</v>
      </c>
      <c r="C63" s="86">
        <f t="shared" si="0"/>
        <v>15.886513073297911</v>
      </c>
      <c r="D63" s="85">
        <f t="shared" si="2"/>
        <v>63.441245080682329</v>
      </c>
      <c r="E63" s="87">
        <f t="shared" si="3"/>
        <v>20615.485197816804</v>
      </c>
      <c r="F63" s="32"/>
    </row>
    <row r="64" spans="1:6" ht="15">
      <c r="A64" s="82">
        <f t="shared" si="4"/>
        <v>46</v>
      </c>
      <c r="B64" s="85">
        <f t="shared" si="1"/>
        <v>79.327758153980241</v>
      </c>
      <c r="C64" s="86">
        <f t="shared" si="0"/>
        <v>15.837774558165433</v>
      </c>
      <c r="D64" s="85">
        <f t="shared" si="2"/>
        <v>63.489983595814806</v>
      </c>
      <c r="E64" s="87">
        <f t="shared" si="3"/>
        <v>20551.995214220991</v>
      </c>
      <c r="F64" s="32"/>
    </row>
    <row r="65" spans="1:6" ht="15">
      <c r="A65" s="82">
        <f t="shared" si="4"/>
        <v>47</v>
      </c>
      <c r="B65" s="85">
        <f t="shared" si="1"/>
        <v>79.327758153980241</v>
      </c>
      <c r="C65" s="86">
        <f t="shared" si="0"/>
        <v>15.788998599838797</v>
      </c>
      <c r="D65" s="85">
        <f t="shared" si="2"/>
        <v>63.538759554141443</v>
      </c>
      <c r="E65" s="87">
        <f t="shared" si="3"/>
        <v>20488.456454666852</v>
      </c>
      <c r="F65" s="32"/>
    </row>
    <row r="66" spans="1:6" ht="15">
      <c r="A66" s="82">
        <f t="shared" si="4"/>
        <v>48</v>
      </c>
      <c r="B66" s="85">
        <f t="shared" si="1"/>
        <v>79.327758153980241</v>
      </c>
      <c r="C66" s="86">
        <f t="shared" si="0"/>
        <v>15.740185169552397</v>
      </c>
      <c r="D66" s="85">
        <f t="shared" si="2"/>
        <v>63.587572984427844</v>
      </c>
      <c r="E66" s="87">
        <f t="shared" si="3"/>
        <v>20424.868881682425</v>
      </c>
      <c r="F66" s="32"/>
    </row>
    <row r="67" spans="1:6" ht="15">
      <c r="A67" s="82">
        <f t="shared" si="4"/>
        <v>49</v>
      </c>
      <c r="B67" s="85">
        <f t="shared" si="1"/>
        <v>79.327758153980241</v>
      </c>
      <c r="C67" s="86">
        <f t="shared" si="0"/>
        <v>15.691334238518531</v>
      </c>
      <c r="D67" s="85">
        <f t="shared" si="2"/>
        <v>63.636423915461712</v>
      </c>
      <c r="E67" s="87">
        <f t="shared" si="3"/>
        <v>20361.232457766964</v>
      </c>
      <c r="F67" s="32"/>
    </row>
    <row r="68" spans="1:6" ht="15">
      <c r="A68" s="82">
        <f t="shared" si="4"/>
        <v>50</v>
      </c>
      <c r="B68" s="85">
        <f t="shared" si="1"/>
        <v>79.327758153980241</v>
      </c>
      <c r="C68" s="86">
        <f t="shared" si="0"/>
        <v>15.64244577792738</v>
      </c>
      <c r="D68" s="85">
        <f t="shared" si="2"/>
        <v>63.685312376052863</v>
      </c>
      <c r="E68" s="87">
        <f t="shared" si="3"/>
        <v>20297.547145390912</v>
      </c>
      <c r="F68" s="32"/>
    </row>
    <row r="69" spans="1:6" ht="15">
      <c r="A69" s="82">
        <f t="shared" si="4"/>
        <v>51</v>
      </c>
      <c r="B69" s="85">
        <f t="shared" si="1"/>
        <v>79.327758153980241</v>
      </c>
      <c r="C69" s="86">
        <f t="shared" si="0"/>
        <v>15.593519758946993</v>
      </c>
      <c r="D69" s="85">
        <f t="shared" si="2"/>
        <v>63.734238395033245</v>
      </c>
      <c r="E69" s="87">
        <f t="shared" si="3"/>
        <v>20233.812906995878</v>
      </c>
      <c r="F69" s="32"/>
    </row>
    <row r="70" spans="1:6" ht="15">
      <c r="A70" s="82">
        <f t="shared" si="4"/>
        <v>52</v>
      </c>
      <c r="B70" s="85">
        <f t="shared" si="1"/>
        <v>79.327758153980241</v>
      </c>
      <c r="C70" s="86">
        <f t="shared" si="0"/>
        <v>15.544556152723269</v>
      </c>
      <c r="D70" s="85">
        <f t="shared" si="2"/>
        <v>63.783202001256974</v>
      </c>
      <c r="E70" s="87">
        <f t="shared" si="3"/>
        <v>20170.02970499462</v>
      </c>
      <c r="F70" s="32"/>
    </row>
    <row r="71" spans="1:6" ht="15.6" thickBot="1">
      <c r="A71" s="88">
        <f>C13</f>
        <v>2020</v>
      </c>
      <c r="B71" s="89"/>
      <c r="C71" s="70">
        <f>SUM(C19:C70)</f>
        <v>470.534691460045</v>
      </c>
      <c r="D71" s="73">
        <f>SUM(D19:D70)</f>
        <v>1829.9702950053822</v>
      </c>
      <c r="E71" s="90"/>
      <c r="F71" s="32"/>
    </row>
    <row r="72" spans="1:6" ht="15">
      <c r="A72" s="91"/>
      <c r="B72" s="92"/>
      <c r="C72" s="70"/>
      <c r="D72" s="73"/>
      <c r="E72" s="92"/>
      <c r="F72" s="32"/>
    </row>
    <row r="73" spans="1:6" ht="13.8" thickBot="1"/>
    <row r="74" spans="1:6" ht="15">
      <c r="A74" s="79" t="s">
        <v>230</v>
      </c>
      <c r="B74" s="80" t="s">
        <v>216</v>
      </c>
      <c r="C74" s="80" t="s">
        <v>21</v>
      </c>
      <c r="D74" s="80" t="s">
        <v>231</v>
      </c>
      <c r="E74" s="81" t="s">
        <v>208</v>
      </c>
    </row>
    <row r="75" spans="1:6" ht="15">
      <c r="A75" s="82">
        <v>0</v>
      </c>
      <c r="B75" s="83"/>
      <c r="C75" s="83"/>
      <c r="D75" s="83"/>
      <c r="E75" s="84">
        <f>E70</f>
        <v>20170.02970499462</v>
      </c>
    </row>
    <row r="76" spans="1:6" ht="15">
      <c r="A76" s="82">
        <v>1</v>
      </c>
      <c r="B76" s="85">
        <f>IF(E75+C76&lt;$B$12,E75+C76,$B$12)</f>
        <v>79.327758153980241</v>
      </c>
      <c r="C76" s="86">
        <f>E75*$C$18</f>
        <v>15.495554930379939</v>
      </c>
      <c r="D76" s="85">
        <f t="shared" ref="D76:D127" si="5">B76-C76</f>
        <v>63.832203223600303</v>
      </c>
      <c r="E76" s="87">
        <f t="shared" ref="E76:E127" si="6">E75-D76</f>
        <v>20106.197501771021</v>
      </c>
    </row>
    <row r="77" spans="1:6" ht="15">
      <c r="A77" s="82">
        <f>A76+1</f>
        <v>2</v>
      </c>
      <c r="B77" s="85">
        <f t="shared" ref="B77:B127" si="7">IF(E76+C77&lt;$B$12,E76+C77,$B$12)</f>
        <v>79.327758153980241</v>
      </c>
      <c r="C77" s="86">
        <f t="shared" ref="C77:C127" si="8">E76*$C$18</f>
        <v>15.446516063018553</v>
      </c>
      <c r="D77" s="85">
        <f t="shared" si="5"/>
        <v>63.881242090961692</v>
      </c>
      <c r="E77" s="87">
        <f t="shared" si="6"/>
        <v>20042.316259680058</v>
      </c>
    </row>
    <row r="78" spans="1:6" ht="15">
      <c r="A78" s="82">
        <f>A77+1</f>
        <v>3</v>
      </c>
      <c r="B78" s="85">
        <f t="shared" si="7"/>
        <v>79.327758153980241</v>
      </c>
      <c r="C78" s="86">
        <f t="shared" si="8"/>
        <v>15.397439521718452</v>
      </c>
      <c r="D78" s="85">
        <f t="shared" si="5"/>
        <v>63.930318632261788</v>
      </c>
      <c r="E78" s="87">
        <f t="shared" si="6"/>
        <v>19978.385941047796</v>
      </c>
    </row>
    <row r="79" spans="1:6" ht="15">
      <c r="A79" s="82">
        <f>A78+1</f>
        <v>4</v>
      </c>
      <c r="B79" s="85">
        <f t="shared" si="7"/>
        <v>79.327758153980241</v>
      </c>
      <c r="C79" s="86">
        <f t="shared" si="8"/>
        <v>15.34832527753677</v>
      </c>
      <c r="D79" s="85">
        <f t="shared" si="5"/>
        <v>63.979432876443468</v>
      </c>
      <c r="E79" s="87">
        <f t="shared" si="6"/>
        <v>19914.406508171352</v>
      </c>
    </row>
    <row r="80" spans="1:6" ht="15">
      <c r="A80" s="93">
        <v>5</v>
      </c>
      <c r="B80" s="85">
        <f t="shared" si="7"/>
        <v>79.327758153980241</v>
      </c>
      <c r="C80" s="86">
        <f t="shared" si="8"/>
        <v>15.299173301508395</v>
      </c>
      <c r="D80" s="85">
        <f t="shared" si="5"/>
        <v>64.028584852471852</v>
      </c>
      <c r="E80" s="87">
        <f t="shared" si="6"/>
        <v>19850.37792331888</v>
      </c>
    </row>
    <row r="81" spans="1:5" ht="15">
      <c r="A81" s="93">
        <v>6</v>
      </c>
      <c r="B81" s="85">
        <f t="shared" si="7"/>
        <v>79.327758153980241</v>
      </c>
      <c r="C81" s="86">
        <f t="shared" si="8"/>
        <v>15.249983564645969</v>
      </c>
      <c r="D81" s="85">
        <f t="shared" si="5"/>
        <v>64.077774589334268</v>
      </c>
      <c r="E81" s="87">
        <f t="shared" si="6"/>
        <v>19786.300148729544</v>
      </c>
    </row>
    <row r="82" spans="1:5" ht="15">
      <c r="A82" s="93">
        <v>7</v>
      </c>
      <c r="B82" s="85">
        <f t="shared" si="7"/>
        <v>79.327758153980241</v>
      </c>
      <c r="C82" s="86">
        <f t="shared" si="8"/>
        <v>15.200756037939865</v>
      </c>
      <c r="D82" s="85">
        <f t="shared" si="5"/>
        <v>64.127002116040373</v>
      </c>
      <c r="E82" s="87">
        <f t="shared" si="6"/>
        <v>19722.173146613502</v>
      </c>
    </row>
    <row r="83" spans="1:5" ht="15">
      <c r="A83" s="93">
        <v>8</v>
      </c>
      <c r="B83" s="85">
        <f t="shared" si="7"/>
        <v>79.327758153980241</v>
      </c>
      <c r="C83" s="86">
        <f t="shared" si="8"/>
        <v>15.151490692358164</v>
      </c>
      <c r="D83" s="85">
        <f t="shared" si="5"/>
        <v>64.176267461622075</v>
      </c>
      <c r="E83" s="87">
        <f t="shared" si="6"/>
        <v>19657.99687915188</v>
      </c>
    </row>
    <row r="84" spans="1:5" ht="15">
      <c r="A84" s="93">
        <v>9</v>
      </c>
      <c r="B84" s="85">
        <f t="shared" si="7"/>
        <v>79.327758153980241</v>
      </c>
      <c r="C84" s="86">
        <f t="shared" si="8"/>
        <v>15.102187498846652</v>
      </c>
      <c r="D84" s="85">
        <f t="shared" si="5"/>
        <v>64.225570655133595</v>
      </c>
      <c r="E84" s="87">
        <f t="shared" si="6"/>
        <v>19593.771308496747</v>
      </c>
    </row>
    <row r="85" spans="1:5" ht="15">
      <c r="A85" s="93">
        <v>10</v>
      </c>
      <c r="B85" s="85">
        <f t="shared" si="7"/>
        <v>79.327758153980241</v>
      </c>
      <c r="C85" s="86">
        <f t="shared" si="8"/>
        <v>15.052846428328785</v>
      </c>
      <c r="D85" s="85">
        <f t="shared" si="5"/>
        <v>64.274911725651464</v>
      </c>
      <c r="E85" s="87">
        <f t="shared" si="6"/>
        <v>19529.496396771097</v>
      </c>
    </row>
    <row r="86" spans="1:5" ht="15">
      <c r="A86" s="93">
        <v>11</v>
      </c>
      <c r="B86" s="85">
        <f t="shared" si="7"/>
        <v>79.327758153980241</v>
      </c>
      <c r="C86" s="86">
        <f t="shared" si="8"/>
        <v>15.003467451705687</v>
      </c>
      <c r="D86" s="85">
        <f t="shared" si="5"/>
        <v>64.324290702274553</v>
      </c>
      <c r="E86" s="87">
        <f t="shared" si="6"/>
        <v>19465.172106068821</v>
      </c>
    </row>
    <row r="87" spans="1:5" ht="15">
      <c r="A87" s="93">
        <f>A86+1</f>
        <v>12</v>
      </c>
      <c r="B87" s="85">
        <f t="shared" si="7"/>
        <v>79.327758153980241</v>
      </c>
      <c r="C87" s="86">
        <f t="shared" si="8"/>
        <v>14.954050539856121</v>
      </c>
      <c r="D87" s="85">
        <f t="shared" si="5"/>
        <v>64.373707614124115</v>
      </c>
      <c r="E87" s="87">
        <f t="shared" si="6"/>
        <v>19400.798398454699</v>
      </c>
    </row>
    <row r="88" spans="1:5" ht="15">
      <c r="A88" s="93">
        <f t="shared" ref="A88:A127" si="9">A87+1</f>
        <v>13</v>
      </c>
      <c r="B88" s="85">
        <f t="shared" si="7"/>
        <v>79.327758153980241</v>
      </c>
      <c r="C88" s="86">
        <f t="shared" si="8"/>
        <v>14.904595663636487</v>
      </c>
      <c r="D88" s="85">
        <f t="shared" si="5"/>
        <v>64.423162490343756</v>
      </c>
      <c r="E88" s="87">
        <f t="shared" si="6"/>
        <v>19336.375235964355</v>
      </c>
    </row>
    <row r="89" spans="1:5" ht="15">
      <c r="A89" s="93">
        <f t="shared" si="9"/>
        <v>14</v>
      </c>
      <c r="B89" s="85">
        <f t="shared" si="7"/>
        <v>79.327758153980241</v>
      </c>
      <c r="C89" s="86">
        <f t="shared" si="8"/>
        <v>14.855102793880786</v>
      </c>
      <c r="D89" s="85">
        <f t="shared" si="5"/>
        <v>64.472655360099452</v>
      </c>
      <c r="E89" s="87">
        <f t="shared" si="6"/>
        <v>19271.902580604255</v>
      </c>
    </row>
    <row r="90" spans="1:5" ht="15">
      <c r="A90" s="93">
        <f t="shared" si="9"/>
        <v>15</v>
      </c>
      <c r="B90" s="85">
        <f t="shared" si="7"/>
        <v>79.327758153980241</v>
      </c>
      <c r="C90" s="86">
        <f t="shared" si="8"/>
        <v>14.805571901400619</v>
      </c>
      <c r="D90" s="85">
        <f t="shared" si="5"/>
        <v>64.522186252579615</v>
      </c>
      <c r="E90" s="87">
        <f t="shared" si="6"/>
        <v>19207.380394351676</v>
      </c>
    </row>
    <row r="91" spans="1:5" ht="15">
      <c r="A91" s="93">
        <f t="shared" si="9"/>
        <v>16</v>
      </c>
      <c r="B91" s="85">
        <f t="shared" si="7"/>
        <v>79.327758153980241</v>
      </c>
      <c r="C91" s="86">
        <f t="shared" si="8"/>
        <v>14.756002956985158</v>
      </c>
      <c r="D91" s="85">
        <f t="shared" si="5"/>
        <v>64.571755196995085</v>
      </c>
      <c r="E91" s="87">
        <f t="shared" si="6"/>
        <v>19142.808639154682</v>
      </c>
    </row>
    <row r="92" spans="1:5" ht="15">
      <c r="A92" s="93">
        <f t="shared" si="9"/>
        <v>17</v>
      </c>
      <c r="B92" s="85">
        <f t="shared" si="7"/>
        <v>79.327758153980241</v>
      </c>
      <c r="C92" s="86">
        <f t="shared" si="8"/>
        <v>14.70639593140114</v>
      </c>
      <c r="D92" s="85">
        <f t="shared" si="5"/>
        <v>64.621362222579108</v>
      </c>
      <c r="E92" s="87">
        <f t="shared" si="6"/>
        <v>19078.187276932102</v>
      </c>
    </row>
    <row r="93" spans="1:5" ht="15">
      <c r="A93" s="93">
        <f t="shared" si="9"/>
        <v>18</v>
      </c>
      <c r="B93" s="85">
        <f t="shared" si="7"/>
        <v>79.327758153980241</v>
      </c>
      <c r="C93" s="86">
        <f t="shared" si="8"/>
        <v>14.656750795392837</v>
      </c>
      <c r="D93" s="85">
        <f t="shared" si="5"/>
        <v>64.671007358587403</v>
      </c>
      <c r="E93" s="87">
        <f t="shared" si="6"/>
        <v>19013.516269573513</v>
      </c>
    </row>
    <row r="94" spans="1:5" ht="15">
      <c r="A94" s="93">
        <f t="shared" si="9"/>
        <v>19</v>
      </c>
      <c r="B94" s="85">
        <f t="shared" si="7"/>
        <v>79.327758153980241</v>
      </c>
      <c r="C94" s="86">
        <f t="shared" si="8"/>
        <v>14.607067519682049</v>
      </c>
      <c r="D94" s="85">
        <f t="shared" si="5"/>
        <v>64.720690634298194</v>
      </c>
      <c r="E94" s="87">
        <f t="shared" si="6"/>
        <v>18948.795578939214</v>
      </c>
    </row>
    <row r="95" spans="1:5" ht="15">
      <c r="A95" s="93">
        <f t="shared" si="9"/>
        <v>20</v>
      </c>
      <c r="B95" s="85">
        <f t="shared" si="7"/>
        <v>79.327758153980241</v>
      </c>
      <c r="C95" s="86">
        <f t="shared" si="8"/>
        <v>14.557346074968086</v>
      </c>
      <c r="D95" s="85">
        <f t="shared" si="5"/>
        <v>64.770412079012161</v>
      </c>
      <c r="E95" s="87">
        <f t="shared" si="6"/>
        <v>18884.025166860203</v>
      </c>
    </row>
    <row r="96" spans="1:5" ht="15">
      <c r="A96" s="93">
        <f t="shared" si="9"/>
        <v>21</v>
      </c>
      <c r="B96" s="85">
        <f t="shared" si="7"/>
        <v>79.327758153980241</v>
      </c>
      <c r="C96" s="86">
        <f t="shared" si="8"/>
        <v>14.507586431927741</v>
      </c>
      <c r="D96" s="85">
        <f t="shared" si="5"/>
        <v>64.820171722052493</v>
      </c>
      <c r="E96" s="87">
        <f t="shared" si="6"/>
        <v>18819.204995138152</v>
      </c>
    </row>
    <row r="97" spans="1:5" ht="15">
      <c r="A97" s="93">
        <f t="shared" si="9"/>
        <v>22</v>
      </c>
      <c r="B97" s="85">
        <f>IF(E96+C97&lt;$B$12,E96+C97,$B$12)</f>
        <v>79.327758153980241</v>
      </c>
      <c r="C97" s="86">
        <f t="shared" si="8"/>
        <v>14.457788561215287</v>
      </c>
      <c r="D97" s="85">
        <f t="shared" si="5"/>
        <v>64.86996959276496</v>
      </c>
      <c r="E97" s="87">
        <f t="shared" si="6"/>
        <v>18754.335025545388</v>
      </c>
    </row>
    <row r="98" spans="1:5" ht="15">
      <c r="A98" s="93">
        <f t="shared" si="9"/>
        <v>23</v>
      </c>
      <c r="B98" s="85">
        <f t="shared" si="7"/>
        <v>79.327758153980241</v>
      </c>
      <c r="C98" s="86">
        <f t="shared" si="8"/>
        <v>14.407952433462444</v>
      </c>
      <c r="D98" s="85">
        <f t="shared" si="5"/>
        <v>64.9198057205178</v>
      </c>
      <c r="E98" s="87">
        <f t="shared" si="6"/>
        <v>18689.41521982487</v>
      </c>
    </row>
    <row r="99" spans="1:5" ht="15">
      <c r="A99" s="93">
        <f t="shared" si="9"/>
        <v>24</v>
      </c>
      <c r="B99" s="85">
        <f t="shared" si="7"/>
        <v>79.327758153980241</v>
      </c>
      <c r="C99" s="86">
        <f t="shared" si="8"/>
        <v>14.358078019278375</v>
      </c>
      <c r="D99" s="85">
        <f t="shared" si="5"/>
        <v>64.969680134701861</v>
      </c>
      <c r="E99" s="87">
        <f t="shared" si="6"/>
        <v>18624.445539690169</v>
      </c>
    </row>
    <row r="100" spans="1:5" ht="15">
      <c r="A100" s="93">
        <f t="shared" si="9"/>
        <v>25</v>
      </c>
      <c r="B100" s="85">
        <f t="shared" si="7"/>
        <v>79.327758153980241</v>
      </c>
      <c r="C100" s="86">
        <f t="shared" si="8"/>
        <v>14.308165289249663</v>
      </c>
      <c r="D100" s="85">
        <f t="shared" si="5"/>
        <v>65.019592864730583</v>
      </c>
      <c r="E100" s="87">
        <f t="shared" si="6"/>
        <v>18559.425946825439</v>
      </c>
    </row>
    <row r="101" spans="1:5" ht="15">
      <c r="A101" s="93">
        <f t="shared" si="9"/>
        <v>26</v>
      </c>
      <c r="B101" s="85">
        <f t="shared" si="7"/>
        <v>79.327758153980241</v>
      </c>
      <c r="C101" s="86">
        <f t="shared" si="8"/>
        <v>14.258214213940295</v>
      </c>
      <c r="D101" s="85">
        <f t="shared" si="5"/>
        <v>65.069543940039949</v>
      </c>
      <c r="E101" s="87">
        <f t="shared" si="6"/>
        <v>18494.356402885398</v>
      </c>
    </row>
    <row r="102" spans="1:5" ht="15">
      <c r="A102" s="93">
        <f t="shared" si="9"/>
        <v>27</v>
      </c>
      <c r="B102" s="85">
        <f t="shared" si="7"/>
        <v>79.327758153980241</v>
      </c>
      <c r="C102" s="86">
        <f t="shared" si="8"/>
        <v>14.208224763891643</v>
      </c>
      <c r="D102" s="85">
        <f t="shared" si="5"/>
        <v>65.119533390088606</v>
      </c>
      <c r="E102" s="87">
        <f t="shared" si="6"/>
        <v>18429.236869495311</v>
      </c>
    </row>
    <row r="103" spans="1:5" ht="15">
      <c r="A103" s="93">
        <f t="shared" si="9"/>
        <v>28</v>
      </c>
      <c r="B103" s="85">
        <f t="shared" si="7"/>
        <v>79.327758153980241</v>
      </c>
      <c r="C103" s="86">
        <f t="shared" si="8"/>
        <v>14.158196909622449</v>
      </c>
      <c r="D103" s="85">
        <f t="shared" si="5"/>
        <v>65.169561244357794</v>
      </c>
      <c r="E103" s="87">
        <f t="shared" si="6"/>
        <v>18364.067308250953</v>
      </c>
    </row>
    <row r="104" spans="1:5" ht="15">
      <c r="A104" s="93">
        <f t="shared" si="9"/>
        <v>29</v>
      </c>
      <c r="B104" s="85">
        <f t="shared" si="7"/>
        <v>79.327758153980241</v>
      </c>
      <c r="C104" s="86">
        <f t="shared" si="8"/>
        <v>14.108130621628799</v>
      </c>
      <c r="D104" s="85">
        <f t="shared" si="5"/>
        <v>65.219627532351439</v>
      </c>
      <c r="E104" s="87">
        <f t="shared" si="6"/>
        <v>18298.847680718602</v>
      </c>
    </row>
    <row r="105" spans="1:5" ht="15">
      <c r="A105" s="93">
        <f t="shared" si="9"/>
        <v>30</v>
      </c>
      <c r="B105" s="85">
        <f t="shared" si="7"/>
        <v>79.327758153980241</v>
      </c>
      <c r="C105" s="86">
        <f t="shared" si="8"/>
        <v>14.058025870384125</v>
      </c>
      <c r="D105" s="85">
        <f t="shared" si="5"/>
        <v>65.269732283596113</v>
      </c>
      <c r="E105" s="87">
        <f t="shared" si="6"/>
        <v>18233.577948435006</v>
      </c>
    </row>
    <row r="106" spans="1:5" ht="15">
      <c r="A106" s="93">
        <f t="shared" si="9"/>
        <v>31</v>
      </c>
      <c r="B106" s="85">
        <f t="shared" si="7"/>
        <v>79.327758153980241</v>
      </c>
      <c r="C106" s="86">
        <f t="shared" si="8"/>
        <v>14.007882626339164</v>
      </c>
      <c r="D106" s="85">
        <f t="shared" si="5"/>
        <v>65.319875527641074</v>
      </c>
      <c r="E106" s="87">
        <f t="shared" si="6"/>
        <v>18168.258072907363</v>
      </c>
    </row>
    <row r="107" spans="1:5" ht="15">
      <c r="A107" s="93">
        <f t="shared" si="9"/>
        <v>32</v>
      </c>
      <c r="B107" s="85">
        <f t="shared" si="7"/>
        <v>79.327758153980241</v>
      </c>
      <c r="C107" s="86">
        <f t="shared" si="8"/>
        <v>13.957700859921957</v>
      </c>
      <c r="D107" s="85">
        <f t="shared" si="5"/>
        <v>65.370057294058284</v>
      </c>
      <c r="E107" s="87">
        <f t="shared" si="6"/>
        <v>18102.888015613305</v>
      </c>
    </row>
    <row r="108" spans="1:5" ht="15">
      <c r="A108" s="93">
        <f t="shared" si="9"/>
        <v>33</v>
      </c>
      <c r="B108" s="85">
        <f t="shared" si="7"/>
        <v>79.327758153980241</v>
      </c>
      <c r="C108" s="86">
        <f t="shared" si="8"/>
        <v>13.907480541537829</v>
      </c>
      <c r="D108" s="85">
        <f t="shared" si="5"/>
        <v>65.420277612442419</v>
      </c>
      <c r="E108" s="87">
        <f t="shared" si="6"/>
        <v>18037.467738000862</v>
      </c>
    </row>
    <row r="109" spans="1:5" ht="15">
      <c r="A109" s="93">
        <f t="shared" si="9"/>
        <v>34</v>
      </c>
      <c r="B109" s="85">
        <f t="shared" si="7"/>
        <v>79.327758153980241</v>
      </c>
      <c r="C109" s="86">
        <f t="shared" si="8"/>
        <v>13.857221641569362</v>
      </c>
      <c r="D109" s="85">
        <f t="shared" si="5"/>
        <v>65.470536512410874</v>
      </c>
      <c r="E109" s="87">
        <f t="shared" si="6"/>
        <v>17971.997201488452</v>
      </c>
    </row>
    <row r="110" spans="1:5" ht="15">
      <c r="A110" s="93">
        <f t="shared" si="9"/>
        <v>35</v>
      </c>
      <c r="B110" s="85">
        <f t="shared" si="7"/>
        <v>79.327758153980241</v>
      </c>
      <c r="C110" s="86">
        <f t="shared" si="8"/>
        <v>13.806924130376393</v>
      </c>
      <c r="D110" s="85">
        <f t="shared" si="5"/>
        <v>65.520834023603854</v>
      </c>
      <c r="E110" s="87">
        <f t="shared" si="6"/>
        <v>17906.476367464849</v>
      </c>
    </row>
    <row r="111" spans="1:5" ht="15">
      <c r="A111" s="93">
        <f t="shared" si="9"/>
        <v>36</v>
      </c>
      <c r="B111" s="85">
        <f t="shared" si="7"/>
        <v>79.327758153980241</v>
      </c>
      <c r="C111" s="86">
        <f t="shared" si="8"/>
        <v>13.756587978295981</v>
      </c>
      <c r="D111" s="85">
        <f t="shared" si="5"/>
        <v>65.571170175684259</v>
      </c>
      <c r="E111" s="87">
        <f t="shared" si="6"/>
        <v>17840.905197289165</v>
      </c>
    </row>
    <row r="112" spans="1:5" ht="15">
      <c r="A112" s="93">
        <f t="shared" si="9"/>
        <v>37</v>
      </c>
      <c r="B112" s="85">
        <f t="shared" si="7"/>
        <v>79.327758153980241</v>
      </c>
      <c r="C112" s="86">
        <f t="shared" si="8"/>
        <v>13.706213155642397</v>
      </c>
      <c r="D112" s="85">
        <f t="shared" si="5"/>
        <v>65.621544998337839</v>
      </c>
      <c r="E112" s="87">
        <f t="shared" si="6"/>
        <v>17775.283652290826</v>
      </c>
    </row>
    <row r="113" spans="1:5" ht="15">
      <c r="A113" s="93">
        <f t="shared" si="9"/>
        <v>38</v>
      </c>
      <c r="B113" s="85">
        <f t="shared" si="7"/>
        <v>79.327758153980241</v>
      </c>
      <c r="C113" s="86">
        <f t="shared" si="8"/>
        <v>13.65579963270711</v>
      </c>
      <c r="D113" s="85">
        <f t="shared" si="5"/>
        <v>65.671958521273126</v>
      </c>
      <c r="E113" s="87">
        <f t="shared" si="6"/>
        <v>17709.611693769551</v>
      </c>
    </row>
    <row r="114" spans="1:5" ht="15">
      <c r="A114" s="93">
        <f t="shared" si="9"/>
        <v>39</v>
      </c>
      <c r="B114" s="85">
        <f t="shared" si="7"/>
        <v>79.327758153980241</v>
      </c>
      <c r="C114" s="86">
        <f t="shared" si="8"/>
        <v>13.605347379758765</v>
      </c>
      <c r="D114" s="85">
        <f t="shared" si="5"/>
        <v>65.722410774221473</v>
      </c>
      <c r="E114" s="87">
        <f t="shared" si="6"/>
        <v>17643.889282995329</v>
      </c>
    </row>
    <row r="115" spans="1:5" ht="15">
      <c r="A115" s="93">
        <f t="shared" si="9"/>
        <v>40</v>
      </c>
      <c r="B115" s="85">
        <f t="shared" si="7"/>
        <v>79.327758153980241</v>
      </c>
      <c r="C115" s="86">
        <f t="shared" si="8"/>
        <v>13.554856367043163</v>
      </c>
      <c r="D115" s="85">
        <f t="shared" si="5"/>
        <v>65.772901786937084</v>
      </c>
      <c r="E115" s="87">
        <f t="shared" si="6"/>
        <v>17578.116381208391</v>
      </c>
    </row>
    <row r="116" spans="1:5" ht="15">
      <c r="A116" s="93">
        <f t="shared" si="9"/>
        <v>41</v>
      </c>
      <c r="B116" s="85">
        <f t="shared" si="7"/>
        <v>79.327758153980241</v>
      </c>
      <c r="C116" s="86">
        <f t="shared" si="8"/>
        <v>13.504326564783247</v>
      </c>
      <c r="D116" s="85">
        <f t="shared" si="5"/>
        <v>65.823431589197</v>
      </c>
      <c r="E116" s="87">
        <f t="shared" si="6"/>
        <v>17512.292949619194</v>
      </c>
    </row>
    <row r="117" spans="1:5" ht="15">
      <c r="A117" s="93">
        <f t="shared" si="9"/>
        <v>42</v>
      </c>
      <c r="B117" s="85">
        <f t="shared" si="7"/>
        <v>79.327758153980241</v>
      </c>
      <c r="C117" s="86">
        <f t="shared" si="8"/>
        <v>13.453757943179088</v>
      </c>
      <c r="D117" s="85">
        <f t="shared" si="5"/>
        <v>65.874000210801157</v>
      </c>
      <c r="E117" s="87">
        <f t="shared" si="6"/>
        <v>17446.418949408391</v>
      </c>
    </row>
    <row r="118" spans="1:5" ht="15">
      <c r="A118" s="93">
        <f t="shared" si="9"/>
        <v>43</v>
      </c>
      <c r="B118" s="85">
        <f t="shared" si="7"/>
        <v>79.327758153980241</v>
      </c>
      <c r="C118" s="86">
        <f t="shared" si="8"/>
        <v>13.403150472407859</v>
      </c>
      <c r="D118" s="85">
        <f t="shared" si="5"/>
        <v>65.924607681572382</v>
      </c>
      <c r="E118" s="87">
        <f t="shared" si="6"/>
        <v>17380.494341726819</v>
      </c>
    </row>
    <row r="119" spans="1:5" ht="15">
      <c r="A119" s="93">
        <f t="shared" si="9"/>
        <v>44</v>
      </c>
      <c r="B119" s="85">
        <f t="shared" si="7"/>
        <v>79.327758153980241</v>
      </c>
      <c r="C119" s="86">
        <f t="shared" si="8"/>
        <v>13.352504122623824</v>
      </c>
      <c r="D119" s="85">
        <f t="shared" si="5"/>
        <v>65.975254031356414</v>
      </c>
      <c r="E119" s="87">
        <f t="shared" si="6"/>
        <v>17314.519087695462</v>
      </c>
    </row>
    <row r="120" spans="1:5" ht="15">
      <c r="A120" s="93">
        <f t="shared" si="9"/>
        <v>45</v>
      </c>
      <c r="B120" s="85">
        <f t="shared" si="7"/>
        <v>79.327758153980241</v>
      </c>
      <c r="C120" s="86">
        <f t="shared" si="8"/>
        <v>13.301818863958314</v>
      </c>
      <c r="D120" s="85">
        <f t="shared" si="5"/>
        <v>66.025939290021924</v>
      </c>
      <c r="E120" s="87">
        <f t="shared" si="6"/>
        <v>17248.49314840544</v>
      </c>
    </row>
    <row r="121" spans="1:5" ht="15">
      <c r="A121" s="93">
        <f t="shared" si="9"/>
        <v>46</v>
      </c>
      <c r="B121" s="85">
        <f t="shared" si="7"/>
        <v>79.327758153980241</v>
      </c>
      <c r="C121" s="86">
        <f t="shared" si="8"/>
        <v>13.25109466651972</v>
      </c>
      <c r="D121" s="85">
        <f t="shared" si="5"/>
        <v>66.076663487460522</v>
      </c>
      <c r="E121" s="87">
        <f t="shared" si="6"/>
        <v>17182.41648491798</v>
      </c>
    </row>
    <row r="122" spans="1:5" ht="15">
      <c r="A122" s="93">
        <f t="shared" si="9"/>
        <v>47</v>
      </c>
      <c r="B122" s="85">
        <f t="shared" si="7"/>
        <v>79.327758153980241</v>
      </c>
      <c r="C122" s="86">
        <f t="shared" si="8"/>
        <v>13.200331500393462</v>
      </c>
      <c r="D122" s="85">
        <f t="shared" si="5"/>
        <v>66.127426653586781</v>
      </c>
      <c r="E122" s="87">
        <f t="shared" si="6"/>
        <v>17116.289058264392</v>
      </c>
    </row>
    <row r="123" spans="1:5" ht="15">
      <c r="A123" s="93">
        <f t="shared" si="9"/>
        <v>48</v>
      </c>
      <c r="B123" s="85">
        <f t="shared" si="7"/>
        <v>79.327758153980241</v>
      </c>
      <c r="C123" s="86">
        <f t="shared" si="8"/>
        <v>13.149529335641985</v>
      </c>
      <c r="D123" s="85">
        <f t="shared" si="5"/>
        <v>66.178228818338255</v>
      </c>
      <c r="E123" s="87">
        <f t="shared" si="6"/>
        <v>17050.110829446054</v>
      </c>
    </row>
    <row r="124" spans="1:5" ht="15">
      <c r="A124" s="93">
        <f t="shared" si="9"/>
        <v>49</v>
      </c>
      <c r="B124" s="85">
        <f t="shared" si="7"/>
        <v>79.327758153980241</v>
      </c>
      <c r="C124" s="86">
        <f t="shared" si="8"/>
        <v>13.098688142304729</v>
      </c>
      <c r="D124" s="85">
        <f t="shared" si="5"/>
        <v>66.229070011675518</v>
      </c>
      <c r="E124" s="87">
        <f t="shared" si="6"/>
        <v>16983.881759434378</v>
      </c>
    </row>
    <row r="125" spans="1:5" ht="15">
      <c r="A125" s="93">
        <f t="shared" si="9"/>
        <v>50</v>
      </c>
      <c r="B125" s="85">
        <f t="shared" si="7"/>
        <v>79.327758153980241</v>
      </c>
      <c r="C125" s="86">
        <f t="shared" si="8"/>
        <v>13.04780789039812</v>
      </c>
      <c r="D125" s="85">
        <f t="shared" si="5"/>
        <v>66.279950263582123</v>
      </c>
      <c r="E125" s="87">
        <f t="shared" si="6"/>
        <v>16917.601809170796</v>
      </c>
    </row>
    <row r="126" spans="1:5" ht="15">
      <c r="A126" s="93">
        <f t="shared" si="9"/>
        <v>51</v>
      </c>
      <c r="B126" s="85">
        <f t="shared" si="7"/>
        <v>79.327758153980241</v>
      </c>
      <c r="C126" s="86">
        <f t="shared" si="8"/>
        <v>12.99688854991555</v>
      </c>
      <c r="D126" s="85">
        <f t="shared" si="5"/>
        <v>66.330869604064688</v>
      </c>
      <c r="E126" s="87">
        <f t="shared" si="6"/>
        <v>16851.27093956673</v>
      </c>
    </row>
    <row r="127" spans="1:5" ht="15">
      <c r="A127" s="93">
        <f t="shared" si="9"/>
        <v>52</v>
      </c>
      <c r="B127" s="85">
        <f t="shared" si="7"/>
        <v>79.327758153980241</v>
      </c>
      <c r="C127" s="86">
        <f t="shared" si="8"/>
        <v>12.945930090827353</v>
      </c>
      <c r="D127" s="85">
        <f t="shared" si="5"/>
        <v>66.381828063152881</v>
      </c>
      <c r="E127" s="87">
        <f t="shared" si="6"/>
        <v>16784.889111503577</v>
      </c>
    </row>
    <row r="128" spans="1:5" ht="15.6" thickBot="1">
      <c r="A128" s="88">
        <f>A71+1</f>
        <v>2021</v>
      </c>
      <c r="B128" s="89"/>
      <c r="C128" s="70">
        <f>SUM(C76:C127)</f>
        <v>739.90283051593667</v>
      </c>
      <c r="D128" s="73">
        <f>SUM(D76:D127)</f>
        <v>3385.1405934910363</v>
      </c>
      <c r="E128" s="90"/>
    </row>
    <row r="129" spans="1:5" ht="15">
      <c r="A129" s="91"/>
      <c r="B129" s="92"/>
      <c r="C129" s="70"/>
      <c r="D129" s="73"/>
      <c r="E129" s="92"/>
    </row>
    <row r="130" spans="1:5" ht="13.8" thickBot="1"/>
    <row r="131" spans="1:5" ht="15">
      <c r="A131" s="79" t="s">
        <v>230</v>
      </c>
      <c r="B131" s="80" t="s">
        <v>216</v>
      </c>
      <c r="C131" s="80" t="s">
        <v>21</v>
      </c>
      <c r="D131" s="80" t="s">
        <v>231</v>
      </c>
      <c r="E131" s="81" t="s">
        <v>208</v>
      </c>
    </row>
    <row r="132" spans="1:5" ht="15">
      <c r="A132" s="82">
        <v>0</v>
      </c>
      <c r="B132" s="83"/>
      <c r="C132" s="83"/>
      <c r="D132" s="83"/>
      <c r="E132" s="84">
        <f>E127</f>
        <v>16784.889111503577</v>
      </c>
    </row>
    <row r="133" spans="1:5" ht="15">
      <c r="A133" s="82">
        <v>1</v>
      </c>
      <c r="B133" s="85">
        <f>IF(E132+C133&lt;$B$12,E132+C133,$B$12)</f>
        <v>79.327758153980241</v>
      </c>
      <c r="C133" s="86">
        <f>E132*$C$18</f>
        <v>12.894932483080801</v>
      </c>
      <c r="D133" s="85">
        <f t="shared" ref="D133:D184" si="10">B133-C133</f>
        <v>66.432825670899433</v>
      </c>
      <c r="E133" s="87">
        <f t="shared" ref="E133:E184" si="11">E132-D133</f>
        <v>16718.456285832679</v>
      </c>
    </row>
    <row r="134" spans="1:5" ht="15">
      <c r="A134" s="82">
        <f>A133+1</f>
        <v>2</v>
      </c>
      <c r="B134" s="85">
        <f t="shared" ref="B134:B153" si="12">IF(E133+C134&lt;$B$12,E133+C134,$B$12)</f>
        <v>79.327758153980241</v>
      </c>
      <c r="C134" s="86">
        <f t="shared" ref="C134:C184" si="13">E133*$C$18</f>
        <v>12.843895696600073</v>
      </c>
      <c r="D134" s="85">
        <f t="shared" si="10"/>
        <v>66.48386245738017</v>
      </c>
      <c r="E134" s="87">
        <f t="shared" si="11"/>
        <v>16651.9724233753</v>
      </c>
    </row>
    <row r="135" spans="1:5" ht="15">
      <c r="A135" s="82">
        <f>A134+1</f>
        <v>3</v>
      </c>
      <c r="B135" s="85">
        <f t="shared" si="12"/>
        <v>79.327758153980241</v>
      </c>
      <c r="C135" s="86">
        <f t="shared" si="13"/>
        <v>12.792819701286243</v>
      </c>
      <c r="D135" s="85">
        <f t="shared" si="10"/>
        <v>66.534938452693993</v>
      </c>
      <c r="E135" s="87">
        <f t="shared" si="11"/>
        <v>16585.437484922608</v>
      </c>
    </row>
    <row r="136" spans="1:5" ht="15">
      <c r="A136" s="82">
        <f>A135+1</f>
        <v>4</v>
      </c>
      <c r="B136" s="85">
        <f t="shared" si="12"/>
        <v>79.327758153980241</v>
      </c>
      <c r="C136" s="86">
        <f t="shared" si="13"/>
        <v>12.741704467017259</v>
      </c>
      <c r="D136" s="85">
        <f t="shared" si="10"/>
        <v>66.586053686962984</v>
      </c>
      <c r="E136" s="87">
        <f t="shared" si="11"/>
        <v>16518.851431235646</v>
      </c>
    </row>
    <row r="137" spans="1:5" ht="15">
      <c r="A137" s="93">
        <v>5</v>
      </c>
      <c r="B137" s="85">
        <f t="shared" si="12"/>
        <v>79.327758153980241</v>
      </c>
      <c r="C137" s="86">
        <f t="shared" si="13"/>
        <v>12.690549963647934</v>
      </c>
      <c r="D137" s="85">
        <f t="shared" si="10"/>
        <v>66.637208190332302</v>
      </c>
      <c r="E137" s="87">
        <f t="shared" si="11"/>
        <v>16452.214223045314</v>
      </c>
    </row>
    <row r="138" spans="1:5" ht="15">
      <c r="A138" s="93">
        <v>6</v>
      </c>
      <c r="B138" s="85">
        <f t="shared" si="12"/>
        <v>79.327758153980241</v>
      </c>
      <c r="C138" s="86">
        <f t="shared" si="13"/>
        <v>12.639356161009916</v>
      </c>
      <c r="D138" s="85">
        <f t="shared" si="10"/>
        <v>66.688401992970327</v>
      </c>
      <c r="E138" s="87">
        <f t="shared" si="11"/>
        <v>16385.525821052343</v>
      </c>
    </row>
    <row r="139" spans="1:5" ht="15">
      <c r="A139" s="93">
        <v>7</v>
      </c>
      <c r="B139" s="85">
        <f t="shared" si="12"/>
        <v>79.327758153980241</v>
      </c>
      <c r="C139" s="86">
        <f t="shared" si="13"/>
        <v>12.58812302891168</v>
      </c>
      <c r="D139" s="85">
        <f t="shared" si="10"/>
        <v>66.73963512506856</v>
      </c>
      <c r="E139" s="87">
        <f t="shared" si="11"/>
        <v>16318.786185927274</v>
      </c>
    </row>
    <row r="140" spans="1:5" ht="15">
      <c r="A140" s="93">
        <v>8</v>
      </c>
      <c r="B140" s="85">
        <f t="shared" si="12"/>
        <v>79.327758153980241</v>
      </c>
      <c r="C140" s="86">
        <f t="shared" si="13"/>
        <v>12.536850537138506</v>
      </c>
      <c r="D140" s="85">
        <f t="shared" si="10"/>
        <v>66.790907616841736</v>
      </c>
      <c r="E140" s="87">
        <f t="shared" si="11"/>
        <v>16251.995278310433</v>
      </c>
    </row>
    <row r="141" spans="1:5" ht="15">
      <c r="A141" s="93">
        <v>9</v>
      </c>
      <c r="B141" s="85">
        <f t="shared" si="12"/>
        <v>79.327758153980241</v>
      </c>
      <c r="C141" s="86">
        <f t="shared" si="13"/>
        <v>12.48553865545246</v>
      </c>
      <c r="D141" s="85">
        <f t="shared" si="10"/>
        <v>66.842219498527783</v>
      </c>
      <c r="E141" s="87">
        <f t="shared" si="11"/>
        <v>16185.153058811906</v>
      </c>
    </row>
    <row r="142" spans="1:5" ht="15">
      <c r="A142" s="93">
        <v>10</v>
      </c>
      <c r="B142" s="85">
        <f t="shared" si="12"/>
        <v>79.327758153980241</v>
      </c>
      <c r="C142" s="86">
        <f t="shared" si="13"/>
        <v>12.434187353592382</v>
      </c>
      <c r="D142" s="85">
        <f t="shared" si="10"/>
        <v>66.893570800387863</v>
      </c>
      <c r="E142" s="87">
        <f t="shared" si="11"/>
        <v>16118.259488011518</v>
      </c>
    </row>
    <row r="143" spans="1:5" ht="15">
      <c r="A143" s="93">
        <v>11</v>
      </c>
      <c r="B143" s="85">
        <f t="shared" si="12"/>
        <v>79.327758153980241</v>
      </c>
      <c r="C143" s="86">
        <f t="shared" si="13"/>
        <v>12.382796601273856</v>
      </c>
      <c r="D143" s="85">
        <f t="shared" si="10"/>
        <v>66.944961552706388</v>
      </c>
      <c r="E143" s="87">
        <f t="shared" si="11"/>
        <v>16051.314526458811</v>
      </c>
    </row>
    <row r="144" spans="1:5" ht="15">
      <c r="A144" s="93">
        <f>A143+1</f>
        <v>12</v>
      </c>
      <c r="B144" s="85">
        <f t="shared" si="12"/>
        <v>79.327758153980241</v>
      </c>
      <c r="C144" s="86">
        <f t="shared" si="13"/>
        <v>12.331366368189208</v>
      </c>
      <c r="D144" s="85">
        <f t="shared" si="10"/>
        <v>66.996391785791033</v>
      </c>
      <c r="E144" s="87">
        <f t="shared" si="11"/>
        <v>15984.31813467302</v>
      </c>
    </row>
    <row r="145" spans="1:5" ht="15">
      <c r="A145" s="93">
        <f t="shared" ref="A145:A184" si="14">A144+1</f>
        <v>13</v>
      </c>
      <c r="B145" s="85">
        <f t="shared" si="12"/>
        <v>79.327758153980241</v>
      </c>
      <c r="C145" s="86">
        <f t="shared" si="13"/>
        <v>12.279896624007478</v>
      </c>
      <c r="D145" s="85">
        <f t="shared" si="10"/>
        <v>67.047861529972764</v>
      </c>
      <c r="E145" s="87">
        <f t="shared" si="11"/>
        <v>15917.270273143047</v>
      </c>
    </row>
    <row r="146" spans="1:5" ht="15">
      <c r="A146" s="93">
        <f t="shared" si="14"/>
        <v>14</v>
      </c>
      <c r="B146" s="85">
        <f t="shared" si="12"/>
        <v>79.327758153980241</v>
      </c>
      <c r="C146" s="86">
        <f t="shared" si="13"/>
        <v>12.228387338374402</v>
      </c>
      <c r="D146" s="85">
        <f t="shared" si="10"/>
        <v>67.099370815605837</v>
      </c>
      <c r="E146" s="87">
        <f t="shared" si="11"/>
        <v>15850.170902327442</v>
      </c>
    </row>
    <row r="147" spans="1:5" ht="15">
      <c r="A147" s="93">
        <f t="shared" si="14"/>
        <v>15</v>
      </c>
      <c r="B147" s="85">
        <f t="shared" si="12"/>
        <v>79.327758153980241</v>
      </c>
      <c r="C147" s="86">
        <f t="shared" si="13"/>
        <v>12.176838480912398</v>
      </c>
      <c r="D147" s="85">
        <f t="shared" si="10"/>
        <v>67.150919673067847</v>
      </c>
      <c r="E147" s="87">
        <f t="shared" si="11"/>
        <v>15783.019982654374</v>
      </c>
    </row>
    <row r="148" spans="1:5" ht="15">
      <c r="A148" s="93">
        <f t="shared" si="14"/>
        <v>16</v>
      </c>
      <c r="B148" s="85">
        <f t="shared" si="12"/>
        <v>79.327758153980241</v>
      </c>
      <c r="C148" s="86">
        <f t="shared" si="13"/>
        <v>12.125250021220547</v>
      </c>
      <c r="D148" s="85">
        <f t="shared" si="10"/>
        <v>67.202508132759689</v>
      </c>
      <c r="E148" s="87">
        <f t="shared" si="11"/>
        <v>15715.817474521615</v>
      </c>
    </row>
    <row r="149" spans="1:5" ht="15">
      <c r="A149" s="93">
        <f t="shared" si="14"/>
        <v>17</v>
      </c>
      <c r="B149" s="85">
        <f t="shared" si="12"/>
        <v>79.327758153980241</v>
      </c>
      <c r="C149" s="86">
        <f t="shared" si="13"/>
        <v>12.073621928874575</v>
      </c>
      <c r="D149" s="85">
        <f t="shared" si="10"/>
        <v>67.254136225105668</v>
      </c>
      <c r="E149" s="87">
        <f t="shared" si="11"/>
        <v>15648.56333829651</v>
      </c>
    </row>
    <row r="150" spans="1:5" ht="15">
      <c r="A150" s="93">
        <f t="shared" si="14"/>
        <v>18</v>
      </c>
      <c r="B150" s="85">
        <f t="shared" si="12"/>
        <v>79.327758153980241</v>
      </c>
      <c r="C150" s="86">
        <f t="shared" si="13"/>
        <v>12.021954173426831</v>
      </c>
      <c r="D150" s="85">
        <f t="shared" si="10"/>
        <v>67.305803980553407</v>
      </c>
      <c r="E150" s="87">
        <f t="shared" si="11"/>
        <v>15581.257534315957</v>
      </c>
    </row>
    <row r="151" spans="1:5" ht="15">
      <c r="A151" s="93">
        <f t="shared" si="14"/>
        <v>19</v>
      </c>
      <c r="B151" s="85">
        <f t="shared" si="12"/>
        <v>79.327758153980241</v>
      </c>
      <c r="C151" s="86">
        <f t="shared" si="13"/>
        <v>11.970246724406278</v>
      </c>
      <c r="D151" s="85">
        <f t="shared" si="10"/>
        <v>67.357511429573961</v>
      </c>
      <c r="E151" s="87">
        <f t="shared" si="11"/>
        <v>15513.900022886382</v>
      </c>
    </row>
    <row r="152" spans="1:5" ht="15">
      <c r="A152" s="93">
        <f t="shared" si="14"/>
        <v>20</v>
      </c>
      <c r="B152" s="85">
        <f t="shared" si="12"/>
        <v>79.327758153980241</v>
      </c>
      <c r="C152" s="86">
        <f t="shared" si="13"/>
        <v>11.918499551318467</v>
      </c>
      <c r="D152" s="85">
        <f t="shared" si="10"/>
        <v>67.409258602661779</v>
      </c>
      <c r="E152" s="87">
        <f t="shared" si="11"/>
        <v>15446.490764283721</v>
      </c>
    </row>
    <row r="153" spans="1:5" ht="15">
      <c r="A153" s="93">
        <f t="shared" si="14"/>
        <v>21</v>
      </c>
      <c r="B153" s="85">
        <f t="shared" si="12"/>
        <v>79.327758153980241</v>
      </c>
      <c r="C153" s="86">
        <f t="shared" si="13"/>
        <v>11.866712623645521</v>
      </c>
      <c r="D153" s="85">
        <f t="shared" si="10"/>
        <v>67.461045530334715</v>
      </c>
      <c r="E153" s="87">
        <f t="shared" si="11"/>
        <v>15379.029718753385</v>
      </c>
    </row>
    <row r="154" spans="1:5" ht="15">
      <c r="A154" s="93">
        <f t="shared" si="14"/>
        <v>22</v>
      </c>
      <c r="B154" s="85">
        <f>IF(E153+C154&lt;$B$12,E153+C154,$B$12)</f>
        <v>79.327758153980241</v>
      </c>
      <c r="C154" s="86">
        <f t="shared" si="13"/>
        <v>11.814885910846119</v>
      </c>
      <c r="D154" s="85">
        <f t="shared" si="10"/>
        <v>67.512872243134126</v>
      </c>
      <c r="E154" s="87">
        <f t="shared" si="11"/>
        <v>15311.516846510251</v>
      </c>
    </row>
    <row r="155" spans="1:5" ht="15">
      <c r="A155" s="93">
        <f t="shared" si="14"/>
        <v>23</v>
      </c>
      <c r="B155" s="85">
        <f t="shared" ref="B155:B184" si="15">IF(E154+C155&lt;$B$12,E154+C155,$B$12)</f>
        <v>79.327758153980241</v>
      </c>
      <c r="C155" s="86">
        <f t="shared" si="13"/>
        <v>11.763019382355475</v>
      </c>
      <c r="D155" s="85">
        <f t="shared" si="10"/>
        <v>67.564738771624761</v>
      </c>
      <c r="E155" s="87">
        <f t="shared" si="11"/>
        <v>15243.952107738625</v>
      </c>
    </row>
    <row r="156" spans="1:5" ht="15">
      <c r="A156" s="93">
        <f t="shared" si="14"/>
        <v>24</v>
      </c>
      <c r="B156" s="85">
        <f t="shared" si="15"/>
        <v>79.327758153980241</v>
      </c>
      <c r="C156" s="86">
        <f t="shared" si="13"/>
        <v>11.711113007585327</v>
      </c>
      <c r="D156" s="85">
        <f t="shared" si="10"/>
        <v>67.616645146394916</v>
      </c>
      <c r="E156" s="87">
        <f t="shared" si="11"/>
        <v>15176.335462592231</v>
      </c>
    </row>
    <row r="157" spans="1:5" ht="15">
      <c r="A157" s="93">
        <f t="shared" si="14"/>
        <v>25</v>
      </c>
      <c r="B157" s="85">
        <f t="shared" si="15"/>
        <v>79.327758153980241</v>
      </c>
      <c r="C157" s="86">
        <f t="shared" si="13"/>
        <v>11.659166755923907</v>
      </c>
      <c r="D157" s="85">
        <f t="shared" si="10"/>
        <v>67.668591398056336</v>
      </c>
      <c r="E157" s="87">
        <f t="shared" si="11"/>
        <v>15108.666871194175</v>
      </c>
    </row>
    <row r="158" spans="1:5" ht="15">
      <c r="A158" s="93">
        <f t="shared" si="14"/>
        <v>26</v>
      </c>
      <c r="B158" s="85">
        <f t="shared" si="15"/>
        <v>79.327758153980241</v>
      </c>
      <c r="C158" s="86">
        <f t="shared" si="13"/>
        <v>11.607180596735933</v>
      </c>
      <c r="D158" s="85">
        <f t="shared" si="10"/>
        <v>67.720577557244312</v>
      </c>
      <c r="E158" s="87">
        <f t="shared" si="11"/>
        <v>15040.946293636931</v>
      </c>
    </row>
    <row r="159" spans="1:5" ht="15">
      <c r="A159" s="93">
        <f t="shared" si="14"/>
        <v>27</v>
      </c>
      <c r="B159" s="85">
        <f t="shared" si="15"/>
        <v>79.327758153980241</v>
      </c>
      <c r="C159" s="86">
        <f t="shared" si="13"/>
        <v>11.555154499362587</v>
      </c>
      <c r="D159" s="85">
        <f t="shared" si="10"/>
        <v>67.772603654617654</v>
      </c>
      <c r="E159" s="87">
        <f t="shared" si="11"/>
        <v>14973.173689982314</v>
      </c>
    </row>
    <row r="160" spans="1:5" ht="15">
      <c r="A160" s="93">
        <f t="shared" si="14"/>
        <v>28</v>
      </c>
      <c r="B160" s="85">
        <f t="shared" si="15"/>
        <v>79.327758153980241</v>
      </c>
      <c r="C160" s="86">
        <f t="shared" si="13"/>
        <v>11.503088433121498</v>
      </c>
      <c r="D160" s="85">
        <f t="shared" si="10"/>
        <v>67.824669720858736</v>
      </c>
      <c r="E160" s="87">
        <f t="shared" si="11"/>
        <v>14905.349020261456</v>
      </c>
    </row>
    <row r="161" spans="1:5" ht="15">
      <c r="A161" s="93">
        <f t="shared" si="14"/>
        <v>29</v>
      </c>
      <c r="B161" s="85">
        <f t="shared" si="15"/>
        <v>79.327758153980241</v>
      </c>
      <c r="C161" s="86">
        <f t="shared" si="13"/>
        <v>11.450982367306722</v>
      </c>
      <c r="D161" s="85">
        <f t="shared" si="10"/>
        <v>67.87677578667352</v>
      </c>
      <c r="E161" s="87">
        <f t="shared" si="11"/>
        <v>14837.472244474782</v>
      </c>
    </row>
    <row r="162" spans="1:5" ht="15">
      <c r="A162" s="93">
        <f t="shared" si="14"/>
        <v>30</v>
      </c>
      <c r="B162" s="85">
        <f t="shared" si="15"/>
        <v>79.327758153980241</v>
      </c>
      <c r="C162" s="86">
        <f t="shared" si="13"/>
        <v>11.398836271188726</v>
      </c>
      <c r="D162" s="85">
        <f t="shared" si="10"/>
        <v>67.928921882791514</v>
      </c>
      <c r="E162" s="87">
        <f t="shared" si="11"/>
        <v>14769.543322591991</v>
      </c>
    </row>
    <row r="163" spans="1:5" ht="15">
      <c r="A163" s="93">
        <f t="shared" si="14"/>
        <v>31</v>
      </c>
      <c r="B163" s="85">
        <f t="shared" si="15"/>
        <v>79.327758153980241</v>
      </c>
      <c r="C163" s="86">
        <f t="shared" si="13"/>
        <v>11.34665011401437</v>
      </c>
      <c r="D163" s="85">
        <f t="shared" si="10"/>
        <v>67.981108039965875</v>
      </c>
      <c r="E163" s="87">
        <f t="shared" si="11"/>
        <v>14701.562214552025</v>
      </c>
    </row>
    <row r="164" spans="1:5" ht="15">
      <c r="A164" s="93">
        <f t="shared" si="14"/>
        <v>32</v>
      </c>
      <c r="B164" s="85">
        <f t="shared" si="15"/>
        <v>79.327758153980241</v>
      </c>
      <c r="C164" s="86">
        <f t="shared" si="13"/>
        <v>11.294423865006886</v>
      </c>
      <c r="D164" s="85">
        <f t="shared" si="10"/>
        <v>68.03333428897335</v>
      </c>
      <c r="E164" s="87">
        <f t="shared" si="11"/>
        <v>14633.528880263051</v>
      </c>
    </row>
    <row r="165" spans="1:5" ht="15">
      <c r="A165" s="93">
        <f t="shared" si="14"/>
        <v>33</v>
      </c>
      <c r="B165" s="85">
        <f t="shared" si="15"/>
        <v>79.327758153980241</v>
      </c>
      <c r="C165" s="86">
        <f t="shared" si="13"/>
        <v>11.242157493365864</v>
      </c>
      <c r="D165" s="85">
        <f t="shared" si="10"/>
        <v>68.085600660614375</v>
      </c>
      <c r="E165" s="87">
        <f t="shared" si="11"/>
        <v>14565.443279602438</v>
      </c>
    </row>
    <row r="166" spans="1:5" ht="15">
      <c r="A166" s="93">
        <f t="shared" si="14"/>
        <v>34</v>
      </c>
      <c r="B166" s="85">
        <f t="shared" si="15"/>
        <v>79.327758153980241</v>
      </c>
      <c r="C166" s="86">
        <f t="shared" si="13"/>
        <v>11.189850968267233</v>
      </c>
      <c r="D166" s="85">
        <f t="shared" si="10"/>
        <v>68.137907185713004</v>
      </c>
      <c r="E166" s="87">
        <f t="shared" si="11"/>
        <v>14497.305372416724</v>
      </c>
    </row>
    <row r="167" spans="1:5" ht="15">
      <c r="A167" s="93">
        <f t="shared" si="14"/>
        <v>35</v>
      </c>
      <c r="B167" s="85">
        <f t="shared" si="15"/>
        <v>79.327758153980241</v>
      </c>
      <c r="C167" s="86">
        <f t="shared" si="13"/>
        <v>11.137504258863235</v>
      </c>
      <c r="D167" s="85">
        <f t="shared" si="10"/>
        <v>68.19025389511701</v>
      </c>
      <c r="E167" s="87">
        <f t="shared" si="11"/>
        <v>14429.115118521608</v>
      </c>
    </row>
    <row r="168" spans="1:5" ht="15">
      <c r="A168" s="93">
        <f t="shared" si="14"/>
        <v>36</v>
      </c>
      <c r="B168" s="85">
        <f t="shared" si="15"/>
        <v>79.327758153980241</v>
      </c>
      <c r="C168" s="86">
        <f t="shared" si="13"/>
        <v>11.085117334282421</v>
      </c>
      <c r="D168" s="85">
        <f t="shared" si="10"/>
        <v>68.242640819697826</v>
      </c>
      <c r="E168" s="87">
        <f t="shared" si="11"/>
        <v>14360.872477701911</v>
      </c>
    </row>
    <row r="169" spans="1:5" ht="15">
      <c r="A169" s="93">
        <f t="shared" si="14"/>
        <v>37</v>
      </c>
      <c r="B169" s="85">
        <f t="shared" si="15"/>
        <v>79.327758153980241</v>
      </c>
      <c r="C169" s="86">
        <f t="shared" si="13"/>
        <v>11.032690163629621</v>
      </c>
      <c r="D169" s="85">
        <f t="shared" si="10"/>
        <v>68.295067990350617</v>
      </c>
      <c r="E169" s="87">
        <f t="shared" si="11"/>
        <v>14292.577409711561</v>
      </c>
    </row>
    <row r="170" spans="1:5" ht="15">
      <c r="A170" s="93">
        <f t="shared" si="14"/>
        <v>38</v>
      </c>
      <c r="B170" s="85">
        <f t="shared" si="15"/>
        <v>79.327758153980241</v>
      </c>
      <c r="C170" s="86">
        <f t="shared" si="13"/>
        <v>10.98022271598593</v>
      </c>
      <c r="D170" s="85">
        <f t="shared" si="10"/>
        <v>68.34753543799431</v>
      </c>
      <c r="E170" s="87">
        <f t="shared" si="11"/>
        <v>14224.229874273567</v>
      </c>
    </row>
    <row r="171" spans="1:5" ht="15">
      <c r="A171" s="93">
        <f t="shared" si="14"/>
        <v>39</v>
      </c>
      <c r="B171" s="85">
        <f t="shared" si="15"/>
        <v>79.327758153980241</v>
      </c>
      <c r="C171" s="86">
        <f t="shared" si="13"/>
        <v>10.927714960408691</v>
      </c>
      <c r="D171" s="85">
        <f t="shared" si="10"/>
        <v>68.400043193571548</v>
      </c>
      <c r="E171" s="87">
        <f t="shared" si="11"/>
        <v>14155.829831079996</v>
      </c>
    </row>
    <row r="172" spans="1:5" ht="15">
      <c r="A172" s="93">
        <f t="shared" si="14"/>
        <v>40</v>
      </c>
      <c r="B172" s="85">
        <f t="shared" si="15"/>
        <v>79.327758153980241</v>
      </c>
      <c r="C172" s="86">
        <f t="shared" si="13"/>
        <v>10.875166865931472</v>
      </c>
      <c r="D172" s="85">
        <f t="shared" si="10"/>
        <v>68.452591288048765</v>
      </c>
      <c r="E172" s="87">
        <f t="shared" si="11"/>
        <v>14087.377239791947</v>
      </c>
    </row>
    <row r="173" spans="1:5" ht="15">
      <c r="A173" s="93">
        <f t="shared" si="14"/>
        <v>41</v>
      </c>
      <c r="B173" s="85">
        <f t="shared" si="15"/>
        <v>79.327758153980241</v>
      </c>
      <c r="C173" s="86">
        <f t="shared" si="13"/>
        <v>10.822578401564058</v>
      </c>
      <c r="D173" s="85">
        <f t="shared" si="10"/>
        <v>68.505179752416183</v>
      </c>
      <c r="E173" s="87">
        <f t="shared" si="11"/>
        <v>14018.872060039532</v>
      </c>
    </row>
    <row r="174" spans="1:5" ht="15">
      <c r="A174" s="93">
        <f t="shared" si="14"/>
        <v>42</v>
      </c>
      <c r="B174" s="85">
        <f t="shared" si="15"/>
        <v>79.327758153980241</v>
      </c>
      <c r="C174" s="86">
        <f t="shared" si="13"/>
        <v>10.769949536292419</v>
      </c>
      <c r="D174" s="85">
        <f t="shared" si="10"/>
        <v>68.557808617687826</v>
      </c>
      <c r="E174" s="87">
        <f t="shared" si="11"/>
        <v>13950.314251421843</v>
      </c>
    </row>
    <row r="175" spans="1:5" ht="15">
      <c r="A175" s="93">
        <f t="shared" si="14"/>
        <v>43</v>
      </c>
      <c r="B175" s="85">
        <f t="shared" si="15"/>
        <v>79.327758153980241</v>
      </c>
      <c r="C175" s="86">
        <f t="shared" si="13"/>
        <v>10.717280239078702</v>
      </c>
      <c r="D175" s="85">
        <f t="shared" si="10"/>
        <v>68.610477914901537</v>
      </c>
      <c r="E175" s="87">
        <f t="shared" si="11"/>
        <v>13881.703773506943</v>
      </c>
    </row>
    <row r="176" spans="1:5" ht="15">
      <c r="A176" s="93">
        <f t="shared" si="14"/>
        <v>44</v>
      </c>
      <c r="B176" s="85">
        <f t="shared" si="15"/>
        <v>79.327758153980241</v>
      </c>
      <c r="C176" s="86">
        <f t="shared" si="13"/>
        <v>10.66457047886121</v>
      </c>
      <c r="D176" s="85">
        <f t="shared" si="10"/>
        <v>68.663187675119033</v>
      </c>
      <c r="E176" s="87">
        <f t="shared" si="11"/>
        <v>13813.040585831823</v>
      </c>
    </row>
    <row r="177" spans="1:5" ht="15">
      <c r="A177" s="93">
        <f t="shared" si="14"/>
        <v>45</v>
      </c>
      <c r="B177" s="85">
        <f t="shared" si="15"/>
        <v>79.327758153980241</v>
      </c>
      <c r="C177" s="86">
        <f t="shared" si="13"/>
        <v>10.611820224554378</v>
      </c>
      <c r="D177" s="85">
        <f t="shared" si="10"/>
        <v>68.715937929425863</v>
      </c>
      <c r="E177" s="87">
        <f t="shared" si="11"/>
        <v>13744.324647902396</v>
      </c>
    </row>
    <row r="178" spans="1:5" ht="15">
      <c r="A178" s="93">
        <f t="shared" si="14"/>
        <v>46</v>
      </c>
      <c r="B178" s="85">
        <f t="shared" si="15"/>
        <v>79.327758153980241</v>
      </c>
      <c r="C178" s="86">
        <f t="shared" si="13"/>
        <v>10.559029445048768</v>
      </c>
      <c r="D178" s="85">
        <f t="shared" si="10"/>
        <v>68.768728708931476</v>
      </c>
      <c r="E178" s="87">
        <f t="shared" si="11"/>
        <v>13675.555919193464</v>
      </c>
    </row>
    <row r="179" spans="1:5" ht="15">
      <c r="A179" s="93">
        <f t="shared" si="14"/>
        <v>47</v>
      </c>
      <c r="B179" s="85">
        <f t="shared" si="15"/>
        <v>79.327758153980241</v>
      </c>
      <c r="C179" s="86">
        <f t="shared" si="13"/>
        <v>10.506198109211033</v>
      </c>
      <c r="D179" s="85">
        <f t="shared" si="10"/>
        <v>68.821560044769214</v>
      </c>
      <c r="E179" s="87">
        <f t="shared" si="11"/>
        <v>13606.734359148695</v>
      </c>
    </row>
    <row r="180" spans="1:5" ht="15">
      <c r="A180" s="93">
        <f t="shared" si="14"/>
        <v>48</v>
      </c>
      <c r="B180" s="85">
        <f t="shared" si="15"/>
        <v>79.327758153980241</v>
      </c>
      <c r="C180" s="86">
        <f t="shared" si="13"/>
        <v>10.453326185883915</v>
      </c>
      <c r="D180" s="85">
        <f t="shared" si="10"/>
        <v>68.874431968096332</v>
      </c>
      <c r="E180" s="87">
        <f t="shared" si="11"/>
        <v>13537.8599271806</v>
      </c>
    </row>
    <row r="181" spans="1:5" ht="15">
      <c r="A181" s="93">
        <f t="shared" si="14"/>
        <v>49</v>
      </c>
      <c r="B181" s="85">
        <f t="shared" si="15"/>
        <v>79.327758153980241</v>
      </c>
      <c r="C181" s="86">
        <f t="shared" si="13"/>
        <v>10.400413643886218</v>
      </c>
      <c r="D181" s="85">
        <f t="shared" si="10"/>
        <v>68.927344510094031</v>
      </c>
      <c r="E181" s="87">
        <f t="shared" si="11"/>
        <v>13468.932582670506</v>
      </c>
    </row>
    <row r="182" spans="1:5" ht="15">
      <c r="A182" s="93">
        <f t="shared" si="14"/>
        <v>50</v>
      </c>
      <c r="B182" s="85">
        <f t="shared" si="15"/>
        <v>79.327758153980241</v>
      </c>
      <c r="C182" s="86">
        <f t="shared" si="13"/>
        <v>10.347460452012786</v>
      </c>
      <c r="D182" s="85">
        <f t="shared" si="10"/>
        <v>68.980297701967459</v>
      </c>
      <c r="E182" s="87">
        <f t="shared" si="11"/>
        <v>13399.952284968538</v>
      </c>
    </row>
    <row r="183" spans="1:5" ht="15">
      <c r="A183" s="93">
        <f t="shared" si="14"/>
        <v>51</v>
      </c>
      <c r="B183" s="85">
        <f t="shared" si="15"/>
        <v>79.327758153980241</v>
      </c>
      <c r="C183" s="86">
        <f t="shared" si="13"/>
        <v>10.294466579034497</v>
      </c>
      <c r="D183" s="85">
        <f t="shared" si="10"/>
        <v>69.03329157494575</v>
      </c>
      <c r="E183" s="87">
        <f t="shared" si="11"/>
        <v>13330.918993393592</v>
      </c>
    </row>
    <row r="184" spans="1:5" ht="15">
      <c r="A184" s="93">
        <f t="shared" si="14"/>
        <v>52</v>
      </c>
      <c r="B184" s="85">
        <f t="shared" si="15"/>
        <v>79.327758153980241</v>
      </c>
      <c r="C184" s="86">
        <f t="shared" si="13"/>
        <v>10.241431993698233</v>
      </c>
      <c r="D184" s="85">
        <f t="shared" si="10"/>
        <v>69.086326160282013</v>
      </c>
      <c r="E184" s="87">
        <f t="shared" si="11"/>
        <v>13261.83266723331</v>
      </c>
    </row>
    <row r="185" spans="1:5" ht="15.6" thickBot="1">
      <c r="A185" s="88">
        <f>A128+1</f>
        <v>2022</v>
      </c>
      <c r="B185" s="89"/>
      <c r="C185" s="70">
        <f>SUM(C133:C184)</f>
        <v>601.98697973669516</v>
      </c>
      <c r="D185" s="73">
        <f>SUM(D133:D184)</f>
        <v>3523.0564442702785</v>
      </c>
      <c r="E185" s="90"/>
    </row>
    <row r="187" spans="1:5" ht="13.8" thickBot="1"/>
    <row r="188" spans="1:5" ht="15">
      <c r="A188" s="79" t="s">
        <v>230</v>
      </c>
      <c r="B188" s="80" t="s">
        <v>216</v>
      </c>
      <c r="C188" s="80" t="s">
        <v>21</v>
      </c>
      <c r="D188" s="80" t="s">
        <v>231</v>
      </c>
      <c r="E188" s="81" t="s">
        <v>208</v>
      </c>
    </row>
    <row r="189" spans="1:5" ht="15">
      <c r="A189" s="82">
        <v>0</v>
      </c>
      <c r="B189" s="83"/>
      <c r="C189" s="83"/>
      <c r="D189" s="83"/>
      <c r="E189" s="84">
        <f>E184</f>
        <v>13261.83266723331</v>
      </c>
    </row>
    <row r="190" spans="1:5" ht="15">
      <c r="A190" s="82">
        <v>1</v>
      </c>
      <c r="B190" s="85">
        <f>IF(E189+C190&lt;$B$12,E189+C190,$B$12)</f>
        <v>79.327758153980241</v>
      </c>
      <c r="C190" s="86">
        <f>E189*$C$18</f>
        <v>10.188356664726868</v>
      </c>
      <c r="D190" s="85">
        <f t="shared" ref="D190:D241" si="16">B190-C190</f>
        <v>69.139401489253373</v>
      </c>
      <c r="E190" s="87">
        <f t="shared" ref="E190:E241" si="17">E189-D190</f>
        <v>13192.693265744056</v>
      </c>
    </row>
    <row r="191" spans="1:5" ht="15">
      <c r="A191" s="82">
        <f>A190+1</f>
        <v>2</v>
      </c>
      <c r="B191" s="85">
        <f t="shared" ref="B191:B210" si="18">IF(E190+C191&lt;$B$12,E190+C191,$B$12)</f>
        <v>79.327758153980241</v>
      </c>
      <c r="C191" s="86">
        <f t="shared" ref="C191:C241" si="19">E190*$C$18</f>
        <v>10.135240560819247</v>
      </c>
      <c r="D191" s="85">
        <f t="shared" si="16"/>
        <v>69.192517593161</v>
      </c>
      <c r="E191" s="87">
        <f t="shared" si="17"/>
        <v>13123.500748150895</v>
      </c>
    </row>
    <row r="192" spans="1:5" ht="15">
      <c r="A192" s="82">
        <f>A191+1</f>
        <v>3</v>
      </c>
      <c r="B192" s="85">
        <f t="shared" si="18"/>
        <v>79.327758153980241</v>
      </c>
      <c r="C192" s="86">
        <f t="shared" si="19"/>
        <v>10.082083650650164</v>
      </c>
      <c r="D192" s="85">
        <f t="shared" si="16"/>
        <v>69.245674503330079</v>
      </c>
      <c r="E192" s="87">
        <f t="shared" si="17"/>
        <v>13054.255073647564</v>
      </c>
    </row>
    <row r="193" spans="1:5" ht="15">
      <c r="A193" s="82">
        <f>A192+1</f>
        <v>4</v>
      </c>
      <c r="B193" s="85">
        <f t="shared" si="18"/>
        <v>79.327758153980241</v>
      </c>
      <c r="C193" s="86">
        <f t="shared" si="19"/>
        <v>10.028885902870355</v>
      </c>
      <c r="D193" s="85">
        <f t="shared" si="16"/>
        <v>69.298872251109884</v>
      </c>
      <c r="E193" s="87">
        <f t="shared" si="17"/>
        <v>12984.956201396455</v>
      </c>
    </row>
    <row r="194" spans="1:5" ht="15">
      <c r="A194" s="93">
        <v>5</v>
      </c>
      <c r="B194" s="85">
        <f t="shared" si="18"/>
        <v>79.327758153980241</v>
      </c>
      <c r="C194" s="86">
        <f t="shared" si="19"/>
        <v>9.9756472861064669</v>
      </c>
      <c r="D194" s="85">
        <f t="shared" si="16"/>
        <v>69.352110867873776</v>
      </c>
      <c r="E194" s="87">
        <f t="shared" si="17"/>
        <v>12915.604090528581</v>
      </c>
    </row>
    <row r="195" spans="1:5" ht="15">
      <c r="A195" s="93">
        <v>6</v>
      </c>
      <c r="B195" s="85">
        <f t="shared" si="18"/>
        <v>79.327758153980241</v>
      </c>
      <c r="C195" s="86">
        <f t="shared" si="19"/>
        <v>9.9223677689610437</v>
      </c>
      <c r="D195" s="85">
        <f t="shared" si="16"/>
        <v>69.405390385019203</v>
      </c>
      <c r="E195" s="87">
        <f t="shared" si="17"/>
        <v>12846.198700143561</v>
      </c>
    </row>
    <row r="196" spans="1:5" ht="15">
      <c r="A196" s="93">
        <v>7</v>
      </c>
      <c r="B196" s="85">
        <f t="shared" si="18"/>
        <v>79.327758153980241</v>
      </c>
      <c r="C196" s="86">
        <f t="shared" si="19"/>
        <v>9.8690473200125126</v>
      </c>
      <c r="D196" s="85">
        <f t="shared" si="16"/>
        <v>69.458710833967729</v>
      </c>
      <c r="E196" s="87">
        <f t="shared" si="17"/>
        <v>12776.739989309594</v>
      </c>
    </row>
    <row r="197" spans="1:5" ht="15">
      <c r="A197" s="93">
        <v>8</v>
      </c>
      <c r="B197" s="85">
        <f t="shared" si="18"/>
        <v>79.327758153980241</v>
      </c>
      <c r="C197" s="86">
        <f t="shared" si="19"/>
        <v>9.8156859078151566</v>
      </c>
      <c r="D197" s="85">
        <f t="shared" si="16"/>
        <v>69.51207224616509</v>
      </c>
      <c r="E197" s="87">
        <f t="shared" si="17"/>
        <v>12707.227917063428</v>
      </c>
    </row>
    <row r="198" spans="1:5" ht="15">
      <c r="A198" s="93">
        <v>9</v>
      </c>
      <c r="B198" s="85">
        <f t="shared" si="18"/>
        <v>79.327758153980241</v>
      </c>
      <c r="C198" s="86">
        <f t="shared" si="19"/>
        <v>9.7622835008991036</v>
      </c>
      <c r="D198" s="85">
        <f t="shared" si="16"/>
        <v>69.565474653081139</v>
      </c>
      <c r="E198" s="87">
        <f t="shared" si="17"/>
        <v>12637.662442410347</v>
      </c>
    </row>
    <row r="199" spans="1:5" ht="15">
      <c r="A199" s="93">
        <v>10</v>
      </c>
      <c r="B199" s="85">
        <f t="shared" si="18"/>
        <v>79.327758153980241</v>
      </c>
      <c r="C199" s="86">
        <f t="shared" si="19"/>
        <v>9.7088400677703053</v>
      </c>
      <c r="D199" s="85">
        <f t="shared" si="16"/>
        <v>69.618918086209931</v>
      </c>
      <c r="E199" s="87">
        <f t="shared" si="17"/>
        <v>12568.043524324137</v>
      </c>
    </row>
    <row r="200" spans="1:5" ht="15">
      <c r="A200" s="93">
        <v>11</v>
      </c>
      <c r="B200" s="85">
        <f t="shared" si="18"/>
        <v>79.327758153980241</v>
      </c>
      <c r="C200" s="86">
        <f t="shared" si="19"/>
        <v>9.6553555769105142</v>
      </c>
      <c r="D200" s="85">
        <f t="shared" si="16"/>
        <v>69.672402577069732</v>
      </c>
      <c r="E200" s="87">
        <f t="shared" si="17"/>
        <v>12498.371121747068</v>
      </c>
    </row>
    <row r="201" spans="1:5" ht="15">
      <c r="A201" s="93">
        <f>A200+1</f>
        <v>12</v>
      </c>
      <c r="B201" s="85">
        <f t="shared" si="18"/>
        <v>79.327758153980241</v>
      </c>
      <c r="C201" s="86">
        <f t="shared" si="19"/>
        <v>9.6018299967772744</v>
      </c>
      <c r="D201" s="85">
        <f t="shared" si="16"/>
        <v>69.725928157202972</v>
      </c>
      <c r="E201" s="87">
        <f t="shared" si="17"/>
        <v>12428.645193589866</v>
      </c>
    </row>
    <row r="202" spans="1:5" ht="15">
      <c r="A202" s="93">
        <f t="shared" ref="A202:A241" si="20">A201+1</f>
        <v>13</v>
      </c>
      <c r="B202" s="85">
        <f t="shared" si="18"/>
        <v>79.327758153980241</v>
      </c>
      <c r="C202" s="86">
        <f t="shared" si="19"/>
        <v>9.5482632958038938</v>
      </c>
      <c r="D202" s="85">
        <f t="shared" si="16"/>
        <v>69.779494858176349</v>
      </c>
      <c r="E202" s="87">
        <f t="shared" si="17"/>
        <v>12358.86569873169</v>
      </c>
    </row>
    <row r="203" spans="1:5" ht="15">
      <c r="A203" s="93">
        <f t="shared" si="20"/>
        <v>14</v>
      </c>
      <c r="B203" s="85">
        <f t="shared" si="18"/>
        <v>79.327758153980241</v>
      </c>
      <c r="C203" s="86">
        <f t="shared" si="19"/>
        <v>9.4946554423994307</v>
      </c>
      <c r="D203" s="85">
        <f t="shared" si="16"/>
        <v>69.833102711580807</v>
      </c>
      <c r="E203" s="87">
        <f t="shared" si="17"/>
        <v>12289.03259602011</v>
      </c>
    </row>
    <row r="204" spans="1:5" ht="15">
      <c r="A204" s="93">
        <f t="shared" si="20"/>
        <v>15</v>
      </c>
      <c r="B204" s="85">
        <f t="shared" si="18"/>
        <v>79.327758153980241</v>
      </c>
      <c r="C204" s="86">
        <f t="shared" si="19"/>
        <v>9.4410064049486735</v>
      </c>
      <c r="D204" s="85">
        <f t="shared" si="16"/>
        <v>69.886751749031561</v>
      </c>
      <c r="E204" s="87">
        <f t="shared" si="17"/>
        <v>12219.145844271079</v>
      </c>
    </row>
    <row r="205" spans="1:5" ht="15">
      <c r="A205" s="93">
        <f t="shared" si="20"/>
        <v>16</v>
      </c>
      <c r="B205" s="85">
        <f t="shared" si="18"/>
        <v>79.327758153980241</v>
      </c>
      <c r="C205" s="86">
        <f t="shared" si="19"/>
        <v>9.3873161518121204</v>
      </c>
      <c r="D205" s="85">
        <f t="shared" si="16"/>
        <v>69.940442002168126</v>
      </c>
      <c r="E205" s="87">
        <f t="shared" si="17"/>
        <v>12149.205402268912</v>
      </c>
    </row>
    <row r="206" spans="1:5" ht="15">
      <c r="A206" s="93">
        <f t="shared" si="20"/>
        <v>17</v>
      </c>
      <c r="B206" s="85">
        <f t="shared" si="18"/>
        <v>79.327758153980241</v>
      </c>
      <c r="C206" s="86">
        <f t="shared" si="19"/>
        <v>9.3335846513259675</v>
      </c>
      <c r="D206" s="85">
        <f t="shared" si="16"/>
        <v>69.994173502654277</v>
      </c>
      <c r="E206" s="87">
        <f t="shared" si="17"/>
        <v>12079.211228766257</v>
      </c>
    </row>
    <row r="207" spans="1:5" ht="15">
      <c r="A207" s="93">
        <f t="shared" si="20"/>
        <v>18</v>
      </c>
      <c r="B207" s="85">
        <f t="shared" si="18"/>
        <v>79.327758153980241</v>
      </c>
      <c r="C207" s="86">
        <f t="shared" si="19"/>
        <v>9.2798118718020799</v>
      </c>
      <c r="D207" s="85">
        <f t="shared" si="16"/>
        <v>70.04794628217816</v>
      </c>
      <c r="E207" s="87">
        <f t="shared" si="17"/>
        <v>12009.163282484078</v>
      </c>
    </row>
    <row r="208" spans="1:5" ht="15">
      <c r="A208" s="93">
        <f t="shared" si="20"/>
        <v>19</v>
      </c>
      <c r="B208" s="85">
        <f t="shared" si="18"/>
        <v>79.327758153980241</v>
      </c>
      <c r="C208" s="86">
        <f t="shared" si="19"/>
        <v>9.2259977815279832</v>
      </c>
      <c r="D208" s="85">
        <f t="shared" si="16"/>
        <v>70.101760372452262</v>
      </c>
      <c r="E208" s="87">
        <f t="shared" si="17"/>
        <v>11939.061522111626</v>
      </c>
    </row>
    <row r="209" spans="1:5" ht="15">
      <c r="A209" s="93">
        <f t="shared" si="20"/>
        <v>20</v>
      </c>
      <c r="B209" s="85">
        <f t="shared" si="18"/>
        <v>79.327758153980241</v>
      </c>
      <c r="C209" s="86">
        <f t="shared" si="19"/>
        <v>9.1721423487668368</v>
      </c>
      <c r="D209" s="85">
        <f t="shared" si="16"/>
        <v>70.155615805213401</v>
      </c>
      <c r="E209" s="87">
        <f t="shared" si="17"/>
        <v>11868.905906306412</v>
      </c>
    </row>
    <row r="210" spans="1:5" ht="15">
      <c r="A210" s="93">
        <f t="shared" si="20"/>
        <v>21</v>
      </c>
      <c r="B210" s="85">
        <f t="shared" si="18"/>
        <v>79.327758153980241</v>
      </c>
      <c r="C210" s="86">
        <f t="shared" si="19"/>
        <v>9.1182455417574193</v>
      </c>
      <c r="D210" s="85">
        <f t="shared" si="16"/>
        <v>70.209512612222824</v>
      </c>
      <c r="E210" s="87">
        <f t="shared" si="17"/>
        <v>11798.69639369419</v>
      </c>
    </row>
    <row r="211" spans="1:5" ht="15">
      <c r="A211" s="93">
        <f t="shared" si="20"/>
        <v>22</v>
      </c>
      <c r="B211" s="85">
        <f>IF(E210+C211&lt;$B$12,E210+C211,$B$12)</f>
        <v>79.327758153980241</v>
      </c>
      <c r="C211" s="86">
        <f t="shared" si="19"/>
        <v>9.0643073287141096</v>
      </c>
      <c r="D211" s="85">
        <f t="shared" si="16"/>
        <v>70.263450825266133</v>
      </c>
      <c r="E211" s="87">
        <f t="shared" si="17"/>
        <v>11728.432942868923</v>
      </c>
    </row>
    <row r="212" spans="1:5" ht="15">
      <c r="A212" s="93">
        <f t="shared" si="20"/>
        <v>23</v>
      </c>
      <c r="B212" s="85">
        <f t="shared" ref="B212:B241" si="21">IF(E211+C212&lt;$B$12,E211+C212,$B$12)</f>
        <v>79.327758153980241</v>
      </c>
      <c r="C212" s="86">
        <f t="shared" si="19"/>
        <v>9.0103276778268633</v>
      </c>
      <c r="D212" s="85">
        <f t="shared" si="16"/>
        <v>70.317430476153376</v>
      </c>
      <c r="E212" s="87">
        <f t="shared" si="17"/>
        <v>11658.115512392769</v>
      </c>
    </row>
    <row r="213" spans="1:5" ht="15">
      <c r="A213" s="93">
        <f t="shared" si="20"/>
        <v>24</v>
      </c>
      <c r="B213" s="85">
        <f t="shared" si="21"/>
        <v>79.327758153980241</v>
      </c>
      <c r="C213" s="86">
        <f t="shared" si="19"/>
        <v>8.9563065572612057</v>
      </c>
      <c r="D213" s="85">
        <f t="shared" si="16"/>
        <v>70.371451596719041</v>
      </c>
      <c r="E213" s="87">
        <f t="shared" si="17"/>
        <v>11587.744060796051</v>
      </c>
    </row>
    <row r="214" spans="1:5" ht="15">
      <c r="A214" s="93">
        <f t="shared" si="20"/>
        <v>25</v>
      </c>
      <c r="B214" s="85">
        <f t="shared" si="21"/>
        <v>79.327758153980241</v>
      </c>
      <c r="C214" s="86">
        <f t="shared" si="19"/>
        <v>8.9022439351582001</v>
      </c>
      <c r="D214" s="85">
        <f t="shared" si="16"/>
        <v>70.425514218822045</v>
      </c>
      <c r="E214" s="87">
        <f t="shared" si="17"/>
        <v>11517.318546577229</v>
      </c>
    </row>
    <row r="215" spans="1:5" ht="15">
      <c r="A215" s="93">
        <f t="shared" si="20"/>
        <v>26</v>
      </c>
      <c r="B215" s="85">
        <f t="shared" si="21"/>
        <v>79.327758153980241</v>
      </c>
      <c r="C215" s="86">
        <f t="shared" si="19"/>
        <v>8.848139779634435</v>
      </c>
      <c r="D215" s="85">
        <f t="shared" si="16"/>
        <v>70.479618374345804</v>
      </c>
      <c r="E215" s="87">
        <f t="shared" si="17"/>
        <v>11446.838928202884</v>
      </c>
    </row>
    <row r="216" spans="1:5" ht="15">
      <c r="A216" s="93">
        <f t="shared" si="20"/>
        <v>27</v>
      </c>
      <c r="B216" s="85">
        <f t="shared" si="21"/>
        <v>79.327758153980241</v>
      </c>
      <c r="C216" s="86">
        <f t="shared" si="19"/>
        <v>8.7939940587820029</v>
      </c>
      <c r="D216" s="85">
        <f t="shared" si="16"/>
        <v>70.533764095198237</v>
      </c>
      <c r="E216" s="87">
        <f t="shared" si="17"/>
        <v>11376.305164107685</v>
      </c>
    </row>
    <row r="217" spans="1:5" ht="15">
      <c r="A217" s="93">
        <f t="shared" si="20"/>
        <v>28</v>
      </c>
      <c r="B217" s="85">
        <f t="shared" si="21"/>
        <v>79.327758153980241</v>
      </c>
      <c r="C217" s="86">
        <f t="shared" si="19"/>
        <v>8.7398067406684881</v>
      </c>
      <c r="D217" s="85">
        <f t="shared" si="16"/>
        <v>70.587951413311757</v>
      </c>
      <c r="E217" s="87">
        <f t="shared" si="17"/>
        <v>11305.717212694373</v>
      </c>
    </row>
    <row r="218" spans="1:5" ht="15">
      <c r="A218" s="93">
        <f t="shared" si="20"/>
        <v>29</v>
      </c>
      <c r="B218" s="85">
        <f t="shared" si="21"/>
        <v>79.327758153980241</v>
      </c>
      <c r="C218" s="86">
        <f t="shared" si="19"/>
        <v>8.685577793336936</v>
      </c>
      <c r="D218" s="85">
        <f t="shared" si="16"/>
        <v>70.642180360643309</v>
      </c>
      <c r="E218" s="87">
        <f t="shared" si="17"/>
        <v>11235.075032333731</v>
      </c>
    </row>
    <row r="219" spans="1:5" ht="15">
      <c r="A219" s="93">
        <f t="shared" si="20"/>
        <v>30</v>
      </c>
      <c r="B219" s="85">
        <f t="shared" si="21"/>
        <v>79.327758153980241</v>
      </c>
      <c r="C219" s="86">
        <f t="shared" si="19"/>
        <v>8.6313071848058502</v>
      </c>
      <c r="D219" s="85">
        <f t="shared" si="16"/>
        <v>70.696450969174393</v>
      </c>
      <c r="E219" s="87">
        <f t="shared" si="17"/>
        <v>11164.378581364555</v>
      </c>
    </row>
    <row r="220" spans="1:5" ht="15">
      <c r="A220" s="93">
        <f t="shared" si="20"/>
        <v>31</v>
      </c>
      <c r="B220" s="85">
        <f t="shared" si="21"/>
        <v>79.327758153980241</v>
      </c>
      <c r="C220" s="86">
        <f t="shared" si="19"/>
        <v>8.5769948830691547</v>
      </c>
      <c r="D220" s="85">
        <f t="shared" si="16"/>
        <v>70.750763270911079</v>
      </c>
      <c r="E220" s="87">
        <f t="shared" si="17"/>
        <v>11093.627818093644</v>
      </c>
    </row>
    <row r="221" spans="1:5" ht="15">
      <c r="A221" s="93">
        <f t="shared" si="20"/>
        <v>32</v>
      </c>
      <c r="B221" s="85">
        <f t="shared" si="21"/>
        <v>79.327758153980241</v>
      </c>
      <c r="C221" s="86">
        <f t="shared" si="19"/>
        <v>8.5226408560961939</v>
      </c>
      <c r="D221" s="85">
        <f t="shared" si="16"/>
        <v>70.805117297884053</v>
      </c>
      <c r="E221" s="87">
        <f t="shared" si="17"/>
        <v>11022.822700795759</v>
      </c>
    </row>
    <row r="222" spans="1:5" ht="15">
      <c r="A222" s="93">
        <f t="shared" si="20"/>
        <v>33</v>
      </c>
      <c r="B222" s="85">
        <f t="shared" si="21"/>
        <v>79.327758153980241</v>
      </c>
      <c r="C222" s="86">
        <f t="shared" si="19"/>
        <v>8.4682450718316975</v>
      </c>
      <c r="D222" s="85">
        <f t="shared" si="16"/>
        <v>70.859513082148538</v>
      </c>
      <c r="E222" s="87">
        <f t="shared" si="17"/>
        <v>10951.963187713611</v>
      </c>
    </row>
    <row r="223" spans="1:5" ht="15">
      <c r="A223" s="93">
        <f t="shared" si="20"/>
        <v>34</v>
      </c>
      <c r="B223" s="85">
        <f t="shared" si="21"/>
        <v>79.327758153980241</v>
      </c>
      <c r="C223" s="86">
        <f t="shared" si="19"/>
        <v>8.4138074981957747</v>
      </c>
      <c r="D223" s="85">
        <f t="shared" si="16"/>
        <v>70.913950655784461</v>
      </c>
      <c r="E223" s="87">
        <f t="shared" si="17"/>
        <v>10881.049237057827</v>
      </c>
    </row>
    <row r="224" spans="1:5" ht="15">
      <c r="A224" s="93">
        <f t="shared" si="20"/>
        <v>35</v>
      </c>
      <c r="B224" s="85">
        <f t="shared" si="21"/>
        <v>79.327758153980241</v>
      </c>
      <c r="C224" s="86">
        <f t="shared" si="19"/>
        <v>8.3593281030838842</v>
      </c>
      <c r="D224" s="85">
        <f t="shared" si="16"/>
        <v>70.968430050896359</v>
      </c>
      <c r="E224" s="87">
        <f t="shared" si="17"/>
        <v>10810.080807006931</v>
      </c>
    </row>
    <row r="225" spans="1:5" ht="15">
      <c r="A225" s="93">
        <f t="shared" si="20"/>
        <v>36</v>
      </c>
      <c r="B225" s="85">
        <f t="shared" si="21"/>
        <v>79.327758153980241</v>
      </c>
      <c r="C225" s="86">
        <f t="shared" si="19"/>
        <v>8.3048068543668254</v>
      </c>
      <c r="D225" s="85">
        <f t="shared" si="16"/>
        <v>71.02295129961341</v>
      </c>
      <c r="E225" s="87">
        <f t="shared" si="17"/>
        <v>10739.057855707317</v>
      </c>
    </row>
    <row r="226" spans="1:5" ht="15">
      <c r="A226" s="93">
        <f t="shared" si="20"/>
        <v>37</v>
      </c>
      <c r="B226" s="85">
        <f t="shared" si="21"/>
        <v>79.327758153980241</v>
      </c>
      <c r="C226" s="86">
        <f t="shared" si="19"/>
        <v>8.2502437198907099</v>
      </c>
      <c r="D226" s="85">
        <f t="shared" si="16"/>
        <v>71.077514434089537</v>
      </c>
      <c r="E226" s="87">
        <f t="shared" si="17"/>
        <v>10667.980341273227</v>
      </c>
    </row>
    <row r="227" spans="1:5" ht="15">
      <c r="A227" s="93">
        <f t="shared" si="20"/>
        <v>38</v>
      </c>
      <c r="B227" s="85">
        <f t="shared" si="21"/>
        <v>79.327758153980241</v>
      </c>
      <c r="C227" s="86">
        <f t="shared" si="19"/>
        <v>8.1956386674769508</v>
      </c>
      <c r="D227" s="85">
        <f t="shared" si="16"/>
        <v>71.132119486503285</v>
      </c>
      <c r="E227" s="87">
        <f t="shared" si="17"/>
        <v>10596.848221786724</v>
      </c>
    </row>
    <row r="228" spans="1:5" ht="15">
      <c r="A228" s="93">
        <f t="shared" si="20"/>
        <v>39</v>
      </c>
      <c r="B228" s="85">
        <f t="shared" si="21"/>
        <v>79.327758153980241</v>
      </c>
      <c r="C228" s="86">
        <f t="shared" si="19"/>
        <v>8.1409916649222378</v>
      </c>
      <c r="D228" s="85">
        <f t="shared" si="16"/>
        <v>71.186766489058002</v>
      </c>
      <c r="E228" s="87">
        <f t="shared" si="17"/>
        <v>10525.661455297666</v>
      </c>
    </row>
    <row r="229" spans="1:5" ht="15">
      <c r="A229" s="93">
        <f t="shared" si="20"/>
        <v>40</v>
      </c>
      <c r="B229" s="85">
        <f t="shared" si="21"/>
        <v>79.327758153980241</v>
      </c>
      <c r="C229" s="86">
        <f t="shared" si="19"/>
        <v>8.0863026799985231</v>
      </c>
      <c r="D229" s="85">
        <f t="shared" si="16"/>
        <v>71.241455473981716</v>
      </c>
      <c r="E229" s="87">
        <f t="shared" si="17"/>
        <v>10454.419999823684</v>
      </c>
    </row>
    <row r="230" spans="1:5" ht="15">
      <c r="A230" s="93">
        <f t="shared" si="20"/>
        <v>41</v>
      </c>
      <c r="B230" s="85">
        <f t="shared" si="21"/>
        <v>79.327758153980241</v>
      </c>
      <c r="C230" s="86">
        <f t="shared" si="19"/>
        <v>8.0315716804529984</v>
      </c>
      <c r="D230" s="85">
        <f t="shared" si="16"/>
        <v>71.296186473527243</v>
      </c>
      <c r="E230" s="87">
        <f t="shared" si="17"/>
        <v>10383.123813350156</v>
      </c>
    </row>
    <row r="231" spans="1:5" ht="15">
      <c r="A231" s="93">
        <f t="shared" si="20"/>
        <v>42</v>
      </c>
      <c r="B231" s="85">
        <f t="shared" si="21"/>
        <v>79.327758153980241</v>
      </c>
      <c r="C231" s="86">
        <f t="shared" si="19"/>
        <v>7.9767986340080741</v>
      </c>
      <c r="D231" s="85">
        <f t="shared" si="16"/>
        <v>71.350959519972164</v>
      </c>
      <c r="E231" s="87">
        <f t="shared" si="17"/>
        <v>10311.772853830184</v>
      </c>
    </row>
    <row r="232" spans="1:5" ht="15">
      <c r="A232" s="93">
        <f t="shared" si="20"/>
        <v>43</v>
      </c>
      <c r="B232" s="85">
        <f t="shared" si="21"/>
        <v>79.327758153980241</v>
      </c>
      <c r="C232" s="86">
        <f t="shared" si="19"/>
        <v>7.921983508361369</v>
      </c>
      <c r="D232" s="85">
        <f t="shared" si="16"/>
        <v>71.405774645618877</v>
      </c>
      <c r="E232" s="87">
        <f t="shared" si="17"/>
        <v>10240.367079184565</v>
      </c>
    </row>
    <row r="233" spans="1:5" ht="15">
      <c r="A233" s="93">
        <f t="shared" si="20"/>
        <v>44</v>
      </c>
      <c r="B233" s="85">
        <f t="shared" si="21"/>
        <v>79.327758153980241</v>
      </c>
      <c r="C233" s="86">
        <f t="shared" si="19"/>
        <v>7.8671262711856835</v>
      </c>
      <c r="D233" s="85">
        <f t="shared" si="16"/>
        <v>71.460631882794559</v>
      </c>
      <c r="E233" s="87">
        <f t="shared" si="17"/>
        <v>10168.906447301772</v>
      </c>
    </row>
    <row r="234" spans="1:5" ht="15">
      <c r="A234" s="93">
        <f t="shared" si="20"/>
        <v>45</v>
      </c>
      <c r="B234" s="85">
        <f t="shared" si="21"/>
        <v>79.327758153980241</v>
      </c>
      <c r="C234" s="86">
        <f t="shared" si="19"/>
        <v>7.812226890128982</v>
      </c>
      <c r="D234" s="85">
        <f t="shared" si="16"/>
        <v>71.515531263851258</v>
      </c>
      <c r="E234" s="87">
        <f t="shared" si="17"/>
        <v>10097.390916037921</v>
      </c>
    </row>
    <row r="235" spans="1:5" ht="15">
      <c r="A235" s="93">
        <f t="shared" si="20"/>
        <v>46</v>
      </c>
      <c r="B235" s="85">
        <f t="shared" si="21"/>
        <v>79.327758153980241</v>
      </c>
      <c r="C235" s="86">
        <f t="shared" si="19"/>
        <v>7.7572853328143747</v>
      </c>
      <c r="D235" s="85">
        <f t="shared" si="16"/>
        <v>71.570472821165865</v>
      </c>
      <c r="E235" s="87">
        <f t="shared" si="17"/>
        <v>10025.820443216755</v>
      </c>
    </row>
    <row r="236" spans="1:5" ht="15">
      <c r="A236" s="93">
        <f t="shared" si="20"/>
        <v>47</v>
      </c>
      <c r="B236" s="85">
        <f t="shared" si="21"/>
        <v>79.327758153980241</v>
      </c>
      <c r="C236" s="86">
        <f t="shared" si="19"/>
        <v>7.7023015668400978</v>
      </c>
      <c r="D236" s="85">
        <f t="shared" si="16"/>
        <v>71.62545658714015</v>
      </c>
      <c r="E236" s="87">
        <f t="shared" si="17"/>
        <v>9954.1949866296145</v>
      </c>
    </row>
    <row r="237" spans="1:5" ht="15">
      <c r="A237" s="93">
        <f t="shared" si="20"/>
        <v>48</v>
      </c>
      <c r="B237" s="85">
        <f t="shared" si="21"/>
        <v>79.327758153980241</v>
      </c>
      <c r="C237" s="86">
        <f t="shared" si="19"/>
        <v>7.6472755597794961</v>
      </c>
      <c r="D237" s="85">
        <f t="shared" si="16"/>
        <v>71.68048259420074</v>
      </c>
      <c r="E237" s="87">
        <f t="shared" si="17"/>
        <v>9882.5145040354146</v>
      </c>
    </row>
    <row r="238" spans="1:5" ht="15">
      <c r="A238" s="93">
        <f t="shared" si="20"/>
        <v>49</v>
      </c>
      <c r="B238" s="85">
        <f t="shared" si="21"/>
        <v>79.327758153980241</v>
      </c>
      <c r="C238" s="86">
        <f t="shared" si="19"/>
        <v>7.5922072791810038</v>
      </c>
      <c r="D238" s="85">
        <f t="shared" si="16"/>
        <v>71.73555087479923</v>
      </c>
      <c r="E238" s="87">
        <f t="shared" si="17"/>
        <v>9810.7789531606159</v>
      </c>
    </row>
    <row r="239" spans="1:5" ht="15">
      <c r="A239" s="93">
        <f t="shared" si="20"/>
        <v>50</v>
      </c>
      <c r="B239" s="85">
        <f t="shared" si="21"/>
        <v>79.327758153980241</v>
      </c>
      <c r="C239" s="86">
        <f t="shared" si="19"/>
        <v>7.537096692568122</v>
      </c>
      <c r="D239" s="85">
        <f t="shared" si="16"/>
        <v>71.790661461412114</v>
      </c>
      <c r="E239" s="87">
        <f t="shared" si="17"/>
        <v>9738.9882916992046</v>
      </c>
    </row>
    <row r="240" spans="1:5" ht="15">
      <c r="A240" s="93">
        <f t="shared" si="20"/>
        <v>51</v>
      </c>
      <c r="B240" s="85">
        <f t="shared" si="21"/>
        <v>79.327758153980241</v>
      </c>
      <c r="C240" s="86">
        <f t="shared" si="19"/>
        <v>7.4819437674394029</v>
      </c>
      <c r="D240" s="85">
        <f t="shared" si="16"/>
        <v>71.845814386540837</v>
      </c>
      <c r="E240" s="87">
        <f t="shared" si="17"/>
        <v>9667.1424773126637</v>
      </c>
    </row>
    <row r="241" spans="1:5" ht="15">
      <c r="A241" s="93">
        <f t="shared" si="20"/>
        <v>52</v>
      </c>
      <c r="B241" s="85">
        <f t="shared" si="21"/>
        <v>79.327758153980241</v>
      </c>
      <c r="C241" s="86">
        <f t="shared" si="19"/>
        <v>7.4267484712684286</v>
      </c>
      <c r="D241" s="85">
        <f t="shared" si="16"/>
        <v>71.901009682711816</v>
      </c>
      <c r="E241" s="87">
        <f t="shared" si="17"/>
        <v>9595.2414676299522</v>
      </c>
    </row>
    <row r="242" spans="1:5" ht="15.6" thickBot="1">
      <c r="A242" s="88">
        <f>A185+1</f>
        <v>2023</v>
      </c>
      <c r="B242" s="89"/>
      <c r="C242" s="70">
        <f>SUM(C190:C241)</f>
        <v>458.45222440361141</v>
      </c>
      <c r="D242" s="73">
        <f>SUM(D190:D241)</f>
        <v>3666.5911996033601</v>
      </c>
      <c r="E242" s="90"/>
    </row>
    <row r="244" spans="1:5" ht="13.8" thickBot="1"/>
    <row r="245" spans="1:5" ht="15">
      <c r="A245" s="79" t="s">
        <v>230</v>
      </c>
      <c r="B245" s="80" t="s">
        <v>216</v>
      </c>
      <c r="C245" s="80" t="s">
        <v>21</v>
      </c>
      <c r="D245" s="80" t="s">
        <v>231</v>
      </c>
      <c r="E245" s="81" t="s">
        <v>208</v>
      </c>
    </row>
    <row r="246" spans="1:5" ht="15">
      <c r="A246" s="82">
        <v>0</v>
      </c>
      <c r="B246" s="83"/>
      <c r="C246" s="83"/>
      <c r="D246" s="83"/>
      <c r="E246" s="84">
        <f>E241</f>
        <v>9595.2414676299522</v>
      </c>
    </row>
    <row r="247" spans="1:5" ht="15">
      <c r="A247" s="82">
        <v>1</v>
      </c>
      <c r="B247" s="85">
        <f>IF(E246+C247&lt;$B$12,E246+C247,$B$12)</f>
        <v>79.327758153980241</v>
      </c>
      <c r="C247" s="86">
        <f>E246*$C$18</f>
        <v>7.3715107715037949</v>
      </c>
      <c r="D247" s="85">
        <f t="shared" ref="D247:D298" si="22">B247-C247</f>
        <v>71.956247382476448</v>
      </c>
      <c r="E247" s="87">
        <f t="shared" ref="E247:E298" si="23">E246-D247</f>
        <v>9523.2852202474751</v>
      </c>
    </row>
    <row r="248" spans="1:5" ht="15">
      <c r="A248" s="82">
        <f>A247+1</f>
        <v>2</v>
      </c>
      <c r="B248" s="85">
        <f t="shared" ref="B248:B267" si="24">IF(E247+C248&lt;$B$12,E247+C248,$B$12)</f>
        <v>79.327758153980241</v>
      </c>
      <c r="C248" s="86">
        <f t="shared" ref="C248:C298" si="25">E247*$C$18</f>
        <v>7.3162306355690871</v>
      </c>
      <c r="D248" s="85">
        <f t="shared" si="22"/>
        <v>72.011527518411157</v>
      </c>
      <c r="E248" s="87">
        <f t="shared" si="23"/>
        <v>9451.2736927290644</v>
      </c>
    </row>
    <row r="249" spans="1:5" ht="15">
      <c r="A249" s="82">
        <f>A248+1</f>
        <v>3</v>
      </c>
      <c r="B249" s="85">
        <f t="shared" si="24"/>
        <v>79.327758153980241</v>
      </c>
      <c r="C249" s="86">
        <f t="shared" si="25"/>
        <v>7.2609080308628693</v>
      </c>
      <c r="D249" s="85">
        <f t="shared" si="22"/>
        <v>72.066850123117376</v>
      </c>
      <c r="E249" s="87">
        <f t="shared" si="23"/>
        <v>9379.2068426059468</v>
      </c>
    </row>
    <row r="250" spans="1:5" ht="15">
      <c r="A250" s="82">
        <f>A249+1</f>
        <v>4</v>
      </c>
      <c r="B250" s="85">
        <f t="shared" si="24"/>
        <v>79.327758153980241</v>
      </c>
      <c r="C250" s="86">
        <f t="shared" si="25"/>
        <v>7.2055429247586531</v>
      </c>
      <c r="D250" s="85">
        <f t="shared" si="22"/>
        <v>72.122215229221581</v>
      </c>
      <c r="E250" s="87">
        <f t="shared" si="23"/>
        <v>9307.0846273767256</v>
      </c>
    </row>
    <row r="251" spans="1:5" ht="15">
      <c r="A251" s="93">
        <v>5</v>
      </c>
      <c r="B251" s="85">
        <f t="shared" si="24"/>
        <v>79.327758153980241</v>
      </c>
      <c r="C251" s="86">
        <f t="shared" si="25"/>
        <v>7.1501352846048878</v>
      </c>
      <c r="D251" s="85">
        <f t="shared" si="22"/>
        <v>72.177622869375355</v>
      </c>
      <c r="E251" s="87">
        <f t="shared" si="23"/>
        <v>9234.9070045073495</v>
      </c>
    </row>
    <row r="252" spans="1:5" ht="15">
      <c r="A252" s="93">
        <v>6</v>
      </c>
      <c r="B252" s="85">
        <f t="shared" si="24"/>
        <v>79.327758153980241</v>
      </c>
      <c r="C252" s="86">
        <f t="shared" si="25"/>
        <v>7.0946850777249395</v>
      </c>
      <c r="D252" s="85">
        <f t="shared" si="22"/>
        <v>72.233073076255295</v>
      </c>
      <c r="E252" s="87">
        <f t="shared" si="23"/>
        <v>9162.6739314310944</v>
      </c>
    </row>
    <row r="253" spans="1:5" ht="15">
      <c r="A253" s="93">
        <v>7</v>
      </c>
      <c r="B253" s="85">
        <f t="shared" si="24"/>
        <v>79.327758153980241</v>
      </c>
      <c r="C253" s="86">
        <f t="shared" si="25"/>
        <v>7.0391922714170692</v>
      </c>
      <c r="D253" s="85">
        <f t="shared" si="22"/>
        <v>72.288565882563177</v>
      </c>
      <c r="E253" s="87">
        <f t="shared" si="23"/>
        <v>9090.3853655485309</v>
      </c>
    </row>
    <row r="254" spans="1:5" ht="15">
      <c r="A254" s="93">
        <v>8</v>
      </c>
      <c r="B254" s="85">
        <f t="shared" si="24"/>
        <v>79.327758153980241</v>
      </c>
      <c r="C254" s="86">
        <f t="shared" si="25"/>
        <v>6.9836568329544138</v>
      </c>
      <c r="D254" s="85">
        <f t="shared" si="22"/>
        <v>72.344101321025832</v>
      </c>
      <c r="E254" s="87">
        <f t="shared" si="23"/>
        <v>9018.041264227506</v>
      </c>
    </row>
    <row r="255" spans="1:5" ht="15">
      <c r="A255" s="93">
        <v>9</v>
      </c>
      <c r="B255" s="85">
        <f t="shared" si="24"/>
        <v>79.327758153980241</v>
      </c>
      <c r="C255" s="86">
        <f t="shared" si="25"/>
        <v>6.9280787295849713</v>
      </c>
      <c r="D255" s="85">
        <f t="shared" si="22"/>
        <v>72.399679424395273</v>
      </c>
      <c r="E255" s="87">
        <f t="shared" si="23"/>
        <v>8945.6415848031102</v>
      </c>
    </row>
    <row r="256" spans="1:5" ht="15">
      <c r="A256" s="93">
        <v>10</v>
      </c>
      <c r="B256" s="85">
        <f t="shared" si="24"/>
        <v>79.327758153980241</v>
      </c>
      <c r="C256" s="86">
        <f t="shared" si="25"/>
        <v>6.8724579285315741</v>
      </c>
      <c r="D256" s="85">
        <f t="shared" si="22"/>
        <v>72.455300225448667</v>
      </c>
      <c r="E256" s="87">
        <f t="shared" si="23"/>
        <v>8873.1862845776614</v>
      </c>
    </row>
    <row r="257" spans="1:5" ht="15">
      <c r="A257" s="93">
        <v>11</v>
      </c>
      <c r="B257" s="85">
        <f t="shared" si="24"/>
        <v>79.327758153980241</v>
      </c>
      <c r="C257" s="86">
        <f t="shared" si="25"/>
        <v>6.8167943969918765</v>
      </c>
      <c r="D257" s="85">
        <f t="shared" si="22"/>
        <v>72.51096375698836</v>
      </c>
      <c r="E257" s="87">
        <f t="shared" si="23"/>
        <v>8800.6753208206737</v>
      </c>
    </row>
    <row r="258" spans="1:5" ht="15">
      <c r="A258" s="93">
        <f>A257+1</f>
        <v>12</v>
      </c>
      <c r="B258" s="85">
        <f t="shared" si="24"/>
        <v>79.327758153980241</v>
      </c>
      <c r="C258" s="86">
        <f t="shared" si="25"/>
        <v>6.7610881021383316</v>
      </c>
      <c r="D258" s="85">
        <f t="shared" si="22"/>
        <v>72.566670051841911</v>
      </c>
      <c r="E258" s="87">
        <f t="shared" si="23"/>
        <v>8728.1086507688324</v>
      </c>
    </row>
    <row r="259" spans="1:5" ht="15">
      <c r="A259" s="93">
        <f t="shared" ref="A259:A298" si="26">A258+1</f>
        <v>13</v>
      </c>
      <c r="B259" s="85">
        <f t="shared" si="24"/>
        <v>79.327758153980241</v>
      </c>
      <c r="C259" s="86">
        <f t="shared" si="25"/>
        <v>6.7053390111181717</v>
      </c>
      <c r="D259" s="85">
        <f t="shared" si="22"/>
        <v>72.622419142862071</v>
      </c>
      <c r="E259" s="87">
        <f t="shared" si="23"/>
        <v>8655.4862316259696</v>
      </c>
    </row>
    <row r="260" spans="1:5" ht="15">
      <c r="A260" s="93">
        <f t="shared" si="26"/>
        <v>14</v>
      </c>
      <c r="B260" s="85">
        <f t="shared" si="24"/>
        <v>79.327758153980241</v>
      </c>
      <c r="C260" s="86">
        <f t="shared" si="25"/>
        <v>6.6495470910533916</v>
      </c>
      <c r="D260" s="85">
        <f t="shared" si="22"/>
        <v>72.678211062926849</v>
      </c>
      <c r="E260" s="87">
        <f t="shared" si="23"/>
        <v>8582.8080205630431</v>
      </c>
    </row>
    <row r="261" spans="1:5" ht="15">
      <c r="A261" s="93">
        <f t="shared" si="26"/>
        <v>15</v>
      </c>
      <c r="B261" s="85">
        <f t="shared" si="24"/>
        <v>79.327758153980241</v>
      </c>
      <c r="C261" s="86">
        <f t="shared" si="25"/>
        <v>6.5937123090407281</v>
      </c>
      <c r="D261" s="85">
        <f t="shared" si="22"/>
        <v>72.734045844939516</v>
      </c>
      <c r="E261" s="87">
        <f t="shared" si="23"/>
        <v>8510.0739747181033</v>
      </c>
    </row>
    <row r="262" spans="1:5" ht="15">
      <c r="A262" s="93">
        <f t="shared" si="26"/>
        <v>16</v>
      </c>
      <c r="B262" s="85">
        <f t="shared" si="24"/>
        <v>79.327758153980241</v>
      </c>
      <c r="C262" s="86">
        <f t="shared" si="25"/>
        <v>6.5378346321516378</v>
      </c>
      <c r="D262" s="85">
        <f t="shared" si="22"/>
        <v>72.789923521828598</v>
      </c>
      <c r="E262" s="87">
        <f t="shared" si="23"/>
        <v>8437.284051196275</v>
      </c>
    </row>
    <row r="263" spans="1:5" ht="15">
      <c r="A263" s="93">
        <f t="shared" si="26"/>
        <v>17</v>
      </c>
      <c r="B263" s="85">
        <f t="shared" si="24"/>
        <v>79.327758153980241</v>
      </c>
      <c r="C263" s="86">
        <f t="shared" si="25"/>
        <v>6.4819140274322828</v>
      </c>
      <c r="D263" s="85">
        <f t="shared" si="22"/>
        <v>72.845844126547959</v>
      </c>
      <c r="E263" s="87">
        <f t="shared" si="23"/>
        <v>8364.4382070697266</v>
      </c>
    </row>
    <row r="264" spans="1:5" ht="15">
      <c r="A264" s="93">
        <f t="shared" si="26"/>
        <v>18</v>
      </c>
      <c r="B264" s="85">
        <f t="shared" si="24"/>
        <v>79.327758153980241</v>
      </c>
      <c r="C264" s="86">
        <f t="shared" si="25"/>
        <v>6.4259504619035068</v>
      </c>
      <c r="D264" s="85">
        <f t="shared" si="22"/>
        <v>72.90180769207673</v>
      </c>
      <c r="E264" s="87">
        <f t="shared" si="23"/>
        <v>8291.53639937765</v>
      </c>
    </row>
    <row r="265" spans="1:5" ht="15">
      <c r="A265" s="93">
        <f t="shared" si="26"/>
        <v>19</v>
      </c>
      <c r="B265" s="85">
        <f t="shared" si="24"/>
        <v>79.327758153980241</v>
      </c>
      <c r="C265" s="86">
        <f t="shared" si="25"/>
        <v>6.3699439025608191</v>
      </c>
      <c r="D265" s="85">
        <f t="shared" si="22"/>
        <v>72.957814251419421</v>
      </c>
      <c r="E265" s="87">
        <f t="shared" si="23"/>
        <v>8218.5785851262299</v>
      </c>
    </row>
    <row r="266" spans="1:5" ht="15">
      <c r="A266" s="93">
        <f t="shared" si="26"/>
        <v>20</v>
      </c>
      <c r="B266" s="85">
        <f t="shared" si="24"/>
        <v>79.327758153980241</v>
      </c>
      <c r="C266" s="86">
        <f t="shared" si="25"/>
        <v>6.3138943163743697</v>
      </c>
      <c r="D266" s="85">
        <f t="shared" si="22"/>
        <v>73.013863837605868</v>
      </c>
      <c r="E266" s="87">
        <f t="shared" si="23"/>
        <v>8145.5647212886242</v>
      </c>
    </row>
    <row r="267" spans="1:5" ht="15">
      <c r="A267" s="93">
        <f t="shared" si="26"/>
        <v>21</v>
      </c>
      <c r="B267" s="85">
        <f t="shared" si="24"/>
        <v>79.327758153980241</v>
      </c>
      <c r="C267" s="86">
        <f t="shared" si="25"/>
        <v>6.2578016702889379</v>
      </c>
      <c r="D267" s="85">
        <f t="shared" si="22"/>
        <v>73.0699564836913</v>
      </c>
      <c r="E267" s="87">
        <f t="shared" si="23"/>
        <v>8072.4947648049329</v>
      </c>
    </row>
    <row r="268" spans="1:5" ht="15">
      <c r="A268" s="93">
        <f t="shared" si="26"/>
        <v>22</v>
      </c>
      <c r="B268" s="85">
        <f>IF(E267+C268&lt;$B$12,E267+C268,$B$12)</f>
        <v>79.327758153980241</v>
      </c>
      <c r="C268" s="86">
        <f t="shared" si="25"/>
        <v>6.2016659312239071</v>
      </c>
      <c r="D268" s="85">
        <f t="shared" si="22"/>
        <v>73.126092222756341</v>
      </c>
      <c r="E268" s="87">
        <f t="shared" si="23"/>
        <v>7999.3686725821763</v>
      </c>
    </row>
    <row r="269" spans="1:5" ht="15">
      <c r="A269" s="93">
        <f t="shared" si="26"/>
        <v>23</v>
      </c>
      <c r="B269" s="85">
        <f t="shared" ref="B269:B298" si="27">IF(E268+C269&lt;$B$12,E268+C269,$B$12)</f>
        <v>79.327758153980241</v>
      </c>
      <c r="C269" s="86">
        <f t="shared" si="25"/>
        <v>6.1454870660732439</v>
      </c>
      <c r="D269" s="85">
        <f t="shared" si="22"/>
        <v>73.182271087906997</v>
      </c>
      <c r="E269" s="87">
        <f t="shared" si="23"/>
        <v>7926.1864014942694</v>
      </c>
    </row>
    <row r="270" spans="1:5" ht="15">
      <c r="A270" s="93">
        <f t="shared" si="26"/>
        <v>24</v>
      </c>
      <c r="B270" s="85">
        <f t="shared" si="27"/>
        <v>79.327758153980241</v>
      </c>
      <c r="C270" s="86">
        <f t="shared" si="25"/>
        <v>6.0892650417054854</v>
      </c>
      <c r="D270" s="85">
        <f t="shared" si="22"/>
        <v>73.238493112274753</v>
      </c>
      <c r="E270" s="87">
        <f t="shared" si="23"/>
        <v>7852.9479083819942</v>
      </c>
    </row>
    <row r="271" spans="1:5" ht="15">
      <c r="A271" s="93">
        <f t="shared" si="26"/>
        <v>25</v>
      </c>
      <c r="B271" s="85">
        <f t="shared" si="27"/>
        <v>79.327758153980241</v>
      </c>
      <c r="C271" s="86">
        <f t="shared" si="25"/>
        <v>6.0329998249637136</v>
      </c>
      <c r="D271" s="85">
        <f t="shared" si="22"/>
        <v>73.294758329016531</v>
      </c>
      <c r="E271" s="87">
        <f t="shared" si="23"/>
        <v>7779.6531500529782</v>
      </c>
    </row>
    <row r="272" spans="1:5" ht="15">
      <c r="A272" s="93">
        <f t="shared" si="26"/>
        <v>26</v>
      </c>
      <c r="B272" s="85">
        <f t="shared" si="27"/>
        <v>79.327758153980241</v>
      </c>
      <c r="C272" s="86">
        <f t="shared" si="25"/>
        <v>5.9766913826655372</v>
      </c>
      <c r="D272" s="85">
        <f t="shared" si="22"/>
        <v>73.351066771314706</v>
      </c>
      <c r="E272" s="87">
        <f t="shared" si="23"/>
        <v>7706.3020832816637</v>
      </c>
    </row>
    <row r="273" spans="1:5" ht="15">
      <c r="A273" s="93">
        <f t="shared" si="26"/>
        <v>27</v>
      </c>
      <c r="B273" s="85">
        <f t="shared" si="27"/>
        <v>79.327758153980241</v>
      </c>
      <c r="C273" s="86">
        <f t="shared" si="25"/>
        <v>5.9203396816030729</v>
      </c>
      <c r="D273" s="85">
        <f t="shared" si="22"/>
        <v>73.407418472377174</v>
      </c>
      <c r="E273" s="87">
        <f t="shared" si="23"/>
        <v>7632.894664809287</v>
      </c>
    </row>
    <row r="274" spans="1:5" ht="15">
      <c r="A274" s="93">
        <f t="shared" si="26"/>
        <v>28</v>
      </c>
      <c r="B274" s="85">
        <f t="shared" si="27"/>
        <v>79.327758153980241</v>
      </c>
      <c r="C274" s="86">
        <f t="shared" si="25"/>
        <v>5.8639446885429276</v>
      </c>
      <c r="D274" s="85">
        <f t="shared" si="22"/>
        <v>73.463813465437312</v>
      </c>
      <c r="E274" s="87">
        <f t="shared" si="23"/>
        <v>7559.43085134385</v>
      </c>
    </row>
    <row r="275" spans="1:5" ht="15">
      <c r="A275" s="93">
        <f t="shared" si="26"/>
        <v>29</v>
      </c>
      <c r="B275" s="85">
        <f t="shared" si="27"/>
        <v>79.327758153980241</v>
      </c>
      <c r="C275" s="86">
        <f t="shared" si="25"/>
        <v>5.8075063702261742</v>
      </c>
      <c r="D275" s="85">
        <f t="shared" si="22"/>
        <v>73.520251783754063</v>
      </c>
      <c r="E275" s="87">
        <f t="shared" si="23"/>
        <v>7485.9105995600958</v>
      </c>
    </row>
    <row r="276" spans="1:5" ht="15">
      <c r="A276" s="93">
        <f t="shared" si="26"/>
        <v>30</v>
      </c>
      <c r="B276" s="85">
        <f t="shared" si="27"/>
        <v>79.327758153980241</v>
      </c>
      <c r="C276" s="86">
        <f t="shared" si="25"/>
        <v>5.7510246933683344</v>
      </c>
      <c r="D276" s="85">
        <f t="shared" si="22"/>
        <v>73.576733460611905</v>
      </c>
      <c r="E276" s="87">
        <f t="shared" si="23"/>
        <v>7412.3338660994841</v>
      </c>
    </row>
    <row r="277" spans="1:5" ht="15">
      <c r="A277" s="93">
        <f t="shared" si="26"/>
        <v>31</v>
      </c>
      <c r="B277" s="85">
        <f t="shared" si="27"/>
        <v>79.327758153980241</v>
      </c>
      <c r="C277" s="86">
        <f t="shared" si="25"/>
        <v>5.6944996246593629</v>
      </c>
      <c r="D277" s="85">
        <f t="shared" si="22"/>
        <v>73.633258529320884</v>
      </c>
      <c r="E277" s="87">
        <f t="shared" si="23"/>
        <v>7338.7006075701629</v>
      </c>
    </row>
    <row r="278" spans="1:5" ht="15">
      <c r="A278" s="93">
        <f t="shared" si="26"/>
        <v>32</v>
      </c>
      <c r="B278" s="85">
        <f t="shared" si="27"/>
        <v>79.327758153980241</v>
      </c>
      <c r="C278" s="86">
        <f t="shared" si="25"/>
        <v>5.6379311307636186</v>
      </c>
      <c r="D278" s="85">
        <f t="shared" si="22"/>
        <v>73.689827023216623</v>
      </c>
      <c r="E278" s="87">
        <f t="shared" si="23"/>
        <v>7265.0107805469461</v>
      </c>
    </row>
    <row r="279" spans="1:5" ht="15">
      <c r="A279" s="93">
        <f t="shared" si="26"/>
        <v>33</v>
      </c>
      <c r="B279" s="85">
        <f t="shared" si="27"/>
        <v>79.327758153980241</v>
      </c>
      <c r="C279" s="86">
        <f t="shared" si="25"/>
        <v>5.5813191783198546</v>
      </c>
      <c r="D279" s="85">
        <f t="shared" si="22"/>
        <v>73.746438975660382</v>
      </c>
      <c r="E279" s="87">
        <f t="shared" si="23"/>
        <v>7191.2643415712855</v>
      </c>
    </row>
    <row r="280" spans="1:5" ht="15">
      <c r="A280" s="93">
        <f t="shared" si="26"/>
        <v>34</v>
      </c>
      <c r="B280" s="85">
        <f t="shared" si="27"/>
        <v>79.327758153980241</v>
      </c>
      <c r="C280" s="86">
        <f t="shared" si="25"/>
        <v>5.5246637339411944</v>
      </c>
      <c r="D280" s="85">
        <f t="shared" si="22"/>
        <v>73.803094420039045</v>
      </c>
      <c r="E280" s="87">
        <f t="shared" si="23"/>
        <v>7117.4612471512464</v>
      </c>
    </row>
    <row r="281" spans="1:5" ht="15">
      <c r="A281" s="93">
        <f t="shared" si="26"/>
        <v>35</v>
      </c>
      <c r="B281" s="85">
        <f t="shared" si="27"/>
        <v>79.327758153980241</v>
      </c>
      <c r="C281" s="86">
        <f t="shared" si="25"/>
        <v>5.4679647642151084</v>
      </c>
      <c r="D281" s="85">
        <f t="shared" si="22"/>
        <v>73.85979338976513</v>
      </c>
      <c r="E281" s="87">
        <f t="shared" si="23"/>
        <v>7043.601453761481</v>
      </c>
    </row>
    <row r="282" spans="1:5" ht="15">
      <c r="A282" s="93">
        <f t="shared" si="26"/>
        <v>36</v>
      </c>
      <c r="B282" s="85">
        <f t="shared" si="27"/>
        <v>79.327758153980241</v>
      </c>
      <c r="C282" s="86">
        <f t="shared" si="25"/>
        <v>5.4112222357034021</v>
      </c>
      <c r="D282" s="85">
        <f t="shared" si="22"/>
        <v>73.916535918276836</v>
      </c>
      <c r="E282" s="87">
        <f t="shared" si="23"/>
        <v>6969.6849178432039</v>
      </c>
    </row>
    <row r="283" spans="1:5" ht="15">
      <c r="A283" s="93">
        <f t="shared" si="26"/>
        <v>37</v>
      </c>
      <c r="B283" s="85">
        <f t="shared" si="27"/>
        <v>79.327758153980241</v>
      </c>
      <c r="C283" s="86">
        <f t="shared" si="25"/>
        <v>5.3544361149421897</v>
      </c>
      <c r="D283" s="85">
        <f t="shared" si="22"/>
        <v>73.973322039038052</v>
      </c>
      <c r="E283" s="87">
        <f t="shared" si="23"/>
        <v>6895.7115958041659</v>
      </c>
    </row>
    <row r="284" spans="1:5" ht="15">
      <c r="A284" s="93">
        <f t="shared" si="26"/>
        <v>38</v>
      </c>
      <c r="B284" s="85">
        <f t="shared" si="27"/>
        <v>79.327758153980241</v>
      </c>
      <c r="C284" s="86">
        <f t="shared" si="25"/>
        <v>5.2976063684418779</v>
      </c>
      <c r="D284" s="85">
        <f t="shared" si="22"/>
        <v>74.030151785538365</v>
      </c>
      <c r="E284" s="87">
        <f t="shared" si="23"/>
        <v>6821.6814440186272</v>
      </c>
    </row>
    <row r="285" spans="1:5" ht="15">
      <c r="A285" s="93">
        <f t="shared" si="26"/>
        <v>39</v>
      </c>
      <c r="B285" s="85">
        <f t="shared" si="27"/>
        <v>79.327758153980241</v>
      </c>
      <c r="C285" s="86">
        <f t="shared" si="25"/>
        <v>5.2407329626871455</v>
      </c>
      <c r="D285" s="85">
        <f t="shared" si="22"/>
        <v>74.087025191293094</v>
      </c>
      <c r="E285" s="87">
        <f t="shared" si="23"/>
        <v>6747.5944188273343</v>
      </c>
    </row>
    <row r="286" spans="1:5" ht="15">
      <c r="A286" s="93">
        <f t="shared" si="26"/>
        <v>40</v>
      </c>
      <c r="B286" s="85">
        <f t="shared" si="27"/>
        <v>79.327758153980241</v>
      </c>
      <c r="C286" s="86">
        <f t="shared" si="25"/>
        <v>5.1838158641369212</v>
      </c>
      <c r="D286" s="85">
        <f t="shared" si="22"/>
        <v>74.143942289843324</v>
      </c>
      <c r="E286" s="87">
        <f t="shared" si="23"/>
        <v>6673.4504765374913</v>
      </c>
    </row>
    <row r="287" spans="1:5" ht="15">
      <c r="A287" s="93">
        <f t="shared" si="26"/>
        <v>41</v>
      </c>
      <c r="B287" s="85">
        <f t="shared" si="27"/>
        <v>79.327758153980241</v>
      </c>
      <c r="C287" s="86">
        <f t="shared" si="25"/>
        <v>5.1268550392243686</v>
      </c>
      <c r="D287" s="85">
        <f t="shared" si="22"/>
        <v>74.200903114755874</v>
      </c>
      <c r="E287" s="87">
        <f t="shared" si="23"/>
        <v>6599.2495734227359</v>
      </c>
    </row>
    <row r="288" spans="1:5" ht="15">
      <c r="A288" s="93">
        <f t="shared" si="26"/>
        <v>42</v>
      </c>
      <c r="B288" s="85">
        <f t="shared" si="27"/>
        <v>79.327758153980241</v>
      </c>
      <c r="C288" s="86">
        <f t="shared" si="25"/>
        <v>5.0698504543568621</v>
      </c>
      <c r="D288" s="85">
        <f t="shared" si="22"/>
        <v>74.257907699623374</v>
      </c>
      <c r="E288" s="87">
        <f t="shared" si="23"/>
        <v>6524.9916657231124</v>
      </c>
    </row>
    <row r="289" spans="1:5" ht="15">
      <c r="A289" s="93">
        <f t="shared" si="26"/>
        <v>43</v>
      </c>
      <c r="B289" s="85">
        <f t="shared" si="27"/>
        <v>79.327758153980241</v>
      </c>
      <c r="C289" s="86">
        <f t="shared" si="25"/>
        <v>5.0128020759159684</v>
      </c>
      <c r="D289" s="85">
        <f t="shared" si="22"/>
        <v>74.31495607806427</v>
      </c>
      <c r="E289" s="87">
        <f t="shared" si="23"/>
        <v>6450.6767096450485</v>
      </c>
    </row>
    <row r="290" spans="1:5" ht="15">
      <c r="A290" s="93">
        <f t="shared" si="26"/>
        <v>44</v>
      </c>
      <c r="B290" s="85">
        <f t="shared" si="27"/>
        <v>79.327758153980241</v>
      </c>
      <c r="C290" s="86">
        <f t="shared" si="25"/>
        <v>4.9557098702574285</v>
      </c>
      <c r="D290" s="85">
        <f t="shared" si="22"/>
        <v>74.372048283722819</v>
      </c>
      <c r="E290" s="87">
        <f t="shared" si="23"/>
        <v>6376.304661361326</v>
      </c>
    </row>
    <row r="291" spans="1:5" ht="15">
      <c r="A291" s="93">
        <f t="shared" si="26"/>
        <v>45</v>
      </c>
      <c r="B291" s="85">
        <f t="shared" si="27"/>
        <v>79.327758153980241</v>
      </c>
      <c r="C291" s="86">
        <f t="shared" si="25"/>
        <v>4.8985738037111348</v>
      </c>
      <c r="D291" s="85">
        <f t="shared" si="22"/>
        <v>74.429184350269111</v>
      </c>
      <c r="E291" s="87">
        <f t="shared" si="23"/>
        <v>6301.8754770110572</v>
      </c>
    </row>
    <row r="292" spans="1:5" ht="15">
      <c r="A292" s="93">
        <f t="shared" si="26"/>
        <v>46</v>
      </c>
      <c r="B292" s="85">
        <f t="shared" si="27"/>
        <v>79.327758153980241</v>
      </c>
      <c r="C292" s="86">
        <f t="shared" si="25"/>
        <v>4.8413938425811143</v>
      </c>
      <c r="D292" s="85">
        <f t="shared" si="22"/>
        <v>74.486364311399129</v>
      </c>
      <c r="E292" s="87">
        <f t="shared" si="23"/>
        <v>6227.3891126996577</v>
      </c>
    </row>
    <row r="293" spans="1:5" ht="15">
      <c r="A293" s="93">
        <f t="shared" si="26"/>
        <v>47</v>
      </c>
      <c r="B293" s="85">
        <f t="shared" si="27"/>
        <v>79.327758153980241</v>
      </c>
      <c r="C293" s="86">
        <f t="shared" si="25"/>
        <v>4.7841699531455042</v>
      </c>
      <c r="D293" s="85">
        <f t="shared" si="22"/>
        <v>74.543588200834733</v>
      </c>
      <c r="E293" s="87">
        <f t="shared" si="23"/>
        <v>6152.8455244988227</v>
      </c>
    </row>
    <row r="294" spans="1:5" ht="15">
      <c r="A294" s="93">
        <f t="shared" si="26"/>
        <v>48</v>
      </c>
      <c r="B294" s="85">
        <f t="shared" si="27"/>
        <v>79.327758153980241</v>
      </c>
      <c r="C294" s="86">
        <f t="shared" si="25"/>
        <v>4.7269021016565382</v>
      </c>
      <c r="D294" s="85">
        <f t="shared" si="22"/>
        <v>74.600856052323707</v>
      </c>
      <c r="E294" s="87">
        <f t="shared" si="23"/>
        <v>6078.2446684464994</v>
      </c>
    </row>
    <row r="295" spans="1:5" ht="15">
      <c r="A295" s="93">
        <f t="shared" si="26"/>
        <v>49</v>
      </c>
      <c r="B295" s="85">
        <f t="shared" si="27"/>
        <v>79.327758153980241</v>
      </c>
      <c r="C295" s="86">
        <f t="shared" si="25"/>
        <v>4.6695902543405232</v>
      </c>
      <c r="D295" s="85">
        <f t="shared" si="22"/>
        <v>74.658167899639722</v>
      </c>
      <c r="E295" s="87">
        <f t="shared" si="23"/>
        <v>6003.5865005468595</v>
      </c>
    </row>
    <row r="296" spans="1:5" ht="15">
      <c r="A296" s="93">
        <f t="shared" si="26"/>
        <v>50</v>
      </c>
      <c r="B296" s="85">
        <f t="shared" si="27"/>
        <v>79.327758153980241</v>
      </c>
      <c r="C296" s="86">
        <f t="shared" si="25"/>
        <v>4.6122343773978169</v>
      </c>
      <c r="D296" s="85">
        <f t="shared" si="22"/>
        <v>74.71552377658243</v>
      </c>
      <c r="E296" s="87">
        <f t="shared" si="23"/>
        <v>5928.8709767702767</v>
      </c>
    </row>
    <row r="297" spans="1:5" ht="15">
      <c r="A297" s="93">
        <f t="shared" si="26"/>
        <v>51</v>
      </c>
      <c r="B297" s="85">
        <f t="shared" si="27"/>
        <v>79.327758153980241</v>
      </c>
      <c r="C297" s="86">
        <f t="shared" si="25"/>
        <v>4.5548344370028131</v>
      </c>
      <c r="D297" s="85">
        <f t="shared" si="22"/>
        <v>74.772923716977431</v>
      </c>
      <c r="E297" s="87">
        <f t="shared" si="23"/>
        <v>5854.0980530532988</v>
      </c>
    </row>
    <row r="298" spans="1:5" ht="15">
      <c r="A298" s="93">
        <f t="shared" si="26"/>
        <v>52</v>
      </c>
      <c r="B298" s="85">
        <f t="shared" si="27"/>
        <v>79.327758153980241</v>
      </c>
      <c r="C298" s="86">
        <f t="shared" si="25"/>
        <v>4.4973903993039182</v>
      </c>
      <c r="D298" s="85">
        <f t="shared" si="22"/>
        <v>74.830367754676317</v>
      </c>
      <c r="E298" s="87">
        <f t="shared" si="23"/>
        <v>5779.2676852986224</v>
      </c>
    </row>
    <row r="299" spans="1:5" ht="15.6" thickBot="1">
      <c r="A299" s="88">
        <f>A242+1</f>
        <v>2024</v>
      </c>
      <c r="B299" s="89"/>
      <c r="C299" s="70">
        <f>SUM(C247:C298)</f>
        <v>309.06964167564337</v>
      </c>
      <c r="D299" s="73">
        <f>SUM(D247:D298)</f>
        <v>3815.9737823313299</v>
      </c>
      <c r="E299" s="90"/>
    </row>
    <row r="301" spans="1:5" ht="13.8" thickBot="1"/>
    <row r="302" spans="1:5" ht="15">
      <c r="A302" s="79" t="s">
        <v>230</v>
      </c>
      <c r="B302" s="80" t="s">
        <v>216</v>
      </c>
      <c r="C302" s="80" t="s">
        <v>21</v>
      </c>
      <c r="D302" s="80" t="s">
        <v>231</v>
      </c>
      <c r="E302" s="81" t="s">
        <v>208</v>
      </c>
    </row>
    <row r="303" spans="1:5" ht="15">
      <c r="A303" s="82">
        <v>0</v>
      </c>
      <c r="B303" s="83"/>
      <c r="C303" s="83"/>
      <c r="D303" s="83"/>
      <c r="E303" s="84">
        <f>E298</f>
        <v>5779.2676852986224</v>
      </c>
    </row>
    <row r="304" spans="1:5" ht="15">
      <c r="A304" s="82">
        <v>1</v>
      </c>
      <c r="B304" s="85">
        <f>IF(E303+C304&lt;$B$12,E303+C304,$B$12)</f>
        <v>79.327758153980241</v>
      </c>
      <c r="C304" s="86">
        <f>E303*$C$18</f>
        <v>4.4399022304235327</v>
      </c>
      <c r="D304" s="85">
        <f t="shared" ref="D304:D355" si="28">B304-C304</f>
        <v>74.887855923556714</v>
      </c>
      <c r="E304" s="87">
        <f t="shared" ref="E304:E355" si="29">E303-D304</f>
        <v>5704.379829375066</v>
      </c>
    </row>
    <row r="305" spans="1:5" ht="15">
      <c r="A305" s="82">
        <f>A304+1</f>
        <v>2</v>
      </c>
      <c r="B305" s="85">
        <f t="shared" ref="B305:B324" si="30">IF(E304+C305&lt;$B$12,E304+C305,$B$12)</f>
        <v>79.327758153980241</v>
      </c>
      <c r="C305" s="86">
        <f t="shared" ref="C305:C355" si="31">E304*$C$18</f>
        <v>4.3823698964580311</v>
      </c>
      <c r="D305" s="85">
        <f t="shared" si="28"/>
        <v>74.945388257522211</v>
      </c>
      <c r="E305" s="87">
        <f t="shared" si="29"/>
        <v>5629.4344411175434</v>
      </c>
    </row>
    <row r="306" spans="1:5" ht="15">
      <c r="A306" s="82">
        <f>A305+1</f>
        <v>3</v>
      </c>
      <c r="B306" s="85">
        <f t="shared" si="30"/>
        <v>79.327758153980241</v>
      </c>
      <c r="C306" s="86">
        <f t="shared" si="31"/>
        <v>4.3247933634777391</v>
      </c>
      <c r="D306" s="85">
        <f t="shared" si="28"/>
        <v>75.002964790502503</v>
      </c>
      <c r="E306" s="87">
        <f t="shared" si="29"/>
        <v>5554.4314763270413</v>
      </c>
    </row>
    <row r="307" spans="1:5" ht="15">
      <c r="A307" s="82">
        <f>A306+1</f>
        <v>4</v>
      </c>
      <c r="B307" s="85">
        <f t="shared" si="30"/>
        <v>79.327758153980241</v>
      </c>
      <c r="C307" s="86">
        <f t="shared" si="31"/>
        <v>4.267172597526919</v>
      </c>
      <c r="D307" s="85">
        <f t="shared" si="28"/>
        <v>75.060585556453319</v>
      </c>
      <c r="E307" s="87">
        <f t="shared" si="29"/>
        <v>5479.3708907705877</v>
      </c>
    </row>
    <row r="308" spans="1:5" ht="15">
      <c r="A308" s="93">
        <v>5</v>
      </c>
      <c r="B308" s="85">
        <f t="shared" si="30"/>
        <v>79.327758153980241</v>
      </c>
      <c r="C308" s="86">
        <f t="shared" si="31"/>
        <v>4.2095075646237454</v>
      </c>
      <c r="D308" s="85">
        <f t="shared" si="28"/>
        <v>75.118250589356492</v>
      </c>
      <c r="E308" s="87">
        <f t="shared" si="29"/>
        <v>5404.2526401812311</v>
      </c>
    </row>
    <row r="309" spans="1:5" ht="15">
      <c r="A309" s="93">
        <v>6</v>
      </c>
      <c r="B309" s="85">
        <f t="shared" si="30"/>
        <v>79.327758153980241</v>
      </c>
      <c r="C309" s="86">
        <f t="shared" si="31"/>
        <v>4.1517982307602859</v>
      </c>
      <c r="D309" s="85">
        <f t="shared" si="28"/>
        <v>75.175959923219949</v>
      </c>
      <c r="E309" s="87">
        <f t="shared" si="29"/>
        <v>5329.076680258011</v>
      </c>
    </row>
    <row r="310" spans="1:5" ht="15">
      <c r="A310" s="93">
        <v>7</v>
      </c>
      <c r="B310" s="85">
        <f t="shared" si="30"/>
        <v>79.327758153980241</v>
      </c>
      <c r="C310" s="86">
        <f t="shared" si="31"/>
        <v>4.0940445619024839</v>
      </c>
      <c r="D310" s="85">
        <f t="shared" si="28"/>
        <v>75.233713592077763</v>
      </c>
      <c r="E310" s="87">
        <f t="shared" si="29"/>
        <v>5253.8429666659331</v>
      </c>
    </row>
    <row r="311" spans="1:5" ht="15">
      <c r="A311" s="93">
        <v>8</v>
      </c>
      <c r="B311" s="85">
        <f t="shared" si="30"/>
        <v>79.327758153980241</v>
      </c>
      <c r="C311" s="86">
        <f t="shared" si="31"/>
        <v>4.0362465239901333</v>
      </c>
      <c r="D311" s="85">
        <f t="shared" si="28"/>
        <v>75.291511629990111</v>
      </c>
      <c r="E311" s="87">
        <f t="shared" si="29"/>
        <v>5178.551455035943</v>
      </c>
    </row>
    <row r="312" spans="1:5" ht="15">
      <c r="A312" s="93">
        <v>9</v>
      </c>
      <c r="B312" s="85">
        <f t="shared" si="30"/>
        <v>79.327758153980241</v>
      </c>
      <c r="C312" s="86">
        <f t="shared" si="31"/>
        <v>3.9784040829368634</v>
      </c>
      <c r="D312" s="85">
        <f t="shared" si="28"/>
        <v>75.349354071043379</v>
      </c>
      <c r="E312" s="87">
        <f t="shared" si="29"/>
        <v>5103.2021009648997</v>
      </c>
    </row>
    <row r="313" spans="1:5" ht="15">
      <c r="A313" s="93">
        <v>10</v>
      </c>
      <c r="B313" s="85">
        <f t="shared" si="30"/>
        <v>79.327758153980241</v>
      </c>
      <c r="C313" s="86">
        <f t="shared" si="31"/>
        <v>3.9205172046301162</v>
      </c>
      <c r="D313" s="85">
        <f t="shared" si="28"/>
        <v>75.407240949350125</v>
      </c>
      <c r="E313" s="87">
        <f t="shared" si="29"/>
        <v>5027.7948600155496</v>
      </c>
    </row>
    <row r="314" spans="1:5" ht="15">
      <c r="A314" s="93">
        <v>11</v>
      </c>
      <c r="B314" s="85">
        <f t="shared" si="30"/>
        <v>79.327758153980241</v>
      </c>
      <c r="C314" s="86">
        <f t="shared" si="31"/>
        <v>3.8625858549311265</v>
      </c>
      <c r="D314" s="85">
        <f t="shared" si="28"/>
        <v>75.465172299049115</v>
      </c>
      <c r="E314" s="87">
        <f t="shared" si="29"/>
        <v>4952.3296877165003</v>
      </c>
    </row>
    <row r="315" spans="1:5" ht="15">
      <c r="A315" s="93">
        <f>A314+1</f>
        <v>12</v>
      </c>
      <c r="B315" s="85">
        <f t="shared" si="30"/>
        <v>79.327758153980241</v>
      </c>
      <c r="C315" s="86">
        <f t="shared" si="31"/>
        <v>3.8046099996749025</v>
      </c>
      <c r="D315" s="85">
        <f t="shared" si="28"/>
        <v>75.523148154305332</v>
      </c>
      <c r="E315" s="87">
        <f t="shared" si="29"/>
        <v>4876.8065395621952</v>
      </c>
    </row>
    <row r="316" spans="1:5" ht="15">
      <c r="A316" s="93">
        <f t="shared" ref="A316:A355" si="32">A315+1</f>
        <v>13</v>
      </c>
      <c r="B316" s="85">
        <f t="shared" si="30"/>
        <v>79.327758153980241</v>
      </c>
      <c r="C316" s="86">
        <f t="shared" si="31"/>
        <v>3.7465896046702061</v>
      </c>
      <c r="D316" s="85">
        <f t="shared" si="28"/>
        <v>75.581168549310036</v>
      </c>
      <c r="E316" s="87">
        <f t="shared" si="29"/>
        <v>4801.2253710128853</v>
      </c>
    </row>
    <row r="317" spans="1:5" ht="15">
      <c r="A317" s="93">
        <f t="shared" si="32"/>
        <v>14</v>
      </c>
      <c r="B317" s="85">
        <f t="shared" si="30"/>
        <v>79.327758153980241</v>
      </c>
      <c r="C317" s="86">
        <f t="shared" si="31"/>
        <v>3.6885246356995292</v>
      </c>
      <c r="D317" s="85">
        <f t="shared" si="28"/>
        <v>75.639233518280719</v>
      </c>
      <c r="E317" s="87">
        <f t="shared" si="29"/>
        <v>4725.5861374946044</v>
      </c>
    </row>
    <row r="318" spans="1:5" ht="15">
      <c r="A318" s="93">
        <f t="shared" si="32"/>
        <v>15</v>
      </c>
      <c r="B318" s="85">
        <f t="shared" si="30"/>
        <v>79.327758153980241</v>
      </c>
      <c r="C318" s="86">
        <f t="shared" si="31"/>
        <v>3.6304150585190791</v>
      </c>
      <c r="D318" s="85">
        <f t="shared" si="28"/>
        <v>75.697343095461164</v>
      </c>
      <c r="E318" s="87">
        <f t="shared" si="29"/>
        <v>4649.8887943991431</v>
      </c>
    </row>
    <row r="319" spans="1:5" ht="15">
      <c r="A319" s="93">
        <f t="shared" si="32"/>
        <v>16</v>
      </c>
      <c r="B319" s="85">
        <f t="shared" si="30"/>
        <v>79.327758153980241</v>
      </c>
      <c r="C319" s="86">
        <f t="shared" si="31"/>
        <v>3.572260838858754</v>
      </c>
      <c r="D319" s="85">
        <f t="shared" si="28"/>
        <v>75.755497315121488</v>
      </c>
      <c r="E319" s="87">
        <f t="shared" si="29"/>
        <v>4574.1332970840213</v>
      </c>
    </row>
    <row r="320" spans="1:5" ht="15">
      <c r="A320" s="93">
        <f t="shared" si="32"/>
        <v>17</v>
      </c>
      <c r="B320" s="85">
        <f t="shared" si="30"/>
        <v>79.327758153980241</v>
      </c>
      <c r="C320" s="86">
        <f t="shared" si="31"/>
        <v>3.5140619424221247</v>
      </c>
      <c r="D320" s="85">
        <f t="shared" si="28"/>
        <v>75.81369621155811</v>
      </c>
      <c r="E320" s="87">
        <f t="shared" si="29"/>
        <v>4498.3196008724635</v>
      </c>
    </row>
    <row r="321" spans="1:5" ht="15">
      <c r="A321" s="93">
        <f t="shared" si="32"/>
        <v>18</v>
      </c>
      <c r="B321" s="85">
        <f t="shared" si="30"/>
        <v>79.327758153980241</v>
      </c>
      <c r="C321" s="86">
        <f t="shared" si="31"/>
        <v>3.4558183348864144</v>
      </c>
      <c r="D321" s="85">
        <f t="shared" si="28"/>
        <v>75.871939819093825</v>
      </c>
      <c r="E321" s="87">
        <f t="shared" si="29"/>
        <v>4422.4476610533693</v>
      </c>
    </row>
    <row r="322" spans="1:5" ht="15">
      <c r="A322" s="93">
        <f t="shared" si="32"/>
        <v>19</v>
      </c>
      <c r="B322" s="85">
        <f t="shared" si="30"/>
        <v>79.327758153980241</v>
      </c>
      <c r="C322" s="86">
        <f t="shared" si="31"/>
        <v>3.3975299819024753</v>
      </c>
      <c r="D322" s="85">
        <f t="shared" si="28"/>
        <v>75.930228172077761</v>
      </c>
      <c r="E322" s="87">
        <f t="shared" si="29"/>
        <v>4346.5174328812918</v>
      </c>
    </row>
    <row r="323" spans="1:5" ht="15">
      <c r="A323" s="93">
        <f t="shared" si="32"/>
        <v>20</v>
      </c>
      <c r="B323" s="85">
        <f t="shared" si="30"/>
        <v>79.327758153980241</v>
      </c>
      <c r="C323" s="86">
        <f t="shared" si="31"/>
        <v>3.3391968490947752</v>
      </c>
      <c r="D323" s="85">
        <f t="shared" si="28"/>
        <v>75.988561304885465</v>
      </c>
      <c r="E323" s="87">
        <f t="shared" si="29"/>
        <v>4270.5288715764063</v>
      </c>
    </row>
    <row r="324" spans="1:5" ht="15">
      <c r="A324" s="93">
        <f t="shared" si="32"/>
        <v>21</v>
      </c>
      <c r="B324" s="85">
        <f t="shared" si="30"/>
        <v>79.327758153980241</v>
      </c>
      <c r="C324" s="86">
        <f t="shared" si="31"/>
        <v>3.2808189020613696</v>
      </c>
      <c r="D324" s="85">
        <f t="shared" si="28"/>
        <v>76.046939251918872</v>
      </c>
      <c r="E324" s="87">
        <f t="shared" si="29"/>
        <v>4194.4819323244874</v>
      </c>
    </row>
    <row r="325" spans="1:5" ht="15">
      <c r="A325" s="93">
        <f t="shared" si="32"/>
        <v>22</v>
      </c>
      <c r="B325" s="85">
        <f>IF(E324+C325&lt;$B$12,E324+C325,$B$12)</f>
        <v>79.327758153980241</v>
      </c>
      <c r="C325" s="86">
        <f t="shared" si="31"/>
        <v>3.222396106373886</v>
      </c>
      <c r="D325" s="85">
        <f t="shared" si="28"/>
        <v>76.105362047606349</v>
      </c>
      <c r="E325" s="87">
        <f t="shared" si="29"/>
        <v>4118.3765702768815</v>
      </c>
    </row>
    <row r="326" spans="1:5" ht="15">
      <c r="A326" s="93">
        <f t="shared" si="32"/>
        <v>23</v>
      </c>
      <c r="B326" s="85">
        <f t="shared" ref="B326:B355" si="33">IF(E325+C326&lt;$B$12,E325+C326,$B$12)</f>
        <v>79.327758153980241</v>
      </c>
      <c r="C326" s="86">
        <f t="shared" si="31"/>
        <v>3.163928427577503</v>
      </c>
      <c r="D326" s="85">
        <f t="shared" si="28"/>
        <v>76.163829726402739</v>
      </c>
      <c r="E326" s="87">
        <f t="shared" si="29"/>
        <v>4042.2127405504789</v>
      </c>
    </row>
    <row r="327" spans="1:5" ht="15">
      <c r="A327" s="93">
        <f t="shared" si="32"/>
        <v>24</v>
      </c>
      <c r="B327" s="85">
        <f t="shared" si="33"/>
        <v>79.327758153980241</v>
      </c>
      <c r="C327" s="86">
        <f t="shared" si="31"/>
        <v>3.1054158311909279</v>
      </c>
      <c r="D327" s="85">
        <f t="shared" si="28"/>
        <v>76.222342322789316</v>
      </c>
      <c r="E327" s="87">
        <f t="shared" si="29"/>
        <v>3965.9903982276896</v>
      </c>
    </row>
    <row r="328" spans="1:5" ht="15">
      <c r="A328" s="93">
        <f t="shared" si="32"/>
        <v>25</v>
      </c>
      <c r="B328" s="85">
        <f t="shared" si="33"/>
        <v>79.327758153980241</v>
      </c>
      <c r="C328" s="86">
        <f t="shared" si="31"/>
        <v>3.0468582827063795</v>
      </c>
      <c r="D328" s="85">
        <f t="shared" si="28"/>
        <v>76.28089987127386</v>
      </c>
      <c r="E328" s="87">
        <f t="shared" si="29"/>
        <v>3889.7094983564157</v>
      </c>
    </row>
    <row r="329" spans="1:5" ht="15">
      <c r="A329" s="93">
        <f t="shared" si="32"/>
        <v>26</v>
      </c>
      <c r="B329" s="85">
        <f t="shared" si="33"/>
        <v>79.327758153980241</v>
      </c>
      <c r="C329" s="86">
        <f t="shared" si="31"/>
        <v>2.988255747589565</v>
      </c>
      <c r="D329" s="85">
        <f t="shared" si="28"/>
        <v>76.339502406390679</v>
      </c>
      <c r="E329" s="87">
        <f t="shared" si="29"/>
        <v>3813.369995950025</v>
      </c>
    </row>
    <row r="330" spans="1:5" ht="15">
      <c r="A330" s="93">
        <f t="shared" si="32"/>
        <v>27</v>
      </c>
      <c r="B330" s="85">
        <f t="shared" si="33"/>
        <v>79.327758153980241</v>
      </c>
      <c r="C330" s="86">
        <f t="shared" si="31"/>
        <v>2.9296081912796619</v>
      </c>
      <c r="D330" s="85">
        <f t="shared" si="28"/>
        <v>76.398149962700586</v>
      </c>
      <c r="E330" s="87">
        <f t="shared" si="29"/>
        <v>3736.9718459873243</v>
      </c>
    </row>
    <row r="331" spans="1:5" ht="15">
      <c r="A331" s="93">
        <f t="shared" si="32"/>
        <v>28</v>
      </c>
      <c r="B331" s="85">
        <f t="shared" si="33"/>
        <v>79.327758153980241</v>
      </c>
      <c r="C331" s="86">
        <f t="shared" si="31"/>
        <v>2.8709155791892944</v>
      </c>
      <c r="D331" s="85">
        <f t="shared" si="28"/>
        <v>76.45684257479094</v>
      </c>
      <c r="E331" s="87">
        <f t="shared" si="29"/>
        <v>3660.5150034125331</v>
      </c>
    </row>
    <row r="332" spans="1:5" ht="15">
      <c r="A332" s="93">
        <f t="shared" si="32"/>
        <v>29</v>
      </c>
      <c r="B332" s="85">
        <f t="shared" si="33"/>
        <v>79.327758153980241</v>
      </c>
      <c r="C332" s="86">
        <f t="shared" si="31"/>
        <v>2.8121778767045176</v>
      </c>
      <c r="D332" s="85">
        <f t="shared" si="28"/>
        <v>76.515580277275717</v>
      </c>
      <c r="E332" s="87">
        <f t="shared" si="29"/>
        <v>3583.9994231352575</v>
      </c>
    </row>
    <row r="333" spans="1:5" ht="15">
      <c r="A333" s="93">
        <f t="shared" si="32"/>
        <v>30</v>
      </c>
      <c r="B333" s="85">
        <f t="shared" si="33"/>
        <v>79.327758153980241</v>
      </c>
      <c r="C333" s="86">
        <f t="shared" si="31"/>
        <v>2.7533950491847929</v>
      </c>
      <c r="D333" s="85">
        <f t="shared" si="28"/>
        <v>76.574363104795452</v>
      </c>
      <c r="E333" s="87">
        <f t="shared" si="29"/>
        <v>3507.4250600304622</v>
      </c>
    </row>
    <row r="334" spans="1:5" ht="15">
      <c r="A334" s="93">
        <f t="shared" si="32"/>
        <v>31</v>
      </c>
      <c r="B334" s="85">
        <f t="shared" si="33"/>
        <v>79.327758153980241</v>
      </c>
      <c r="C334" s="86">
        <f t="shared" si="31"/>
        <v>2.69456706196297</v>
      </c>
      <c r="D334" s="85">
        <f t="shared" si="28"/>
        <v>76.63319109201727</v>
      </c>
      <c r="E334" s="87">
        <f t="shared" si="29"/>
        <v>3430.7918689384451</v>
      </c>
    </row>
    <row r="335" spans="1:5" ht="15">
      <c r="A335" s="93">
        <f t="shared" si="32"/>
        <v>32</v>
      </c>
      <c r="B335" s="85">
        <f t="shared" si="33"/>
        <v>79.327758153980241</v>
      </c>
      <c r="C335" s="86">
        <f t="shared" si="31"/>
        <v>2.635693880345265</v>
      </c>
      <c r="D335" s="85">
        <f t="shared" si="28"/>
        <v>76.692064273634969</v>
      </c>
      <c r="E335" s="87">
        <f t="shared" si="29"/>
        <v>3354.0998046648101</v>
      </c>
    </row>
    <row r="336" spans="1:5" ht="15">
      <c r="A336" s="93">
        <f t="shared" si="32"/>
        <v>33</v>
      </c>
      <c r="B336" s="85">
        <f t="shared" si="33"/>
        <v>79.327758153980241</v>
      </c>
      <c r="C336" s="86">
        <f t="shared" si="31"/>
        <v>2.5767754696112406</v>
      </c>
      <c r="D336" s="85">
        <f t="shared" si="28"/>
        <v>76.750982684369006</v>
      </c>
      <c r="E336" s="87">
        <f t="shared" si="29"/>
        <v>3277.3488219804412</v>
      </c>
    </row>
    <row r="337" spans="1:5" ht="15">
      <c r="A337" s="93">
        <f t="shared" si="32"/>
        <v>34</v>
      </c>
      <c r="B337" s="85">
        <f t="shared" si="33"/>
        <v>79.327758153980241</v>
      </c>
      <c r="C337" s="86">
        <f t="shared" si="31"/>
        <v>2.5178117950137873</v>
      </c>
      <c r="D337" s="85">
        <f t="shared" si="28"/>
        <v>76.809946358966457</v>
      </c>
      <c r="E337" s="87">
        <f t="shared" si="29"/>
        <v>3200.5388756214747</v>
      </c>
    </row>
    <row r="338" spans="1:5" ht="15">
      <c r="A338" s="93">
        <f t="shared" si="32"/>
        <v>35</v>
      </c>
      <c r="B338" s="85">
        <f t="shared" si="33"/>
        <v>79.327758153980241</v>
      </c>
      <c r="C338" s="86">
        <f t="shared" si="31"/>
        <v>2.4588028217790985</v>
      </c>
      <c r="D338" s="85">
        <f t="shared" si="28"/>
        <v>76.868955332201139</v>
      </c>
      <c r="E338" s="87">
        <f t="shared" si="29"/>
        <v>3123.6699202892737</v>
      </c>
    </row>
    <row r="339" spans="1:5" ht="15">
      <c r="A339" s="93">
        <f t="shared" si="32"/>
        <v>36</v>
      </c>
      <c r="B339" s="85">
        <f t="shared" si="33"/>
        <v>79.327758153980241</v>
      </c>
      <c r="C339" s="86">
        <f t="shared" si="31"/>
        <v>2.3997485151066553</v>
      </c>
      <c r="D339" s="85">
        <f t="shared" si="28"/>
        <v>76.92800963887359</v>
      </c>
      <c r="E339" s="87">
        <f t="shared" si="29"/>
        <v>3046.7419106504003</v>
      </c>
    </row>
    <row r="340" spans="1:5" ht="15">
      <c r="A340" s="93">
        <f t="shared" si="32"/>
        <v>37</v>
      </c>
      <c r="B340" s="85">
        <f t="shared" si="33"/>
        <v>79.327758153980241</v>
      </c>
      <c r="C340" s="86">
        <f t="shared" si="31"/>
        <v>2.340648840169202</v>
      </c>
      <c r="D340" s="85">
        <f t="shared" si="28"/>
        <v>76.987109313811033</v>
      </c>
      <c r="E340" s="87">
        <f t="shared" si="29"/>
        <v>2969.7548013365895</v>
      </c>
    </row>
    <row r="341" spans="1:5" ht="15">
      <c r="A341" s="93">
        <f t="shared" si="32"/>
        <v>38</v>
      </c>
      <c r="B341" s="85">
        <f t="shared" si="33"/>
        <v>79.327758153980241</v>
      </c>
      <c r="C341" s="86">
        <f t="shared" si="31"/>
        <v>2.281503762112727</v>
      </c>
      <c r="D341" s="85">
        <f t="shared" si="28"/>
        <v>77.046254391867521</v>
      </c>
      <c r="E341" s="87">
        <f t="shared" si="29"/>
        <v>2892.708546944722</v>
      </c>
    </row>
    <row r="342" spans="1:5" ht="15">
      <c r="A342" s="93">
        <f t="shared" si="32"/>
        <v>39</v>
      </c>
      <c r="B342" s="85">
        <f t="shared" si="33"/>
        <v>79.327758153980241</v>
      </c>
      <c r="C342" s="86">
        <f t="shared" si="31"/>
        <v>2.222313246056443</v>
      </c>
      <c r="D342" s="85">
        <f t="shared" si="28"/>
        <v>77.105444907923797</v>
      </c>
      <c r="E342" s="87">
        <f t="shared" si="29"/>
        <v>2815.6031020367982</v>
      </c>
    </row>
    <row r="343" spans="1:5" ht="15">
      <c r="A343" s="93">
        <f t="shared" si="32"/>
        <v>40</v>
      </c>
      <c r="B343" s="85">
        <f t="shared" si="33"/>
        <v>79.327758153980241</v>
      </c>
      <c r="C343" s="86">
        <f t="shared" si="31"/>
        <v>2.1630772570927652</v>
      </c>
      <c r="D343" s="85">
        <f t="shared" si="28"/>
        <v>77.164680896887475</v>
      </c>
      <c r="E343" s="87">
        <f t="shared" si="29"/>
        <v>2738.4384211399106</v>
      </c>
    </row>
    <row r="344" spans="1:5" ht="15">
      <c r="A344" s="93">
        <f t="shared" si="32"/>
        <v>41</v>
      </c>
      <c r="B344" s="85">
        <f t="shared" si="33"/>
        <v>79.327758153980241</v>
      </c>
      <c r="C344" s="86">
        <f t="shared" si="31"/>
        <v>2.1037957602872908</v>
      </c>
      <c r="D344" s="85">
        <f t="shared" si="28"/>
        <v>77.223962393692943</v>
      </c>
      <c r="E344" s="87">
        <f t="shared" si="29"/>
        <v>2661.2144587462176</v>
      </c>
    </row>
    <row r="345" spans="1:5" ht="15">
      <c r="A345" s="93">
        <f t="shared" si="32"/>
        <v>42</v>
      </c>
      <c r="B345" s="85">
        <f t="shared" si="33"/>
        <v>79.327758153980241</v>
      </c>
      <c r="C345" s="86">
        <f t="shared" si="31"/>
        <v>2.0444687206787795</v>
      </c>
      <c r="D345" s="85">
        <f t="shared" si="28"/>
        <v>77.283289433301462</v>
      </c>
      <c r="E345" s="87">
        <f t="shared" si="29"/>
        <v>2583.9311693129162</v>
      </c>
    </row>
    <row r="346" spans="1:5" ht="15">
      <c r="A346" s="93">
        <f t="shared" si="32"/>
        <v>43</v>
      </c>
      <c r="B346" s="85">
        <f t="shared" si="33"/>
        <v>79.327758153980241</v>
      </c>
      <c r="C346" s="86">
        <f t="shared" si="31"/>
        <v>1.9850961032791319</v>
      </c>
      <c r="D346" s="85">
        <f t="shared" si="28"/>
        <v>77.342662050701108</v>
      </c>
      <c r="E346" s="87">
        <f t="shared" si="29"/>
        <v>2506.588507262215</v>
      </c>
    </row>
    <row r="347" spans="1:5" ht="15">
      <c r="A347" s="93">
        <f t="shared" si="32"/>
        <v>44</v>
      </c>
      <c r="B347" s="85">
        <f t="shared" si="33"/>
        <v>79.327758153980241</v>
      </c>
      <c r="C347" s="86">
        <f t="shared" si="31"/>
        <v>1.9256778730733688</v>
      </c>
      <c r="D347" s="85">
        <f t="shared" si="28"/>
        <v>77.402080280906873</v>
      </c>
      <c r="E347" s="87">
        <f t="shared" si="29"/>
        <v>2429.1864269813082</v>
      </c>
    </row>
    <row r="348" spans="1:5" ht="15">
      <c r="A348" s="93">
        <f t="shared" si="32"/>
        <v>45</v>
      </c>
      <c r="B348" s="85">
        <f t="shared" si="33"/>
        <v>79.327758153980241</v>
      </c>
      <c r="C348" s="86">
        <f t="shared" si="31"/>
        <v>1.866213995019611</v>
      </c>
      <c r="D348" s="85">
        <f t="shared" si="28"/>
        <v>77.461544158960635</v>
      </c>
      <c r="E348" s="87">
        <f t="shared" si="29"/>
        <v>2351.7248828223474</v>
      </c>
    </row>
    <row r="349" spans="1:5" ht="15">
      <c r="A349" s="93">
        <f t="shared" si="32"/>
        <v>46</v>
      </c>
      <c r="B349" s="85">
        <f t="shared" si="33"/>
        <v>79.327758153980241</v>
      </c>
      <c r="C349" s="86">
        <f t="shared" si="31"/>
        <v>1.8067044340490588</v>
      </c>
      <c r="D349" s="85">
        <f t="shared" si="28"/>
        <v>77.521053719931189</v>
      </c>
      <c r="E349" s="87">
        <f t="shared" si="29"/>
        <v>2274.203829102416</v>
      </c>
    </row>
    <row r="350" spans="1:5" ht="15">
      <c r="A350" s="93">
        <f t="shared" si="32"/>
        <v>47</v>
      </c>
      <c r="B350" s="85">
        <f t="shared" si="33"/>
        <v>79.327758153980241</v>
      </c>
      <c r="C350" s="86">
        <f t="shared" si="31"/>
        <v>1.7471491550659706</v>
      </c>
      <c r="D350" s="85">
        <f t="shared" si="28"/>
        <v>77.580608998914272</v>
      </c>
      <c r="E350" s="87">
        <f t="shared" si="29"/>
        <v>2196.6232201035018</v>
      </c>
    </row>
    <row r="351" spans="1:5" ht="15">
      <c r="A351" s="93">
        <f t="shared" si="32"/>
        <v>48</v>
      </c>
      <c r="B351" s="85">
        <f t="shared" si="33"/>
        <v>79.327758153980241</v>
      </c>
      <c r="C351" s="86">
        <f t="shared" si="31"/>
        <v>1.6875481229476432</v>
      </c>
      <c r="D351" s="85">
        <f t="shared" si="28"/>
        <v>77.640210031032595</v>
      </c>
      <c r="E351" s="87">
        <f t="shared" si="29"/>
        <v>2118.9830100724694</v>
      </c>
    </row>
    <row r="352" spans="1:5" ht="15">
      <c r="A352" s="93">
        <f t="shared" si="32"/>
        <v>49</v>
      </c>
      <c r="B352" s="85">
        <f t="shared" si="33"/>
        <v>79.327758153980241</v>
      </c>
      <c r="C352" s="86">
        <f t="shared" si="31"/>
        <v>1.6279013025443898</v>
      </c>
      <c r="D352" s="85">
        <f t="shared" si="28"/>
        <v>77.699856851435854</v>
      </c>
      <c r="E352" s="87">
        <f t="shared" si="29"/>
        <v>2041.2831532210334</v>
      </c>
    </row>
    <row r="353" spans="1:5" ht="15">
      <c r="A353" s="93">
        <f t="shared" si="32"/>
        <v>50</v>
      </c>
      <c r="B353" s="85">
        <f t="shared" si="33"/>
        <v>79.327758153980241</v>
      </c>
      <c r="C353" s="86">
        <f t="shared" si="31"/>
        <v>1.5682086586795203</v>
      </c>
      <c r="D353" s="85">
        <f t="shared" si="28"/>
        <v>77.759549495300718</v>
      </c>
      <c r="E353" s="87">
        <f t="shared" si="29"/>
        <v>1963.5236037257328</v>
      </c>
    </row>
    <row r="354" spans="1:5" ht="15">
      <c r="A354" s="93">
        <f t="shared" si="32"/>
        <v>51</v>
      </c>
      <c r="B354" s="85">
        <f t="shared" si="33"/>
        <v>79.327758153980241</v>
      </c>
      <c r="C354" s="86">
        <f t="shared" si="31"/>
        <v>1.5084701561493203</v>
      </c>
      <c r="D354" s="85">
        <f t="shared" si="28"/>
        <v>77.819287997830926</v>
      </c>
      <c r="E354" s="87">
        <f t="shared" si="29"/>
        <v>1885.7043157279018</v>
      </c>
    </row>
    <row r="355" spans="1:5" ht="15">
      <c r="A355" s="93">
        <f t="shared" si="32"/>
        <v>52</v>
      </c>
      <c r="B355" s="85">
        <f t="shared" si="33"/>
        <v>79.327758153980241</v>
      </c>
      <c r="C355" s="86">
        <f t="shared" si="31"/>
        <v>1.4486857597230303</v>
      </c>
      <c r="D355" s="85">
        <f t="shared" si="28"/>
        <v>77.879072394257207</v>
      </c>
      <c r="E355" s="87">
        <f t="shared" si="29"/>
        <v>1807.8252433336445</v>
      </c>
    </row>
    <row r="356" spans="1:5" ht="15.6" thickBot="1">
      <c r="A356" s="88">
        <f>A299+1</f>
        <v>2025</v>
      </c>
      <c r="B356" s="89"/>
      <c r="C356" s="70">
        <f>SUM(C304:C355)</f>
        <v>153.6009820419944</v>
      </c>
      <c r="D356" s="73">
        <f>SUM(D304:D355)</f>
        <v>3971.4424419649777</v>
      </c>
      <c r="E356" s="90"/>
    </row>
    <row r="358" spans="1:5" ht="13.8" thickBot="1"/>
    <row r="359" spans="1:5" ht="15">
      <c r="A359" s="79" t="s">
        <v>230</v>
      </c>
      <c r="B359" s="80" t="s">
        <v>216</v>
      </c>
      <c r="C359" s="80" t="s">
        <v>21</v>
      </c>
      <c r="D359" s="80" t="s">
        <v>231</v>
      </c>
      <c r="E359" s="81" t="s">
        <v>208</v>
      </c>
    </row>
    <row r="360" spans="1:5" ht="15">
      <c r="A360" s="82">
        <v>0</v>
      </c>
      <c r="B360" s="83"/>
      <c r="C360" s="83"/>
      <c r="D360" s="83"/>
      <c r="E360" s="84">
        <f>E355</f>
        <v>1807.8252433336445</v>
      </c>
    </row>
    <row r="361" spans="1:5" ht="15">
      <c r="A361" s="82">
        <v>1</v>
      </c>
      <c r="B361" s="85">
        <f>IF(E360+C361&lt;$B$12,E360+C361,$B$12)</f>
        <v>79.327758153980241</v>
      </c>
      <c r="C361" s="86">
        <f>E360*$C$18</f>
        <v>1.3888554341428243</v>
      </c>
      <c r="D361" s="85">
        <f t="shared" ref="D361:D412" si="34">B361-C361</f>
        <v>77.938902719837415</v>
      </c>
      <c r="E361" s="87">
        <f t="shared" ref="E361:E412" si="35">E360-D361</f>
        <v>1729.8863406138071</v>
      </c>
    </row>
    <row r="362" spans="1:5" ht="15">
      <c r="A362" s="82">
        <f>A361+1</f>
        <v>2</v>
      </c>
      <c r="B362" s="85">
        <f t="shared" ref="B362:B381" si="36">IF(E361+C362&lt;$B$12,E361+C362,$B$12)</f>
        <v>79.327758153980241</v>
      </c>
      <c r="C362" s="86">
        <f t="shared" ref="C362:C412" si="37">E361*$C$18</f>
        <v>1.3289791441237908</v>
      </c>
      <c r="D362" s="85">
        <f t="shared" si="34"/>
        <v>77.998779009856449</v>
      </c>
      <c r="E362" s="87">
        <f t="shared" si="35"/>
        <v>1651.8875616039506</v>
      </c>
    </row>
    <row r="363" spans="1:5" ht="15">
      <c r="A363" s="82">
        <f>A362+1</f>
        <v>3</v>
      </c>
      <c r="B363" s="85">
        <f t="shared" si="36"/>
        <v>79.327758153980241</v>
      </c>
      <c r="C363" s="86">
        <f t="shared" si="37"/>
        <v>1.2690568543539098</v>
      </c>
      <c r="D363" s="85">
        <f t="shared" si="34"/>
        <v>78.058701299626335</v>
      </c>
      <c r="E363" s="87">
        <f t="shared" si="35"/>
        <v>1573.8288603043243</v>
      </c>
    </row>
    <row r="364" spans="1:5" ht="15">
      <c r="A364" s="82">
        <f>A363+1</f>
        <v>4</v>
      </c>
      <c r="B364" s="85">
        <f t="shared" si="36"/>
        <v>79.327758153980241</v>
      </c>
      <c r="C364" s="86">
        <f t="shared" si="37"/>
        <v>1.2090885294940332</v>
      </c>
      <c r="D364" s="85">
        <f t="shared" si="34"/>
        <v>78.118669624486202</v>
      </c>
      <c r="E364" s="87">
        <f t="shared" si="35"/>
        <v>1495.710190679838</v>
      </c>
    </row>
    <row r="365" spans="1:5" ht="15">
      <c r="A365" s="93">
        <v>5</v>
      </c>
      <c r="B365" s="85">
        <f t="shared" si="36"/>
        <v>79.327758153980241</v>
      </c>
      <c r="C365" s="86">
        <f t="shared" si="37"/>
        <v>1.1490741341778636</v>
      </c>
      <c r="D365" s="85">
        <f t="shared" si="34"/>
        <v>78.178684019802375</v>
      </c>
      <c r="E365" s="87">
        <f t="shared" si="35"/>
        <v>1417.5315066600356</v>
      </c>
    </row>
    <row r="366" spans="1:5" ht="15">
      <c r="A366" s="93">
        <v>6</v>
      </c>
      <c r="B366" s="85">
        <f t="shared" si="36"/>
        <v>79.327758153980241</v>
      </c>
      <c r="C366" s="86">
        <f t="shared" si="37"/>
        <v>1.089013633011934</v>
      </c>
      <c r="D366" s="85">
        <f t="shared" si="34"/>
        <v>78.238744520968311</v>
      </c>
      <c r="E366" s="87">
        <f t="shared" si="35"/>
        <v>1339.2927621390672</v>
      </c>
    </row>
    <row r="367" spans="1:5" ht="15">
      <c r="A367" s="93">
        <v>7</v>
      </c>
      <c r="B367" s="85">
        <f t="shared" si="36"/>
        <v>79.327758153980241</v>
      </c>
      <c r="C367" s="86">
        <f t="shared" si="37"/>
        <v>1.0289069905755861</v>
      </c>
      <c r="D367" s="85">
        <f t="shared" si="34"/>
        <v>78.298851163404649</v>
      </c>
      <c r="E367" s="87">
        <f t="shared" si="35"/>
        <v>1260.9939109756626</v>
      </c>
    </row>
    <row r="368" spans="1:5" ht="15">
      <c r="A368" s="93">
        <v>8</v>
      </c>
      <c r="B368" s="85">
        <f t="shared" si="36"/>
        <v>79.327758153980241</v>
      </c>
      <c r="C368" s="86">
        <f t="shared" si="37"/>
        <v>0.96875417142094999</v>
      </c>
      <c r="D368" s="85">
        <f t="shared" si="34"/>
        <v>78.359003982559287</v>
      </c>
      <c r="E368" s="87">
        <f t="shared" si="35"/>
        <v>1182.6349069931034</v>
      </c>
    </row>
    <row r="369" spans="1:5" ht="15">
      <c r="A369" s="93">
        <v>9</v>
      </c>
      <c r="B369" s="85">
        <f t="shared" si="36"/>
        <v>79.327758153980241</v>
      </c>
      <c r="C369" s="86">
        <f t="shared" si="37"/>
        <v>0.90855514007292293</v>
      </c>
      <c r="D369" s="85">
        <f t="shared" si="34"/>
        <v>78.419203013907321</v>
      </c>
      <c r="E369" s="87">
        <f t="shared" si="35"/>
        <v>1104.2157039791962</v>
      </c>
    </row>
    <row r="370" spans="1:5" ht="15">
      <c r="A370" s="93">
        <v>10</v>
      </c>
      <c r="B370" s="85">
        <f t="shared" si="36"/>
        <v>79.327758153980241</v>
      </c>
      <c r="C370" s="86">
        <f t="shared" si="37"/>
        <v>0.84830986102914874</v>
      </c>
      <c r="D370" s="85">
        <f t="shared" si="34"/>
        <v>78.479448292951091</v>
      </c>
      <c r="E370" s="87">
        <f t="shared" si="35"/>
        <v>1025.7362556862452</v>
      </c>
    </row>
    <row r="371" spans="1:5" ht="15">
      <c r="A371" s="93">
        <v>11</v>
      </c>
      <c r="B371" s="85">
        <f t="shared" si="36"/>
        <v>79.327758153980241</v>
      </c>
      <c r="C371" s="86">
        <f t="shared" si="37"/>
        <v>0.78801829875999652</v>
      </c>
      <c r="D371" s="85">
        <f t="shared" si="34"/>
        <v>78.539739855220247</v>
      </c>
      <c r="E371" s="87">
        <f t="shared" si="35"/>
        <v>947.19651583102495</v>
      </c>
    </row>
    <row r="372" spans="1:5" ht="15">
      <c r="A372" s="93">
        <f>A371+1</f>
        <v>12</v>
      </c>
      <c r="B372" s="85">
        <f t="shared" si="36"/>
        <v>79.327758153980241</v>
      </c>
      <c r="C372" s="86">
        <f t="shared" si="37"/>
        <v>0.72768041770853964</v>
      </c>
      <c r="D372" s="85">
        <f t="shared" si="34"/>
        <v>78.6000777362717</v>
      </c>
      <c r="E372" s="87">
        <f t="shared" si="35"/>
        <v>868.59643809475324</v>
      </c>
    </row>
    <row r="373" spans="1:5" ht="15">
      <c r="A373" s="93">
        <f t="shared" ref="A373:A412" si="38">A372+1</f>
        <v>13</v>
      </c>
      <c r="B373" s="85">
        <f t="shared" si="36"/>
        <v>79.327758153980241</v>
      </c>
      <c r="C373" s="86">
        <f t="shared" si="37"/>
        <v>0.66729618229053556</v>
      </c>
      <c r="D373" s="85">
        <f t="shared" si="34"/>
        <v>78.660461971689699</v>
      </c>
      <c r="E373" s="87">
        <f t="shared" si="35"/>
        <v>789.93597612306348</v>
      </c>
    </row>
    <row r="374" spans="1:5" ht="15">
      <c r="A374" s="93">
        <f t="shared" si="38"/>
        <v>14</v>
      </c>
      <c r="B374" s="85">
        <f t="shared" si="36"/>
        <v>79.327758153980241</v>
      </c>
      <c r="C374" s="86">
        <f t="shared" si="37"/>
        <v>0.60686555689440369</v>
      </c>
      <c r="D374" s="85">
        <f t="shared" si="34"/>
        <v>78.720892597085836</v>
      </c>
      <c r="E374" s="87">
        <f t="shared" si="35"/>
        <v>711.21508352597766</v>
      </c>
    </row>
    <row r="375" spans="1:5" ht="15">
      <c r="A375" s="93">
        <f t="shared" si="38"/>
        <v>15</v>
      </c>
      <c r="B375" s="85">
        <f t="shared" si="36"/>
        <v>79.327758153980241</v>
      </c>
      <c r="C375" s="86">
        <f t="shared" si="37"/>
        <v>0.54638850588120558</v>
      </c>
      <c r="D375" s="85">
        <f t="shared" si="34"/>
        <v>78.78136964809903</v>
      </c>
      <c r="E375" s="87">
        <f t="shared" si="35"/>
        <v>632.43371387787863</v>
      </c>
    </row>
    <row r="376" spans="1:5" ht="15">
      <c r="A376" s="93">
        <f t="shared" si="38"/>
        <v>16</v>
      </c>
      <c r="B376" s="85">
        <f t="shared" si="36"/>
        <v>79.327758153980241</v>
      </c>
      <c r="C376" s="86">
        <f t="shared" si="37"/>
        <v>0.4858649935846226</v>
      </c>
      <c r="D376" s="85">
        <f t="shared" si="34"/>
        <v>78.841893160395614</v>
      </c>
      <c r="E376" s="87">
        <f t="shared" si="35"/>
        <v>553.59182071748296</v>
      </c>
    </row>
    <row r="377" spans="1:5" ht="15">
      <c r="A377" s="93">
        <f t="shared" si="38"/>
        <v>17</v>
      </c>
      <c r="B377" s="85">
        <f t="shared" si="36"/>
        <v>79.327758153980241</v>
      </c>
      <c r="C377" s="86">
        <f t="shared" si="37"/>
        <v>0.42529498431093604</v>
      </c>
      <c r="D377" s="85">
        <f t="shared" si="34"/>
        <v>78.902463169669304</v>
      </c>
      <c r="E377" s="87">
        <f t="shared" si="35"/>
        <v>474.68935754781364</v>
      </c>
    </row>
    <row r="378" spans="1:5" ht="15">
      <c r="A378" s="93">
        <f t="shared" si="38"/>
        <v>18</v>
      </c>
      <c r="B378" s="85">
        <f t="shared" si="36"/>
        <v>79.327758153980241</v>
      </c>
      <c r="C378" s="86">
        <f t="shared" si="37"/>
        <v>0.36467844233900554</v>
      </c>
      <c r="D378" s="85">
        <f t="shared" si="34"/>
        <v>78.963079711641242</v>
      </c>
      <c r="E378" s="87">
        <f t="shared" si="35"/>
        <v>395.72627783617241</v>
      </c>
    </row>
    <row r="379" spans="1:5" ht="15">
      <c r="A379" s="93">
        <f t="shared" si="38"/>
        <v>19</v>
      </c>
      <c r="B379" s="85">
        <f t="shared" si="36"/>
        <v>79.327758153980241</v>
      </c>
      <c r="C379" s="86">
        <f t="shared" si="37"/>
        <v>0.3040153319202481</v>
      </c>
      <c r="D379" s="85">
        <f t="shared" si="34"/>
        <v>79.023742822059987</v>
      </c>
      <c r="E379" s="87">
        <f t="shared" si="35"/>
        <v>316.70253501411241</v>
      </c>
    </row>
    <row r="380" spans="1:5" ht="15">
      <c r="A380" s="93">
        <f t="shared" si="38"/>
        <v>20</v>
      </c>
      <c r="B380" s="85">
        <f t="shared" si="36"/>
        <v>79.327758153980241</v>
      </c>
      <c r="C380" s="86">
        <f t="shared" si="37"/>
        <v>0.24330561727861688</v>
      </c>
      <c r="D380" s="85">
        <f t="shared" si="34"/>
        <v>79.084452536701619</v>
      </c>
      <c r="E380" s="87">
        <f t="shared" si="35"/>
        <v>237.61808247741078</v>
      </c>
    </row>
    <row r="381" spans="1:5" ht="15">
      <c r="A381" s="93">
        <f t="shared" si="38"/>
        <v>21</v>
      </c>
      <c r="B381" s="85">
        <f t="shared" si="36"/>
        <v>79.327758153980241</v>
      </c>
      <c r="C381" s="86">
        <f t="shared" si="37"/>
        <v>0.18254926261058035</v>
      </c>
      <c r="D381" s="85">
        <f t="shared" si="34"/>
        <v>79.145208891369663</v>
      </c>
      <c r="E381" s="87">
        <f t="shared" si="35"/>
        <v>158.47287358604112</v>
      </c>
    </row>
    <row r="382" spans="1:5" ht="15">
      <c r="A382" s="93">
        <f t="shared" si="38"/>
        <v>22</v>
      </c>
      <c r="B382" s="85">
        <f>IF(E381+C382&lt;$B$12,E381+C382,$B$12)</f>
        <v>79.327758153980241</v>
      </c>
      <c r="C382" s="86">
        <f t="shared" si="37"/>
        <v>0.12174623208510099</v>
      </c>
      <c r="D382" s="85">
        <f t="shared" si="34"/>
        <v>79.20601192189514</v>
      </c>
      <c r="E382" s="87">
        <f t="shared" si="35"/>
        <v>79.266861664145978</v>
      </c>
    </row>
    <row r="383" spans="1:5" ht="15">
      <c r="A383" s="93">
        <f t="shared" si="38"/>
        <v>23</v>
      </c>
      <c r="B383" s="85">
        <f t="shared" ref="B383:B412" si="39">IF(E382+C383&lt;$B$12,E382+C383,$B$12)</f>
        <v>79.327758153980241</v>
      </c>
      <c r="C383" s="86">
        <f t="shared" si="37"/>
        <v>6.0896489843614211E-2</v>
      </c>
      <c r="D383" s="85">
        <f t="shared" si="34"/>
        <v>79.266861664136627</v>
      </c>
      <c r="E383" s="87">
        <f t="shared" si="35"/>
        <v>9.3507424026029184E-12</v>
      </c>
    </row>
    <row r="384" spans="1:5" ht="15">
      <c r="A384" s="93">
        <f t="shared" si="38"/>
        <v>24</v>
      </c>
      <c r="B384" s="85">
        <f t="shared" si="39"/>
        <v>9.3579260778209812E-12</v>
      </c>
      <c r="C384" s="86">
        <f t="shared" si="37"/>
        <v>7.1836752180630989E-15</v>
      </c>
      <c r="D384" s="85">
        <f t="shared" si="34"/>
        <v>9.3507424026029184E-12</v>
      </c>
      <c r="E384" s="87">
        <f t="shared" si="35"/>
        <v>0</v>
      </c>
    </row>
    <row r="385" spans="1:5" ht="15">
      <c r="A385" s="93">
        <f t="shared" si="38"/>
        <v>25</v>
      </c>
      <c r="B385" s="85">
        <f t="shared" si="39"/>
        <v>0</v>
      </c>
      <c r="C385" s="86">
        <f t="shared" si="37"/>
        <v>0</v>
      </c>
      <c r="D385" s="85">
        <f t="shared" si="34"/>
        <v>0</v>
      </c>
      <c r="E385" s="87">
        <f t="shared" si="35"/>
        <v>0</v>
      </c>
    </row>
    <row r="386" spans="1:5" ht="15">
      <c r="A386" s="93">
        <f t="shared" si="38"/>
        <v>26</v>
      </c>
      <c r="B386" s="85">
        <f t="shared" si="39"/>
        <v>0</v>
      </c>
      <c r="C386" s="86">
        <f t="shared" si="37"/>
        <v>0</v>
      </c>
      <c r="D386" s="85">
        <f t="shared" si="34"/>
        <v>0</v>
      </c>
      <c r="E386" s="87">
        <f t="shared" si="35"/>
        <v>0</v>
      </c>
    </row>
    <row r="387" spans="1:5" ht="15">
      <c r="A387" s="93">
        <f t="shared" si="38"/>
        <v>27</v>
      </c>
      <c r="B387" s="85">
        <f t="shared" si="39"/>
        <v>0</v>
      </c>
      <c r="C387" s="86">
        <f t="shared" si="37"/>
        <v>0</v>
      </c>
      <c r="D387" s="85">
        <f t="shared" si="34"/>
        <v>0</v>
      </c>
      <c r="E387" s="87">
        <f t="shared" si="35"/>
        <v>0</v>
      </c>
    </row>
    <row r="388" spans="1:5" ht="15">
      <c r="A388" s="93">
        <f t="shared" si="38"/>
        <v>28</v>
      </c>
      <c r="B388" s="85">
        <f t="shared" si="39"/>
        <v>0</v>
      </c>
      <c r="C388" s="86">
        <f t="shared" si="37"/>
        <v>0</v>
      </c>
      <c r="D388" s="85">
        <f t="shared" si="34"/>
        <v>0</v>
      </c>
      <c r="E388" s="87">
        <f t="shared" si="35"/>
        <v>0</v>
      </c>
    </row>
    <row r="389" spans="1:5" ht="15">
      <c r="A389" s="93">
        <f t="shared" si="38"/>
        <v>29</v>
      </c>
      <c r="B389" s="85">
        <f t="shared" si="39"/>
        <v>0</v>
      </c>
      <c r="C389" s="86">
        <f t="shared" si="37"/>
        <v>0</v>
      </c>
      <c r="D389" s="85">
        <f t="shared" si="34"/>
        <v>0</v>
      </c>
      <c r="E389" s="87">
        <f t="shared" si="35"/>
        <v>0</v>
      </c>
    </row>
    <row r="390" spans="1:5" ht="15">
      <c r="A390" s="93">
        <f t="shared" si="38"/>
        <v>30</v>
      </c>
      <c r="B390" s="85">
        <f t="shared" si="39"/>
        <v>0</v>
      </c>
      <c r="C390" s="86">
        <f t="shared" si="37"/>
        <v>0</v>
      </c>
      <c r="D390" s="85">
        <f t="shared" si="34"/>
        <v>0</v>
      </c>
      <c r="E390" s="87">
        <f t="shared" si="35"/>
        <v>0</v>
      </c>
    </row>
    <row r="391" spans="1:5" ht="15">
      <c r="A391" s="93">
        <f t="shared" si="38"/>
        <v>31</v>
      </c>
      <c r="B391" s="85">
        <f t="shared" si="39"/>
        <v>0</v>
      </c>
      <c r="C391" s="86">
        <f t="shared" si="37"/>
        <v>0</v>
      </c>
      <c r="D391" s="85">
        <f t="shared" si="34"/>
        <v>0</v>
      </c>
      <c r="E391" s="87">
        <f t="shared" si="35"/>
        <v>0</v>
      </c>
    </row>
    <row r="392" spans="1:5" ht="15">
      <c r="A392" s="93">
        <f t="shared" si="38"/>
        <v>32</v>
      </c>
      <c r="B392" s="85">
        <f t="shared" si="39"/>
        <v>0</v>
      </c>
      <c r="C392" s="86">
        <f t="shared" si="37"/>
        <v>0</v>
      </c>
      <c r="D392" s="85">
        <f t="shared" si="34"/>
        <v>0</v>
      </c>
      <c r="E392" s="87">
        <f t="shared" si="35"/>
        <v>0</v>
      </c>
    </row>
    <row r="393" spans="1:5" ht="15">
      <c r="A393" s="93">
        <f t="shared" si="38"/>
        <v>33</v>
      </c>
      <c r="B393" s="85">
        <f t="shared" si="39"/>
        <v>0</v>
      </c>
      <c r="C393" s="86">
        <f t="shared" si="37"/>
        <v>0</v>
      </c>
      <c r="D393" s="85">
        <f t="shared" si="34"/>
        <v>0</v>
      </c>
      <c r="E393" s="87">
        <f t="shared" si="35"/>
        <v>0</v>
      </c>
    </row>
    <row r="394" spans="1:5" ht="15">
      <c r="A394" s="93">
        <f t="shared" si="38"/>
        <v>34</v>
      </c>
      <c r="B394" s="85">
        <f t="shared" si="39"/>
        <v>0</v>
      </c>
      <c r="C394" s="86">
        <f t="shared" si="37"/>
        <v>0</v>
      </c>
      <c r="D394" s="85">
        <f t="shared" si="34"/>
        <v>0</v>
      </c>
      <c r="E394" s="87">
        <f t="shared" si="35"/>
        <v>0</v>
      </c>
    </row>
    <row r="395" spans="1:5" ht="15">
      <c r="A395" s="93">
        <f t="shared" si="38"/>
        <v>35</v>
      </c>
      <c r="B395" s="85">
        <f t="shared" si="39"/>
        <v>0</v>
      </c>
      <c r="C395" s="86">
        <f t="shared" si="37"/>
        <v>0</v>
      </c>
      <c r="D395" s="85">
        <f t="shared" si="34"/>
        <v>0</v>
      </c>
      <c r="E395" s="87">
        <f t="shared" si="35"/>
        <v>0</v>
      </c>
    </row>
    <row r="396" spans="1:5" ht="15">
      <c r="A396" s="93">
        <f t="shared" si="38"/>
        <v>36</v>
      </c>
      <c r="B396" s="85">
        <f t="shared" si="39"/>
        <v>0</v>
      </c>
      <c r="C396" s="86">
        <f t="shared" si="37"/>
        <v>0</v>
      </c>
      <c r="D396" s="85">
        <f t="shared" si="34"/>
        <v>0</v>
      </c>
      <c r="E396" s="87">
        <f t="shared" si="35"/>
        <v>0</v>
      </c>
    </row>
    <row r="397" spans="1:5" ht="15">
      <c r="A397" s="93">
        <f t="shared" si="38"/>
        <v>37</v>
      </c>
      <c r="B397" s="85">
        <f t="shared" si="39"/>
        <v>0</v>
      </c>
      <c r="C397" s="86">
        <f t="shared" si="37"/>
        <v>0</v>
      </c>
      <c r="D397" s="85">
        <f t="shared" si="34"/>
        <v>0</v>
      </c>
      <c r="E397" s="87">
        <f t="shared" si="35"/>
        <v>0</v>
      </c>
    </row>
    <row r="398" spans="1:5" ht="15">
      <c r="A398" s="93">
        <f t="shared" si="38"/>
        <v>38</v>
      </c>
      <c r="B398" s="85">
        <f t="shared" si="39"/>
        <v>0</v>
      </c>
      <c r="C398" s="86">
        <f t="shared" si="37"/>
        <v>0</v>
      </c>
      <c r="D398" s="85">
        <f t="shared" si="34"/>
        <v>0</v>
      </c>
      <c r="E398" s="87">
        <f t="shared" si="35"/>
        <v>0</v>
      </c>
    </row>
    <row r="399" spans="1:5" ht="15">
      <c r="A399" s="93">
        <f t="shared" si="38"/>
        <v>39</v>
      </c>
      <c r="B399" s="85">
        <f t="shared" si="39"/>
        <v>0</v>
      </c>
      <c r="C399" s="86">
        <f t="shared" si="37"/>
        <v>0</v>
      </c>
      <c r="D399" s="85">
        <f t="shared" si="34"/>
        <v>0</v>
      </c>
      <c r="E399" s="87">
        <f t="shared" si="35"/>
        <v>0</v>
      </c>
    </row>
    <row r="400" spans="1:5" ht="15">
      <c r="A400" s="93">
        <f t="shared" si="38"/>
        <v>40</v>
      </c>
      <c r="B400" s="85">
        <f t="shared" si="39"/>
        <v>0</v>
      </c>
      <c r="C400" s="86">
        <f t="shared" si="37"/>
        <v>0</v>
      </c>
      <c r="D400" s="85">
        <f t="shared" si="34"/>
        <v>0</v>
      </c>
      <c r="E400" s="87">
        <f t="shared" si="35"/>
        <v>0</v>
      </c>
    </row>
    <row r="401" spans="1:5" ht="15">
      <c r="A401" s="93">
        <f t="shared" si="38"/>
        <v>41</v>
      </c>
      <c r="B401" s="85">
        <f t="shared" si="39"/>
        <v>0</v>
      </c>
      <c r="C401" s="86">
        <f t="shared" si="37"/>
        <v>0</v>
      </c>
      <c r="D401" s="85">
        <f t="shared" si="34"/>
        <v>0</v>
      </c>
      <c r="E401" s="87">
        <f t="shared" si="35"/>
        <v>0</v>
      </c>
    </row>
    <row r="402" spans="1:5" ht="15">
      <c r="A402" s="93">
        <f t="shared" si="38"/>
        <v>42</v>
      </c>
      <c r="B402" s="85">
        <f t="shared" si="39"/>
        <v>0</v>
      </c>
      <c r="C402" s="86">
        <f t="shared" si="37"/>
        <v>0</v>
      </c>
      <c r="D402" s="85">
        <f t="shared" si="34"/>
        <v>0</v>
      </c>
      <c r="E402" s="87">
        <f t="shared" si="35"/>
        <v>0</v>
      </c>
    </row>
    <row r="403" spans="1:5" ht="15">
      <c r="A403" s="93">
        <f t="shared" si="38"/>
        <v>43</v>
      </c>
      <c r="B403" s="85">
        <f t="shared" si="39"/>
        <v>0</v>
      </c>
      <c r="C403" s="86">
        <f t="shared" si="37"/>
        <v>0</v>
      </c>
      <c r="D403" s="85">
        <f t="shared" si="34"/>
        <v>0</v>
      </c>
      <c r="E403" s="87">
        <f t="shared" si="35"/>
        <v>0</v>
      </c>
    </row>
    <row r="404" spans="1:5" ht="15">
      <c r="A404" s="93">
        <f t="shared" si="38"/>
        <v>44</v>
      </c>
      <c r="B404" s="85">
        <f t="shared" si="39"/>
        <v>0</v>
      </c>
      <c r="C404" s="86">
        <f t="shared" si="37"/>
        <v>0</v>
      </c>
      <c r="D404" s="85">
        <f t="shared" si="34"/>
        <v>0</v>
      </c>
      <c r="E404" s="87">
        <f t="shared" si="35"/>
        <v>0</v>
      </c>
    </row>
    <row r="405" spans="1:5" ht="15">
      <c r="A405" s="93">
        <f t="shared" si="38"/>
        <v>45</v>
      </c>
      <c r="B405" s="85">
        <f t="shared" si="39"/>
        <v>0</v>
      </c>
      <c r="C405" s="86">
        <f t="shared" si="37"/>
        <v>0</v>
      </c>
      <c r="D405" s="85">
        <f t="shared" si="34"/>
        <v>0</v>
      </c>
      <c r="E405" s="87">
        <f t="shared" si="35"/>
        <v>0</v>
      </c>
    </row>
    <row r="406" spans="1:5" ht="15">
      <c r="A406" s="93">
        <f t="shared" si="38"/>
        <v>46</v>
      </c>
      <c r="B406" s="85">
        <f t="shared" si="39"/>
        <v>0</v>
      </c>
      <c r="C406" s="86">
        <f t="shared" si="37"/>
        <v>0</v>
      </c>
      <c r="D406" s="85">
        <f t="shared" si="34"/>
        <v>0</v>
      </c>
      <c r="E406" s="87">
        <f t="shared" si="35"/>
        <v>0</v>
      </c>
    </row>
    <row r="407" spans="1:5" ht="15">
      <c r="A407" s="93">
        <f t="shared" si="38"/>
        <v>47</v>
      </c>
      <c r="B407" s="85">
        <f t="shared" si="39"/>
        <v>0</v>
      </c>
      <c r="C407" s="86">
        <f t="shared" si="37"/>
        <v>0</v>
      </c>
      <c r="D407" s="85">
        <f t="shared" si="34"/>
        <v>0</v>
      </c>
      <c r="E407" s="87">
        <f t="shared" si="35"/>
        <v>0</v>
      </c>
    </row>
    <row r="408" spans="1:5" ht="15">
      <c r="A408" s="93">
        <f t="shared" si="38"/>
        <v>48</v>
      </c>
      <c r="B408" s="85">
        <f t="shared" si="39"/>
        <v>0</v>
      </c>
      <c r="C408" s="86">
        <f t="shared" si="37"/>
        <v>0</v>
      </c>
      <c r="D408" s="85">
        <f t="shared" si="34"/>
        <v>0</v>
      </c>
      <c r="E408" s="87">
        <f t="shared" si="35"/>
        <v>0</v>
      </c>
    </row>
    <row r="409" spans="1:5" ht="15">
      <c r="A409" s="93">
        <f t="shared" si="38"/>
        <v>49</v>
      </c>
      <c r="B409" s="85">
        <f t="shared" si="39"/>
        <v>0</v>
      </c>
      <c r="C409" s="86">
        <f t="shared" si="37"/>
        <v>0</v>
      </c>
      <c r="D409" s="85">
        <f t="shared" si="34"/>
        <v>0</v>
      </c>
      <c r="E409" s="87">
        <f t="shared" si="35"/>
        <v>0</v>
      </c>
    </row>
    <row r="410" spans="1:5" ht="15">
      <c r="A410" s="93">
        <f t="shared" si="38"/>
        <v>50</v>
      </c>
      <c r="B410" s="85">
        <f t="shared" si="39"/>
        <v>0</v>
      </c>
      <c r="C410" s="86">
        <f t="shared" si="37"/>
        <v>0</v>
      </c>
      <c r="D410" s="85">
        <f t="shared" si="34"/>
        <v>0</v>
      </c>
      <c r="E410" s="87">
        <f t="shared" si="35"/>
        <v>0</v>
      </c>
    </row>
    <row r="411" spans="1:5" ht="15">
      <c r="A411" s="93">
        <f t="shared" si="38"/>
        <v>51</v>
      </c>
      <c r="B411" s="85">
        <f t="shared" si="39"/>
        <v>0</v>
      </c>
      <c r="C411" s="86">
        <f t="shared" si="37"/>
        <v>0</v>
      </c>
      <c r="D411" s="85">
        <f t="shared" si="34"/>
        <v>0</v>
      </c>
      <c r="E411" s="87">
        <f t="shared" si="35"/>
        <v>0</v>
      </c>
    </row>
    <row r="412" spans="1:5" ht="15">
      <c r="A412" s="93">
        <f t="shared" si="38"/>
        <v>52</v>
      </c>
      <c r="B412" s="85">
        <f t="shared" si="39"/>
        <v>0</v>
      </c>
      <c r="C412" s="86">
        <f t="shared" si="37"/>
        <v>0</v>
      </c>
      <c r="D412" s="85">
        <f t="shared" si="34"/>
        <v>0</v>
      </c>
      <c r="E412" s="87">
        <f t="shared" si="35"/>
        <v>0</v>
      </c>
    </row>
    <row r="413" spans="1:5" ht="15.6" thickBot="1">
      <c r="A413" s="88">
        <f>A356+1</f>
        <v>2026</v>
      </c>
      <c r="B413" s="89"/>
      <c r="C413" s="70">
        <f>SUM(C361:C412)</f>
        <v>16.713194207910377</v>
      </c>
      <c r="D413" s="73">
        <f>SUM(D361:D412)</f>
        <v>1807.8252433336445</v>
      </c>
      <c r="E413" s="90"/>
    </row>
    <row r="415" spans="1:5" ht="13.8" thickBot="1"/>
    <row r="416" spans="1:5" ht="15">
      <c r="A416" s="79" t="s">
        <v>230</v>
      </c>
      <c r="B416" s="80" t="s">
        <v>216</v>
      </c>
      <c r="C416" s="80" t="s">
        <v>21</v>
      </c>
      <c r="D416" s="80" t="s">
        <v>231</v>
      </c>
      <c r="E416" s="81" t="s">
        <v>208</v>
      </c>
    </row>
    <row r="417" spans="1:5" ht="15">
      <c r="A417" s="82">
        <v>0</v>
      </c>
      <c r="B417" s="83"/>
      <c r="C417" s="83"/>
      <c r="D417" s="83"/>
      <c r="E417" s="84">
        <f>E412</f>
        <v>0</v>
      </c>
    </row>
    <row r="418" spans="1:5" ht="15">
      <c r="A418" s="82">
        <v>1</v>
      </c>
      <c r="B418" s="85">
        <f>IF(E417+C418&lt;$B$12,E417+C418,$B$12)</f>
        <v>0</v>
      </c>
      <c r="C418" s="86">
        <f>E417*$C$18</f>
        <v>0</v>
      </c>
      <c r="D418" s="85">
        <f t="shared" ref="D418:D469" si="40">B418-C418</f>
        <v>0</v>
      </c>
      <c r="E418" s="87">
        <f t="shared" ref="E418:E469" si="41">E417-D418</f>
        <v>0</v>
      </c>
    </row>
    <row r="419" spans="1:5" ht="15">
      <c r="A419" s="82">
        <f>A418+1</f>
        <v>2</v>
      </c>
      <c r="B419" s="85">
        <f t="shared" ref="B419:B438" si="42">IF(E418+C419&lt;$B$12,E418+C419,$B$12)</f>
        <v>0</v>
      </c>
      <c r="C419" s="86">
        <f t="shared" ref="C419:C469" si="43">E418*$C$18</f>
        <v>0</v>
      </c>
      <c r="D419" s="85">
        <f t="shared" si="40"/>
        <v>0</v>
      </c>
      <c r="E419" s="87">
        <f t="shared" si="41"/>
        <v>0</v>
      </c>
    </row>
    <row r="420" spans="1:5" ht="15">
      <c r="A420" s="82">
        <f>A419+1</f>
        <v>3</v>
      </c>
      <c r="B420" s="85">
        <f t="shared" si="42"/>
        <v>0</v>
      </c>
      <c r="C420" s="86">
        <f t="shared" si="43"/>
        <v>0</v>
      </c>
      <c r="D420" s="85">
        <f t="shared" si="40"/>
        <v>0</v>
      </c>
      <c r="E420" s="87">
        <f t="shared" si="41"/>
        <v>0</v>
      </c>
    </row>
    <row r="421" spans="1:5" ht="15">
      <c r="A421" s="82">
        <f>A420+1</f>
        <v>4</v>
      </c>
      <c r="B421" s="85">
        <f t="shared" si="42"/>
        <v>0</v>
      </c>
      <c r="C421" s="86">
        <f t="shared" si="43"/>
        <v>0</v>
      </c>
      <c r="D421" s="85">
        <f t="shared" si="40"/>
        <v>0</v>
      </c>
      <c r="E421" s="87">
        <f t="shared" si="41"/>
        <v>0</v>
      </c>
    </row>
    <row r="422" spans="1:5" ht="15">
      <c r="A422" s="93">
        <v>5</v>
      </c>
      <c r="B422" s="85">
        <f t="shared" si="42"/>
        <v>0</v>
      </c>
      <c r="C422" s="86">
        <f t="shared" si="43"/>
        <v>0</v>
      </c>
      <c r="D422" s="85">
        <f t="shared" si="40"/>
        <v>0</v>
      </c>
      <c r="E422" s="87">
        <f t="shared" si="41"/>
        <v>0</v>
      </c>
    </row>
    <row r="423" spans="1:5" ht="15">
      <c r="A423" s="93">
        <v>6</v>
      </c>
      <c r="B423" s="85">
        <f t="shared" si="42"/>
        <v>0</v>
      </c>
      <c r="C423" s="86">
        <f t="shared" si="43"/>
        <v>0</v>
      </c>
      <c r="D423" s="85">
        <f t="shared" si="40"/>
        <v>0</v>
      </c>
      <c r="E423" s="87">
        <f t="shared" si="41"/>
        <v>0</v>
      </c>
    </row>
    <row r="424" spans="1:5" ht="15">
      <c r="A424" s="93">
        <v>7</v>
      </c>
      <c r="B424" s="85">
        <f t="shared" si="42"/>
        <v>0</v>
      </c>
      <c r="C424" s="86">
        <f t="shared" si="43"/>
        <v>0</v>
      </c>
      <c r="D424" s="85">
        <f t="shared" si="40"/>
        <v>0</v>
      </c>
      <c r="E424" s="87">
        <f t="shared" si="41"/>
        <v>0</v>
      </c>
    </row>
    <row r="425" spans="1:5" ht="15">
      <c r="A425" s="93">
        <v>8</v>
      </c>
      <c r="B425" s="85">
        <f t="shared" si="42"/>
        <v>0</v>
      </c>
      <c r="C425" s="86">
        <f t="shared" si="43"/>
        <v>0</v>
      </c>
      <c r="D425" s="85">
        <f t="shared" si="40"/>
        <v>0</v>
      </c>
      <c r="E425" s="87">
        <f t="shared" si="41"/>
        <v>0</v>
      </c>
    </row>
    <row r="426" spans="1:5" ht="15">
      <c r="A426" s="93">
        <v>9</v>
      </c>
      <c r="B426" s="85">
        <f t="shared" si="42"/>
        <v>0</v>
      </c>
      <c r="C426" s="86">
        <f t="shared" si="43"/>
        <v>0</v>
      </c>
      <c r="D426" s="85">
        <f t="shared" si="40"/>
        <v>0</v>
      </c>
      <c r="E426" s="87">
        <f t="shared" si="41"/>
        <v>0</v>
      </c>
    </row>
    <row r="427" spans="1:5" ht="15">
      <c r="A427" s="93">
        <v>10</v>
      </c>
      <c r="B427" s="85">
        <f t="shared" si="42"/>
        <v>0</v>
      </c>
      <c r="C427" s="86">
        <f t="shared" si="43"/>
        <v>0</v>
      </c>
      <c r="D427" s="85">
        <f t="shared" si="40"/>
        <v>0</v>
      </c>
      <c r="E427" s="87">
        <f t="shared" si="41"/>
        <v>0</v>
      </c>
    </row>
    <row r="428" spans="1:5" ht="15">
      <c r="A428" s="93">
        <v>11</v>
      </c>
      <c r="B428" s="85">
        <f t="shared" si="42"/>
        <v>0</v>
      </c>
      <c r="C428" s="86">
        <f t="shared" si="43"/>
        <v>0</v>
      </c>
      <c r="D428" s="85">
        <f t="shared" si="40"/>
        <v>0</v>
      </c>
      <c r="E428" s="87">
        <f t="shared" si="41"/>
        <v>0</v>
      </c>
    </row>
    <row r="429" spans="1:5" ht="15">
      <c r="A429" s="93">
        <f>A428+1</f>
        <v>12</v>
      </c>
      <c r="B429" s="85">
        <f t="shared" si="42"/>
        <v>0</v>
      </c>
      <c r="C429" s="86">
        <f t="shared" si="43"/>
        <v>0</v>
      </c>
      <c r="D429" s="85">
        <f t="shared" si="40"/>
        <v>0</v>
      </c>
      <c r="E429" s="87">
        <f t="shared" si="41"/>
        <v>0</v>
      </c>
    </row>
    <row r="430" spans="1:5" ht="15">
      <c r="A430" s="93">
        <f t="shared" ref="A430:A469" si="44">A429+1</f>
        <v>13</v>
      </c>
      <c r="B430" s="85">
        <f t="shared" si="42"/>
        <v>0</v>
      </c>
      <c r="C430" s="86">
        <f t="shared" si="43"/>
        <v>0</v>
      </c>
      <c r="D430" s="85">
        <f t="shared" si="40"/>
        <v>0</v>
      </c>
      <c r="E430" s="87">
        <f t="shared" si="41"/>
        <v>0</v>
      </c>
    </row>
    <row r="431" spans="1:5" ht="15">
      <c r="A431" s="93">
        <f t="shared" si="44"/>
        <v>14</v>
      </c>
      <c r="B431" s="85">
        <f t="shared" si="42"/>
        <v>0</v>
      </c>
      <c r="C431" s="86">
        <f t="shared" si="43"/>
        <v>0</v>
      </c>
      <c r="D431" s="85">
        <f t="shared" si="40"/>
        <v>0</v>
      </c>
      <c r="E431" s="87">
        <f t="shared" si="41"/>
        <v>0</v>
      </c>
    </row>
    <row r="432" spans="1:5" ht="15">
      <c r="A432" s="93">
        <f t="shared" si="44"/>
        <v>15</v>
      </c>
      <c r="B432" s="85">
        <f t="shared" si="42"/>
        <v>0</v>
      </c>
      <c r="C432" s="86">
        <f t="shared" si="43"/>
        <v>0</v>
      </c>
      <c r="D432" s="85">
        <f t="shared" si="40"/>
        <v>0</v>
      </c>
      <c r="E432" s="87">
        <f t="shared" si="41"/>
        <v>0</v>
      </c>
    </row>
    <row r="433" spans="1:5" ht="15">
      <c r="A433" s="93">
        <f t="shared" si="44"/>
        <v>16</v>
      </c>
      <c r="B433" s="85">
        <f t="shared" si="42"/>
        <v>0</v>
      </c>
      <c r="C433" s="86">
        <f t="shared" si="43"/>
        <v>0</v>
      </c>
      <c r="D433" s="85">
        <f t="shared" si="40"/>
        <v>0</v>
      </c>
      <c r="E433" s="87">
        <f t="shared" si="41"/>
        <v>0</v>
      </c>
    </row>
    <row r="434" spans="1:5" ht="15">
      <c r="A434" s="93">
        <f t="shared" si="44"/>
        <v>17</v>
      </c>
      <c r="B434" s="85">
        <f t="shared" si="42"/>
        <v>0</v>
      </c>
      <c r="C434" s="86">
        <f t="shared" si="43"/>
        <v>0</v>
      </c>
      <c r="D434" s="85">
        <f t="shared" si="40"/>
        <v>0</v>
      </c>
      <c r="E434" s="87">
        <f t="shared" si="41"/>
        <v>0</v>
      </c>
    </row>
    <row r="435" spans="1:5" ht="15">
      <c r="A435" s="93">
        <f t="shared" si="44"/>
        <v>18</v>
      </c>
      <c r="B435" s="85">
        <f t="shared" si="42"/>
        <v>0</v>
      </c>
      <c r="C435" s="86">
        <f t="shared" si="43"/>
        <v>0</v>
      </c>
      <c r="D435" s="85">
        <f t="shared" si="40"/>
        <v>0</v>
      </c>
      <c r="E435" s="87">
        <f t="shared" si="41"/>
        <v>0</v>
      </c>
    </row>
    <row r="436" spans="1:5" ht="15">
      <c r="A436" s="93">
        <f t="shared" si="44"/>
        <v>19</v>
      </c>
      <c r="B436" s="85">
        <f t="shared" si="42"/>
        <v>0</v>
      </c>
      <c r="C436" s="86">
        <f t="shared" si="43"/>
        <v>0</v>
      </c>
      <c r="D436" s="85">
        <f t="shared" si="40"/>
        <v>0</v>
      </c>
      <c r="E436" s="87">
        <f t="shared" si="41"/>
        <v>0</v>
      </c>
    </row>
    <row r="437" spans="1:5" ht="15">
      <c r="A437" s="93">
        <f t="shared" si="44"/>
        <v>20</v>
      </c>
      <c r="B437" s="85">
        <f t="shared" si="42"/>
        <v>0</v>
      </c>
      <c r="C437" s="86">
        <f t="shared" si="43"/>
        <v>0</v>
      </c>
      <c r="D437" s="85">
        <f t="shared" si="40"/>
        <v>0</v>
      </c>
      <c r="E437" s="87">
        <f t="shared" si="41"/>
        <v>0</v>
      </c>
    </row>
    <row r="438" spans="1:5" ht="15">
      <c r="A438" s="93">
        <f t="shared" si="44"/>
        <v>21</v>
      </c>
      <c r="B438" s="85">
        <f t="shared" si="42"/>
        <v>0</v>
      </c>
      <c r="C438" s="86">
        <f t="shared" si="43"/>
        <v>0</v>
      </c>
      <c r="D438" s="85">
        <f t="shared" si="40"/>
        <v>0</v>
      </c>
      <c r="E438" s="87">
        <f t="shared" si="41"/>
        <v>0</v>
      </c>
    </row>
    <row r="439" spans="1:5" ht="15">
      <c r="A439" s="93">
        <f t="shared" si="44"/>
        <v>22</v>
      </c>
      <c r="B439" s="85">
        <f>IF(E438+C439&lt;$B$12,E438+C439,$B$12)</f>
        <v>0</v>
      </c>
      <c r="C439" s="86">
        <f t="shared" si="43"/>
        <v>0</v>
      </c>
      <c r="D439" s="85">
        <f t="shared" si="40"/>
        <v>0</v>
      </c>
      <c r="E439" s="87">
        <f t="shared" si="41"/>
        <v>0</v>
      </c>
    </row>
    <row r="440" spans="1:5" ht="15">
      <c r="A440" s="93">
        <f t="shared" si="44"/>
        <v>23</v>
      </c>
      <c r="B440" s="85">
        <f t="shared" ref="B440:B469" si="45">IF(E439+C440&lt;$B$12,E439+C440,$B$12)</f>
        <v>0</v>
      </c>
      <c r="C440" s="86">
        <f t="shared" si="43"/>
        <v>0</v>
      </c>
      <c r="D440" s="85">
        <f t="shared" si="40"/>
        <v>0</v>
      </c>
      <c r="E440" s="87">
        <f t="shared" si="41"/>
        <v>0</v>
      </c>
    </row>
    <row r="441" spans="1:5" ht="15">
      <c r="A441" s="93">
        <f t="shared" si="44"/>
        <v>24</v>
      </c>
      <c r="B441" s="85">
        <f t="shared" si="45"/>
        <v>0</v>
      </c>
      <c r="C441" s="86">
        <f t="shared" si="43"/>
        <v>0</v>
      </c>
      <c r="D441" s="85">
        <f t="shared" si="40"/>
        <v>0</v>
      </c>
      <c r="E441" s="87">
        <f t="shared" si="41"/>
        <v>0</v>
      </c>
    </row>
    <row r="442" spans="1:5" ht="15">
      <c r="A442" s="93">
        <f t="shared" si="44"/>
        <v>25</v>
      </c>
      <c r="B442" s="85">
        <f t="shared" si="45"/>
        <v>0</v>
      </c>
      <c r="C442" s="86">
        <f t="shared" si="43"/>
        <v>0</v>
      </c>
      <c r="D442" s="85">
        <f t="shared" si="40"/>
        <v>0</v>
      </c>
      <c r="E442" s="87">
        <f t="shared" si="41"/>
        <v>0</v>
      </c>
    </row>
    <row r="443" spans="1:5" ht="15">
      <c r="A443" s="93">
        <f t="shared" si="44"/>
        <v>26</v>
      </c>
      <c r="B443" s="85">
        <f t="shared" si="45"/>
        <v>0</v>
      </c>
      <c r="C443" s="86">
        <f t="shared" si="43"/>
        <v>0</v>
      </c>
      <c r="D443" s="85">
        <f t="shared" si="40"/>
        <v>0</v>
      </c>
      <c r="E443" s="87">
        <f t="shared" si="41"/>
        <v>0</v>
      </c>
    </row>
    <row r="444" spans="1:5" ht="15">
      <c r="A444" s="93">
        <f t="shared" si="44"/>
        <v>27</v>
      </c>
      <c r="B444" s="85">
        <f t="shared" si="45"/>
        <v>0</v>
      </c>
      <c r="C444" s="86">
        <f t="shared" si="43"/>
        <v>0</v>
      </c>
      <c r="D444" s="85">
        <f t="shared" si="40"/>
        <v>0</v>
      </c>
      <c r="E444" s="87">
        <f t="shared" si="41"/>
        <v>0</v>
      </c>
    </row>
    <row r="445" spans="1:5" ht="15">
      <c r="A445" s="93">
        <f t="shared" si="44"/>
        <v>28</v>
      </c>
      <c r="B445" s="85">
        <f t="shared" si="45"/>
        <v>0</v>
      </c>
      <c r="C445" s="86">
        <f t="shared" si="43"/>
        <v>0</v>
      </c>
      <c r="D445" s="85">
        <f t="shared" si="40"/>
        <v>0</v>
      </c>
      <c r="E445" s="87">
        <f t="shared" si="41"/>
        <v>0</v>
      </c>
    </row>
    <row r="446" spans="1:5" ht="15">
      <c r="A446" s="93">
        <f t="shared" si="44"/>
        <v>29</v>
      </c>
      <c r="B446" s="85">
        <f t="shared" si="45"/>
        <v>0</v>
      </c>
      <c r="C446" s="86">
        <f t="shared" si="43"/>
        <v>0</v>
      </c>
      <c r="D446" s="85">
        <f t="shared" si="40"/>
        <v>0</v>
      </c>
      <c r="E446" s="87">
        <f t="shared" si="41"/>
        <v>0</v>
      </c>
    </row>
    <row r="447" spans="1:5" ht="15">
      <c r="A447" s="93">
        <f t="shared" si="44"/>
        <v>30</v>
      </c>
      <c r="B447" s="85">
        <f t="shared" si="45"/>
        <v>0</v>
      </c>
      <c r="C447" s="86">
        <f t="shared" si="43"/>
        <v>0</v>
      </c>
      <c r="D447" s="85">
        <f t="shared" si="40"/>
        <v>0</v>
      </c>
      <c r="E447" s="87">
        <f t="shared" si="41"/>
        <v>0</v>
      </c>
    </row>
    <row r="448" spans="1:5" ht="15">
      <c r="A448" s="93">
        <f t="shared" si="44"/>
        <v>31</v>
      </c>
      <c r="B448" s="85">
        <f t="shared" si="45"/>
        <v>0</v>
      </c>
      <c r="C448" s="86">
        <f t="shared" si="43"/>
        <v>0</v>
      </c>
      <c r="D448" s="85">
        <f t="shared" si="40"/>
        <v>0</v>
      </c>
      <c r="E448" s="87">
        <f t="shared" si="41"/>
        <v>0</v>
      </c>
    </row>
    <row r="449" spans="1:5" ht="15">
      <c r="A449" s="93">
        <f t="shared" si="44"/>
        <v>32</v>
      </c>
      <c r="B449" s="85">
        <f t="shared" si="45"/>
        <v>0</v>
      </c>
      <c r="C449" s="86">
        <f t="shared" si="43"/>
        <v>0</v>
      </c>
      <c r="D449" s="85">
        <f t="shared" si="40"/>
        <v>0</v>
      </c>
      <c r="E449" s="87">
        <f t="shared" si="41"/>
        <v>0</v>
      </c>
    </row>
    <row r="450" spans="1:5" ht="15">
      <c r="A450" s="93">
        <f t="shared" si="44"/>
        <v>33</v>
      </c>
      <c r="B450" s="85">
        <f t="shared" si="45"/>
        <v>0</v>
      </c>
      <c r="C450" s="86">
        <f t="shared" si="43"/>
        <v>0</v>
      </c>
      <c r="D450" s="85">
        <f t="shared" si="40"/>
        <v>0</v>
      </c>
      <c r="E450" s="87">
        <f t="shared" si="41"/>
        <v>0</v>
      </c>
    </row>
    <row r="451" spans="1:5" ht="15">
      <c r="A451" s="93">
        <f t="shared" si="44"/>
        <v>34</v>
      </c>
      <c r="B451" s="85">
        <f t="shared" si="45"/>
        <v>0</v>
      </c>
      <c r="C451" s="86">
        <f t="shared" si="43"/>
        <v>0</v>
      </c>
      <c r="D451" s="85">
        <f t="shared" si="40"/>
        <v>0</v>
      </c>
      <c r="E451" s="87">
        <f t="shared" si="41"/>
        <v>0</v>
      </c>
    </row>
    <row r="452" spans="1:5" ht="15">
      <c r="A452" s="93">
        <f t="shared" si="44"/>
        <v>35</v>
      </c>
      <c r="B452" s="85">
        <f t="shared" si="45"/>
        <v>0</v>
      </c>
      <c r="C452" s="86">
        <f t="shared" si="43"/>
        <v>0</v>
      </c>
      <c r="D452" s="85">
        <f t="shared" si="40"/>
        <v>0</v>
      </c>
      <c r="E452" s="87">
        <f t="shared" si="41"/>
        <v>0</v>
      </c>
    </row>
    <row r="453" spans="1:5" ht="15">
      <c r="A453" s="93">
        <f t="shared" si="44"/>
        <v>36</v>
      </c>
      <c r="B453" s="85">
        <f t="shared" si="45"/>
        <v>0</v>
      </c>
      <c r="C453" s="86">
        <f t="shared" si="43"/>
        <v>0</v>
      </c>
      <c r="D453" s="85">
        <f t="shared" si="40"/>
        <v>0</v>
      </c>
      <c r="E453" s="87">
        <f t="shared" si="41"/>
        <v>0</v>
      </c>
    </row>
    <row r="454" spans="1:5" ht="15">
      <c r="A454" s="93">
        <f t="shared" si="44"/>
        <v>37</v>
      </c>
      <c r="B454" s="85">
        <f t="shared" si="45"/>
        <v>0</v>
      </c>
      <c r="C454" s="86">
        <f t="shared" si="43"/>
        <v>0</v>
      </c>
      <c r="D454" s="85">
        <f t="shared" si="40"/>
        <v>0</v>
      </c>
      <c r="E454" s="87">
        <f t="shared" si="41"/>
        <v>0</v>
      </c>
    </row>
    <row r="455" spans="1:5" ht="15">
      <c r="A455" s="93">
        <f t="shared" si="44"/>
        <v>38</v>
      </c>
      <c r="B455" s="85">
        <f t="shared" si="45"/>
        <v>0</v>
      </c>
      <c r="C455" s="86">
        <f t="shared" si="43"/>
        <v>0</v>
      </c>
      <c r="D455" s="85">
        <f t="shared" si="40"/>
        <v>0</v>
      </c>
      <c r="E455" s="87">
        <f t="shared" si="41"/>
        <v>0</v>
      </c>
    </row>
    <row r="456" spans="1:5" ht="15">
      <c r="A456" s="93">
        <f t="shared" si="44"/>
        <v>39</v>
      </c>
      <c r="B456" s="85">
        <f t="shared" si="45"/>
        <v>0</v>
      </c>
      <c r="C456" s="86">
        <f t="shared" si="43"/>
        <v>0</v>
      </c>
      <c r="D456" s="85">
        <f t="shared" si="40"/>
        <v>0</v>
      </c>
      <c r="E456" s="87">
        <f t="shared" si="41"/>
        <v>0</v>
      </c>
    </row>
    <row r="457" spans="1:5" ht="15">
      <c r="A457" s="93">
        <f t="shared" si="44"/>
        <v>40</v>
      </c>
      <c r="B457" s="85">
        <f t="shared" si="45"/>
        <v>0</v>
      </c>
      <c r="C457" s="86">
        <f t="shared" si="43"/>
        <v>0</v>
      </c>
      <c r="D457" s="85">
        <f t="shared" si="40"/>
        <v>0</v>
      </c>
      <c r="E457" s="87">
        <f t="shared" si="41"/>
        <v>0</v>
      </c>
    </row>
    <row r="458" spans="1:5" ht="15">
      <c r="A458" s="93">
        <f t="shared" si="44"/>
        <v>41</v>
      </c>
      <c r="B458" s="85">
        <f t="shared" si="45"/>
        <v>0</v>
      </c>
      <c r="C458" s="86">
        <f t="shared" si="43"/>
        <v>0</v>
      </c>
      <c r="D458" s="85">
        <f t="shared" si="40"/>
        <v>0</v>
      </c>
      <c r="E458" s="87">
        <f t="shared" si="41"/>
        <v>0</v>
      </c>
    </row>
    <row r="459" spans="1:5" ht="15">
      <c r="A459" s="93">
        <f t="shared" si="44"/>
        <v>42</v>
      </c>
      <c r="B459" s="85">
        <f t="shared" si="45"/>
        <v>0</v>
      </c>
      <c r="C459" s="86">
        <f t="shared" si="43"/>
        <v>0</v>
      </c>
      <c r="D459" s="85">
        <f t="shared" si="40"/>
        <v>0</v>
      </c>
      <c r="E459" s="87">
        <f t="shared" si="41"/>
        <v>0</v>
      </c>
    </row>
    <row r="460" spans="1:5" ht="15">
      <c r="A460" s="93">
        <f t="shared" si="44"/>
        <v>43</v>
      </c>
      <c r="B460" s="85">
        <f t="shared" si="45"/>
        <v>0</v>
      </c>
      <c r="C460" s="86">
        <f t="shared" si="43"/>
        <v>0</v>
      </c>
      <c r="D460" s="85">
        <f t="shared" si="40"/>
        <v>0</v>
      </c>
      <c r="E460" s="87">
        <f t="shared" si="41"/>
        <v>0</v>
      </c>
    </row>
    <row r="461" spans="1:5" ht="15">
      <c r="A461" s="93">
        <f t="shared" si="44"/>
        <v>44</v>
      </c>
      <c r="B461" s="85">
        <f t="shared" si="45"/>
        <v>0</v>
      </c>
      <c r="C461" s="86">
        <f t="shared" si="43"/>
        <v>0</v>
      </c>
      <c r="D461" s="85">
        <f t="shared" si="40"/>
        <v>0</v>
      </c>
      <c r="E461" s="87">
        <f t="shared" si="41"/>
        <v>0</v>
      </c>
    </row>
    <row r="462" spans="1:5" ht="15">
      <c r="A462" s="93">
        <f t="shared" si="44"/>
        <v>45</v>
      </c>
      <c r="B462" s="85">
        <f t="shared" si="45"/>
        <v>0</v>
      </c>
      <c r="C462" s="86">
        <f t="shared" si="43"/>
        <v>0</v>
      </c>
      <c r="D462" s="85">
        <f t="shared" si="40"/>
        <v>0</v>
      </c>
      <c r="E462" s="87">
        <f t="shared" si="41"/>
        <v>0</v>
      </c>
    </row>
    <row r="463" spans="1:5" ht="15">
      <c r="A463" s="93">
        <f t="shared" si="44"/>
        <v>46</v>
      </c>
      <c r="B463" s="85">
        <f t="shared" si="45"/>
        <v>0</v>
      </c>
      <c r="C463" s="86">
        <f t="shared" si="43"/>
        <v>0</v>
      </c>
      <c r="D463" s="85">
        <f t="shared" si="40"/>
        <v>0</v>
      </c>
      <c r="E463" s="87">
        <f t="shared" si="41"/>
        <v>0</v>
      </c>
    </row>
    <row r="464" spans="1:5" ht="15">
      <c r="A464" s="93">
        <f t="shared" si="44"/>
        <v>47</v>
      </c>
      <c r="B464" s="85">
        <f t="shared" si="45"/>
        <v>0</v>
      </c>
      <c r="C464" s="86">
        <f t="shared" si="43"/>
        <v>0</v>
      </c>
      <c r="D464" s="85">
        <f t="shared" si="40"/>
        <v>0</v>
      </c>
      <c r="E464" s="87">
        <f t="shared" si="41"/>
        <v>0</v>
      </c>
    </row>
    <row r="465" spans="1:5" ht="15">
      <c r="A465" s="93">
        <f t="shared" si="44"/>
        <v>48</v>
      </c>
      <c r="B465" s="85">
        <f t="shared" si="45"/>
        <v>0</v>
      </c>
      <c r="C465" s="86">
        <f t="shared" si="43"/>
        <v>0</v>
      </c>
      <c r="D465" s="85">
        <f t="shared" si="40"/>
        <v>0</v>
      </c>
      <c r="E465" s="87">
        <f t="shared" si="41"/>
        <v>0</v>
      </c>
    </row>
    <row r="466" spans="1:5" ht="15">
      <c r="A466" s="93">
        <f t="shared" si="44"/>
        <v>49</v>
      </c>
      <c r="B466" s="85">
        <f t="shared" si="45"/>
        <v>0</v>
      </c>
      <c r="C466" s="86">
        <f t="shared" si="43"/>
        <v>0</v>
      </c>
      <c r="D466" s="85">
        <f t="shared" si="40"/>
        <v>0</v>
      </c>
      <c r="E466" s="87">
        <f t="shared" si="41"/>
        <v>0</v>
      </c>
    </row>
    <row r="467" spans="1:5" ht="15">
      <c r="A467" s="93">
        <f t="shared" si="44"/>
        <v>50</v>
      </c>
      <c r="B467" s="85">
        <f t="shared" si="45"/>
        <v>0</v>
      </c>
      <c r="C467" s="86">
        <f t="shared" si="43"/>
        <v>0</v>
      </c>
      <c r="D467" s="85">
        <f t="shared" si="40"/>
        <v>0</v>
      </c>
      <c r="E467" s="87">
        <f t="shared" si="41"/>
        <v>0</v>
      </c>
    </row>
    <row r="468" spans="1:5" ht="15">
      <c r="A468" s="93">
        <f t="shared" si="44"/>
        <v>51</v>
      </c>
      <c r="B468" s="85">
        <f t="shared" si="45"/>
        <v>0</v>
      </c>
      <c r="C468" s="86">
        <f t="shared" si="43"/>
        <v>0</v>
      </c>
      <c r="D468" s="85">
        <f t="shared" si="40"/>
        <v>0</v>
      </c>
      <c r="E468" s="87">
        <f t="shared" si="41"/>
        <v>0</v>
      </c>
    </row>
    <row r="469" spans="1:5" ht="15">
      <c r="A469" s="93">
        <f t="shared" si="44"/>
        <v>52</v>
      </c>
      <c r="B469" s="85">
        <f t="shared" si="45"/>
        <v>0</v>
      </c>
      <c r="C469" s="86">
        <f t="shared" si="43"/>
        <v>0</v>
      </c>
      <c r="D469" s="85">
        <f t="shared" si="40"/>
        <v>0</v>
      </c>
      <c r="E469" s="87">
        <f t="shared" si="41"/>
        <v>0</v>
      </c>
    </row>
    <row r="470" spans="1:5" ht="15.6" thickBot="1">
      <c r="A470" s="88">
        <f>A413+1</f>
        <v>2027</v>
      </c>
      <c r="B470" s="89"/>
      <c r="C470" s="70">
        <f>SUM(C418:C469)</f>
        <v>0</v>
      </c>
      <c r="D470" s="73">
        <f>SUM(D418:D469)</f>
        <v>0</v>
      </c>
      <c r="E470" s="90"/>
    </row>
  </sheetData>
  <sheetProtection algorithmName="SHA-512" hashValue="UXdhmibTaR9f3eNpz0ag7LquY5VQ0TwaSxcpI/0MjqFUtVAW816zw2zcdy12zzYSgKq89cR23cvNBgA5G70LJA==" saltValue="GM1PlNTXa9XBQEu6D1IsWA==" spinCount="100000" sheet="1" objects="1" scenarios="1"/>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79"/>
  <sheetViews>
    <sheetView topLeftCell="A109" workbookViewId="0">
      <selection activeCell="B14" sqref="B14"/>
    </sheetView>
  </sheetViews>
  <sheetFormatPr baseColWidth="10" defaultRowHeight="13.2"/>
  <cols>
    <col min="1" max="1" width="11.5546875" bestFit="1" customWidth="1"/>
    <col min="2" max="2" width="12.88671875" customWidth="1"/>
    <col min="3" max="3" width="11.6640625" bestFit="1" customWidth="1"/>
    <col min="4" max="5" width="14" bestFit="1" customWidth="1"/>
    <col min="11" max="16" width="11.5546875" bestFit="1" customWidth="1"/>
  </cols>
  <sheetData>
    <row r="1" spans="1:16" ht="21">
      <c r="A1" s="99" t="s">
        <v>243</v>
      </c>
    </row>
    <row r="3" spans="1:16" ht="22.8">
      <c r="A3" s="69" t="s">
        <v>217</v>
      </c>
      <c r="B3" s="69"/>
      <c r="C3" s="69"/>
      <c r="D3" s="69"/>
      <c r="E3" s="69"/>
    </row>
    <row r="4" spans="1:16">
      <c r="E4" s="21" t="s">
        <v>278</v>
      </c>
    </row>
    <row r="5" spans="1:16" ht="15.6">
      <c r="A5" s="31" t="s">
        <v>218</v>
      </c>
      <c r="B5" s="32"/>
      <c r="C5" s="32"/>
      <c r="D5" s="32"/>
      <c r="E5" s="32" t="s">
        <v>219</v>
      </c>
      <c r="F5" s="32"/>
      <c r="K5" t="s">
        <v>220</v>
      </c>
      <c r="O5" t="s">
        <v>221</v>
      </c>
    </row>
    <row r="6" spans="1:16" ht="15">
      <c r="A6" s="32" t="s">
        <v>222</v>
      </c>
      <c r="B6" s="210">
        <v>20000</v>
      </c>
      <c r="C6" s="32"/>
      <c r="D6" s="32">
        <f>C12</f>
        <v>2020</v>
      </c>
      <c r="E6" s="70">
        <f>C46</f>
        <v>114.72550205000977</v>
      </c>
      <c r="F6" s="71"/>
      <c r="J6" s="57" t="s">
        <v>223</v>
      </c>
      <c r="K6">
        <v>4</v>
      </c>
      <c r="L6">
        <v>12</v>
      </c>
      <c r="M6">
        <v>26</v>
      </c>
      <c r="N6">
        <v>52</v>
      </c>
      <c r="O6">
        <f>B8</f>
        <v>26</v>
      </c>
      <c r="P6">
        <f>O6*B10</f>
        <v>182</v>
      </c>
    </row>
    <row r="7" spans="1:16" ht="15">
      <c r="A7" s="32" t="s">
        <v>224</v>
      </c>
      <c r="B7" s="211">
        <v>0.05</v>
      </c>
      <c r="C7" s="32"/>
      <c r="D7" s="32">
        <f>D6+1</f>
        <v>2021</v>
      </c>
      <c r="E7" s="70">
        <f>C81</f>
        <v>926.48161551337171</v>
      </c>
      <c r="F7" s="72"/>
      <c r="K7" t="b">
        <f>IF($B$8=K6,POWER(1+$B$7/12,12/K6)-1)</f>
        <v>0</v>
      </c>
      <c r="L7" t="b">
        <f>IF($B$8=L6,POWER(1+$B$7/12,12/L6)-1)</f>
        <v>0</v>
      </c>
      <c r="M7">
        <f>IF($B$8=M6,POWER(1+$B$7/12,12/M6)-1)</f>
        <v>1.92092422270429E-3</v>
      </c>
      <c r="N7" t="b">
        <f>IF($B$8=N6,POWER(1+$B$7/N16,12/N6)-1)</f>
        <v>0</v>
      </c>
      <c r="O7">
        <f>IF($B$8=4,POWER(1+$B$7/12,12/4)-1,IF($B$8=26,POWER(1+$B$7/12,12/26)-1,IF($B$8=52,POWER(1+$B$7/12,12/52)-1,$B$7/12)))</f>
        <v>1.92092422270429E-3</v>
      </c>
    </row>
    <row r="8" spans="1:16" ht="15">
      <c r="A8" s="32" t="s">
        <v>225</v>
      </c>
      <c r="B8" s="210">
        <v>26</v>
      </c>
      <c r="C8" s="32"/>
      <c r="D8" s="32">
        <f>D6+2</f>
        <v>2022</v>
      </c>
      <c r="E8" s="70">
        <f>C114</f>
        <v>800.52821690313806</v>
      </c>
      <c r="F8" s="71"/>
      <c r="K8" s="7">
        <f>K7*K6</f>
        <v>0</v>
      </c>
      <c r="L8" s="7">
        <f>L7*L6</f>
        <v>0</v>
      </c>
      <c r="M8" s="7">
        <f>M7*M6</f>
        <v>4.9944029790311539E-2</v>
      </c>
      <c r="N8" s="7">
        <f>N7*N6</f>
        <v>0</v>
      </c>
      <c r="O8" s="7">
        <f>O7*O6</f>
        <v>4.9944029790311539E-2</v>
      </c>
    </row>
    <row r="9" spans="1:16" ht="15">
      <c r="A9" s="32" t="s">
        <v>226</v>
      </c>
      <c r="B9" s="32">
        <v>12</v>
      </c>
      <c r="C9" s="32"/>
      <c r="D9" s="32">
        <f>D6+3</f>
        <v>2023</v>
      </c>
      <c r="E9" s="70">
        <f>C147</f>
        <v>668.13080337535018</v>
      </c>
      <c r="F9" s="32"/>
    </row>
    <row r="10" spans="1:16" ht="15">
      <c r="A10" s="32" t="s">
        <v>227</v>
      </c>
      <c r="B10" s="210">
        <v>7</v>
      </c>
      <c r="C10" s="32"/>
      <c r="D10" s="32">
        <f>D6+4</f>
        <v>2024</v>
      </c>
      <c r="E10" s="70">
        <f>C180</f>
        <v>528.95968689684776</v>
      </c>
      <c r="F10" s="32"/>
      <c r="M10">
        <f>POWER(1+B7/26,26/12)-1</f>
        <v>4.1713413111403863E-3</v>
      </c>
      <c r="O10" s="30">
        <f>PMT(O7,B8*B10,-B6)</f>
        <v>130.32080782908301</v>
      </c>
    </row>
    <row r="11" spans="1:16" ht="15">
      <c r="A11" s="32" t="s">
        <v>228</v>
      </c>
      <c r="B11" s="73">
        <f>PMT(O7,B8*B10,-B6)</f>
        <v>130.32080782908301</v>
      </c>
      <c r="C11" s="32"/>
      <c r="D11" s="32">
        <f>D6+5</f>
        <v>2025</v>
      </c>
      <c r="E11" s="70">
        <f>C213</f>
        <v>382.66831196898522</v>
      </c>
      <c r="F11" s="32"/>
    </row>
    <row r="12" spans="1:16" ht="15">
      <c r="A12" s="32" t="s">
        <v>229</v>
      </c>
      <c r="B12" s="74">
        <f>ROUNDUP(K13*26/360,0)</f>
        <v>24</v>
      </c>
      <c r="C12" s="171">
        <v>2020</v>
      </c>
      <c r="D12" s="32">
        <f>D6+6</f>
        <v>2026</v>
      </c>
      <c r="E12" s="70">
        <f>C246</f>
        <v>228.89239265608498</v>
      </c>
      <c r="F12" s="75"/>
      <c r="K12" s="76">
        <f>K13*12/360</f>
        <v>10.833333333333334</v>
      </c>
      <c r="L12" s="76">
        <f>ROUNDUP(K12,0)</f>
        <v>11</v>
      </c>
    </row>
    <row r="13" spans="1:16" ht="15">
      <c r="A13" s="32"/>
      <c r="B13" s="172">
        <v>44161</v>
      </c>
      <c r="C13" s="172">
        <v>43831</v>
      </c>
      <c r="D13" s="32">
        <f>D6+7</f>
        <v>2027</v>
      </c>
      <c r="E13" s="70">
        <f>C279</f>
        <v>68.00049552931992</v>
      </c>
      <c r="F13" s="75"/>
      <c r="K13">
        <f>DAYS360(C13,B13)</f>
        <v>325</v>
      </c>
    </row>
    <row r="14" spans="1:16" ht="15">
      <c r="A14" s="32"/>
      <c r="B14" s="77"/>
      <c r="C14" s="77"/>
      <c r="D14" s="32" t="s">
        <v>28</v>
      </c>
      <c r="E14" s="70">
        <f>SUM(E6:E13)</f>
        <v>3718.3870248931075</v>
      </c>
      <c r="F14" s="75"/>
    </row>
    <row r="15" spans="1:16" ht="15">
      <c r="A15" s="32"/>
      <c r="B15" s="78"/>
      <c r="C15" s="32"/>
      <c r="D15" s="32"/>
      <c r="E15" s="32"/>
      <c r="F15" s="32"/>
    </row>
    <row r="16" spans="1:16" ht="15.6">
      <c r="A16" s="31" t="s">
        <v>232</v>
      </c>
      <c r="B16" s="32"/>
      <c r="C16" s="32"/>
      <c r="D16" s="32"/>
      <c r="E16" s="32"/>
      <c r="F16" s="32"/>
    </row>
    <row r="17" spans="1:16" ht="15.6" thickBot="1">
      <c r="A17" s="32"/>
      <c r="B17" s="32"/>
      <c r="C17" s="32"/>
      <c r="D17" s="32"/>
      <c r="E17" s="32"/>
      <c r="F17" s="32"/>
    </row>
    <row r="18" spans="1:16" ht="15">
      <c r="A18" s="79" t="s">
        <v>230</v>
      </c>
      <c r="B18" s="80" t="s">
        <v>216</v>
      </c>
      <c r="C18" s="80" t="s">
        <v>21</v>
      </c>
      <c r="D18" s="80" t="s">
        <v>231</v>
      </c>
      <c r="E18" s="81" t="s">
        <v>208</v>
      </c>
      <c r="F18" s="32"/>
    </row>
    <row r="19" spans="1:16" ht="15">
      <c r="A19" s="82">
        <v>0</v>
      </c>
      <c r="B19" s="83"/>
      <c r="C19" s="83">
        <f>O7</f>
        <v>1.92092422270429E-3</v>
      </c>
      <c r="D19" s="83"/>
      <c r="E19" s="84">
        <f>IF(B12=1,B6,0)</f>
        <v>0</v>
      </c>
      <c r="F19" s="32"/>
      <c r="J19" s="32"/>
      <c r="K19" s="32"/>
    </row>
    <row r="20" spans="1:16" ht="15">
      <c r="A20" s="82">
        <v>1</v>
      </c>
      <c r="B20" s="85">
        <f>IF(B12=1,$B$11,0)</f>
        <v>0</v>
      </c>
      <c r="C20" s="86">
        <f>E19*$C$19</f>
        <v>0</v>
      </c>
      <c r="D20" s="85">
        <f>B20-C20</f>
        <v>0</v>
      </c>
      <c r="E20" s="87">
        <f>IF(B12=2,B6,IF(B12=1,E19-D20,0))</f>
        <v>0</v>
      </c>
      <c r="F20" s="32"/>
      <c r="J20" s="32"/>
      <c r="K20" s="75"/>
      <c r="P20">
        <f>A20</f>
        <v>1</v>
      </c>
    </row>
    <row r="21" spans="1:16" ht="15">
      <c r="A21" s="82">
        <f>A20+1</f>
        <v>2</v>
      </c>
      <c r="B21" s="85">
        <f>IF($B$12&gt;A21,0,$B$11)</f>
        <v>0</v>
      </c>
      <c r="C21" s="86">
        <f t="shared" ref="C21:C30" si="0">E20*$C$19</f>
        <v>0</v>
      </c>
      <c r="D21" s="85">
        <f>B21-C21</f>
        <v>0</v>
      </c>
      <c r="E21" s="87">
        <f>IF($B$12=A21+1,$B$6,IF($B$12&gt;A21,0,E20-D21))</f>
        <v>0</v>
      </c>
      <c r="F21" s="32"/>
      <c r="J21" s="32"/>
      <c r="K21" s="32"/>
      <c r="P21">
        <f>P20+1</f>
        <v>2</v>
      </c>
    </row>
    <row r="22" spans="1:16" ht="15">
      <c r="A22" s="82">
        <f>A21+1</f>
        <v>3</v>
      </c>
      <c r="B22" s="85">
        <f t="shared" ref="B22:B45" si="1">IF($B$12&gt;A22,0,$B$11)</f>
        <v>0</v>
      </c>
      <c r="C22" s="86">
        <f t="shared" si="0"/>
        <v>0</v>
      </c>
      <c r="D22" s="85">
        <f>B22-C22</f>
        <v>0</v>
      </c>
      <c r="E22" s="87">
        <f t="shared" ref="E22:E45" si="2">IF($B$12=A22+1,$B$6,IF($B$12&gt;A22,0,E21-D22))</f>
        <v>0</v>
      </c>
      <c r="F22" s="32"/>
      <c r="J22" s="32"/>
      <c r="K22" s="32"/>
    </row>
    <row r="23" spans="1:16" ht="15">
      <c r="A23" s="82">
        <f t="shared" ref="A23:A45" si="3">A22+1</f>
        <v>4</v>
      </c>
      <c r="B23" s="85">
        <f t="shared" si="1"/>
        <v>0</v>
      </c>
      <c r="C23" s="86">
        <f t="shared" si="0"/>
        <v>0</v>
      </c>
      <c r="D23" s="85">
        <f t="shared" ref="D23:D30" si="4">B23-C23</f>
        <v>0</v>
      </c>
      <c r="E23" s="87">
        <f t="shared" si="2"/>
        <v>0</v>
      </c>
      <c r="F23" s="32"/>
      <c r="J23" s="32"/>
      <c r="K23" s="75"/>
    </row>
    <row r="24" spans="1:16" ht="15">
      <c r="A24" s="82">
        <f t="shared" si="3"/>
        <v>5</v>
      </c>
      <c r="B24" s="85">
        <f t="shared" si="1"/>
        <v>0</v>
      </c>
      <c r="C24" s="86">
        <f t="shared" si="0"/>
        <v>0</v>
      </c>
      <c r="D24" s="85">
        <f t="shared" si="4"/>
        <v>0</v>
      </c>
      <c r="E24" s="87">
        <f t="shared" si="2"/>
        <v>0</v>
      </c>
      <c r="F24" s="32"/>
    </row>
    <row r="25" spans="1:16" ht="15">
      <c r="A25" s="82">
        <f t="shared" si="3"/>
        <v>6</v>
      </c>
      <c r="B25" s="85">
        <f t="shared" si="1"/>
        <v>0</v>
      </c>
      <c r="C25" s="86">
        <f t="shared" si="0"/>
        <v>0</v>
      </c>
      <c r="D25" s="85">
        <f t="shared" si="4"/>
        <v>0</v>
      </c>
      <c r="E25" s="87">
        <f t="shared" si="2"/>
        <v>0</v>
      </c>
      <c r="F25" s="32"/>
    </row>
    <row r="26" spans="1:16" ht="15">
      <c r="A26" s="82">
        <f t="shared" si="3"/>
        <v>7</v>
      </c>
      <c r="B26" s="85">
        <f t="shared" si="1"/>
        <v>0</v>
      </c>
      <c r="C26" s="86">
        <f t="shared" si="0"/>
        <v>0</v>
      </c>
      <c r="D26" s="85">
        <f t="shared" si="4"/>
        <v>0</v>
      </c>
      <c r="E26" s="87">
        <f t="shared" si="2"/>
        <v>0</v>
      </c>
      <c r="F26" s="32"/>
    </row>
    <row r="27" spans="1:16" ht="15">
      <c r="A27" s="82">
        <f t="shared" si="3"/>
        <v>8</v>
      </c>
      <c r="B27" s="85">
        <f t="shared" si="1"/>
        <v>0</v>
      </c>
      <c r="C27" s="86">
        <f t="shared" si="0"/>
        <v>0</v>
      </c>
      <c r="D27" s="85">
        <f t="shared" si="4"/>
        <v>0</v>
      </c>
      <c r="E27" s="87">
        <f t="shared" si="2"/>
        <v>0</v>
      </c>
      <c r="F27" s="32"/>
    </row>
    <row r="28" spans="1:16" ht="15">
      <c r="A28" s="82">
        <f t="shared" si="3"/>
        <v>9</v>
      </c>
      <c r="B28" s="85">
        <f t="shared" si="1"/>
        <v>0</v>
      </c>
      <c r="C28" s="86">
        <f t="shared" si="0"/>
        <v>0</v>
      </c>
      <c r="D28" s="85">
        <f t="shared" si="4"/>
        <v>0</v>
      </c>
      <c r="E28" s="87">
        <f t="shared" si="2"/>
        <v>0</v>
      </c>
      <c r="F28" s="32"/>
    </row>
    <row r="29" spans="1:16" ht="15">
      <c r="A29" s="82">
        <f t="shared" si="3"/>
        <v>10</v>
      </c>
      <c r="B29" s="85">
        <f t="shared" si="1"/>
        <v>0</v>
      </c>
      <c r="C29" s="86">
        <f t="shared" si="0"/>
        <v>0</v>
      </c>
      <c r="D29" s="85">
        <f t="shared" si="4"/>
        <v>0</v>
      </c>
      <c r="E29" s="87">
        <f t="shared" si="2"/>
        <v>0</v>
      </c>
      <c r="F29" s="32"/>
    </row>
    <row r="30" spans="1:16" ht="15">
      <c r="A30" s="82">
        <f t="shared" si="3"/>
        <v>11</v>
      </c>
      <c r="B30" s="85">
        <f t="shared" si="1"/>
        <v>0</v>
      </c>
      <c r="C30" s="86">
        <f t="shared" si="0"/>
        <v>0</v>
      </c>
      <c r="D30" s="85">
        <f t="shared" si="4"/>
        <v>0</v>
      </c>
      <c r="E30" s="87">
        <f t="shared" si="2"/>
        <v>0</v>
      </c>
      <c r="F30" s="32"/>
    </row>
    <row r="31" spans="1:16" ht="15">
      <c r="A31" s="82">
        <f t="shared" si="3"/>
        <v>12</v>
      </c>
      <c r="B31" s="85">
        <f t="shared" si="1"/>
        <v>0</v>
      </c>
      <c r="C31" s="86">
        <f t="shared" ref="C31:C45" si="5">E30*$C$19</f>
        <v>0</v>
      </c>
      <c r="D31" s="85">
        <f t="shared" ref="D31:D45" si="6">B31-C31</f>
        <v>0</v>
      </c>
      <c r="E31" s="87">
        <f t="shared" si="2"/>
        <v>0</v>
      </c>
      <c r="F31" s="32"/>
    </row>
    <row r="32" spans="1:16" ht="15">
      <c r="A32" s="82">
        <f t="shared" si="3"/>
        <v>13</v>
      </c>
      <c r="B32" s="85">
        <f t="shared" si="1"/>
        <v>0</v>
      </c>
      <c r="C32" s="86">
        <f t="shared" si="5"/>
        <v>0</v>
      </c>
      <c r="D32" s="85">
        <f t="shared" si="6"/>
        <v>0</v>
      </c>
      <c r="E32" s="87">
        <f t="shared" si="2"/>
        <v>0</v>
      </c>
      <c r="F32" s="32"/>
    </row>
    <row r="33" spans="1:6" ht="15">
      <c r="A33" s="82">
        <f t="shared" si="3"/>
        <v>14</v>
      </c>
      <c r="B33" s="85">
        <f t="shared" si="1"/>
        <v>0</v>
      </c>
      <c r="C33" s="86">
        <f t="shared" si="5"/>
        <v>0</v>
      </c>
      <c r="D33" s="85">
        <f t="shared" si="6"/>
        <v>0</v>
      </c>
      <c r="E33" s="87">
        <f t="shared" si="2"/>
        <v>0</v>
      </c>
      <c r="F33" s="32"/>
    </row>
    <row r="34" spans="1:6" ht="15">
      <c r="A34" s="82">
        <f t="shared" si="3"/>
        <v>15</v>
      </c>
      <c r="B34" s="85">
        <f t="shared" si="1"/>
        <v>0</v>
      </c>
      <c r="C34" s="86">
        <f t="shared" si="5"/>
        <v>0</v>
      </c>
      <c r="D34" s="85">
        <f t="shared" si="6"/>
        <v>0</v>
      </c>
      <c r="E34" s="87">
        <f t="shared" si="2"/>
        <v>0</v>
      </c>
      <c r="F34" s="32"/>
    </row>
    <row r="35" spans="1:6" ht="15">
      <c r="A35" s="82">
        <f t="shared" si="3"/>
        <v>16</v>
      </c>
      <c r="B35" s="85">
        <f t="shared" si="1"/>
        <v>0</v>
      </c>
      <c r="C35" s="86">
        <f t="shared" si="5"/>
        <v>0</v>
      </c>
      <c r="D35" s="85">
        <f t="shared" si="6"/>
        <v>0</v>
      </c>
      <c r="E35" s="87">
        <f t="shared" si="2"/>
        <v>0</v>
      </c>
      <c r="F35" s="32"/>
    </row>
    <row r="36" spans="1:6" ht="15">
      <c r="A36" s="82">
        <f t="shared" si="3"/>
        <v>17</v>
      </c>
      <c r="B36" s="85">
        <f t="shared" si="1"/>
        <v>0</v>
      </c>
      <c r="C36" s="86">
        <f t="shared" si="5"/>
        <v>0</v>
      </c>
      <c r="D36" s="85">
        <f t="shared" si="6"/>
        <v>0</v>
      </c>
      <c r="E36" s="87">
        <f t="shared" si="2"/>
        <v>0</v>
      </c>
      <c r="F36" s="32"/>
    </row>
    <row r="37" spans="1:6" ht="15">
      <c r="A37" s="82">
        <f t="shared" si="3"/>
        <v>18</v>
      </c>
      <c r="B37" s="85">
        <f t="shared" si="1"/>
        <v>0</v>
      </c>
      <c r="C37" s="86">
        <f t="shared" si="5"/>
        <v>0</v>
      </c>
      <c r="D37" s="85">
        <f t="shared" si="6"/>
        <v>0</v>
      </c>
      <c r="E37" s="87">
        <f t="shared" si="2"/>
        <v>0</v>
      </c>
      <c r="F37" s="32"/>
    </row>
    <row r="38" spans="1:6" ht="15">
      <c r="A38" s="82">
        <f t="shared" si="3"/>
        <v>19</v>
      </c>
      <c r="B38" s="85">
        <f t="shared" si="1"/>
        <v>0</v>
      </c>
      <c r="C38" s="86">
        <f t="shared" si="5"/>
        <v>0</v>
      </c>
      <c r="D38" s="85">
        <f t="shared" si="6"/>
        <v>0</v>
      </c>
      <c r="E38" s="87">
        <f t="shared" si="2"/>
        <v>0</v>
      </c>
      <c r="F38" s="32"/>
    </row>
    <row r="39" spans="1:6" ht="15">
      <c r="A39" s="82">
        <f t="shared" si="3"/>
        <v>20</v>
      </c>
      <c r="B39" s="85">
        <f t="shared" si="1"/>
        <v>0</v>
      </c>
      <c r="C39" s="86">
        <f t="shared" si="5"/>
        <v>0</v>
      </c>
      <c r="D39" s="85">
        <f t="shared" si="6"/>
        <v>0</v>
      </c>
      <c r="E39" s="87">
        <f t="shared" si="2"/>
        <v>0</v>
      </c>
      <c r="F39" s="32"/>
    </row>
    <row r="40" spans="1:6" ht="15">
      <c r="A40" s="82">
        <f t="shared" si="3"/>
        <v>21</v>
      </c>
      <c r="B40" s="85">
        <f t="shared" si="1"/>
        <v>0</v>
      </c>
      <c r="C40" s="86">
        <f t="shared" si="5"/>
        <v>0</v>
      </c>
      <c r="D40" s="85">
        <f t="shared" si="6"/>
        <v>0</v>
      </c>
      <c r="E40" s="87">
        <f t="shared" si="2"/>
        <v>0</v>
      </c>
      <c r="F40" s="32"/>
    </row>
    <row r="41" spans="1:6" ht="15">
      <c r="A41" s="82">
        <f t="shared" si="3"/>
        <v>22</v>
      </c>
      <c r="B41" s="85">
        <f t="shared" si="1"/>
        <v>0</v>
      </c>
      <c r="C41" s="86">
        <f t="shared" si="5"/>
        <v>0</v>
      </c>
      <c r="D41" s="85">
        <f t="shared" si="6"/>
        <v>0</v>
      </c>
      <c r="E41" s="87">
        <f t="shared" si="2"/>
        <v>0</v>
      </c>
      <c r="F41" s="32"/>
    </row>
    <row r="42" spans="1:6" ht="15">
      <c r="A42" s="82">
        <f t="shared" si="3"/>
        <v>23</v>
      </c>
      <c r="B42" s="85">
        <f t="shared" si="1"/>
        <v>0</v>
      </c>
      <c r="C42" s="86">
        <f t="shared" si="5"/>
        <v>0</v>
      </c>
      <c r="D42" s="85">
        <f t="shared" si="6"/>
        <v>0</v>
      </c>
      <c r="E42" s="87">
        <f t="shared" si="2"/>
        <v>20000</v>
      </c>
      <c r="F42" s="32"/>
    </row>
    <row r="43" spans="1:6" ht="15">
      <c r="A43" s="82">
        <f t="shared" si="3"/>
        <v>24</v>
      </c>
      <c r="B43" s="85">
        <f t="shared" si="1"/>
        <v>130.32080782908301</v>
      </c>
      <c r="C43" s="86">
        <f t="shared" si="5"/>
        <v>38.418484454085799</v>
      </c>
      <c r="D43" s="85">
        <f t="shared" si="6"/>
        <v>91.902323374997209</v>
      </c>
      <c r="E43" s="87">
        <f t="shared" si="2"/>
        <v>19908.097676625002</v>
      </c>
      <c r="F43" s="32"/>
    </row>
    <row r="44" spans="1:6" ht="15">
      <c r="A44" s="82">
        <f t="shared" si="3"/>
        <v>25</v>
      </c>
      <c r="B44" s="85">
        <f t="shared" si="1"/>
        <v>130.32080782908301</v>
      </c>
      <c r="C44" s="86">
        <f t="shared" si="5"/>
        <v>38.241947054991961</v>
      </c>
      <c r="D44" s="85">
        <f t="shared" si="6"/>
        <v>92.078860774091055</v>
      </c>
      <c r="E44" s="87">
        <f t="shared" si="2"/>
        <v>19816.018815850912</v>
      </c>
      <c r="F44" s="32"/>
    </row>
    <row r="45" spans="1:6" ht="15">
      <c r="A45" s="82">
        <f t="shared" si="3"/>
        <v>26</v>
      </c>
      <c r="B45" s="85">
        <f t="shared" si="1"/>
        <v>130.32080782908301</v>
      </c>
      <c r="C45" s="86">
        <f t="shared" si="5"/>
        <v>38.065070540931998</v>
      </c>
      <c r="D45" s="85">
        <f t="shared" si="6"/>
        <v>92.25573728815101</v>
      </c>
      <c r="E45" s="87">
        <f t="shared" si="2"/>
        <v>19723.763078562763</v>
      </c>
      <c r="F45" s="32"/>
    </row>
    <row r="46" spans="1:6" ht="15.6" thickBot="1">
      <c r="A46" s="88">
        <f>C12</f>
        <v>2020</v>
      </c>
      <c r="B46" s="110">
        <f>SUM(B20:B45)</f>
        <v>390.962423487249</v>
      </c>
      <c r="C46" s="110">
        <f>SUM(C20:C45)</f>
        <v>114.72550205000977</v>
      </c>
      <c r="D46" s="110">
        <f>SUM(D20:D45)</f>
        <v>276.23692143723929</v>
      </c>
      <c r="E46" s="90"/>
      <c r="F46" s="32"/>
    </row>
    <row r="47" spans="1:6" ht="15" hidden="1">
      <c r="A47" s="91"/>
      <c r="B47" s="92"/>
      <c r="C47" s="70"/>
      <c r="D47" s="73"/>
      <c r="E47" s="92"/>
      <c r="F47" s="32"/>
    </row>
    <row r="48" spans="1:6" ht="15" hidden="1">
      <c r="A48" s="91"/>
      <c r="B48" s="92"/>
      <c r="C48" s="70"/>
      <c r="D48" s="73"/>
      <c r="E48" s="92"/>
      <c r="F48" s="32"/>
    </row>
    <row r="49" spans="1:6" ht="15" hidden="1">
      <c r="A49" s="91"/>
      <c r="B49" s="92"/>
      <c r="C49" s="70"/>
      <c r="D49" s="73"/>
      <c r="E49" s="92"/>
      <c r="F49" s="32"/>
    </row>
    <row r="50" spans="1:6" ht="13.8" hidden="1" thickBot="1"/>
    <row r="52" spans="1:6" ht="13.8" thickBot="1"/>
    <row r="53" spans="1:6" ht="12.6" customHeight="1">
      <c r="A53" s="79" t="s">
        <v>230</v>
      </c>
      <c r="B53" s="80" t="s">
        <v>216</v>
      </c>
      <c r="C53" s="80" t="s">
        <v>21</v>
      </c>
      <c r="D53" s="80" t="s">
        <v>231</v>
      </c>
      <c r="E53" s="81" t="s">
        <v>208</v>
      </c>
    </row>
    <row r="54" spans="1:6" ht="12.6" customHeight="1">
      <c r="A54" s="82">
        <v>0</v>
      </c>
      <c r="B54" s="83"/>
      <c r="C54" s="83"/>
      <c r="D54" s="83"/>
      <c r="E54" s="84">
        <f>E45</f>
        <v>19723.763078562763</v>
      </c>
    </row>
    <row r="55" spans="1:6" ht="12.6" customHeight="1">
      <c r="A55" s="82">
        <v>1</v>
      </c>
      <c r="B55" s="85">
        <f t="shared" ref="B55:B80" si="7">$B$11</f>
        <v>130.32080782908301</v>
      </c>
      <c r="C55" s="86">
        <f>E54*$C$19</f>
        <v>37.88785426049175</v>
      </c>
      <c r="D55" s="85">
        <f t="shared" ref="D55:D66" si="8">B55-C55</f>
        <v>92.432953568591259</v>
      </c>
      <c r="E55" s="87">
        <f t="shared" ref="E55:E66" si="9">E54-D55</f>
        <v>19631.330124994172</v>
      </c>
    </row>
    <row r="56" spans="1:6" ht="12.6" customHeight="1">
      <c r="A56" s="82">
        <f>A55+1</f>
        <v>2</v>
      </c>
      <c r="B56" s="85">
        <f t="shared" si="7"/>
        <v>130.32080782908301</v>
      </c>
      <c r="C56" s="86">
        <f t="shared" ref="C56:C66" si="10">E55*$C$19</f>
        <v>37.710297561005746</v>
      </c>
      <c r="D56" s="85">
        <f t="shared" si="8"/>
        <v>92.610510268077263</v>
      </c>
      <c r="E56" s="87">
        <f t="shared" si="9"/>
        <v>19538.719614726095</v>
      </c>
    </row>
    <row r="57" spans="1:6" ht="12.6" customHeight="1">
      <c r="A57" s="82">
        <f>A56+1</f>
        <v>3</v>
      </c>
      <c r="B57" s="85">
        <f t="shared" si="7"/>
        <v>130.32080782908301</v>
      </c>
      <c r="C57" s="86">
        <f t="shared" si="10"/>
        <v>37.532399788554791</v>
      </c>
      <c r="D57" s="85">
        <f t="shared" si="8"/>
        <v>92.788408040528225</v>
      </c>
      <c r="E57" s="87">
        <f t="shared" si="9"/>
        <v>19445.931206685567</v>
      </c>
    </row>
    <row r="58" spans="1:6" ht="12.6" customHeight="1">
      <c r="A58" s="82">
        <f>A57+1</f>
        <v>4</v>
      </c>
      <c r="B58" s="85">
        <f t="shared" si="7"/>
        <v>130.32080782908301</v>
      </c>
      <c r="C58" s="86">
        <f t="shared" si="10"/>
        <v>37.354160287963566</v>
      </c>
      <c r="D58" s="85">
        <f t="shared" si="8"/>
        <v>92.966647541119443</v>
      </c>
      <c r="E58" s="87">
        <f t="shared" si="9"/>
        <v>19352.96455914445</v>
      </c>
    </row>
    <row r="59" spans="1:6" ht="12.6" customHeight="1">
      <c r="A59" s="93">
        <v>5</v>
      </c>
      <c r="B59" s="85">
        <f t="shared" si="7"/>
        <v>130.32080782908301</v>
      </c>
      <c r="C59" s="86">
        <f t="shared" si="10"/>
        <v>37.175578402798223</v>
      </c>
      <c r="D59" s="85">
        <f t="shared" si="8"/>
        <v>93.145229426284786</v>
      </c>
      <c r="E59" s="87">
        <f t="shared" si="9"/>
        <v>19259.819329718164</v>
      </c>
    </row>
    <row r="60" spans="1:6" ht="12.6" customHeight="1">
      <c r="A60" s="93">
        <v>6</v>
      </c>
      <c r="B60" s="85">
        <f t="shared" si="7"/>
        <v>130.32080782908301</v>
      </c>
      <c r="C60" s="86">
        <f t="shared" si="10"/>
        <v>36.996653475363921</v>
      </c>
      <c r="D60" s="85">
        <f t="shared" si="8"/>
        <v>93.324154353719081</v>
      </c>
      <c r="E60" s="87">
        <f t="shared" si="9"/>
        <v>19166.495175364445</v>
      </c>
    </row>
    <row r="61" spans="1:6" ht="12.6" customHeight="1">
      <c r="A61" s="93">
        <v>7</v>
      </c>
      <c r="B61" s="85">
        <f t="shared" si="7"/>
        <v>130.32080782908301</v>
      </c>
      <c r="C61" s="86">
        <f t="shared" si="10"/>
        <v>36.817384846702474</v>
      </c>
      <c r="D61" s="85">
        <f t="shared" si="8"/>
        <v>93.503422982380528</v>
      </c>
      <c r="E61" s="87">
        <f t="shared" si="9"/>
        <v>19072.991752382066</v>
      </c>
    </row>
    <row r="62" spans="1:6" ht="12.6" customHeight="1">
      <c r="A62" s="93">
        <v>8</v>
      </c>
      <c r="B62" s="85">
        <f t="shared" si="7"/>
        <v>130.32080782908301</v>
      </c>
      <c r="C62" s="86">
        <f t="shared" si="10"/>
        <v>36.63777185658985</v>
      </c>
      <c r="D62" s="85">
        <f t="shared" si="8"/>
        <v>93.683035972493158</v>
      </c>
      <c r="E62" s="87">
        <f t="shared" si="9"/>
        <v>18979.308716409574</v>
      </c>
    </row>
    <row r="63" spans="1:6" ht="12.6" customHeight="1">
      <c r="A63" s="93">
        <v>9</v>
      </c>
      <c r="B63" s="85">
        <f t="shared" si="7"/>
        <v>130.32080782908301</v>
      </c>
      <c r="C63" s="86">
        <f t="shared" si="10"/>
        <v>36.457813843533813</v>
      </c>
      <c r="D63" s="85">
        <f t="shared" si="8"/>
        <v>93.862993985549195</v>
      </c>
      <c r="E63" s="87">
        <f t="shared" si="9"/>
        <v>18885.445722424025</v>
      </c>
    </row>
    <row r="64" spans="1:6" ht="12.6" customHeight="1">
      <c r="A64" s="93">
        <v>10</v>
      </c>
      <c r="B64" s="85">
        <f t="shared" si="7"/>
        <v>130.32080782908301</v>
      </c>
      <c r="C64" s="86">
        <f t="shared" si="10"/>
        <v>36.277510144771426</v>
      </c>
      <c r="D64" s="85">
        <f t="shared" si="8"/>
        <v>94.043297684311582</v>
      </c>
      <c r="E64" s="87">
        <f t="shared" si="9"/>
        <v>18791.402424739714</v>
      </c>
    </row>
    <row r="65" spans="1:5" ht="12.6" customHeight="1">
      <c r="A65" s="93">
        <v>11</v>
      </c>
      <c r="B65" s="85">
        <f t="shared" si="7"/>
        <v>130.32080782908301</v>
      </c>
      <c r="C65" s="86">
        <f t="shared" si="10"/>
        <v>36.096860096266646</v>
      </c>
      <c r="D65" s="85">
        <f t="shared" si="8"/>
        <v>94.223947732816356</v>
      </c>
      <c r="E65" s="87">
        <f t="shared" si="9"/>
        <v>18697.178477006899</v>
      </c>
    </row>
    <row r="66" spans="1:5" ht="12.6" customHeight="1">
      <c r="A66" s="93">
        <f>A65+1</f>
        <v>12</v>
      </c>
      <c r="B66" s="85">
        <f t="shared" si="7"/>
        <v>130.32080782908301</v>
      </c>
      <c r="C66" s="86">
        <f t="shared" si="10"/>
        <v>35.915863032707854</v>
      </c>
      <c r="D66" s="85">
        <f t="shared" si="8"/>
        <v>94.404944796375162</v>
      </c>
      <c r="E66" s="87">
        <f t="shared" si="9"/>
        <v>18602.773532210525</v>
      </c>
    </row>
    <row r="67" spans="1:5" ht="12.6" customHeight="1">
      <c r="A67" s="93">
        <f t="shared" ref="A67:A80" si="11">A66+1</f>
        <v>13</v>
      </c>
      <c r="B67" s="85">
        <f t="shared" si="7"/>
        <v>130.32080782908301</v>
      </c>
      <c r="C67" s="86">
        <f>E66*$C$19</f>
        <v>35.734518287505445</v>
      </c>
      <c r="D67" s="85">
        <f t="shared" ref="D67:D78" si="12">B67-C67</f>
        <v>94.586289541577571</v>
      </c>
      <c r="E67" s="87">
        <f t="shared" ref="E67:E78" si="13">E66-D67</f>
        <v>18508.187242668948</v>
      </c>
    </row>
    <row r="68" spans="1:5" ht="12.6" customHeight="1">
      <c r="A68" s="93">
        <f t="shared" si="11"/>
        <v>14</v>
      </c>
      <c r="B68" s="85">
        <f t="shared" si="7"/>
        <v>130.32080782908301</v>
      </c>
      <c r="C68" s="86">
        <f t="shared" ref="C68:C78" si="14">E67*$C$19</f>
        <v>35.552825192789307</v>
      </c>
      <c r="D68" s="85">
        <f t="shared" si="12"/>
        <v>94.767982636293709</v>
      </c>
      <c r="E68" s="87">
        <f t="shared" si="13"/>
        <v>18413.419260032653</v>
      </c>
    </row>
    <row r="69" spans="1:5" ht="12.6" customHeight="1">
      <c r="A69" s="93">
        <f t="shared" si="11"/>
        <v>15</v>
      </c>
      <c r="B69" s="85">
        <f t="shared" si="7"/>
        <v>130.32080782908301</v>
      </c>
      <c r="C69" s="86">
        <f t="shared" si="14"/>
        <v>35.370783079406429</v>
      </c>
      <c r="D69" s="85">
        <f t="shared" si="12"/>
        <v>94.950024749676572</v>
      </c>
      <c r="E69" s="87">
        <f t="shared" si="13"/>
        <v>18318.469235282977</v>
      </c>
    </row>
    <row r="70" spans="1:5" ht="12.6" customHeight="1">
      <c r="A70" s="93">
        <f t="shared" si="11"/>
        <v>16</v>
      </c>
      <c r="B70" s="85">
        <f t="shared" si="7"/>
        <v>130.32080782908301</v>
      </c>
      <c r="C70" s="86">
        <f t="shared" si="14"/>
        <v>35.188391276918402</v>
      </c>
      <c r="D70" s="85">
        <f t="shared" si="12"/>
        <v>95.132416552164614</v>
      </c>
      <c r="E70" s="87">
        <f t="shared" si="13"/>
        <v>18223.336818730812</v>
      </c>
    </row>
    <row r="71" spans="1:5" ht="12.6" customHeight="1">
      <c r="A71" s="93">
        <f t="shared" si="11"/>
        <v>17</v>
      </c>
      <c r="B71" s="85">
        <f t="shared" si="7"/>
        <v>130.32080782908301</v>
      </c>
      <c r="C71" s="86">
        <f t="shared" si="14"/>
        <v>35.005649113598956</v>
      </c>
      <c r="D71" s="85">
        <f t="shared" si="12"/>
        <v>95.315158715484046</v>
      </c>
      <c r="E71" s="87">
        <f t="shared" si="13"/>
        <v>18128.021660015329</v>
      </c>
    </row>
    <row r="72" spans="1:5" ht="12.6" customHeight="1">
      <c r="A72" s="93">
        <f t="shared" si="11"/>
        <v>18</v>
      </c>
      <c r="B72" s="85">
        <f t="shared" si="7"/>
        <v>130.32080782908301</v>
      </c>
      <c r="C72" s="86">
        <f t="shared" si="14"/>
        <v>34.822555916431476</v>
      </c>
      <c r="D72" s="85">
        <f t="shared" si="12"/>
        <v>95.49825191265154</v>
      </c>
      <c r="E72" s="87">
        <f t="shared" si="13"/>
        <v>18032.523408102679</v>
      </c>
    </row>
    <row r="73" spans="1:5" ht="12.6" customHeight="1">
      <c r="A73" s="93">
        <f t="shared" si="11"/>
        <v>19</v>
      </c>
      <c r="B73" s="85">
        <f t="shared" si="7"/>
        <v>130.32080782908301</v>
      </c>
      <c r="C73" s="86">
        <f t="shared" si="14"/>
        <v>34.63911101110655</v>
      </c>
      <c r="D73" s="85">
        <f t="shared" si="12"/>
        <v>95.681696817976459</v>
      </c>
      <c r="E73" s="87">
        <f t="shared" si="13"/>
        <v>17936.841711284702</v>
      </c>
    </row>
    <row r="74" spans="1:5" ht="12.6" customHeight="1">
      <c r="A74" s="93">
        <f t="shared" si="11"/>
        <v>20</v>
      </c>
      <c r="B74" s="85">
        <f t="shared" si="7"/>
        <v>130.32080782908301</v>
      </c>
      <c r="C74" s="86">
        <f t="shared" si="14"/>
        <v>34.455313722019454</v>
      </c>
      <c r="D74" s="85">
        <f t="shared" si="12"/>
        <v>95.865494107063554</v>
      </c>
      <c r="E74" s="87">
        <f t="shared" si="13"/>
        <v>17840.976217177638</v>
      </c>
    </row>
    <row r="75" spans="1:5" ht="12.6" customHeight="1">
      <c r="A75" s="93">
        <f t="shared" si="11"/>
        <v>21</v>
      </c>
      <c r="B75" s="85">
        <f t="shared" si="7"/>
        <v>130.32080782908301</v>
      </c>
      <c r="C75" s="86">
        <f t="shared" si="14"/>
        <v>34.271163372267679</v>
      </c>
      <c r="D75" s="85">
        <f t="shared" si="12"/>
        <v>96.049644456815329</v>
      </c>
      <c r="E75" s="87">
        <f t="shared" si="13"/>
        <v>17744.926572720822</v>
      </c>
    </row>
    <row r="76" spans="1:5" ht="12.6" customHeight="1">
      <c r="A76" s="93">
        <f t="shared" si="11"/>
        <v>22</v>
      </c>
      <c r="B76" s="85">
        <f t="shared" si="7"/>
        <v>130.32080782908301</v>
      </c>
      <c r="C76" s="86">
        <f t="shared" si="14"/>
        <v>34.086659283648444</v>
      </c>
      <c r="D76" s="85">
        <f t="shared" si="12"/>
        <v>96.234148545434564</v>
      </c>
      <c r="E76" s="87">
        <f t="shared" si="13"/>
        <v>17648.692424175388</v>
      </c>
    </row>
    <row r="77" spans="1:5" ht="12.6" customHeight="1">
      <c r="A77" s="93">
        <f t="shared" si="11"/>
        <v>23</v>
      </c>
      <c r="B77" s="85">
        <f t="shared" si="7"/>
        <v>130.32080782908301</v>
      </c>
      <c r="C77" s="86">
        <f t="shared" si="14"/>
        <v>33.901800776656195</v>
      </c>
      <c r="D77" s="85">
        <f t="shared" si="12"/>
        <v>96.419007052426821</v>
      </c>
      <c r="E77" s="87">
        <f t="shared" si="13"/>
        <v>17552.27341712296</v>
      </c>
    </row>
    <row r="78" spans="1:5" ht="12.6" customHeight="1">
      <c r="A78" s="93">
        <f t="shared" si="11"/>
        <v>24</v>
      </c>
      <c r="B78" s="85">
        <f t="shared" si="7"/>
        <v>130.32080782908301</v>
      </c>
      <c r="C78" s="86">
        <f t="shared" si="14"/>
        <v>33.716587170480096</v>
      </c>
      <c r="D78" s="85">
        <f t="shared" si="12"/>
        <v>96.604220658602912</v>
      </c>
      <c r="E78" s="87">
        <f t="shared" si="13"/>
        <v>17455.669196464358</v>
      </c>
    </row>
    <row r="79" spans="1:5" ht="12.6" customHeight="1">
      <c r="A79" s="93">
        <f t="shared" si="11"/>
        <v>25</v>
      </c>
      <c r="B79" s="85">
        <f t="shared" si="7"/>
        <v>130.32080782908301</v>
      </c>
      <c r="C79" s="86">
        <f t="shared" ref="C79:C80" si="15">E78*$C$19</f>
        <v>33.531017783001516</v>
      </c>
      <c r="D79" s="85">
        <f t="shared" ref="D79:D80" si="16">B79-C79</f>
        <v>96.789790046081492</v>
      </c>
      <c r="E79" s="87">
        <f t="shared" ref="E79:E80" si="17">E78-D79</f>
        <v>17358.879406418277</v>
      </c>
    </row>
    <row r="80" spans="1:5" ht="12.6" customHeight="1">
      <c r="A80" s="93">
        <f t="shared" si="11"/>
        <v>26</v>
      </c>
      <c r="B80" s="85">
        <f t="shared" si="7"/>
        <v>130.32080782908301</v>
      </c>
      <c r="C80" s="86">
        <f t="shared" si="15"/>
        <v>33.345091930791533</v>
      </c>
      <c r="D80" s="85">
        <f t="shared" si="16"/>
        <v>96.975715898291469</v>
      </c>
      <c r="E80" s="87">
        <f t="shared" si="17"/>
        <v>17261.903690519986</v>
      </c>
    </row>
    <row r="81" spans="1:5" ht="12.6" customHeight="1" thickBot="1">
      <c r="A81" s="88">
        <f>A46+1</f>
        <v>2021</v>
      </c>
      <c r="B81" s="110">
        <f>SUM(B55:B80)</f>
        <v>3388.3410035561592</v>
      </c>
      <c r="C81" s="110">
        <f>SUM(C55:C80)</f>
        <v>926.48161551337171</v>
      </c>
      <c r="D81" s="110">
        <f>SUM(D55:D80)</f>
        <v>2461.8593880427875</v>
      </c>
      <c r="E81" s="90"/>
    </row>
    <row r="82" spans="1:5" ht="12.6" hidden="1" customHeight="1">
      <c r="A82" s="91"/>
      <c r="B82" s="109"/>
      <c r="C82" s="109"/>
      <c r="D82" s="109"/>
      <c r="E82" s="92"/>
    </row>
    <row r="83" spans="1:5" ht="12.6" hidden="1" customHeight="1">
      <c r="A83" s="91"/>
      <c r="B83" s="109"/>
      <c r="C83" s="109"/>
      <c r="D83" s="109"/>
      <c r="E83" s="92"/>
    </row>
    <row r="84" spans="1:5" ht="12.6" hidden="1" customHeight="1">
      <c r="A84" s="91"/>
      <c r="B84" s="109"/>
      <c r="C84" s="109"/>
      <c r="D84" s="109"/>
      <c r="E84" s="92"/>
    </row>
    <row r="85" spans="1:5" ht="9" customHeight="1" thickBot="1">
      <c r="A85" s="91"/>
      <c r="B85" s="109"/>
      <c r="C85" s="109"/>
      <c r="D85" s="109"/>
      <c r="E85" s="92"/>
    </row>
    <row r="86" spans="1:5" ht="12.6" customHeight="1">
      <c r="A86" s="79" t="s">
        <v>230</v>
      </c>
      <c r="B86" s="80" t="s">
        <v>216</v>
      </c>
      <c r="C86" s="80" t="s">
        <v>21</v>
      </c>
      <c r="D86" s="80" t="s">
        <v>231</v>
      </c>
      <c r="E86" s="81" t="s">
        <v>208</v>
      </c>
    </row>
    <row r="87" spans="1:5" ht="12.6" customHeight="1">
      <c r="A87" s="82">
        <v>0</v>
      </c>
      <c r="B87" s="83"/>
      <c r="C87" s="83"/>
      <c r="D87" s="83"/>
      <c r="E87" s="84">
        <f>E80</f>
        <v>17261.903690519986</v>
      </c>
    </row>
    <row r="88" spans="1:5" ht="12.6" customHeight="1">
      <c r="A88" s="82">
        <v>1</v>
      </c>
      <c r="B88" s="85">
        <f t="shared" ref="B88" si="18">$B$11</f>
        <v>130.32080782908301</v>
      </c>
      <c r="C88" s="86">
        <f>E87*$C$19</f>
        <v>33.158808929108417</v>
      </c>
      <c r="D88" s="85">
        <f t="shared" ref="D88:D113" si="19">B88-C88</f>
        <v>97.161998899974591</v>
      </c>
      <c r="E88" s="87">
        <f t="shared" ref="E88:E113" si="20">E87-D88</f>
        <v>17164.741691620013</v>
      </c>
    </row>
    <row r="89" spans="1:5" ht="12.6" customHeight="1">
      <c r="A89" s="82">
        <f>A88+1</f>
        <v>2</v>
      </c>
      <c r="B89" s="85">
        <f>IF(E88+C89&lt;$B$11,E88+C89,$B$11)</f>
        <v>130.32080782908301</v>
      </c>
      <c r="C89" s="86">
        <f t="shared" ref="C89:C99" si="21">E88*$C$19</f>
        <v>32.972168091895092</v>
      </c>
      <c r="D89" s="85">
        <f t="shared" si="19"/>
        <v>97.348639737187909</v>
      </c>
      <c r="E89" s="87">
        <f t="shared" si="20"/>
        <v>17067.393051882824</v>
      </c>
    </row>
    <row r="90" spans="1:5" ht="12.6" customHeight="1">
      <c r="A90" s="82">
        <f>A89+1</f>
        <v>3</v>
      </c>
      <c r="B90" s="85">
        <f t="shared" ref="B90:B113" si="22">IF(E89+C90&lt;$B$11,E89+C90,$B$11)</f>
        <v>130.32080782908301</v>
      </c>
      <c r="C90" s="86">
        <f t="shared" si="21"/>
        <v>32.785168731776615</v>
      </c>
      <c r="D90" s="85">
        <f t="shared" si="19"/>
        <v>97.535639097306387</v>
      </c>
      <c r="E90" s="87">
        <f t="shared" si="20"/>
        <v>16969.857412785517</v>
      </c>
    </row>
    <row r="91" spans="1:5" ht="12.6" customHeight="1">
      <c r="A91" s="82">
        <f>A90+1</f>
        <v>4</v>
      </c>
      <c r="B91" s="85">
        <f t="shared" si="22"/>
        <v>130.32080782908301</v>
      </c>
      <c r="C91" s="86">
        <f t="shared" si="21"/>
        <v>32.597810160057655</v>
      </c>
      <c r="D91" s="85">
        <f t="shared" si="19"/>
        <v>97.722997669025347</v>
      </c>
      <c r="E91" s="87">
        <f t="shared" si="20"/>
        <v>16872.134415116492</v>
      </c>
    </row>
    <row r="92" spans="1:5" ht="12.6" customHeight="1">
      <c r="A92" s="93">
        <v>5</v>
      </c>
      <c r="B92" s="85">
        <f t="shared" si="22"/>
        <v>130.32080782908301</v>
      </c>
      <c r="C92" s="86">
        <f t="shared" si="21"/>
        <v>32.410091686719944</v>
      </c>
      <c r="D92" s="85">
        <f t="shared" si="19"/>
        <v>97.910716142363071</v>
      </c>
      <c r="E92" s="87">
        <f t="shared" si="20"/>
        <v>16774.223698974129</v>
      </c>
    </row>
    <row r="93" spans="1:5" ht="12.6" customHeight="1">
      <c r="A93" s="93">
        <v>6</v>
      </c>
      <c r="B93" s="85">
        <f t="shared" si="22"/>
        <v>130.32080782908301</v>
      </c>
      <c r="C93" s="86">
        <f t="shared" si="21"/>
        <v>32.222012620419761</v>
      </c>
      <c r="D93" s="85">
        <f t="shared" si="19"/>
        <v>98.098795208663248</v>
      </c>
      <c r="E93" s="87">
        <f t="shared" si="20"/>
        <v>16676.124903765467</v>
      </c>
    </row>
    <row r="94" spans="1:5" ht="12.6" customHeight="1">
      <c r="A94" s="93">
        <v>7</v>
      </c>
      <c r="B94" s="85">
        <f t="shared" si="22"/>
        <v>130.32080782908301</v>
      </c>
      <c r="C94" s="86">
        <f t="shared" si="21"/>
        <v>32.033572268485329</v>
      </c>
      <c r="D94" s="85">
        <f t="shared" si="19"/>
        <v>98.287235560597679</v>
      </c>
      <c r="E94" s="87">
        <f t="shared" si="20"/>
        <v>16577.837668204869</v>
      </c>
    </row>
    <row r="95" spans="1:5" ht="12.6" customHeight="1">
      <c r="A95" s="93">
        <v>8</v>
      </c>
      <c r="B95" s="85">
        <f t="shared" si="22"/>
        <v>130.32080782908301</v>
      </c>
      <c r="C95" s="86">
        <f t="shared" si="21"/>
        <v>31.844769936914336</v>
      </c>
      <c r="D95" s="85">
        <f t="shared" si="19"/>
        <v>98.476037892168677</v>
      </c>
      <c r="E95" s="87">
        <f t="shared" si="20"/>
        <v>16479.361630312702</v>
      </c>
    </row>
    <row r="96" spans="1:5" ht="12.6" customHeight="1">
      <c r="A96" s="93">
        <v>9</v>
      </c>
      <c r="B96" s="85">
        <f t="shared" si="22"/>
        <v>130.32080782908301</v>
      </c>
      <c r="C96" s="86">
        <f t="shared" si="21"/>
        <v>31.655604930371329</v>
      </c>
      <c r="D96" s="85">
        <f t="shared" si="19"/>
        <v>98.665202898711684</v>
      </c>
      <c r="E96" s="87">
        <f t="shared" si="20"/>
        <v>16380.69642741399</v>
      </c>
    </row>
    <row r="97" spans="1:5" ht="12.6" customHeight="1">
      <c r="A97" s="93">
        <v>10</v>
      </c>
      <c r="B97" s="85">
        <f t="shared" si="22"/>
        <v>130.32080782908301</v>
      </c>
      <c r="C97" s="86">
        <f t="shared" si="21"/>
        <v>31.466076552185157</v>
      </c>
      <c r="D97" s="85">
        <f t="shared" si="19"/>
        <v>98.854731276897851</v>
      </c>
      <c r="E97" s="87">
        <f t="shared" si="20"/>
        <v>16281.841696137091</v>
      </c>
    </row>
    <row r="98" spans="1:5" ht="12.6" customHeight="1">
      <c r="A98" s="93">
        <v>11</v>
      </c>
      <c r="B98" s="85">
        <f t="shared" si="22"/>
        <v>130.32080782908301</v>
      </c>
      <c r="C98" s="86">
        <f t="shared" si="21"/>
        <v>31.276184104346441</v>
      </c>
      <c r="D98" s="85">
        <f t="shared" si="19"/>
        <v>99.044623724736567</v>
      </c>
      <c r="E98" s="87">
        <f t="shared" si="20"/>
        <v>16182.797072412355</v>
      </c>
    </row>
    <row r="99" spans="1:5" ht="12.6" customHeight="1">
      <c r="A99" s="93">
        <f>A98+1</f>
        <v>12</v>
      </c>
      <c r="B99" s="85">
        <f t="shared" si="22"/>
        <v>130.32080782908301</v>
      </c>
      <c r="C99" s="86">
        <f t="shared" si="21"/>
        <v>31.085926887504964</v>
      </c>
      <c r="D99" s="85">
        <f t="shared" si="19"/>
        <v>99.234880941578041</v>
      </c>
      <c r="E99" s="87">
        <f t="shared" si="20"/>
        <v>16083.562191470777</v>
      </c>
    </row>
    <row r="100" spans="1:5" ht="12.6" customHeight="1">
      <c r="A100" s="93">
        <f t="shared" ref="A100:A113" si="23">A99+1</f>
        <v>13</v>
      </c>
      <c r="B100" s="85">
        <f t="shared" si="22"/>
        <v>130.32080782908301</v>
      </c>
      <c r="C100" s="86">
        <f>E99*$C$19</f>
        <v>30.895304200967111</v>
      </c>
      <c r="D100" s="85">
        <f t="shared" si="19"/>
        <v>99.425503628115905</v>
      </c>
      <c r="E100" s="87">
        <f t="shared" si="20"/>
        <v>15984.136687842662</v>
      </c>
    </row>
    <row r="101" spans="1:5" ht="12.6" customHeight="1">
      <c r="A101" s="93">
        <f t="shared" si="23"/>
        <v>14</v>
      </c>
      <c r="B101" s="85">
        <f t="shared" si="22"/>
        <v>130.32080782908301</v>
      </c>
      <c r="C101" s="86">
        <f t="shared" ref="C101:C113" si="24">E100*$C$19</f>
        <v>30.704315342693288</v>
      </c>
      <c r="D101" s="85">
        <f t="shared" si="19"/>
        <v>99.616492486389717</v>
      </c>
      <c r="E101" s="87">
        <f t="shared" si="20"/>
        <v>15884.520195356272</v>
      </c>
    </row>
    <row r="102" spans="1:5" ht="12.6" customHeight="1">
      <c r="A102" s="93">
        <f t="shared" si="23"/>
        <v>15</v>
      </c>
      <c r="B102" s="85">
        <f t="shared" si="22"/>
        <v>130.32080782908301</v>
      </c>
      <c r="C102" s="86">
        <f t="shared" si="24"/>
        <v>30.512959609295343</v>
      </c>
      <c r="D102" s="85">
        <f t="shared" si="19"/>
        <v>99.807848219787672</v>
      </c>
      <c r="E102" s="87">
        <f t="shared" si="20"/>
        <v>15784.712347136485</v>
      </c>
    </row>
    <row r="103" spans="1:5" ht="12.6" customHeight="1">
      <c r="A103" s="93">
        <f t="shared" si="23"/>
        <v>16</v>
      </c>
      <c r="B103" s="85">
        <f t="shared" si="22"/>
        <v>130.32080782908301</v>
      </c>
      <c r="C103" s="86">
        <f t="shared" si="24"/>
        <v>30.321236296033959</v>
      </c>
      <c r="D103" s="85">
        <f t="shared" si="19"/>
        <v>99.99957153304905</v>
      </c>
      <c r="E103" s="87">
        <f t="shared" si="20"/>
        <v>15684.712775603435</v>
      </c>
    </row>
    <row r="104" spans="1:5" ht="12.6" customHeight="1">
      <c r="A104" s="93">
        <f t="shared" si="23"/>
        <v>17</v>
      </c>
      <c r="B104" s="85">
        <f t="shared" si="22"/>
        <v>130.32080782908301</v>
      </c>
      <c r="C104" s="86">
        <f t="shared" si="24"/>
        <v>30.129144696816073</v>
      </c>
      <c r="D104" s="85">
        <f t="shared" si="19"/>
        <v>100.19166313226694</v>
      </c>
      <c r="E104" s="87">
        <f t="shared" si="20"/>
        <v>15584.521112471168</v>
      </c>
    </row>
    <row r="105" spans="1:5" ht="12.6" customHeight="1">
      <c r="A105" s="93">
        <f t="shared" si="23"/>
        <v>18</v>
      </c>
      <c r="B105" s="85">
        <f t="shared" si="22"/>
        <v>130.32080782908301</v>
      </c>
      <c r="C105" s="86">
        <f t="shared" si="24"/>
        <v>29.936684104192274</v>
      </c>
      <c r="D105" s="85">
        <f t="shared" si="19"/>
        <v>100.38412372489074</v>
      </c>
      <c r="E105" s="87">
        <f t="shared" si="20"/>
        <v>15484.136988746277</v>
      </c>
    </row>
    <row r="106" spans="1:5" ht="12.6" customHeight="1">
      <c r="A106" s="93">
        <f t="shared" si="23"/>
        <v>19</v>
      </c>
      <c r="B106" s="85">
        <f t="shared" si="22"/>
        <v>130.32080782908301</v>
      </c>
      <c r="C106" s="86">
        <f t="shared" si="24"/>
        <v>29.743853809354189</v>
      </c>
      <c r="D106" s="85">
        <f t="shared" si="19"/>
        <v>100.57695401972882</v>
      </c>
      <c r="E106" s="87">
        <f t="shared" si="20"/>
        <v>15383.560034726548</v>
      </c>
    </row>
    <row r="107" spans="1:5" ht="12.6" customHeight="1">
      <c r="A107" s="93">
        <f t="shared" si="23"/>
        <v>20</v>
      </c>
      <c r="B107" s="85">
        <f t="shared" si="22"/>
        <v>130.32080782908301</v>
      </c>
      <c r="C107" s="86">
        <f t="shared" si="24"/>
        <v>29.550653102131875</v>
      </c>
      <c r="D107" s="85">
        <f t="shared" si="19"/>
        <v>100.77015472695113</v>
      </c>
      <c r="E107" s="87">
        <f t="shared" si="20"/>
        <v>15282.789879999596</v>
      </c>
    </row>
    <row r="108" spans="1:5" ht="12.6" customHeight="1">
      <c r="A108" s="93">
        <f t="shared" si="23"/>
        <v>21</v>
      </c>
      <c r="B108" s="85">
        <f t="shared" si="22"/>
        <v>130.32080782908301</v>
      </c>
      <c r="C108" s="86">
        <f t="shared" si="24"/>
        <v>29.357081270991213</v>
      </c>
      <c r="D108" s="85">
        <f t="shared" si="19"/>
        <v>100.96372655809179</v>
      </c>
      <c r="E108" s="87">
        <f t="shared" si="20"/>
        <v>15181.826153441505</v>
      </c>
    </row>
    <row r="109" spans="1:5" ht="12.6" customHeight="1">
      <c r="A109" s="93">
        <f t="shared" si="23"/>
        <v>22</v>
      </c>
      <c r="B109" s="85">
        <f t="shared" si="22"/>
        <v>130.32080782908301</v>
      </c>
      <c r="C109" s="86">
        <f t="shared" si="24"/>
        <v>29.163137603031284</v>
      </c>
      <c r="D109" s="85">
        <f t="shared" si="19"/>
        <v>101.15767022605172</v>
      </c>
      <c r="E109" s="87">
        <f t="shared" si="20"/>
        <v>15080.668483215453</v>
      </c>
    </row>
    <row r="110" spans="1:5" ht="12.6" customHeight="1">
      <c r="A110" s="93">
        <f t="shared" si="23"/>
        <v>23</v>
      </c>
      <c r="B110" s="85">
        <f t="shared" si="22"/>
        <v>130.32080782908301</v>
      </c>
      <c r="C110" s="86">
        <f t="shared" si="24"/>
        <v>28.968821383981727</v>
      </c>
      <c r="D110" s="85">
        <f t="shared" si="19"/>
        <v>101.35198644510129</v>
      </c>
      <c r="E110" s="87">
        <f t="shared" si="20"/>
        <v>14979.316496770352</v>
      </c>
    </row>
    <row r="111" spans="1:5" ht="12.6" customHeight="1">
      <c r="A111" s="93">
        <f t="shared" si="23"/>
        <v>24</v>
      </c>
      <c r="B111" s="85">
        <f t="shared" si="22"/>
        <v>130.32080782908301</v>
      </c>
      <c r="C111" s="86">
        <f t="shared" si="24"/>
        <v>28.774131898200139</v>
      </c>
      <c r="D111" s="85">
        <f t="shared" si="19"/>
        <v>101.54667593088287</v>
      </c>
      <c r="E111" s="87">
        <f t="shared" si="20"/>
        <v>14877.76982083947</v>
      </c>
    </row>
    <row r="112" spans="1:5" ht="12.6" customHeight="1">
      <c r="A112" s="93">
        <f t="shared" si="23"/>
        <v>25</v>
      </c>
      <c r="B112" s="85">
        <f t="shared" si="22"/>
        <v>130.32080782908301</v>
      </c>
      <c r="C112" s="86">
        <f t="shared" si="24"/>
        <v>28.579068428669402</v>
      </c>
      <c r="D112" s="85">
        <f t="shared" si="19"/>
        <v>101.74173940041361</v>
      </c>
      <c r="E112" s="87">
        <f t="shared" si="20"/>
        <v>14776.028081439057</v>
      </c>
    </row>
    <row r="113" spans="1:5" ht="12.6" customHeight="1">
      <c r="A113" s="93">
        <f t="shared" si="23"/>
        <v>26</v>
      </c>
      <c r="B113" s="85">
        <f t="shared" si="22"/>
        <v>130.32080782908301</v>
      </c>
      <c r="C113" s="86">
        <f t="shared" si="24"/>
        <v>28.383630256995083</v>
      </c>
      <c r="D113" s="85">
        <f t="shared" si="19"/>
        <v>101.93717757208793</v>
      </c>
      <c r="E113" s="87">
        <f t="shared" si="20"/>
        <v>14674.090903866969</v>
      </c>
    </row>
    <row r="114" spans="1:5" ht="12.6" customHeight="1" thickBot="1">
      <c r="A114" s="88">
        <f>A81+1</f>
        <v>2022</v>
      </c>
      <c r="B114" s="110">
        <f>SUM(B88:B113)</f>
        <v>3388.3410035561592</v>
      </c>
      <c r="C114" s="110">
        <f>SUM(C88:C113)</f>
        <v>800.52821690313806</v>
      </c>
      <c r="D114" s="110">
        <f>SUM(D88:D113)</f>
        <v>2587.8127866530203</v>
      </c>
      <c r="E114" s="90"/>
    </row>
    <row r="115" spans="1:5" hidden="1"/>
    <row r="116" spans="1:5" hidden="1"/>
    <row r="117" spans="1:5" hidden="1"/>
    <row r="118" spans="1:5" ht="13.8" hidden="1" thickBot="1"/>
    <row r="119" spans="1:5" ht="12.6" customHeight="1">
      <c r="A119" s="79" t="s">
        <v>230</v>
      </c>
      <c r="B119" s="80" t="s">
        <v>216</v>
      </c>
      <c r="C119" s="80" t="s">
        <v>21</v>
      </c>
      <c r="D119" s="80" t="s">
        <v>231</v>
      </c>
      <c r="E119" s="81" t="s">
        <v>208</v>
      </c>
    </row>
    <row r="120" spans="1:5" ht="12.6" customHeight="1">
      <c r="A120" s="82">
        <v>0</v>
      </c>
      <c r="B120" s="83"/>
      <c r="C120" s="83"/>
      <c r="D120" s="83"/>
      <c r="E120" s="84">
        <f>E113</f>
        <v>14674.090903866969</v>
      </c>
    </row>
    <row r="121" spans="1:5" ht="12.6" customHeight="1">
      <c r="A121" s="82">
        <v>1</v>
      </c>
      <c r="B121" s="85">
        <f t="shared" ref="B121:B146" si="25">IF(E120+C121&lt;$B$11,E120+C121,$B$11)</f>
        <v>130.32080782908301</v>
      </c>
      <c r="C121" s="86">
        <f>E120*$C$19</f>
        <v>28.187816663402749</v>
      </c>
      <c r="D121" s="85">
        <f t="shared" ref="D121:D146" si="26">B121-C121</f>
        <v>102.13299116568027</v>
      </c>
      <c r="E121" s="87">
        <f t="shared" ref="E121:E146" si="27">E120-D121</f>
        <v>14571.957912701289</v>
      </c>
    </row>
    <row r="122" spans="1:5" ht="12.6" customHeight="1">
      <c r="A122" s="82">
        <f>A121+1</f>
        <v>2</v>
      </c>
      <c r="B122" s="85">
        <f t="shared" si="25"/>
        <v>130.32080782908301</v>
      </c>
      <c r="C122" s="86">
        <f t="shared" ref="C122:C132" si="28">E121*$C$19</f>
        <v>27.991626926735353</v>
      </c>
      <c r="D122" s="85">
        <f t="shared" si="26"/>
        <v>102.32918090234766</v>
      </c>
      <c r="E122" s="87">
        <f t="shared" si="27"/>
        <v>14469.628731798941</v>
      </c>
    </row>
    <row r="123" spans="1:5" ht="12.6" customHeight="1">
      <c r="A123" s="82">
        <f>A122+1</f>
        <v>3</v>
      </c>
      <c r="B123" s="85">
        <f t="shared" si="25"/>
        <v>130.32080782908301</v>
      </c>
      <c r="C123" s="86">
        <f t="shared" si="28"/>
        <v>27.795060324450542</v>
      </c>
      <c r="D123" s="85">
        <f t="shared" si="26"/>
        <v>102.52574750463246</v>
      </c>
      <c r="E123" s="87">
        <f t="shared" si="27"/>
        <v>14367.102984294308</v>
      </c>
    </row>
    <row r="124" spans="1:5" ht="12.6" customHeight="1">
      <c r="A124" s="82">
        <f>A123+1</f>
        <v>4</v>
      </c>
      <c r="B124" s="85">
        <f t="shared" si="25"/>
        <v>130.32080782908301</v>
      </c>
      <c r="C124" s="86">
        <f t="shared" si="28"/>
        <v>27.598116132618028</v>
      </c>
      <c r="D124" s="85">
        <f t="shared" si="26"/>
        <v>102.72269169646498</v>
      </c>
      <c r="E124" s="87">
        <f t="shared" si="27"/>
        <v>14264.380292597843</v>
      </c>
    </row>
    <row r="125" spans="1:5" ht="12.6" customHeight="1">
      <c r="A125" s="93">
        <v>5</v>
      </c>
      <c r="B125" s="85">
        <f t="shared" si="25"/>
        <v>130.32080782908301</v>
      </c>
      <c r="C125" s="86">
        <f t="shared" si="28"/>
        <v>27.400793625916904</v>
      </c>
      <c r="D125" s="85">
        <f t="shared" si="26"/>
        <v>102.9200142031661</v>
      </c>
      <c r="E125" s="87">
        <f t="shared" si="27"/>
        <v>14161.460278394678</v>
      </c>
    </row>
    <row r="126" spans="1:5" ht="12.6" customHeight="1">
      <c r="A126" s="93">
        <v>6</v>
      </c>
      <c r="B126" s="85">
        <f t="shared" si="25"/>
        <v>130.32080782908301</v>
      </c>
      <c r="C126" s="86">
        <f t="shared" si="28"/>
        <v>27.203092077632974</v>
      </c>
      <c r="D126" s="85">
        <f t="shared" si="26"/>
        <v>103.11771575145004</v>
      </c>
      <c r="E126" s="87">
        <f t="shared" si="27"/>
        <v>14058.342562643227</v>
      </c>
    </row>
    <row r="127" spans="1:5" ht="12.6" customHeight="1">
      <c r="A127" s="93">
        <v>7</v>
      </c>
      <c r="B127" s="85">
        <f t="shared" si="25"/>
        <v>130.32080782908301</v>
      </c>
      <c r="C127" s="86">
        <f t="shared" si="28"/>
        <v>27.005010759656077</v>
      </c>
      <c r="D127" s="85">
        <f t="shared" si="26"/>
        <v>103.31579706942694</v>
      </c>
      <c r="E127" s="87">
        <f t="shared" si="27"/>
        <v>13955.026765573801</v>
      </c>
    </row>
    <row r="128" spans="1:5" ht="12.6" customHeight="1">
      <c r="A128" s="93">
        <v>8</v>
      </c>
      <c r="B128" s="85">
        <f t="shared" si="25"/>
        <v>130.32080782908301</v>
      </c>
      <c r="C128" s="86">
        <f t="shared" si="28"/>
        <v>26.806548942477416</v>
      </c>
      <c r="D128" s="85">
        <f t="shared" si="26"/>
        <v>103.51425888660559</v>
      </c>
      <c r="E128" s="87">
        <f t="shared" si="27"/>
        <v>13851.512506687195</v>
      </c>
    </row>
    <row r="129" spans="1:5" ht="12.6" customHeight="1">
      <c r="A129" s="93">
        <v>9</v>
      </c>
      <c r="B129" s="85">
        <f t="shared" si="25"/>
        <v>130.32080782908301</v>
      </c>
      <c r="C129" s="86">
        <f t="shared" si="28"/>
        <v>26.60770589518685</v>
      </c>
      <c r="D129" s="85">
        <f t="shared" si="26"/>
        <v>103.71310193389616</v>
      </c>
      <c r="E129" s="87">
        <f t="shared" si="27"/>
        <v>13747.799404753299</v>
      </c>
    </row>
    <row r="130" spans="1:5" ht="12.6" customHeight="1">
      <c r="A130" s="93">
        <v>10</v>
      </c>
      <c r="B130" s="85">
        <f t="shared" si="25"/>
        <v>130.32080782908301</v>
      </c>
      <c r="C130" s="86">
        <f t="shared" si="28"/>
        <v>26.408480885470233</v>
      </c>
      <c r="D130" s="85">
        <f t="shared" si="26"/>
        <v>103.91232694361278</v>
      </c>
      <c r="E130" s="87">
        <f t="shared" si="27"/>
        <v>13643.887077809686</v>
      </c>
    </row>
    <row r="131" spans="1:5" ht="12.6" customHeight="1">
      <c r="A131" s="93">
        <v>11</v>
      </c>
      <c r="B131" s="85">
        <f t="shared" si="25"/>
        <v>130.32080782908301</v>
      </c>
      <c r="C131" s="86">
        <f t="shared" si="28"/>
        <v>26.208873179606677</v>
      </c>
      <c r="D131" s="85">
        <f t="shared" si="26"/>
        <v>104.11193464947632</v>
      </c>
      <c r="E131" s="87">
        <f t="shared" si="27"/>
        <v>13539.77514316021</v>
      </c>
    </row>
    <row r="132" spans="1:5" ht="12.6" customHeight="1">
      <c r="A132" s="93">
        <f>A131+1</f>
        <v>12</v>
      </c>
      <c r="B132" s="85">
        <f t="shared" si="25"/>
        <v>130.32080782908301</v>
      </c>
      <c r="C132" s="86">
        <f t="shared" si="28"/>
        <v>26.008882042465892</v>
      </c>
      <c r="D132" s="85">
        <f t="shared" si="26"/>
        <v>104.31192578661711</v>
      </c>
      <c r="E132" s="87">
        <f t="shared" si="27"/>
        <v>13435.463217373594</v>
      </c>
    </row>
    <row r="133" spans="1:5" ht="12.6" customHeight="1">
      <c r="A133" s="93">
        <f t="shared" ref="A133:A146" si="29">A132+1</f>
        <v>13</v>
      </c>
      <c r="B133" s="85">
        <f t="shared" si="25"/>
        <v>130.32080782908301</v>
      </c>
      <c r="C133" s="86">
        <f>E132*$C$19</f>
        <v>25.80850673750545</v>
      </c>
      <c r="D133" s="85">
        <f t="shared" si="26"/>
        <v>104.51230109157756</v>
      </c>
      <c r="E133" s="87">
        <f t="shared" si="27"/>
        <v>13330.950916282016</v>
      </c>
    </row>
    <row r="134" spans="1:5" ht="12.6" customHeight="1">
      <c r="A134" s="93">
        <f t="shared" si="29"/>
        <v>14</v>
      </c>
      <c r="B134" s="85">
        <f t="shared" si="25"/>
        <v>130.32080782908301</v>
      </c>
      <c r="C134" s="86">
        <f t="shared" ref="C134:C146" si="30">E133*$C$19</f>
        <v>25.607746526768075</v>
      </c>
      <c r="D134" s="85">
        <f t="shared" si="26"/>
        <v>104.71306130231494</v>
      </c>
      <c r="E134" s="87">
        <f t="shared" si="27"/>
        <v>13226.237854979701</v>
      </c>
    </row>
    <row r="135" spans="1:5" ht="12.6" customHeight="1">
      <c r="A135" s="93">
        <f t="shared" si="29"/>
        <v>15</v>
      </c>
      <c r="B135" s="85">
        <f t="shared" si="25"/>
        <v>130.32080782908301</v>
      </c>
      <c r="C135" s="86">
        <f t="shared" si="30"/>
        <v>25.406600670878937</v>
      </c>
      <c r="D135" s="85">
        <f t="shared" si="26"/>
        <v>104.91420715820408</v>
      </c>
      <c r="E135" s="87">
        <f t="shared" si="27"/>
        <v>13121.323647821497</v>
      </c>
    </row>
    <row r="136" spans="1:5" ht="12.6" customHeight="1">
      <c r="A136" s="93">
        <f t="shared" si="29"/>
        <v>16</v>
      </c>
      <c r="B136" s="85">
        <f t="shared" si="25"/>
        <v>130.32080782908301</v>
      </c>
      <c r="C136" s="86">
        <f t="shared" si="30"/>
        <v>25.205068429042928</v>
      </c>
      <c r="D136" s="85">
        <f t="shared" si="26"/>
        <v>105.11573940004008</v>
      </c>
      <c r="E136" s="87">
        <f t="shared" si="27"/>
        <v>13016.207908421457</v>
      </c>
    </row>
    <row r="137" spans="1:5" ht="12.6" customHeight="1">
      <c r="A137" s="93">
        <f t="shared" si="29"/>
        <v>17</v>
      </c>
      <c r="B137" s="85">
        <f t="shared" si="25"/>
        <v>130.32080782908301</v>
      </c>
      <c r="C137" s="86">
        <f t="shared" si="30"/>
        <v>25.003149059041917</v>
      </c>
      <c r="D137" s="85">
        <f t="shared" si="26"/>
        <v>105.31765877004109</v>
      </c>
      <c r="E137" s="87">
        <f t="shared" si="27"/>
        <v>12910.890249651415</v>
      </c>
    </row>
    <row r="138" spans="1:5" ht="12.6" customHeight="1">
      <c r="A138" s="93">
        <f t="shared" si="29"/>
        <v>18</v>
      </c>
      <c r="B138" s="85">
        <f t="shared" si="25"/>
        <v>130.32080782908301</v>
      </c>
      <c r="C138" s="86">
        <f t="shared" si="30"/>
        <v>24.80084181723204</v>
      </c>
      <c r="D138" s="85">
        <f t="shared" si="26"/>
        <v>105.51996601185097</v>
      </c>
      <c r="E138" s="87">
        <f t="shared" si="27"/>
        <v>12805.370283639564</v>
      </c>
    </row>
    <row r="139" spans="1:5" ht="12.6" customHeight="1">
      <c r="A139" s="93">
        <f t="shared" si="29"/>
        <v>19</v>
      </c>
      <c r="B139" s="85">
        <f t="shared" si="25"/>
        <v>130.32080782908301</v>
      </c>
      <c r="C139" s="86">
        <f t="shared" si="30"/>
        <v>24.598145958540943</v>
      </c>
      <c r="D139" s="85">
        <f t="shared" si="26"/>
        <v>105.72266187054207</v>
      </c>
      <c r="E139" s="87">
        <f t="shared" si="27"/>
        <v>12699.647621769021</v>
      </c>
    </row>
    <row r="140" spans="1:5" ht="12.6" customHeight="1">
      <c r="A140" s="93">
        <f t="shared" si="29"/>
        <v>20</v>
      </c>
      <c r="B140" s="85">
        <f t="shared" si="25"/>
        <v>130.32080782908301</v>
      </c>
      <c r="C140" s="86">
        <f t="shared" si="30"/>
        <v>24.395060736465041</v>
      </c>
      <c r="D140" s="85">
        <f t="shared" si="26"/>
        <v>105.92574709261797</v>
      </c>
      <c r="E140" s="87">
        <f t="shared" si="27"/>
        <v>12593.721874676403</v>
      </c>
    </row>
    <row r="141" spans="1:5" ht="12.6" customHeight="1">
      <c r="A141" s="93">
        <f t="shared" si="29"/>
        <v>21</v>
      </c>
      <c r="B141" s="85">
        <f t="shared" si="25"/>
        <v>130.32080782908301</v>
      </c>
      <c r="C141" s="86">
        <f t="shared" si="30"/>
        <v>24.191585403066782</v>
      </c>
      <c r="D141" s="85">
        <f t="shared" si="26"/>
        <v>106.12922242601623</v>
      </c>
      <c r="E141" s="87">
        <f t="shared" si="27"/>
        <v>12487.592652250387</v>
      </c>
    </row>
    <row r="142" spans="1:5" ht="12.6" customHeight="1">
      <c r="A142" s="93">
        <f t="shared" si="29"/>
        <v>22</v>
      </c>
      <c r="B142" s="85">
        <f t="shared" si="25"/>
        <v>130.32080782908301</v>
      </c>
      <c r="C142" s="86">
        <f t="shared" si="30"/>
        <v>23.987719208971878</v>
      </c>
      <c r="D142" s="85">
        <f t="shared" si="26"/>
        <v>106.33308862011113</v>
      </c>
      <c r="E142" s="87">
        <f t="shared" si="27"/>
        <v>12381.259563630276</v>
      </c>
    </row>
    <row r="143" spans="1:5" ht="12.6" customHeight="1">
      <c r="A143" s="93">
        <f t="shared" si="29"/>
        <v>23</v>
      </c>
      <c r="B143" s="85">
        <f t="shared" si="25"/>
        <v>130.32080782908301</v>
      </c>
      <c r="C143" s="86">
        <f t="shared" si="30"/>
        <v>23.783461403366545</v>
      </c>
      <c r="D143" s="85">
        <f t="shared" si="26"/>
        <v>106.53734642571646</v>
      </c>
      <c r="E143" s="87">
        <f t="shared" si="27"/>
        <v>12274.722217204559</v>
      </c>
    </row>
    <row r="144" spans="1:5" ht="12.6" customHeight="1">
      <c r="A144" s="93">
        <f t="shared" si="29"/>
        <v>24</v>
      </c>
      <c r="B144" s="85">
        <f t="shared" si="25"/>
        <v>130.32080782908301</v>
      </c>
      <c r="C144" s="86">
        <f t="shared" si="30"/>
        <v>23.578811233994745</v>
      </c>
      <c r="D144" s="85">
        <f t="shared" si="26"/>
        <v>106.74199659508827</v>
      </c>
      <c r="E144" s="87">
        <f t="shared" si="27"/>
        <v>12167.98022060947</v>
      </c>
    </row>
    <row r="145" spans="1:5" ht="12.6" customHeight="1">
      <c r="A145" s="93">
        <f t="shared" si="29"/>
        <v>25</v>
      </c>
      <c r="B145" s="85">
        <f t="shared" si="25"/>
        <v>130.32080782908301</v>
      </c>
      <c r="C145" s="86">
        <f t="shared" si="30"/>
        <v>23.373767947155422</v>
      </c>
      <c r="D145" s="85">
        <f t="shared" si="26"/>
        <v>106.94703988192759</v>
      </c>
      <c r="E145" s="87">
        <f t="shared" si="27"/>
        <v>12061.033180727543</v>
      </c>
    </row>
    <row r="146" spans="1:5" ht="12.6" customHeight="1">
      <c r="A146" s="93">
        <f t="shared" si="29"/>
        <v>26</v>
      </c>
      <c r="B146" s="85">
        <f t="shared" si="25"/>
        <v>130.32080782908301</v>
      </c>
      <c r="C146" s="86">
        <f t="shared" si="30"/>
        <v>23.168330787699706</v>
      </c>
      <c r="D146" s="85">
        <f t="shared" si="26"/>
        <v>107.15247704138331</v>
      </c>
      <c r="E146" s="87">
        <f t="shared" si="27"/>
        <v>11953.88070368616</v>
      </c>
    </row>
    <row r="147" spans="1:5" ht="12.6" customHeight="1" thickBot="1">
      <c r="A147" s="88">
        <f>A114+1</f>
        <v>2023</v>
      </c>
      <c r="B147" s="110">
        <f>SUM(B121:B146)</f>
        <v>3388.3410035561592</v>
      </c>
      <c r="C147" s="110">
        <f>SUM(C121:C146)</f>
        <v>668.13080337535018</v>
      </c>
      <c r="D147" s="110">
        <f>SUM(D121:D146)</f>
        <v>2720.2102001808089</v>
      </c>
      <c r="E147" s="90"/>
    </row>
    <row r="148" spans="1:5" ht="12.6" hidden="1" customHeight="1"/>
    <row r="149" spans="1:5" ht="12.6" hidden="1" customHeight="1"/>
    <row r="150" spans="1:5" ht="12.6" hidden="1" customHeight="1"/>
    <row r="151" spans="1:5" ht="9" customHeight="1" thickBot="1"/>
    <row r="152" spans="1:5" ht="12.6" customHeight="1">
      <c r="A152" s="79" t="s">
        <v>230</v>
      </c>
      <c r="B152" s="80" t="s">
        <v>216</v>
      </c>
      <c r="C152" s="80" t="s">
        <v>21</v>
      </c>
      <c r="D152" s="80" t="s">
        <v>231</v>
      </c>
      <c r="E152" s="81" t="s">
        <v>208</v>
      </c>
    </row>
    <row r="153" spans="1:5" ht="12.6" customHeight="1">
      <c r="A153" s="82">
        <v>0</v>
      </c>
      <c r="B153" s="83"/>
      <c r="C153" s="83"/>
      <c r="D153" s="83"/>
      <c r="E153" s="84">
        <f>E146</f>
        <v>11953.88070368616</v>
      </c>
    </row>
    <row r="154" spans="1:5" ht="12.6" customHeight="1">
      <c r="A154" s="82">
        <v>1</v>
      </c>
      <c r="B154" s="85">
        <f t="shared" ref="B154:B179" si="31">IF(E153+C154&lt;$B$11,E153+C154,$B$11)</f>
        <v>130.32080782908301</v>
      </c>
      <c r="C154" s="86">
        <f>E153*$C$19</f>
        <v>22.962498999028149</v>
      </c>
      <c r="D154" s="85">
        <f t="shared" ref="D154:D179" si="32">B154-C154</f>
        <v>107.35830883005485</v>
      </c>
      <c r="E154" s="87">
        <f t="shared" ref="E154:E179" si="33">E153-D154</f>
        <v>11846.522394856105</v>
      </c>
    </row>
    <row r="155" spans="1:5" ht="12.6" customHeight="1">
      <c r="A155" s="82">
        <f>A154+1</f>
        <v>2</v>
      </c>
      <c r="B155" s="85">
        <f t="shared" si="31"/>
        <v>130.32080782908301</v>
      </c>
      <c r="C155" s="86">
        <f t="shared" ref="C155:C165" si="34">E154*$C$19</f>
        <v>22.756271823087928</v>
      </c>
      <c r="D155" s="85">
        <f t="shared" si="32"/>
        <v>107.56453600599508</v>
      </c>
      <c r="E155" s="87">
        <f t="shared" si="33"/>
        <v>11738.95785885011</v>
      </c>
    </row>
    <row r="156" spans="1:5" ht="12.6" customHeight="1">
      <c r="A156" s="82">
        <f>A155+1</f>
        <v>3</v>
      </c>
      <c r="B156" s="85">
        <f t="shared" si="31"/>
        <v>130.32080782908301</v>
      </c>
      <c r="C156" s="86">
        <f t="shared" si="34"/>
        <v>22.549648500370065</v>
      </c>
      <c r="D156" s="85">
        <f t="shared" si="32"/>
        <v>107.77115932871294</v>
      </c>
      <c r="E156" s="87">
        <f t="shared" si="33"/>
        <v>11631.186699521397</v>
      </c>
    </row>
    <row r="157" spans="1:5" ht="12.6" customHeight="1">
      <c r="A157" s="82">
        <f>A156+1</f>
        <v>4</v>
      </c>
      <c r="B157" s="85">
        <f t="shared" si="31"/>
        <v>130.32080782908301</v>
      </c>
      <c r="C157" s="86">
        <f t="shared" si="34"/>
        <v>22.342628269906616</v>
      </c>
      <c r="D157" s="85">
        <f t="shared" si="32"/>
        <v>107.9781795591764</v>
      </c>
      <c r="E157" s="87">
        <f t="shared" si="33"/>
        <v>11523.20851996222</v>
      </c>
    </row>
    <row r="158" spans="1:5" ht="12.6" customHeight="1">
      <c r="A158" s="93">
        <v>5</v>
      </c>
      <c r="B158" s="85">
        <f t="shared" si="31"/>
        <v>130.32080782908301</v>
      </c>
      <c r="C158" s="86">
        <f t="shared" si="34"/>
        <v>22.135210369267877</v>
      </c>
      <c r="D158" s="85">
        <f t="shared" si="32"/>
        <v>108.18559745981513</v>
      </c>
      <c r="E158" s="87">
        <f t="shared" si="33"/>
        <v>11415.022922502405</v>
      </c>
    </row>
    <row r="159" spans="1:5" ht="12.6" customHeight="1">
      <c r="A159" s="93">
        <v>6</v>
      </c>
      <c r="B159" s="85">
        <f t="shared" si="31"/>
        <v>130.32080782908301</v>
      </c>
      <c r="C159" s="86">
        <f t="shared" si="34"/>
        <v>21.927394034559583</v>
      </c>
      <c r="D159" s="85">
        <f t="shared" si="32"/>
        <v>108.39341379452343</v>
      </c>
      <c r="E159" s="87">
        <f t="shared" si="33"/>
        <v>11306.629508707882</v>
      </c>
    </row>
    <row r="160" spans="1:5" ht="12.6" customHeight="1">
      <c r="A160" s="93">
        <v>7</v>
      </c>
      <c r="B160" s="85">
        <f t="shared" si="31"/>
        <v>130.32080782908301</v>
      </c>
      <c r="C160" s="86">
        <f t="shared" si="34"/>
        <v>21.719178500420075</v>
      </c>
      <c r="D160" s="85">
        <f t="shared" si="32"/>
        <v>108.60162932866294</v>
      </c>
      <c r="E160" s="87">
        <f t="shared" si="33"/>
        <v>11198.027879379219</v>
      </c>
    </row>
    <row r="161" spans="1:5" ht="12.6" customHeight="1">
      <c r="A161" s="93">
        <v>8</v>
      </c>
      <c r="B161" s="85">
        <f t="shared" si="31"/>
        <v>130.32080782908301</v>
      </c>
      <c r="C161" s="86">
        <f t="shared" si="34"/>
        <v>21.510563000017495</v>
      </c>
      <c r="D161" s="85">
        <f t="shared" si="32"/>
        <v>108.81024482906551</v>
      </c>
      <c r="E161" s="87">
        <f t="shared" si="33"/>
        <v>11089.217634550154</v>
      </c>
    </row>
    <row r="162" spans="1:5" ht="12.6" customHeight="1">
      <c r="A162" s="93">
        <v>9</v>
      </c>
      <c r="B162" s="85">
        <f t="shared" si="31"/>
        <v>130.32080782908301</v>
      </c>
      <c r="C162" s="86">
        <f t="shared" si="34"/>
        <v>21.301546765046961</v>
      </c>
      <c r="D162" s="85">
        <f t="shared" si="32"/>
        <v>109.01926106403604</v>
      </c>
      <c r="E162" s="87">
        <f t="shared" si="33"/>
        <v>10980.198373486119</v>
      </c>
    </row>
    <row r="163" spans="1:5" ht="12.6" customHeight="1">
      <c r="A163" s="93">
        <v>10</v>
      </c>
      <c r="B163" s="85">
        <f t="shared" si="31"/>
        <v>130.32080782908301</v>
      </c>
      <c r="C163" s="86">
        <f t="shared" si="34"/>
        <v>21.092129025727733</v>
      </c>
      <c r="D163" s="85">
        <f t="shared" si="32"/>
        <v>109.22867880335528</v>
      </c>
      <c r="E163" s="87">
        <f t="shared" si="33"/>
        <v>10870.969694682763</v>
      </c>
    </row>
    <row r="164" spans="1:5" ht="12.6" customHeight="1">
      <c r="A164" s="93">
        <v>11</v>
      </c>
      <c r="B164" s="85">
        <f t="shared" si="31"/>
        <v>130.32080782908301</v>
      </c>
      <c r="C164" s="86">
        <f t="shared" si="34"/>
        <v>20.882309010800377</v>
      </c>
      <c r="D164" s="85">
        <f t="shared" si="32"/>
        <v>109.43849881828262</v>
      </c>
      <c r="E164" s="87">
        <f t="shared" si="33"/>
        <v>10761.53119586448</v>
      </c>
    </row>
    <row r="165" spans="1:5" ht="12.6" customHeight="1">
      <c r="A165" s="93">
        <f>A164+1</f>
        <v>12</v>
      </c>
      <c r="B165" s="85">
        <f t="shared" si="31"/>
        <v>130.32080782908301</v>
      </c>
      <c r="C165" s="86">
        <f t="shared" si="34"/>
        <v>20.672085947523943</v>
      </c>
      <c r="D165" s="85">
        <f t="shared" si="32"/>
        <v>109.64872188155907</v>
      </c>
      <c r="E165" s="87">
        <f t="shared" si="33"/>
        <v>10651.882473982922</v>
      </c>
    </row>
    <row r="166" spans="1:5" ht="12.6" customHeight="1">
      <c r="A166" s="93">
        <f t="shared" ref="A166:A179" si="35">A165+1</f>
        <v>13</v>
      </c>
      <c r="B166" s="85">
        <f t="shared" si="31"/>
        <v>130.32080782908301</v>
      </c>
      <c r="C166" s="86">
        <f>E165*$C$19</f>
        <v>20.461459061673093</v>
      </c>
      <c r="D166" s="85">
        <f t="shared" si="32"/>
        <v>109.85934876740991</v>
      </c>
      <c r="E166" s="87">
        <f t="shared" si="33"/>
        <v>10542.023125215512</v>
      </c>
    </row>
    <row r="167" spans="1:5" ht="12.6" customHeight="1">
      <c r="A167" s="93">
        <f t="shared" si="35"/>
        <v>14</v>
      </c>
      <c r="B167" s="85">
        <f t="shared" si="31"/>
        <v>130.32080782908301</v>
      </c>
      <c r="C167" s="86">
        <f t="shared" ref="C167:C179" si="36">E166*$C$19</f>
        <v>20.250427577535255</v>
      </c>
      <c r="D167" s="85">
        <f t="shared" si="32"/>
        <v>110.07038025154776</v>
      </c>
      <c r="E167" s="87">
        <f t="shared" si="33"/>
        <v>10431.952744963965</v>
      </c>
    </row>
    <row r="168" spans="1:5" ht="12.6" customHeight="1">
      <c r="A168" s="93">
        <f t="shared" si="35"/>
        <v>15</v>
      </c>
      <c r="B168" s="85">
        <f t="shared" si="31"/>
        <v>130.32080782908301</v>
      </c>
      <c r="C168" s="86">
        <f t="shared" si="36"/>
        <v>20.038990717907787</v>
      </c>
      <c r="D168" s="85">
        <f t="shared" si="32"/>
        <v>110.28181711117523</v>
      </c>
      <c r="E168" s="87">
        <f t="shared" si="33"/>
        <v>10321.670927852789</v>
      </c>
    </row>
    <row r="169" spans="1:5" ht="12.6" customHeight="1">
      <c r="A169" s="93">
        <f t="shared" si="35"/>
        <v>16</v>
      </c>
      <c r="B169" s="85">
        <f t="shared" si="31"/>
        <v>130.32080782908301</v>
      </c>
      <c r="C169" s="86">
        <f t="shared" si="36"/>
        <v>19.827147704095086</v>
      </c>
      <c r="D169" s="85">
        <f t="shared" si="32"/>
        <v>110.49366012498793</v>
      </c>
      <c r="E169" s="87">
        <f t="shared" si="33"/>
        <v>10211.1772677278</v>
      </c>
    </row>
    <row r="170" spans="1:5" ht="12.6" customHeight="1">
      <c r="A170" s="93">
        <f t="shared" si="35"/>
        <v>17</v>
      </c>
      <c r="B170" s="85">
        <f t="shared" si="31"/>
        <v>130.32080782908301</v>
      </c>
      <c r="C170" s="86">
        <f t="shared" si="36"/>
        <v>19.614897755905741</v>
      </c>
      <c r="D170" s="85">
        <f t="shared" si="32"/>
        <v>110.70591007317726</v>
      </c>
      <c r="E170" s="87">
        <f t="shared" si="33"/>
        <v>10100.471357654624</v>
      </c>
    </row>
    <row r="171" spans="1:5" ht="12.6" customHeight="1">
      <c r="A171" s="93">
        <f t="shared" si="35"/>
        <v>18</v>
      </c>
      <c r="B171" s="85">
        <f t="shared" si="31"/>
        <v>130.32080782908301</v>
      </c>
      <c r="C171" s="86">
        <f t="shared" si="36"/>
        <v>19.402240091649652</v>
      </c>
      <c r="D171" s="85">
        <f t="shared" si="32"/>
        <v>110.91856773743336</v>
      </c>
      <c r="E171" s="87">
        <f t="shared" si="33"/>
        <v>9989.5527899171902</v>
      </c>
    </row>
    <row r="172" spans="1:5" ht="12.6" customHeight="1">
      <c r="A172" s="93">
        <f t="shared" si="35"/>
        <v>19</v>
      </c>
      <c r="B172" s="85">
        <f t="shared" si="31"/>
        <v>130.32080782908301</v>
      </c>
      <c r="C172" s="86">
        <f t="shared" si="36"/>
        <v>19.189173928135151</v>
      </c>
      <c r="D172" s="85">
        <f t="shared" si="32"/>
        <v>111.13163390094786</v>
      </c>
      <c r="E172" s="87">
        <f t="shared" si="33"/>
        <v>9878.4211560162421</v>
      </c>
    </row>
    <row r="173" spans="1:5" ht="12.6" customHeight="1">
      <c r="A173" s="93">
        <f t="shared" si="35"/>
        <v>20</v>
      </c>
      <c r="B173" s="85">
        <f t="shared" si="31"/>
        <v>130.32080782908301</v>
      </c>
      <c r="C173" s="86">
        <f t="shared" si="36"/>
        <v>18.975698480666114</v>
      </c>
      <c r="D173" s="85">
        <f t="shared" si="32"/>
        <v>111.3451093484169</v>
      </c>
      <c r="E173" s="87">
        <f t="shared" si="33"/>
        <v>9767.0760466678257</v>
      </c>
    </row>
    <row r="174" spans="1:5" ht="12.6" customHeight="1">
      <c r="A174" s="93">
        <f t="shared" si="35"/>
        <v>21</v>
      </c>
      <c r="B174" s="85">
        <f t="shared" si="31"/>
        <v>130.32080782908301</v>
      </c>
      <c r="C174" s="86">
        <f t="shared" si="36"/>
        <v>18.761812963039084</v>
      </c>
      <c r="D174" s="85">
        <f t="shared" si="32"/>
        <v>111.55899486604392</v>
      </c>
      <c r="E174" s="87">
        <f t="shared" si="33"/>
        <v>9655.5170518017821</v>
      </c>
    </row>
    <row r="175" spans="1:5" ht="12.6" customHeight="1">
      <c r="A175" s="93">
        <f t="shared" si="35"/>
        <v>22</v>
      </c>
      <c r="B175" s="85">
        <f t="shared" si="31"/>
        <v>130.32080782908301</v>
      </c>
      <c r="C175" s="86">
        <f t="shared" si="36"/>
        <v>18.547516587540358</v>
      </c>
      <c r="D175" s="85">
        <f t="shared" si="32"/>
        <v>111.77329124154265</v>
      </c>
      <c r="E175" s="87">
        <f t="shared" si="33"/>
        <v>9543.743760560239</v>
      </c>
    </row>
    <row r="176" spans="1:5" ht="12.6" customHeight="1">
      <c r="A176" s="93">
        <f t="shared" si="35"/>
        <v>23</v>
      </c>
      <c r="B176" s="85">
        <f t="shared" si="31"/>
        <v>130.32080782908301</v>
      </c>
      <c r="C176" s="86">
        <f t="shared" si="36"/>
        <v>18.332808564943093</v>
      </c>
      <c r="D176" s="85">
        <f t="shared" si="32"/>
        <v>111.98799926413992</v>
      </c>
      <c r="E176" s="87">
        <f t="shared" si="33"/>
        <v>9431.7557612960991</v>
      </c>
    </row>
    <row r="177" spans="1:5" ht="12.6" customHeight="1">
      <c r="A177" s="93">
        <f t="shared" si="35"/>
        <v>24</v>
      </c>
      <c r="B177" s="85">
        <f t="shared" si="31"/>
        <v>130.32080782908301</v>
      </c>
      <c r="C177" s="86">
        <f t="shared" si="36"/>
        <v>18.117688104504417</v>
      </c>
      <c r="D177" s="85">
        <f t="shared" si="32"/>
        <v>112.20311972457858</v>
      </c>
      <c r="E177" s="87">
        <f t="shared" si="33"/>
        <v>9319.5526415715212</v>
      </c>
    </row>
    <row r="178" spans="1:5" ht="12.6" customHeight="1">
      <c r="A178" s="93">
        <f t="shared" si="35"/>
        <v>25</v>
      </c>
      <c r="B178" s="85">
        <f t="shared" si="31"/>
        <v>130.32080782908301</v>
      </c>
      <c r="C178" s="86">
        <f t="shared" si="36"/>
        <v>17.902154413962485</v>
      </c>
      <c r="D178" s="85">
        <f t="shared" si="32"/>
        <v>112.41865341512053</v>
      </c>
      <c r="E178" s="87">
        <f t="shared" si="33"/>
        <v>9207.1339881563999</v>
      </c>
    </row>
    <row r="179" spans="1:5" ht="12.6" customHeight="1">
      <c r="A179" s="93">
        <f t="shared" si="35"/>
        <v>26</v>
      </c>
      <c r="B179" s="85">
        <f t="shared" si="31"/>
        <v>130.32080782908301</v>
      </c>
      <c r="C179" s="86">
        <f t="shared" si="36"/>
        <v>17.686206699533582</v>
      </c>
      <c r="D179" s="85">
        <f t="shared" si="32"/>
        <v>112.63460112954942</v>
      </c>
      <c r="E179" s="87">
        <f t="shared" si="33"/>
        <v>9094.4993870268499</v>
      </c>
    </row>
    <row r="180" spans="1:5" ht="12.6" customHeight="1" thickBot="1">
      <c r="A180" s="88">
        <f>A147+1</f>
        <v>2024</v>
      </c>
      <c r="B180" s="110">
        <f>SUM(B154:B179)</f>
        <v>3388.3410035561592</v>
      </c>
      <c r="C180" s="110">
        <f>SUM(C154:C179)</f>
        <v>528.95968689684776</v>
      </c>
      <c r="D180" s="110">
        <f>SUM(D154:D179)</f>
        <v>2859.3813166593104</v>
      </c>
      <c r="E180" s="90"/>
    </row>
    <row r="181" spans="1:5" ht="12.6" hidden="1" customHeight="1"/>
    <row r="182" spans="1:5" ht="12.6" hidden="1" customHeight="1"/>
    <row r="183" spans="1:5" ht="12.6" hidden="1" customHeight="1"/>
    <row r="184" spans="1:5" ht="12.6" hidden="1" customHeight="1" thickBot="1"/>
    <row r="185" spans="1:5" ht="12.6" customHeight="1">
      <c r="A185" s="79" t="s">
        <v>230</v>
      </c>
      <c r="B185" s="80" t="s">
        <v>216</v>
      </c>
      <c r="C185" s="80" t="s">
        <v>21</v>
      </c>
      <c r="D185" s="80" t="s">
        <v>231</v>
      </c>
      <c r="E185" s="81" t="s">
        <v>208</v>
      </c>
    </row>
    <row r="186" spans="1:5" ht="12.6" customHeight="1">
      <c r="A186" s="82">
        <v>0</v>
      </c>
      <c r="B186" s="83"/>
      <c r="C186" s="83"/>
      <c r="D186" s="83"/>
      <c r="E186" s="84">
        <f>E179</f>
        <v>9094.4993870268499</v>
      </c>
    </row>
    <row r="187" spans="1:5" ht="12.6" customHeight="1">
      <c r="A187" s="82">
        <v>1</v>
      </c>
      <c r="B187" s="85">
        <f t="shared" ref="B187:B212" si="37">IF(E186+C187&lt;$B$11,E186+C187,$B$11)</f>
        <v>130.32080782908301</v>
      </c>
      <c r="C187" s="86">
        <f>E186*$C$19</f>
        <v>17.469844165909194</v>
      </c>
      <c r="D187" s="85">
        <f t="shared" ref="D187:D212" si="38">B187-C187</f>
        <v>112.85096366317381</v>
      </c>
      <c r="E187" s="87">
        <f t="shared" ref="E187:E212" si="39">E186-D187</f>
        <v>8981.6484233636766</v>
      </c>
    </row>
    <row r="188" spans="1:5" ht="12.6" customHeight="1">
      <c r="A188" s="82">
        <f>A187+1</f>
        <v>2</v>
      </c>
      <c r="B188" s="85">
        <f t="shared" si="37"/>
        <v>130.32080782908301</v>
      </c>
      <c r="C188" s="86">
        <f t="shared" ref="C188:C198" si="40">E187*$C$19</f>
        <v>17.253066016253083</v>
      </c>
      <c r="D188" s="85">
        <f t="shared" si="38"/>
        <v>113.06774181282992</v>
      </c>
      <c r="E188" s="87">
        <f t="shared" si="39"/>
        <v>8868.5806815508458</v>
      </c>
    </row>
    <row r="189" spans="1:5" ht="12.6" customHeight="1">
      <c r="A189" s="82">
        <f>A188+1</f>
        <v>3</v>
      </c>
      <c r="B189" s="85">
        <f t="shared" si="37"/>
        <v>130.32080782908301</v>
      </c>
      <c r="C189" s="86">
        <f t="shared" si="40"/>
        <v>17.035871452198339</v>
      </c>
      <c r="D189" s="85">
        <f t="shared" si="38"/>
        <v>113.28493637688467</v>
      </c>
      <c r="E189" s="87">
        <f t="shared" si="39"/>
        <v>8755.2957451739603</v>
      </c>
    </row>
    <row r="190" spans="1:5" ht="12.6" customHeight="1">
      <c r="A190" s="82">
        <f>A189+1</f>
        <v>4</v>
      </c>
      <c r="B190" s="85">
        <f t="shared" si="37"/>
        <v>130.32080782908301</v>
      </c>
      <c r="C190" s="86">
        <f t="shared" si="40"/>
        <v>16.818259673844466</v>
      </c>
      <c r="D190" s="85">
        <f t="shared" si="38"/>
        <v>113.50254815523854</v>
      </c>
      <c r="E190" s="87">
        <f t="shared" si="39"/>
        <v>8641.7931970187219</v>
      </c>
    </row>
    <row r="191" spans="1:5" ht="12.6" customHeight="1">
      <c r="A191" s="93">
        <v>5</v>
      </c>
      <c r="B191" s="85">
        <f t="shared" si="37"/>
        <v>130.32080782908301</v>
      </c>
      <c r="C191" s="86">
        <f t="shared" si="40"/>
        <v>16.600229879754409</v>
      </c>
      <c r="D191" s="85">
        <f t="shared" si="38"/>
        <v>113.7205779493286</v>
      </c>
      <c r="E191" s="87">
        <f t="shared" si="39"/>
        <v>8528.0726190693931</v>
      </c>
    </row>
    <row r="192" spans="1:5" ht="12.6" customHeight="1">
      <c r="A192" s="93">
        <v>6</v>
      </c>
      <c r="B192" s="85">
        <f t="shared" si="37"/>
        <v>130.32080782908301</v>
      </c>
      <c r="C192" s="86">
        <f t="shared" si="40"/>
        <v>16.381781266951613</v>
      </c>
      <c r="D192" s="85">
        <f t="shared" si="38"/>
        <v>113.9390265621314</v>
      </c>
      <c r="E192" s="87">
        <f t="shared" si="39"/>
        <v>8414.1335925072617</v>
      </c>
    </row>
    <row r="193" spans="1:5" ht="12.6" customHeight="1">
      <c r="A193" s="93">
        <v>7</v>
      </c>
      <c r="B193" s="85">
        <f t="shared" si="37"/>
        <v>130.32080782908301</v>
      </c>
      <c r="C193" s="86">
        <f t="shared" si="40"/>
        <v>16.162913030917068</v>
      </c>
      <c r="D193" s="85">
        <f t="shared" si="38"/>
        <v>114.15789479816594</v>
      </c>
      <c r="E193" s="87">
        <f t="shared" si="39"/>
        <v>8299.9756977090965</v>
      </c>
    </row>
    <row r="194" spans="1:5" ht="12.6" customHeight="1">
      <c r="A194" s="93">
        <v>8</v>
      </c>
      <c r="B194" s="85">
        <f t="shared" si="37"/>
        <v>130.32080782908301</v>
      </c>
      <c r="C194" s="86">
        <f t="shared" si="40"/>
        <v>15.943624365586343</v>
      </c>
      <c r="D194" s="85">
        <f t="shared" si="38"/>
        <v>114.37718346349666</v>
      </c>
      <c r="E194" s="87">
        <f t="shared" si="39"/>
        <v>8185.5985142456002</v>
      </c>
    </row>
    <row r="195" spans="1:5" ht="12.6" customHeight="1">
      <c r="A195" s="93">
        <v>9</v>
      </c>
      <c r="B195" s="85">
        <f t="shared" si="37"/>
        <v>130.32080782908301</v>
      </c>
      <c r="C195" s="86">
        <f t="shared" si="40"/>
        <v>15.72391446334662</v>
      </c>
      <c r="D195" s="85">
        <f t="shared" si="38"/>
        <v>114.59689336573639</v>
      </c>
      <c r="E195" s="87">
        <f t="shared" si="39"/>
        <v>8071.0016208798634</v>
      </c>
    </row>
    <row r="196" spans="1:5" ht="12.6" customHeight="1">
      <c r="A196" s="93">
        <v>10</v>
      </c>
      <c r="B196" s="85">
        <f t="shared" si="37"/>
        <v>130.32080782908301</v>
      </c>
      <c r="C196" s="86">
        <f t="shared" si="40"/>
        <v>15.503782515033716</v>
      </c>
      <c r="D196" s="85">
        <f t="shared" si="38"/>
        <v>114.81702531404929</v>
      </c>
      <c r="E196" s="87">
        <f t="shared" si="39"/>
        <v>7956.1845955658137</v>
      </c>
    </row>
    <row r="197" spans="1:5" ht="12.6" customHeight="1">
      <c r="A197" s="93">
        <v>11</v>
      </c>
      <c r="B197" s="85">
        <f t="shared" si="37"/>
        <v>130.32080782908301</v>
      </c>
      <c r="C197" s="86">
        <f t="shared" si="40"/>
        <v>15.283227709929106</v>
      </c>
      <c r="D197" s="85">
        <f t="shared" si="38"/>
        <v>115.0375801191539</v>
      </c>
      <c r="E197" s="87">
        <f t="shared" si="39"/>
        <v>7841.1470154466597</v>
      </c>
    </row>
    <row r="198" spans="1:5" ht="12.6" customHeight="1">
      <c r="A198" s="93">
        <f>A197+1</f>
        <v>12</v>
      </c>
      <c r="B198" s="85">
        <f t="shared" si="37"/>
        <v>130.32080782908301</v>
      </c>
      <c r="C198" s="86">
        <f t="shared" si="40"/>
        <v>15.062249235756937</v>
      </c>
      <c r="D198" s="85">
        <f t="shared" si="38"/>
        <v>115.25855859332607</v>
      </c>
      <c r="E198" s="87">
        <f t="shared" si="39"/>
        <v>7725.888456853334</v>
      </c>
    </row>
    <row r="199" spans="1:5" ht="12.6" customHeight="1">
      <c r="A199" s="93">
        <f t="shared" ref="A199:A212" si="41">A198+1</f>
        <v>13</v>
      </c>
      <c r="B199" s="85">
        <f t="shared" si="37"/>
        <v>130.32080782908301</v>
      </c>
      <c r="C199" s="86">
        <f>E198*$C$19</f>
        <v>14.840846278681036</v>
      </c>
      <c r="D199" s="85">
        <f t="shared" si="38"/>
        <v>115.47996155040197</v>
      </c>
      <c r="E199" s="87">
        <f t="shared" si="39"/>
        <v>7610.4084953029324</v>
      </c>
    </row>
    <row r="200" spans="1:5" ht="12.6" customHeight="1">
      <c r="A200" s="93">
        <f t="shared" si="41"/>
        <v>14</v>
      </c>
      <c r="B200" s="85">
        <f t="shared" si="37"/>
        <v>130.32080782908301</v>
      </c>
      <c r="C200" s="86">
        <f t="shared" ref="C200:C212" si="42">E199*$C$19</f>
        <v>14.61901802330191</v>
      </c>
      <c r="D200" s="85">
        <f t="shared" si="38"/>
        <v>115.7017898057811</v>
      </c>
      <c r="E200" s="87">
        <f t="shared" si="39"/>
        <v>7494.7067054971512</v>
      </c>
    </row>
    <row r="201" spans="1:5" ht="12.6" customHeight="1">
      <c r="A201" s="93">
        <f t="shared" si="41"/>
        <v>15</v>
      </c>
      <c r="B201" s="85">
        <f t="shared" si="37"/>
        <v>130.32080782908301</v>
      </c>
      <c r="C201" s="86">
        <f t="shared" si="42"/>
        <v>14.396763652653744</v>
      </c>
      <c r="D201" s="85">
        <f t="shared" si="38"/>
        <v>115.92404417642926</v>
      </c>
      <c r="E201" s="87">
        <f t="shared" si="39"/>
        <v>7378.7826613207217</v>
      </c>
    </row>
    <row r="202" spans="1:5" ht="12.6" customHeight="1">
      <c r="A202" s="93">
        <f t="shared" si="41"/>
        <v>16</v>
      </c>
      <c r="B202" s="85">
        <f t="shared" si="37"/>
        <v>130.32080782908301</v>
      </c>
      <c r="C202" s="86">
        <f t="shared" si="42"/>
        <v>14.174082348201399</v>
      </c>
      <c r="D202" s="85">
        <f t="shared" si="38"/>
        <v>116.14672548088161</v>
      </c>
      <c r="E202" s="87">
        <f t="shared" si="39"/>
        <v>7262.6359358398404</v>
      </c>
    </row>
    <row r="203" spans="1:5" ht="12.6" customHeight="1">
      <c r="A203" s="93">
        <f t="shared" si="41"/>
        <v>17</v>
      </c>
      <c r="B203" s="85">
        <f t="shared" si="37"/>
        <v>130.32080782908301</v>
      </c>
      <c r="C203" s="86">
        <f t="shared" si="42"/>
        <v>13.950973289837389</v>
      </c>
      <c r="D203" s="85">
        <f t="shared" si="38"/>
        <v>116.36983453924562</v>
      </c>
      <c r="E203" s="87">
        <f t="shared" si="39"/>
        <v>7146.2661013005945</v>
      </c>
    </row>
    <row r="204" spans="1:5" ht="12.6" customHeight="1">
      <c r="A204" s="93">
        <f t="shared" si="41"/>
        <v>18</v>
      </c>
      <c r="B204" s="85">
        <f t="shared" si="37"/>
        <v>130.32080782908301</v>
      </c>
      <c r="C204" s="86">
        <f t="shared" si="42"/>
        <v>13.727435655878862</v>
      </c>
      <c r="D204" s="85">
        <f t="shared" si="38"/>
        <v>116.59337217320414</v>
      </c>
      <c r="E204" s="87">
        <f t="shared" si="39"/>
        <v>7029.6727291273901</v>
      </c>
    </row>
    <row r="205" spans="1:5" ht="12.6" customHeight="1">
      <c r="A205" s="93">
        <f t="shared" si="41"/>
        <v>19</v>
      </c>
      <c r="B205" s="85">
        <f t="shared" si="37"/>
        <v>130.32080782908301</v>
      </c>
      <c r="C205" s="86">
        <f t="shared" si="42"/>
        <v>13.503468623064576</v>
      </c>
      <c r="D205" s="85">
        <f t="shared" si="38"/>
        <v>116.81733920601843</v>
      </c>
      <c r="E205" s="87">
        <f t="shared" si="39"/>
        <v>6912.8553899213721</v>
      </c>
    </row>
    <row r="206" spans="1:5" ht="12.6" customHeight="1">
      <c r="A206" s="93">
        <f t="shared" si="41"/>
        <v>20</v>
      </c>
      <c r="B206" s="85">
        <f t="shared" si="37"/>
        <v>130.32080782908301</v>
      </c>
      <c r="C206" s="86">
        <f t="shared" si="42"/>
        <v>13.279071366551873</v>
      </c>
      <c r="D206" s="85">
        <f t="shared" si="38"/>
        <v>117.04173646253113</v>
      </c>
      <c r="E206" s="87">
        <f t="shared" si="39"/>
        <v>6795.8136534588411</v>
      </c>
    </row>
    <row r="207" spans="1:5" ht="12.6" customHeight="1">
      <c r="A207" s="93">
        <f t="shared" si="41"/>
        <v>21</v>
      </c>
      <c r="B207" s="85">
        <f t="shared" si="37"/>
        <v>130.32080782908301</v>
      </c>
      <c r="C207" s="86">
        <f t="shared" si="42"/>
        <v>13.054243059913626</v>
      </c>
      <c r="D207" s="85">
        <f t="shared" si="38"/>
        <v>117.26656476916938</v>
      </c>
      <c r="E207" s="87">
        <f t="shared" si="39"/>
        <v>6678.5470886896719</v>
      </c>
    </row>
    <row r="208" spans="1:5" ht="12.6" customHeight="1">
      <c r="A208" s="93">
        <f t="shared" si="41"/>
        <v>22</v>
      </c>
      <c r="B208" s="85">
        <f t="shared" si="37"/>
        <v>130.32080782908301</v>
      </c>
      <c r="C208" s="86">
        <f t="shared" si="42"/>
        <v>12.828982875135207</v>
      </c>
      <c r="D208" s="85">
        <f t="shared" si="38"/>
        <v>117.4918249539478</v>
      </c>
      <c r="E208" s="87">
        <f t="shared" si="39"/>
        <v>6561.0552637357241</v>
      </c>
    </row>
    <row r="209" spans="1:5" ht="12.6" customHeight="1">
      <c r="A209" s="93">
        <f t="shared" si="41"/>
        <v>23</v>
      </c>
      <c r="B209" s="85">
        <f t="shared" si="37"/>
        <v>130.32080782908301</v>
      </c>
      <c r="C209" s="86">
        <f t="shared" si="42"/>
        <v>12.603289982611436</v>
      </c>
      <c r="D209" s="85">
        <f t="shared" si="38"/>
        <v>117.71751784647157</v>
      </c>
      <c r="E209" s="87">
        <f t="shared" si="39"/>
        <v>6443.3377458892528</v>
      </c>
    </row>
    <row r="210" spans="1:5" ht="12.6" customHeight="1">
      <c r="A210" s="93">
        <f t="shared" si="41"/>
        <v>24</v>
      </c>
      <c r="B210" s="85">
        <f t="shared" si="37"/>
        <v>130.32080782908301</v>
      </c>
      <c r="C210" s="86">
        <f t="shared" si="42"/>
        <v>12.377163551143525</v>
      </c>
      <c r="D210" s="85">
        <f t="shared" si="38"/>
        <v>117.94364427793948</v>
      </c>
      <c r="E210" s="87">
        <f t="shared" si="39"/>
        <v>6325.3941016113131</v>
      </c>
    </row>
    <row r="211" spans="1:5" ht="12.6" customHeight="1">
      <c r="A211" s="93">
        <f t="shared" si="41"/>
        <v>25</v>
      </c>
      <c r="B211" s="85">
        <f t="shared" si="37"/>
        <v>130.32080782908301</v>
      </c>
      <c r="C211" s="86">
        <f t="shared" si="42"/>
        <v>12.150602747936013</v>
      </c>
      <c r="D211" s="85">
        <f t="shared" si="38"/>
        <v>118.170205081147</v>
      </c>
      <c r="E211" s="87">
        <f t="shared" si="39"/>
        <v>6207.2238965301658</v>
      </c>
    </row>
    <row r="212" spans="1:5" ht="12.6" customHeight="1">
      <c r="A212" s="93">
        <f t="shared" si="41"/>
        <v>26</v>
      </c>
      <c r="B212" s="85">
        <f t="shared" si="37"/>
        <v>130.32080782908301</v>
      </c>
      <c r="C212" s="86">
        <f t="shared" si="42"/>
        <v>11.923606738593703</v>
      </c>
      <c r="D212" s="85">
        <f t="shared" si="38"/>
        <v>118.3972010904893</v>
      </c>
      <c r="E212" s="87">
        <f t="shared" si="39"/>
        <v>6088.8266954396768</v>
      </c>
    </row>
    <row r="213" spans="1:5" ht="12.6" customHeight="1" thickBot="1">
      <c r="A213" s="88">
        <f>A180+1</f>
        <v>2025</v>
      </c>
      <c r="B213" s="110">
        <f>SUM(B187:B212)</f>
        <v>3388.3410035561592</v>
      </c>
      <c r="C213" s="110">
        <f>SUM(C187:C212)</f>
        <v>382.66831196898522</v>
      </c>
      <c r="D213" s="110">
        <f>SUM(D187:D212)</f>
        <v>3005.6726915871732</v>
      </c>
      <c r="E213" s="90"/>
    </row>
    <row r="214" spans="1:5" ht="12.6" hidden="1" customHeight="1"/>
    <row r="215" spans="1:5" ht="12.6" hidden="1" customHeight="1"/>
    <row r="216" spans="1:5" ht="12.6" hidden="1" customHeight="1"/>
    <row r="217" spans="1:5" ht="9" customHeight="1" thickBot="1"/>
    <row r="218" spans="1:5" ht="12.6" customHeight="1">
      <c r="A218" s="79" t="s">
        <v>230</v>
      </c>
      <c r="B218" s="80" t="s">
        <v>216</v>
      </c>
      <c r="C218" s="80" t="s">
        <v>21</v>
      </c>
      <c r="D218" s="80" t="s">
        <v>231</v>
      </c>
      <c r="E218" s="81" t="s">
        <v>208</v>
      </c>
    </row>
    <row r="219" spans="1:5" ht="12.6" customHeight="1">
      <c r="A219" s="82">
        <v>0</v>
      </c>
      <c r="B219" s="83"/>
      <c r="C219" s="83"/>
      <c r="D219" s="83"/>
      <c r="E219" s="84">
        <f>E212</f>
        <v>6088.8266954396768</v>
      </c>
    </row>
    <row r="220" spans="1:5" ht="12.6" customHeight="1">
      <c r="A220" s="82">
        <v>1</v>
      </c>
      <c r="B220" s="85">
        <f t="shared" ref="B220:B245" si="43">IF(E219+C220&lt;$B$11,E219+C220,$B$11)</f>
        <v>130.32080782908301</v>
      </c>
      <c r="C220" s="86">
        <f>E219*$C$19</f>
        <v>11.696174687118592</v>
      </c>
      <c r="D220" s="85">
        <f t="shared" ref="D220:D245" si="44">B220-C220</f>
        <v>118.62463314196441</v>
      </c>
      <c r="E220" s="87">
        <f t="shared" ref="E220:E245" si="45">E219-D220</f>
        <v>5970.2020622977125</v>
      </c>
    </row>
    <row r="221" spans="1:5" ht="12.6" customHeight="1">
      <c r="A221" s="82">
        <f>A220+1</f>
        <v>2</v>
      </c>
      <c r="B221" s="85">
        <f t="shared" si="43"/>
        <v>130.32080782908301</v>
      </c>
      <c r="C221" s="86">
        <f t="shared" ref="C221:C231" si="46">E220*$C$19</f>
        <v>11.468305755906782</v>
      </c>
      <c r="D221" s="85">
        <f t="shared" si="44"/>
        <v>118.85250207317623</v>
      </c>
      <c r="E221" s="87">
        <f t="shared" si="45"/>
        <v>5851.3495602245366</v>
      </c>
    </row>
    <row r="222" spans="1:5" ht="12.6" customHeight="1">
      <c r="A222" s="82">
        <f>A221+1</f>
        <v>3</v>
      </c>
      <c r="B222" s="85">
        <f t="shared" si="43"/>
        <v>130.32080782908301</v>
      </c>
      <c r="C222" s="86">
        <f t="shared" si="46"/>
        <v>11.239999105745406</v>
      </c>
      <c r="D222" s="85">
        <f t="shared" si="44"/>
        <v>119.0808087233376</v>
      </c>
      <c r="E222" s="87">
        <f t="shared" si="45"/>
        <v>5732.2687515011994</v>
      </c>
    </row>
    <row r="223" spans="1:5" ht="12.6" customHeight="1">
      <c r="A223" s="82">
        <f>A222+1</f>
        <v>4</v>
      </c>
      <c r="B223" s="85">
        <f t="shared" si="43"/>
        <v>130.32080782908301</v>
      </c>
      <c r="C223" s="86">
        <f t="shared" si="46"/>
        <v>11.011253895809531</v>
      </c>
      <c r="D223" s="85">
        <f t="shared" si="44"/>
        <v>119.30955393327348</v>
      </c>
      <c r="E223" s="87">
        <f t="shared" si="45"/>
        <v>5612.9591975679259</v>
      </c>
    </row>
    <row r="224" spans="1:5" ht="12.6" customHeight="1">
      <c r="A224" s="93">
        <v>5</v>
      </c>
      <c r="B224" s="85">
        <f t="shared" si="43"/>
        <v>130.32080782908301</v>
      </c>
      <c r="C224" s="86">
        <f t="shared" si="46"/>
        <v>10.782069283659064</v>
      </c>
      <c r="D224" s="85">
        <f t="shared" si="44"/>
        <v>119.53873854542394</v>
      </c>
      <c r="E224" s="87">
        <f t="shared" si="45"/>
        <v>5493.4204590225017</v>
      </c>
    </row>
    <row r="225" spans="1:5" ht="12.6" customHeight="1">
      <c r="A225" s="93">
        <v>6</v>
      </c>
      <c r="B225" s="85">
        <f t="shared" si="43"/>
        <v>130.32080782908301</v>
      </c>
      <c r="C225" s="86">
        <f t="shared" si="46"/>
        <v>10.552444425235644</v>
      </c>
      <c r="D225" s="85">
        <f t="shared" si="44"/>
        <v>119.76836340384736</v>
      </c>
      <c r="E225" s="87">
        <f t="shared" si="45"/>
        <v>5373.6520956186541</v>
      </c>
    </row>
    <row r="226" spans="1:5" ht="12.6" customHeight="1">
      <c r="A226" s="93">
        <v>7</v>
      </c>
      <c r="B226" s="85">
        <f t="shared" si="43"/>
        <v>130.32080782908301</v>
      </c>
      <c r="C226" s="86">
        <f t="shared" si="46"/>
        <v>10.322378474859542</v>
      </c>
      <c r="D226" s="85">
        <f t="shared" si="44"/>
        <v>119.99842935422346</v>
      </c>
      <c r="E226" s="87">
        <f t="shared" si="45"/>
        <v>5253.6536662644303</v>
      </c>
    </row>
    <row r="227" spans="1:5" ht="12.6" customHeight="1">
      <c r="A227" s="93">
        <v>8</v>
      </c>
      <c r="B227" s="85">
        <f t="shared" si="43"/>
        <v>130.32080782908301</v>
      </c>
      <c r="C227" s="86">
        <f t="shared" si="46"/>
        <v>10.091870585226545</v>
      </c>
      <c r="D227" s="85">
        <f t="shared" si="44"/>
        <v>120.22893724385646</v>
      </c>
      <c r="E227" s="87">
        <f t="shared" si="45"/>
        <v>5133.424729020574</v>
      </c>
    </row>
    <row r="228" spans="1:5" ht="12.6" customHeight="1">
      <c r="A228" s="93">
        <v>9</v>
      </c>
      <c r="B228" s="85">
        <f t="shared" si="43"/>
        <v>130.32080782908301</v>
      </c>
      <c r="C228" s="86">
        <f t="shared" si="46"/>
        <v>9.8609199074048259</v>
      </c>
      <c r="D228" s="85">
        <f t="shared" si="44"/>
        <v>120.45988792167819</v>
      </c>
      <c r="E228" s="87">
        <f t="shared" si="45"/>
        <v>5012.9648410988957</v>
      </c>
    </row>
    <row r="229" spans="1:5" ht="12.6" customHeight="1">
      <c r="A229" s="93">
        <v>10</v>
      </c>
      <c r="B229" s="85">
        <f t="shared" si="43"/>
        <v>130.32080782908301</v>
      </c>
      <c r="C229" s="86">
        <f t="shared" si="46"/>
        <v>9.6295255908318307</v>
      </c>
      <c r="D229" s="85">
        <f t="shared" si="44"/>
        <v>120.69128223825118</v>
      </c>
      <c r="E229" s="87">
        <f t="shared" si="45"/>
        <v>4892.2735588606447</v>
      </c>
    </row>
    <row r="230" spans="1:5" ht="12.6" customHeight="1">
      <c r="A230" s="93">
        <v>11</v>
      </c>
      <c r="B230" s="85">
        <f t="shared" si="43"/>
        <v>130.32080782908301</v>
      </c>
      <c r="C230" s="86">
        <f t="shared" si="46"/>
        <v>9.3976867833111335</v>
      </c>
      <c r="D230" s="85">
        <f t="shared" si="44"/>
        <v>120.92312104577188</v>
      </c>
      <c r="E230" s="87">
        <f t="shared" si="45"/>
        <v>4771.3504378148727</v>
      </c>
    </row>
    <row r="231" spans="1:5" ht="12.6" customHeight="1">
      <c r="A231" s="93">
        <f>A230+1</f>
        <v>12</v>
      </c>
      <c r="B231" s="85">
        <f t="shared" si="43"/>
        <v>130.32080782908301</v>
      </c>
      <c r="C231" s="86">
        <f t="shared" si="46"/>
        <v>9.1654026310093073</v>
      </c>
      <c r="D231" s="85">
        <f t="shared" si="44"/>
        <v>121.15540519807371</v>
      </c>
      <c r="E231" s="87">
        <f t="shared" si="45"/>
        <v>4650.1950326167989</v>
      </c>
    </row>
    <row r="232" spans="1:5" ht="12.6" customHeight="1">
      <c r="A232" s="93">
        <f t="shared" ref="A232:A245" si="47">A231+1</f>
        <v>13</v>
      </c>
      <c r="B232" s="85">
        <f t="shared" si="43"/>
        <v>130.32080782908301</v>
      </c>
      <c r="C232" s="86">
        <f>E231*$C$19</f>
        <v>8.9326722784527757</v>
      </c>
      <c r="D232" s="85">
        <f t="shared" si="44"/>
        <v>121.38813555063024</v>
      </c>
      <c r="E232" s="87">
        <f t="shared" si="45"/>
        <v>4528.8068970661689</v>
      </c>
    </row>
    <row r="233" spans="1:5" ht="12.6" customHeight="1">
      <c r="A233" s="93">
        <f t="shared" si="47"/>
        <v>14</v>
      </c>
      <c r="B233" s="85">
        <f t="shared" si="43"/>
        <v>130.32080782908301</v>
      </c>
      <c r="C233" s="86">
        <f t="shared" ref="C233:C245" si="48">E232*$C$19</f>
        <v>8.699494868524658</v>
      </c>
      <c r="D233" s="85">
        <f t="shared" si="44"/>
        <v>121.62131296055836</v>
      </c>
      <c r="E233" s="87">
        <f t="shared" si="45"/>
        <v>4407.1855841056104</v>
      </c>
    </row>
    <row r="234" spans="1:5" ht="12.6" customHeight="1">
      <c r="A234" s="93">
        <f t="shared" si="47"/>
        <v>15</v>
      </c>
      <c r="B234" s="85">
        <f t="shared" si="43"/>
        <v>130.32080782908301</v>
      </c>
      <c r="C234" s="86">
        <f t="shared" si="48"/>
        <v>8.4658695424616219</v>
      </c>
      <c r="D234" s="85">
        <f t="shared" si="44"/>
        <v>121.85493828662139</v>
      </c>
      <c r="E234" s="87">
        <f t="shared" si="45"/>
        <v>4285.3306458189891</v>
      </c>
    </row>
    <row r="235" spans="1:5" ht="12.6" customHeight="1">
      <c r="A235" s="93">
        <f t="shared" si="47"/>
        <v>16</v>
      </c>
      <c r="B235" s="85">
        <f t="shared" si="43"/>
        <v>130.32080782908301</v>
      </c>
      <c r="C235" s="86">
        <f t="shared" si="48"/>
        <v>8.231795439850714</v>
      </c>
      <c r="D235" s="85">
        <f t="shared" si="44"/>
        <v>122.08901238923229</v>
      </c>
      <c r="E235" s="87">
        <f t="shared" si="45"/>
        <v>4163.2416334297568</v>
      </c>
    </row>
    <row r="236" spans="1:5" ht="12.6" customHeight="1">
      <c r="A236" s="93">
        <f t="shared" si="47"/>
        <v>17</v>
      </c>
      <c r="B236" s="85">
        <f t="shared" si="43"/>
        <v>130.32080782908301</v>
      </c>
      <c r="C236" s="86">
        <f t="shared" si="48"/>
        <v>7.9972716986261938</v>
      </c>
      <c r="D236" s="85">
        <f t="shared" si="44"/>
        <v>122.32353613045682</v>
      </c>
      <c r="E236" s="87">
        <f t="shared" si="45"/>
        <v>4040.9180972992999</v>
      </c>
    </row>
    <row r="237" spans="1:5" ht="12.6" customHeight="1">
      <c r="A237" s="93">
        <f t="shared" si="47"/>
        <v>18</v>
      </c>
      <c r="B237" s="85">
        <f t="shared" si="43"/>
        <v>130.32080782908301</v>
      </c>
      <c r="C237" s="86">
        <f t="shared" si="48"/>
        <v>7.7622974550663564</v>
      </c>
      <c r="D237" s="85">
        <f t="shared" si="44"/>
        <v>122.55851037401665</v>
      </c>
      <c r="E237" s="87">
        <f t="shared" si="45"/>
        <v>3918.3595869252831</v>
      </c>
    </row>
    <row r="238" spans="1:5" ht="12.6" customHeight="1">
      <c r="A238" s="93">
        <f t="shared" si="47"/>
        <v>19</v>
      </c>
      <c r="B238" s="85">
        <f t="shared" si="43"/>
        <v>130.32080782908301</v>
      </c>
      <c r="C238" s="86">
        <f t="shared" si="48"/>
        <v>7.5268718437903521</v>
      </c>
      <c r="D238" s="85">
        <f t="shared" si="44"/>
        <v>122.79393598529266</v>
      </c>
      <c r="E238" s="87">
        <f t="shared" si="45"/>
        <v>3795.5656509399905</v>
      </c>
    </row>
    <row r="239" spans="1:5" ht="12.6" customHeight="1">
      <c r="A239" s="93">
        <f t="shared" si="47"/>
        <v>20</v>
      </c>
      <c r="B239" s="85">
        <f t="shared" si="43"/>
        <v>130.32080782908301</v>
      </c>
      <c r="C239" s="86">
        <f t="shared" si="48"/>
        <v>7.2909939977550033</v>
      </c>
      <c r="D239" s="85">
        <f t="shared" si="44"/>
        <v>123.029813831328</v>
      </c>
      <c r="E239" s="87">
        <f t="shared" si="45"/>
        <v>3672.5358371086627</v>
      </c>
    </row>
    <row r="240" spans="1:5" ht="12.6" customHeight="1">
      <c r="A240" s="93">
        <f t="shared" si="47"/>
        <v>21</v>
      </c>
      <c r="B240" s="85">
        <f t="shared" si="43"/>
        <v>130.32080782908301</v>
      </c>
      <c r="C240" s="86">
        <f t="shared" si="48"/>
        <v>7.0546630482516068</v>
      </c>
      <c r="D240" s="85">
        <f t="shared" si="44"/>
        <v>123.2661447808314</v>
      </c>
      <c r="E240" s="87">
        <f t="shared" si="45"/>
        <v>3549.2696923278313</v>
      </c>
    </row>
    <row r="241" spans="1:5" ht="12.6" customHeight="1">
      <c r="A241" s="93">
        <f t="shared" si="47"/>
        <v>22</v>
      </c>
      <c r="B241" s="85">
        <f t="shared" si="43"/>
        <v>130.32080782908301</v>
      </c>
      <c r="C241" s="86">
        <f t="shared" si="48"/>
        <v>6.8178781249027338</v>
      </c>
      <c r="D241" s="85">
        <f t="shared" si="44"/>
        <v>123.50292970418027</v>
      </c>
      <c r="E241" s="87">
        <f t="shared" si="45"/>
        <v>3425.7667626236512</v>
      </c>
    </row>
    <row r="242" spans="1:5" ht="12.6" customHeight="1">
      <c r="A242" s="93">
        <f t="shared" si="47"/>
        <v>23</v>
      </c>
      <c r="B242" s="85">
        <f t="shared" si="43"/>
        <v>130.32080782908301</v>
      </c>
      <c r="C242" s="86">
        <f t="shared" si="48"/>
        <v>6.5806383556590289</v>
      </c>
      <c r="D242" s="85">
        <f t="shared" si="44"/>
        <v>123.74016947342398</v>
      </c>
      <c r="E242" s="87">
        <f t="shared" si="45"/>
        <v>3302.0265931502272</v>
      </c>
    </row>
    <row r="243" spans="1:5" ht="12.6" customHeight="1">
      <c r="A243" s="93">
        <f t="shared" si="47"/>
        <v>24</v>
      </c>
      <c r="B243" s="85">
        <f t="shared" si="43"/>
        <v>130.32080782908301</v>
      </c>
      <c r="C243" s="86">
        <f t="shared" si="48"/>
        <v>6.3429428667959948</v>
      </c>
      <c r="D243" s="85">
        <f t="shared" si="44"/>
        <v>123.97786496228701</v>
      </c>
      <c r="E243" s="87">
        <f t="shared" si="45"/>
        <v>3178.04872818794</v>
      </c>
    </row>
    <row r="244" spans="1:5" ht="12.6" customHeight="1">
      <c r="A244" s="93">
        <f t="shared" si="47"/>
        <v>25</v>
      </c>
      <c r="B244" s="85">
        <f t="shared" si="43"/>
        <v>130.32080782908301</v>
      </c>
      <c r="C244" s="86">
        <f t="shared" si="48"/>
        <v>6.1047907829107757</v>
      </c>
      <c r="D244" s="85">
        <f t="shared" si="44"/>
        <v>124.21601704617223</v>
      </c>
      <c r="E244" s="87">
        <f t="shared" si="45"/>
        <v>3053.832711141768</v>
      </c>
    </row>
    <row r="245" spans="1:5" ht="12.6" customHeight="1">
      <c r="A245" s="93">
        <f t="shared" si="47"/>
        <v>26</v>
      </c>
      <c r="B245" s="85">
        <f t="shared" si="43"/>
        <v>130.32080782908301</v>
      </c>
      <c r="C245" s="86">
        <f t="shared" si="48"/>
        <v>5.8661812269189353</v>
      </c>
      <c r="D245" s="85">
        <f t="shared" si="44"/>
        <v>124.45462660216407</v>
      </c>
      <c r="E245" s="87">
        <f t="shared" si="45"/>
        <v>2929.3780845396041</v>
      </c>
    </row>
    <row r="246" spans="1:5" ht="12.6" customHeight="1" thickBot="1">
      <c r="A246" s="88">
        <f>A213+1</f>
        <v>2026</v>
      </c>
      <c r="B246" s="110">
        <f>SUM(B220:B245)</f>
        <v>3388.3410035561592</v>
      </c>
      <c r="C246" s="110">
        <f>SUM(C220:C245)</f>
        <v>228.89239265608498</v>
      </c>
      <c r="D246" s="110">
        <f>SUM(D220:D245)</f>
        <v>3159.4486109000732</v>
      </c>
      <c r="E246" s="90"/>
    </row>
    <row r="247" spans="1:5" ht="12.6" customHeight="1"/>
    <row r="248" spans="1:5" ht="12.6" customHeight="1"/>
    <row r="249" spans="1:5" ht="12.6" customHeight="1"/>
    <row r="250" spans="1:5" ht="12.6" customHeight="1" thickBot="1"/>
    <row r="251" spans="1:5" ht="12.6" customHeight="1">
      <c r="A251" s="79" t="s">
        <v>230</v>
      </c>
      <c r="B251" s="80" t="s">
        <v>216</v>
      </c>
      <c r="C251" s="80" t="s">
        <v>21</v>
      </c>
      <c r="D251" s="80" t="s">
        <v>231</v>
      </c>
      <c r="E251" s="81" t="s">
        <v>208</v>
      </c>
    </row>
    <row r="252" spans="1:5" ht="12.6" customHeight="1">
      <c r="A252" s="82">
        <v>0</v>
      </c>
      <c r="B252" s="83"/>
      <c r="C252" s="83"/>
      <c r="D252" s="83"/>
      <c r="E252" s="84">
        <f>E245</f>
        <v>2929.3780845396041</v>
      </c>
    </row>
    <row r="253" spans="1:5" ht="12.6" customHeight="1">
      <c r="A253" s="82">
        <v>1</v>
      </c>
      <c r="B253" s="85">
        <f t="shared" ref="B253:B278" si="49">IF(E252+C253&lt;$B$11,E252+C253,$B$11)</f>
        <v>130.32080782908301</v>
      </c>
      <c r="C253" s="86">
        <f>E252*$C$19</f>
        <v>5.6271133200512207</v>
      </c>
      <c r="D253" s="85">
        <f t="shared" ref="D253:D278" si="50">B253-C253</f>
        <v>124.69369450903179</v>
      </c>
      <c r="E253" s="87">
        <f t="shared" ref="E253:E278" si="51">E252-D253</f>
        <v>2804.6843900305721</v>
      </c>
    </row>
    <row r="254" spans="1:5" ht="12.6" customHeight="1">
      <c r="A254" s="82">
        <f>A253+1</f>
        <v>2</v>
      </c>
      <c r="B254" s="85">
        <f t="shared" si="49"/>
        <v>130.32080782908301</v>
      </c>
      <c r="C254" s="86">
        <f t="shared" ref="C254:C264" si="52">E253*$C$19</f>
        <v>5.3875861818503328</v>
      </c>
      <c r="D254" s="85">
        <f t="shared" si="50"/>
        <v>124.93322164723267</v>
      </c>
      <c r="E254" s="87">
        <f t="shared" si="51"/>
        <v>2679.7511683833395</v>
      </c>
    </row>
    <row r="255" spans="1:5" ht="12.6" customHeight="1">
      <c r="A255" s="82">
        <f>A254+1</f>
        <v>3</v>
      </c>
      <c r="B255" s="85">
        <f t="shared" si="49"/>
        <v>130.32080782908301</v>
      </c>
      <c r="C255" s="86">
        <f t="shared" si="52"/>
        <v>5.1475989301676792</v>
      </c>
      <c r="D255" s="85">
        <f t="shared" si="50"/>
        <v>125.17320889891533</v>
      </c>
      <c r="E255" s="87">
        <f t="shared" si="51"/>
        <v>2554.5779594844244</v>
      </c>
    </row>
    <row r="256" spans="1:5" ht="12.6" customHeight="1">
      <c r="A256" s="82">
        <f>A255+1</f>
        <v>4</v>
      </c>
      <c r="B256" s="85">
        <f t="shared" si="49"/>
        <v>130.32080782908301</v>
      </c>
      <c r="C256" s="86">
        <f t="shared" si="52"/>
        <v>4.9071506811601289</v>
      </c>
      <c r="D256" s="85">
        <f t="shared" si="50"/>
        <v>125.41365714792288</v>
      </c>
      <c r="E256" s="87">
        <f t="shared" si="51"/>
        <v>2429.1643023365014</v>
      </c>
    </row>
    <row r="257" spans="1:5" ht="12.6" customHeight="1">
      <c r="A257" s="93">
        <v>5</v>
      </c>
      <c r="B257" s="85">
        <f t="shared" si="49"/>
        <v>130.32080782908301</v>
      </c>
      <c r="C257" s="86">
        <f t="shared" si="52"/>
        <v>4.6662405492867531</v>
      </c>
      <c r="D257" s="85">
        <f t="shared" si="50"/>
        <v>125.65456727979625</v>
      </c>
      <c r="E257" s="87">
        <f t="shared" si="51"/>
        <v>2303.5097350567053</v>
      </c>
    </row>
    <row r="258" spans="1:5" ht="12.6" customHeight="1">
      <c r="A258" s="93">
        <v>6</v>
      </c>
      <c r="B258" s="85">
        <f t="shared" si="49"/>
        <v>130.32080782908301</v>
      </c>
      <c r="C258" s="86">
        <f t="shared" si="52"/>
        <v>4.4248676473055664</v>
      </c>
      <c r="D258" s="85">
        <f t="shared" si="50"/>
        <v>125.89594018177745</v>
      </c>
      <c r="E258" s="87">
        <f t="shared" si="51"/>
        <v>2177.6137948749279</v>
      </c>
    </row>
    <row r="259" spans="1:5" ht="12.6" customHeight="1">
      <c r="A259" s="93">
        <v>7</v>
      </c>
      <c r="B259" s="85">
        <f t="shared" si="49"/>
        <v>130.32080782908301</v>
      </c>
      <c r="C259" s="86">
        <f t="shared" si="52"/>
        <v>4.18303108627026</v>
      </c>
      <c r="D259" s="85">
        <f t="shared" si="50"/>
        <v>126.13777674281275</v>
      </c>
      <c r="E259" s="87">
        <f t="shared" si="51"/>
        <v>2051.4760181321153</v>
      </c>
    </row>
    <row r="260" spans="1:5" ht="12.6" customHeight="1">
      <c r="A260" s="93">
        <v>8</v>
      </c>
      <c r="B260" s="85">
        <f t="shared" si="49"/>
        <v>130.32080782908301</v>
      </c>
      <c r="C260" s="86">
        <f t="shared" si="52"/>
        <v>3.9407299755269256</v>
      </c>
      <c r="D260" s="85">
        <f t="shared" si="50"/>
        <v>126.38007785355609</v>
      </c>
      <c r="E260" s="87">
        <f t="shared" si="51"/>
        <v>1925.0959402785593</v>
      </c>
    </row>
    <row r="261" spans="1:5" ht="12.6" customHeight="1">
      <c r="A261" s="93">
        <v>9</v>
      </c>
      <c r="B261" s="85">
        <f t="shared" si="49"/>
        <v>130.32080782908301</v>
      </c>
      <c r="C261" s="86">
        <f t="shared" si="52"/>
        <v>3.6979634227107758</v>
      </c>
      <c r="D261" s="85">
        <f t="shared" si="50"/>
        <v>126.62284440637224</v>
      </c>
      <c r="E261" s="87">
        <f t="shared" si="51"/>
        <v>1798.4730958721871</v>
      </c>
    </row>
    <row r="262" spans="1:5" ht="12.6" customHeight="1">
      <c r="A262" s="93">
        <v>10</v>
      </c>
      <c r="B262" s="85">
        <f t="shared" si="49"/>
        <v>130.32080782908301</v>
      </c>
      <c r="C262" s="86">
        <f t="shared" si="52"/>
        <v>3.4547305337428589</v>
      </c>
      <c r="D262" s="85">
        <f t="shared" si="50"/>
        <v>126.86607729534015</v>
      </c>
      <c r="E262" s="87">
        <f t="shared" si="51"/>
        <v>1671.6070185768469</v>
      </c>
    </row>
    <row r="263" spans="1:5" ht="12.6" customHeight="1">
      <c r="A263" s="93">
        <v>11</v>
      </c>
      <c r="B263" s="85">
        <f t="shared" si="49"/>
        <v>130.32080782908301</v>
      </c>
      <c r="C263" s="86">
        <f t="shared" si="52"/>
        <v>3.2110304128267653</v>
      </c>
      <c r="D263" s="85">
        <f t="shared" si="50"/>
        <v>127.10977741625625</v>
      </c>
      <c r="E263" s="87">
        <f t="shared" si="51"/>
        <v>1544.4972411605906</v>
      </c>
    </row>
    <row r="264" spans="1:5" ht="12.6" customHeight="1">
      <c r="A264" s="93">
        <f>A263+1</f>
        <v>12</v>
      </c>
      <c r="B264" s="85">
        <f t="shared" si="49"/>
        <v>130.32080782908301</v>
      </c>
      <c r="C264" s="86">
        <f t="shared" si="52"/>
        <v>2.9668621624453277</v>
      </c>
      <c r="D264" s="85">
        <f t="shared" si="50"/>
        <v>127.35394566663769</v>
      </c>
      <c r="E264" s="87">
        <f t="shared" si="51"/>
        <v>1417.143295493953</v>
      </c>
    </row>
    <row r="265" spans="1:5" ht="12.6" customHeight="1">
      <c r="A265" s="93">
        <f t="shared" ref="A265:A278" si="53">A264+1</f>
        <v>13</v>
      </c>
      <c r="B265" s="85">
        <f t="shared" si="49"/>
        <v>130.32080782908301</v>
      </c>
      <c r="C265" s="86">
        <f>E264*$C$19</f>
        <v>2.7222248833573177</v>
      </c>
      <c r="D265" s="85">
        <f t="shared" si="50"/>
        <v>127.5985829457257</v>
      </c>
      <c r="E265" s="87">
        <f t="shared" si="51"/>
        <v>1289.5447125482274</v>
      </c>
    </row>
    <row r="266" spans="1:5" ht="12.6" customHeight="1">
      <c r="A266" s="93">
        <f t="shared" si="53"/>
        <v>14</v>
      </c>
      <c r="B266" s="85">
        <f t="shared" si="49"/>
        <v>130.32080782908301</v>
      </c>
      <c r="C266" s="86">
        <f t="shared" ref="C266:C278" si="54">E265*$C$19</f>
        <v>2.4771176745941306</v>
      </c>
      <c r="D266" s="85">
        <f t="shared" si="50"/>
        <v>127.84369015448888</v>
      </c>
      <c r="E266" s="87">
        <f t="shared" si="51"/>
        <v>1161.7010223937384</v>
      </c>
    </row>
    <row r="267" spans="1:5" ht="12.6" customHeight="1">
      <c r="A267" s="93">
        <f t="shared" si="53"/>
        <v>15</v>
      </c>
      <c r="B267" s="85">
        <f t="shared" si="49"/>
        <v>130.32080782908301</v>
      </c>
      <c r="C267" s="86">
        <f t="shared" si="54"/>
        <v>2.231539633456471</v>
      </c>
      <c r="D267" s="85">
        <f t="shared" si="50"/>
        <v>128.08926819562654</v>
      </c>
      <c r="E267" s="87">
        <f t="shared" si="51"/>
        <v>1033.6117541981118</v>
      </c>
    </row>
    <row r="268" spans="1:5" ht="12.6" customHeight="1">
      <c r="A268" s="93">
        <f t="shared" si="53"/>
        <v>16</v>
      </c>
      <c r="B268" s="85">
        <f t="shared" si="49"/>
        <v>130.32080782908301</v>
      </c>
      <c r="C268" s="86">
        <f t="shared" si="54"/>
        <v>1.9854898555110256</v>
      </c>
      <c r="D268" s="85">
        <f t="shared" si="50"/>
        <v>128.33531797357199</v>
      </c>
      <c r="E268" s="87">
        <f t="shared" si="51"/>
        <v>905.27643622453979</v>
      </c>
    </row>
    <row r="269" spans="1:5" ht="12.6" customHeight="1">
      <c r="A269" s="93">
        <f t="shared" si="53"/>
        <v>17</v>
      </c>
      <c r="B269" s="85">
        <f t="shared" si="49"/>
        <v>130.32080782908301</v>
      </c>
      <c r="C269" s="86">
        <f t="shared" si="54"/>
        <v>1.7389674345871338</v>
      </c>
      <c r="D269" s="85">
        <f t="shared" si="50"/>
        <v>128.58184039449588</v>
      </c>
      <c r="E269" s="87">
        <f t="shared" si="51"/>
        <v>776.69459583004391</v>
      </c>
    </row>
    <row r="270" spans="1:5" ht="12.6" customHeight="1">
      <c r="A270" s="93">
        <f t="shared" si="53"/>
        <v>18</v>
      </c>
      <c r="B270" s="85">
        <f t="shared" si="49"/>
        <v>130.32080782908301</v>
      </c>
      <c r="C270" s="86">
        <f t="shared" si="54"/>
        <v>1.4919714627734497</v>
      </c>
      <c r="D270" s="85">
        <f t="shared" si="50"/>
        <v>128.82883636630956</v>
      </c>
      <c r="E270" s="87">
        <f t="shared" si="51"/>
        <v>647.86575946373432</v>
      </c>
    </row>
    <row r="271" spans="1:5" ht="12.6" customHeight="1">
      <c r="A271" s="93">
        <f t="shared" si="53"/>
        <v>19</v>
      </c>
      <c r="B271" s="85">
        <f t="shared" si="49"/>
        <v>130.32080782908301</v>
      </c>
      <c r="C271" s="86">
        <f t="shared" si="54"/>
        <v>1.2445010304145983</v>
      </c>
      <c r="D271" s="85">
        <f t="shared" si="50"/>
        <v>129.07630679866841</v>
      </c>
      <c r="E271" s="87">
        <f t="shared" si="51"/>
        <v>518.78945266506594</v>
      </c>
    </row>
    <row r="272" spans="1:5" ht="12.6" customHeight="1">
      <c r="A272" s="93">
        <f t="shared" si="53"/>
        <v>20</v>
      </c>
      <c r="B272" s="85">
        <f t="shared" si="49"/>
        <v>130.32080782908301</v>
      </c>
      <c r="C272" s="86">
        <f t="shared" si="54"/>
        <v>0.99655522610782588</v>
      </c>
      <c r="D272" s="85">
        <f t="shared" si="50"/>
        <v>129.32425260297518</v>
      </c>
      <c r="E272" s="87">
        <f t="shared" si="51"/>
        <v>389.46520006209073</v>
      </c>
    </row>
    <row r="273" spans="1:5" ht="12.6" customHeight="1">
      <c r="A273" s="93">
        <f t="shared" si="53"/>
        <v>21</v>
      </c>
      <c r="B273" s="85">
        <f t="shared" si="49"/>
        <v>130.32080782908301</v>
      </c>
      <c r="C273" s="86">
        <f t="shared" si="54"/>
        <v>0.74813313669964243</v>
      </c>
      <c r="D273" s="85">
        <f t="shared" si="50"/>
        <v>129.57267469238337</v>
      </c>
      <c r="E273" s="87">
        <f t="shared" si="51"/>
        <v>259.89252536970736</v>
      </c>
    </row>
    <row r="274" spans="1:5" ht="12.6" customHeight="1">
      <c r="A274" s="93">
        <f t="shared" si="53"/>
        <v>22</v>
      </c>
      <c r="B274" s="85">
        <f t="shared" si="49"/>
        <v>130.32080782908301</v>
      </c>
      <c r="C274" s="86">
        <f t="shared" si="54"/>
        <v>0.49923384728246006</v>
      </c>
      <c r="D274" s="85">
        <f t="shared" si="50"/>
        <v>129.82157398180055</v>
      </c>
      <c r="E274" s="87">
        <f t="shared" si="51"/>
        <v>130.0709513879068</v>
      </c>
    </row>
    <row r="275" spans="1:5" ht="12.6" customHeight="1">
      <c r="A275" s="93">
        <f t="shared" si="53"/>
        <v>23</v>
      </c>
      <c r="B275" s="85">
        <f t="shared" si="49"/>
        <v>130.32080782908301</v>
      </c>
      <c r="C275" s="86">
        <f t="shared" si="54"/>
        <v>0.24985644119122236</v>
      </c>
      <c r="D275" s="85">
        <f t="shared" si="50"/>
        <v>130.0709513878918</v>
      </c>
      <c r="E275" s="87">
        <f t="shared" si="51"/>
        <v>1.5006662579253316E-11</v>
      </c>
    </row>
    <row r="276" spans="1:5" ht="12.6" customHeight="1">
      <c r="A276" s="93">
        <f t="shared" si="53"/>
        <v>24</v>
      </c>
      <c r="B276" s="85">
        <f t="shared" si="49"/>
        <v>1.5035489240903753E-11</v>
      </c>
      <c r="C276" s="86">
        <f t="shared" si="54"/>
        <v>2.8826661650437731E-14</v>
      </c>
      <c r="D276" s="85">
        <f t="shared" si="50"/>
        <v>1.5006662579253316E-11</v>
      </c>
      <c r="E276" s="87">
        <f t="shared" si="51"/>
        <v>0</v>
      </c>
    </row>
    <row r="277" spans="1:5" ht="12.6" customHeight="1">
      <c r="A277" s="93">
        <f t="shared" si="53"/>
        <v>25</v>
      </c>
      <c r="B277" s="85">
        <f t="shared" si="49"/>
        <v>0</v>
      </c>
      <c r="C277" s="86">
        <f t="shared" si="54"/>
        <v>0</v>
      </c>
      <c r="D277" s="85">
        <f t="shared" si="50"/>
        <v>0</v>
      </c>
      <c r="E277" s="87">
        <f t="shared" si="51"/>
        <v>0</v>
      </c>
    </row>
    <row r="278" spans="1:5" ht="12.6" customHeight="1">
      <c r="A278" s="93">
        <f t="shared" si="53"/>
        <v>26</v>
      </c>
      <c r="B278" s="85">
        <f t="shared" si="49"/>
        <v>0</v>
      </c>
      <c r="C278" s="86">
        <f t="shared" si="54"/>
        <v>0</v>
      </c>
      <c r="D278" s="85">
        <f t="shared" si="50"/>
        <v>0</v>
      </c>
      <c r="E278" s="87">
        <f t="shared" si="51"/>
        <v>0</v>
      </c>
    </row>
    <row r="279" spans="1:5" ht="12.6" customHeight="1" thickBot="1">
      <c r="A279" s="88">
        <f>A246+1</f>
        <v>2027</v>
      </c>
      <c r="B279" s="110">
        <f>SUM(B253:B278)</f>
        <v>2997.3785800689247</v>
      </c>
      <c r="C279" s="110">
        <f>SUM(C253:C278)</f>
        <v>68.00049552931992</v>
      </c>
      <c r="D279" s="110">
        <f>SUM(D253:D278)</f>
        <v>2929.378084539605</v>
      </c>
      <c r="E279" s="90"/>
    </row>
  </sheetData>
  <sheetProtection algorithmName="SHA-512" hashValue="Ofk8I5qHB7wn9oFQleqgBkMXlGumMzAnlTjHBz+zYLZDfCLFNcTPGl2oJDO2WpIV2B64xIss5uCr22fxSnqNrQ==" saltValue="zNW+9mDI3MmlmmRaeHpriA==" spinCount="100000" sheet="1" objects="1" scenarios="1"/>
  <pageMargins left="0.70866141732283472" right="0.70866141732283472" top="0.74803149606299213" bottom="0.35433070866141736"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301"/>
  <sheetViews>
    <sheetView workbookViewId="0">
      <pane ySplit="10" topLeftCell="A11" activePane="bottomLeft" state="frozen"/>
      <selection pane="bottomLeft" activeCell="C13" sqref="C13"/>
    </sheetView>
  </sheetViews>
  <sheetFormatPr baseColWidth="10" defaultRowHeight="13.2"/>
  <cols>
    <col min="1" max="1" width="9.44140625" customWidth="1"/>
    <col min="2" max="2" width="33.109375" customWidth="1"/>
    <col min="3" max="4" width="10.33203125" customWidth="1"/>
    <col min="5" max="5" width="10.5546875" customWidth="1"/>
    <col min="6" max="6" width="10.77734375" customWidth="1"/>
    <col min="7" max="7" width="10.33203125" customWidth="1"/>
    <col min="8" max="8" width="10.77734375" customWidth="1"/>
    <col min="9" max="14" width="0" hidden="1" customWidth="1"/>
  </cols>
  <sheetData>
    <row r="1" spans="1:34" ht="23.4" thickBot="1">
      <c r="A1" s="292" t="s">
        <v>430</v>
      </c>
      <c r="B1" s="293"/>
      <c r="C1" s="293"/>
      <c r="D1" s="293"/>
      <c r="E1" s="293"/>
      <c r="F1" s="293"/>
      <c r="G1" s="293"/>
      <c r="H1" s="293"/>
      <c r="I1" s="116"/>
      <c r="J1" s="116"/>
      <c r="K1" s="116"/>
      <c r="L1" s="116"/>
      <c r="M1" s="116"/>
      <c r="N1" s="116"/>
      <c r="O1" s="116"/>
      <c r="P1" s="116"/>
      <c r="Q1" s="116"/>
      <c r="R1" s="116"/>
      <c r="S1" s="116"/>
      <c r="T1" s="116"/>
      <c r="U1" s="116"/>
      <c r="V1" s="116"/>
      <c r="W1" s="116"/>
      <c r="X1" s="116"/>
      <c r="Y1" s="116"/>
      <c r="Z1" s="116"/>
      <c r="AA1" s="116"/>
      <c r="AB1" s="116"/>
      <c r="AC1" s="116"/>
      <c r="AD1" s="116"/>
      <c r="AE1" s="116"/>
      <c r="AF1" s="116"/>
    </row>
    <row r="2" spans="1:34" ht="14.4" thickBot="1">
      <c r="A2" s="36"/>
      <c r="B2" s="56" t="str">
        <f>Identification!B5</f>
        <v>Nom de l'entreprise</v>
      </c>
      <c r="C2" s="294">
        <f>Identification!B16</f>
        <v>0</v>
      </c>
      <c r="D2" s="291"/>
      <c r="E2" s="125"/>
      <c r="F2" s="125"/>
      <c r="G2" s="295">
        <f>Identification!B17</f>
        <v>0</v>
      </c>
      <c r="H2" s="291"/>
      <c r="AC2" s="67"/>
      <c r="AD2" s="67"/>
      <c r="AE2" s="67"/>
      <c r="AF2" s="67"/>
    </row>
    <row r="3" spans="1:34" ht="14.4" thickBot="1">
      <c r="A3" s="161" t="s">
        <v>294</v>
      </c>
      <c r="B3" s="120"/>
      <c r="C3" s="120"/>
      <c r="D3" s="120"/>
      <c r="E3" s="120"/>
      <c r="F3" s="120"/>
      <c r="G3" s="120"/>
      <c r="H3" s="120"/>
      <c r="P3" s="286"/>
      <c r="Q3" s="287"/>
      <c r="R3" s="287"/>
      <c r="S3" s="115"/>
      <c r="T3" s="115"/>
      <c r="U3" s="115"/>
      <c r="V3" s="115"/>
      <c r="W3" s="115"/>
      <c r="X3" s="115"/>
      <c r="AE3" s="288" t="s">
        <v>289</v>
      </c>
      <c r="AF3" s="289"/>
      <c r="AG3" s="290"/>
      <c r="AH3" s="291"/>
    </row>
    <row r="4" spans="1:34" ht="6" customHeight="1" thickBot="1"/>
    <row r="5" spans="1:34" ht="14.4" thickTop="1" thickBot="1">
      <c r="A5" s="64" t="s">
        <v>0</v>
      </c>
      <c r="B5" s="65" t="s">
        <v>393</v>
      </c>
      <c r="C5" s="66" t="s">
        <v>160</v>
      </c>
      <c r="D5" s="66" t="s">
        <v>161</v>
      </c>
      <c r="E5" s="66" t="s">
        <v>298</v>
      </c>
      <c r="F5" s="66" t="s">
        <v>299</v>
      </c>
      <c r="G5" s="66" t="s">
        <v>310</v>
      </c>
      <c r="H5" s="66" t="s">
        <v>311</v>
      </c>
    </row>
    <row r="6" spans="1:34">
      <c r="A6" s="127"/>
      <c r="B6" s="128"/>
      <c r="C6" s="129" t="s">
        <v>323</v>
      </c>
      <c r="D6" s="129" t="s">
        <v>323</v>
      </c>
      <c r="E6" s="129" t="s">
        <v>416</v>
      </c>
      <c r="F6" s="129" t="s">
        <v>277</v>
      </c>
      <c r="H6" s="279" t="s">
        <v>312</v>
      </c>
    </row>
    <row r="7" spans="1:34" ht="13.8" thickBot="1">
      <c r="A7" s="127"/>
      <c r="B7" s="128"/>
      <c r="C7" s="129" t="s">
        <v>372</v>
      </c>
      <c r="D7" s="129" t="s">
        <v>373</v>
      </c>
      <c r="E7" s="128" t="s">
        <v>301</v>
      </c>
      <c r="F7" s="128" t="s">
        <v>357</v>
      </c>
      <c r="G7" s="129" t="s">
        <v>417</v>
      </c>
      <c r="H7" s="129" t="s">
        <v>417</v>
      </c>
    </row>
    <row r="8" spans="1:34" ht="13.8" thickBot="1">
      <c r="A8" s="237">
        <v>2020</v>
      </c>
      <c r="B8" s="238">
        <f>SUM(C8:F8)</f>
        <v>0</v>
      </c>
      <c r="C8" s="239">
        <f t="shared" ref="C8:H8" si="0">C301</f>
        <v>0</v>
      </c>
      <c r="D8" s="239">
        <f t="shared" si="0"/>
        <v>0</v>
      </c>
      <c r="E8" s="239">
        <f t="shared" si="0"/>
        <v>0</v>
      </c>
      <c r="F8" s="239">
        <f t="shared" si="0"/>
        <v>0</v>
      </c>
      <c r="G8" s="239">
        <f t="shared" si="0"/>
        <v>0</v>
      </c>
      <c r="H8" s="240">
        <f t="shared" si="0"/>
        <v>0</v>
      </c>
    </row>
    <row r="9" spans="1:34" ht="13.8" hidden="1" thickBot="1">
      <c r="A9" s="133"/>
      <c r="B9" s="130" t="s">
        <v>42</v>
      </c>
      <c r="C9" s="131">
        <v>1</v>
      </c>
      <c r="D9" s="131">
        <v>1</v>
      </c>
      <c r="E9" s="131">
        <v>1</v>
      </c>
      <c r="F9" s="131">
        <v>1</v>
      </c>
      <c r="G9" s="131">
        <v>1</v>
      </c>
      <c r="H9" s="132">
        <v>1</v>
      </c>
    </row>
    <row r="10" spans="1:34" hidden="1">
      <c r="A10" s="134"/>
      <c r="B10" s="134"/>
      <c r="C10" s="134"/>
      <c r="D10" s="134"/>
      <c r="E10" s="134"/>
      <c r="F10" s="134"/>
      <c r="G10" s="134"/>
      <c r="H10" s="134"/>
    </row>
    <row r="11" spans="1:34">
      <c r="A11" s="16"/>
      <c r="B11" s="23"/>
      <c r="C11" s="53"/>
      <c r="D11" s="53"/>
      <c r="E11" s="53"/>
      <c r="F11" s="53"/>
      <c r="G11" s="53"/>
      <c r="H11" s="53"/>
    </row>
    <row r="12" spans="1:34">
      <c r="A12" s="16"/>
      <c r="B12" s="23"/>
      <c r="C12" s="53"/>
      <c r="D12" s="53"/>
      <c r="E12" s="53"/>
      <c r="F12" s="53"/>
      <c r="G12" s="53"/>
      <c r="H12" s="53"/>
    </row>
    <row r="13" spans="1:34">
      <c r="A13" s="16"/>
      <c r="B13" s="12"/>
      <c r="C13" s="53"/>
      <c r="D13" s="53"/>
      <c r="E13" s="54"/>
      <c r="F13" s="54"/>
      <c r="G13" s="54"/>
      <c r="H13" s="54"/>
    </row>
    <row r="14" spans="1:34">
      <c r="A14" s="16"/>
      <c r="B14" s="12"/>
      <c r="C14" s="53"/>
      <c r="D14" s="53"/>
      <c r="E14" s="54"/>
      <c r="F14" s="54"/>
      <c r="G14" s="54"/>
      <c r="H14" s="54"/>
    </row>
    <row r="15" spans="1:34">
      <c r="A15" s="16"/>
      <c r="B15" s="12"/>
      <c r="C15" s="53"/>
      <c r="D15" s="53"/>
      <c r="E15" s="54"/>
      <c r="F15" s="54"/>
      <c r="G15" s="54"/>
      <c r="H15" s="54"/>
    </row>
    <row r="16" spans="1:34">
      <c r="A16" s="16"/>
      <c r="B16" s="12"/>
      <c r="C16" s="53"/>
      <c r="D16" s="53"/>
      <c r="E16" s="54"/>
      <c r="F16" s="54"/>
      <c r="G16" s="54"/>
      <c r="H16" s="54"/>
    </row>
    <row r="17" spans="1:8">
      <c r="A17" s="16"/>
      <c r="B17" s="12"/>
      <c r="C17" s="53"/>
      <c r="D17" s="53"/>
      <c r="E17" s="54"/>
      <c r="F17" s="54"/>
      <c r="G17" s="54"/>
      <c r="H17" s="54"/>
    </row>
    <row r="18" spans="1:8">
      <c r="A18" s="16"/>
      <c r="B18" s="12"/>
      <c r="C18" s="53"/>
      <c r="D18" s="53"/>
      <c r="E18" s="54"/>
      <c r="F18" s="54"/>
      <c r="G18" s="54"/>
      <c r="H18" s="54"/>
    </row>
    <row r="19" spans="1:8">
      <c r="A19" s="16"/>
      <c r="B19" s="12"/>
      <c r="C19" s="53"/>
      <c r="D19" s="53"/>
      <c r="E19" s="54"/>
      <c r="F19" s="54"/>
      <c r="G19" s="54"/>
      <c r="H19" s="54"/>
    </row>
    <row r="20" spans="1:8">
      <c r="A20" s="16"/>
      <c r="B20" s="12"/>
      <c r="C20" s="53"/>
      <c r="D20" s="53"/>
      <c r="E20" s="54"/>
      <c r="F20" s="54"/>
      <c r="G20" s="54"/>
      <c r="H20" s="54"/>
    </row>
    <row r="21" spans="1:8">
      <c r="A21" s="16"/>
      <c r="B21" s="12"/>
      <c r="C21" s="53"/>
      <c r="D21" s="53"/>
      <c r="E21" s="54"/>
      <c r="F21" s="54"/>
      <c r="G21" s="54"/>
      <c r="H21" s="54"/>
    </row>
    <row r="22" spans="1:8">
      <c r="A22" s="16"/>
      <c r="B22" s="12"/>
      <c r="C22" s="53"/>
      <c r="D22" s="53"/>
      <c r="E22" s="54"/>
      <c r="F22" s="54"/>
      <c r="G22" s="54"/>
      <c r="H22" s="54"/>
    </row>
    <row r="23" spans="1:8">
      <c r="A23" s="16"/>
      <c r="B23" s="12"/>
      <c r="C23" s="53"/>
      <c r="D23" s="53"/>
      <c r="E23" s="54"/>
      <c r="F23" s="54"/>
      <c r="G23" s="54"/>
      <c r="H23" s="54"/>
    </row>
    <row r="24" spans="1:8">
      <c r="A24" s="16"/>
      <c r="B24" s="12"/>
      <c r="C24" s="53"/>
      <c r="D24" s="53"/>
      <c r="E24" s="54"/>
      <c r="F24" s="54"/>
      <c r="G24" s="54"/>
      <c r="H24" s="54"/>
    </row>
    <row r="25" spans="1:8">
      <c r="A25" s="16"/>
      <c r="B25" s="12"/>
      <c r="C25" s="53"/>
      <c r="D25" s="53"/>
      <c r="E25" s="54"/>
      <c r="F25" s="54"/>
      <c r="G25" s="54"/>
      <c r="H25" s="54"/>
    </row>
    <row r="26" spans="1:8">
      <c r="A26" s="16"/>
      <c r="B26" s="12"/>
      <c r="C26" s="53"/>
      <c r="D26" s="53"/>
      <c r="E26" s="54"/>
      <c r="F26" s="54"/>
      <c r="G26" s="54"/>
      <c r="H26" s="54"/>
    </row>
    <row r="27" spans="1:8">
      <c r="A27" s="16"/>
      <c r="B27" s="12"/>
      <c r="C27" s="53"/>
      <c r="D27" s="53"/>
      <c r="E27" s="54"/>
      <c r="F27" s="54"/>
      <c r="G27" s="54"/>
      <c r="H27" s="54"/>
    </row>
    <row r="28" spans="1:8">
      <c r="A28" s="16"/>
      <c r="B28" s="12"/>
      <c r="C28" s="53"/>
      <c r="D28" s="53"/>
      <c r="E28" s="54"/>
      <c r="F28" s="54"/>
      <c r="G28" s="54"/>
      <c r="H28" s="54"/>
    </row>
    <row r="29" spans="1:8">
      <c r="A29" s="16"/>
      <c r="B29" s="12"/>
      <c r="C29" s="53"/>
      <c r="D29" s="53"/>
      <c r="E29" s="54"/>
      <c r="F29" s="54"/>
      <c r="G29" s="54"/>
      <c r="H29" s="54"/>
    </row>
    <row r="30" spans="1:8">
      <c r="A30" s="16"/>
      <c r="B30" s="12"/>
      <c r="C30" s="53"/>
      <c r="D30" s="53"/>
      <c r="E30" s="54"/>
      <c r="F30" s="54"/>
      <c r="G30" s="54"/>
      <c r="H30" s="54"/>
    </row>
    <row r="31" spans="1:8">
      <c r="A31" s="16"/>
      <c r="B31" s="12"/>
      <c r="C31" s="53"/>
      <c r="D31" s="53"/>
      <c r="E31" s="54"/>
      <c r="F31" s="54"/>
      <c r="G31" s="54"/>
      <c r="H31" s="54"/>
    </row>
    <row r="32" spans="1:8">
      <c r="A32" s="16"/>
      <c r="B32" s="12"/>
      <c r="C32" s="53"/>
      <c r="D32" s="53"/>
      <c r="E32" s="54"/>
      <c r="F32" s="54"/>
      <c r="G32" s="54"/>
      <c r="H32" s="54"/>
    </row>
    <row r="33" spans="1:8">
      <c r="A33" s="16"/>
      <c r="B33" s="12"/>
      <c r="C33" s="53"/>
      <c r="D33" s="53"/>
      <c r="E33" s="54"/>
      <c r="F33" s="54"/>
      <c r="G33" s="54"/>
      <c r="H33" s="54"/>
    </row>
    <row r="34" spans="1:8">
      <c r="A34" s="16"/>
      <c r="B34" s="12"/>
      <c r="C34" s="53"/>
      <c r="D34" s="53"/>
      <c r="E34" s="54"/>
      <c r="F34" s="54"/>
      <c r="G34" s="54"/>
      <c r="H34" s="54"/>
    </row>
    <row r="35" spans="1:8">
      <c r="A35" s="16"/>
      <c r="B35" s="12"/>
      <c r="C35" s="53"/>
      <c r="D35" s="53"/>
      <c r="E35" s="54"/>
      <c r="F35" s="54"/>
      <c r="G35" s="54"/>
      <c r="H35" s="54"/>
    </row>
    <row r="36" spans="1:8">
      <c r="A36" s="16"/>
      <c r="B36" s="12"/>
      <c r="C36" s="53"/>
      <c r="D36" s="53"/>
      <c r="E36" s="54"/>
      <c r="F36" s="54"/>
      <c r="G36" s="54"/>
      <c r="H36" s="54"/>
    </row>
    <row r="37" spans="1:8">
      <c r="A37" s="16"/>
      <c r="B37" s="12"/>
      <c r="C37" s="53"/>
      <c r="D37" s="53"/>
      <c r="E37" s="54"/>
      <c r="F37" s="54"/>
      <c r="G37" s="54"/>
      <c r="H37" s="54"/>
    </row>
    <row r="38" spans="1:8">
      <c r="A38" s="16"/>
      <c r="B38" s="12"/>
      <c r="C38" s="53"/>
      <c r="D38" s="53"/>
      <c r="E38" s="54"/>
      <c r="F38" s="54"/>
      <c r="G38" s="54"/>
      <c r="H38" s="54"/>
    </row>
    <row r="39" spans="1:8">
      <c r="A39" s="16"/>
      <c r="B39" s="12"/>
      <c r="C39" s="53"/>
      <c r="D39" s="53"/>
      <c r="E39" s="54"/>
      <c r="F39" s="54"/>
      <c r="G39" s="54"/>
      <c r="H39" s="54"/>
    </row>
    <row r="40" spans="1:8">
      <c r="A40" s="16"/>
      <c r="B40" s="12"/>
      <c r="C40" s="53"/>
      <c r="D40" s="53"/>
      <c r="E40" s="54"/>
      <c r="F40" s="54"/>
      <c r="G40" s="54"/>
      <c r="H40" s="54"/>
    </row>
    <row r="41" spans="1:8">
      <c r="A41" s="16"/>
      <c r="B41" s="12"/>
      <c r="C41" s="53"/>
      <c r="D41" s="53"/>
      <c r="E41" s="54"/>
      <c r="F41" s="54"/>
      <c r="G41" s="54"/>
      <c r="H41" s="54"/>
    </row>
    <row r="42" spans="1:8">
      <c r="A42" s="16"/>
      <c r="B42" s="12"/>
      <c r="C42" s="53"/>
      <c r="D42" s="53"/>
      <c r="E42" s="54"/>
      <c r="F42" s="54"/>
      <c r="G42" s="54"/>
      <c r="H42" s="54"/>
    </row>
    <row r="43" spans="1:8">
      <c r="A43" s="16"/>
      <c r="B43" s="12"/>
      <c r="C43" s="53"/>
      <c r="D43" s="53"/>
      <c r="E43" s="54"/>
      <c r="F43" s="54"/>
      <c r="G43" s="54"/>
      <c r="H43" s="54"/>
    </row>
    <row r="44" spans="1:8">
      <c r="A44" s="16"/>
      <c r="B44" s="12"/>
      <c r="C44" s="53"/>
      <c r="D44" s="53"/>
      <c r="E44" s="54"/>
      <c r="F44" s="54"/>
      <c r="G44" s="54"/>
      <c r="H44" s="54"/>
    </row>
    <row r="45" spans="1:8">
      <c r="A45" s="16"/>
      <c r="B45" s="12"/>
      <c r="C45" s="53"/>
      <c r="D45" s="53"/>
      <c r="E45" s="54"/>
      <c r="F45" s="54"/>
      <c r="G45" s="54"/>
      <c r="H45" s="54"/>
    </row>
    <row r="46" spans="1:8">
      <c r="A46" s="16"/>
      <c r="B46" s="12"/>
      <c r="C46" s="53"/>
      <c r="D46" s="53"/>
      <c r="E46" s="54"/>
      <c r="F46" s="54"/>
      <c r="G46" s="54"/>
      <c r="H46" s="54"/>
    </row>
    <row r="47" spans="1:8">
      <c r="A47" s="16"/>
      <c r="B47" s="12"/>
      <c r="C47" s="53"/>
      <c r="D47" s="53"/>
      <c r="E47" s="54"/>
      <c r="F47" s="54"/>
      <c r="G47" s="54"/>
      <c r="H47" s="54"/>
    </row>
    <row r="48" spans="1:8">
      <c r="A48" s="16"/>
      <c r="B48" s="12"/>
      <c r="C48" s="53"/>
      <c r="D48" s="53"/>
      <c r="E48" s="54"/>
      <c r="F48" s="54"/>
      <c r="G48" s="54"/>
      <c r="H48" s="54"/>
    </row>
    <row r="49" spans="1:8">
      <c r="A49" s="16"/>
      <c r="B49" s="12"/>
      <c r="C49" s="53"/>
      <c r="D49" s="53"/>
      <c r="E49" s="54"/>
      <c r="F49" s="54"/>
      <c r="G49" s="54"/>
      <c r="H49" s="54"/>
    </row>
    <row r="50" spans="1:8">
      <c r="A50" s="16"/>
      <c r="B50" s="12"/>
      <c r="C50" s="53"/>
      <c r="D50" s="53"/>
      <c r="E50" s="54"/>
      <c r="F50" s="54"/>
      <c r="G50" s="54"/>
      <c r="H50" s="54"/>
    </row>
    <row r="51" spans="1:8">
      <c r="A51" s="16"/>
      <c r="B51" s="12"/>
      <c r="C51" s="53"/>
      <c r="D51" s="53"/>
      <c r="E51" s="54"/>
      <c r="F51" s="54"/>
      <c r="G51" s="54"/>
      <c r="H51" s="54"/>
    </row>
    <row r="52" spans="1:8">
      <c r="A52" s="16"/>
      <c r="B52" s="12"/>
      <c r="C52" s="53"/>
      <c r="D52" s="53"/>
      <c r="E52" s="54"/>
      <c r="F52" s="54"/>
      <c r="G52" s="54"/>
      <c r="H52" s="54"/>
    </row>
    <row r="53" spans="1:8">
      <c r="A53" s="16"/>
      <c r="B53" s="12"/>
      <c r="C53" s="53"/>
      <c r="D53" s="53"/>
      <c r="E53" s="54"/>
      <c r="F53" s="54"/>
      <c r="G53" s="54"/>
      <c r="H53" s="54"/>
    </row>
    <row r="54" spans="1:8">
      <c r="A54" s="16"/>
      <c r="B54" s="12"/>
      <c r="C54" s="53"/>
      <c r="D54" s="53"/>
      <c r="E54" s="54"/>
      <c r="F54" s="54"/>
      <c r="G54" s="54"/>
      <c r="H54" s="54"/>
    </row>
    <row r="55" spans="1:8">
      <c r="A55" s="16"/>
      <c r="B55" s="12"/>
      <c r="C55" s="53"/>
      <c r="D55" s="53"/>
      <c r="E55" s="54"/>
      <c r="F55" s="54"/>
      <c r="G55" s="54"/>
      <c r="H55" s="54"/>
    </row>
    <row r="56" spans="1:8">
      <c r="A56" s="16"/>
      <c r="B56" s="12"/>
      <c r="C56" s="53"/>
      <c r="D56" s="53"/>
      <c r="E56" s="54"/>
      <c r="F56" s="54"/>
      <c r="G56" s="54"/>
      <c r="H56" s="54"/>
    </row>
    <row r="57" spans="1:8">
      <c r="A57" s="16"/>
      <c r="B57" s="12"/>
      <c r="C57" s="53"/>
      <c r="D57" s="53"/>
      <c r="E57" s="54"/>
      <c r="F57" s="54"/>
      <c r="G57" s="54"/>
      <c r="H57" s="54"/>
    </row>
    <row r="58" spans="1:8">
      <c r="A58" s="16"/>
      <c r="B58" s="12"/>
      <c r="C58" s="53"/>
      <c r="D58" s="53"/>
      <c r="E58" s="54"/>
      <c r="F58" s="54"/>
      <c r="G58" s="54"/>
      <c r="H58" s="54"/>
    </row>
    <row r="59" spans="1:8">
      <c r="A59" s="16"/>
      <c r="B59" s="12"/>
      <c r="C59" s="53"/>
      <c r="D59" s="53"/>
      <c r="E59" s="54"/>
      <c r="F59" s="54"/>
      <c r="G59" s="54"/>
      <c r="H59" s="54"/>
    </row>
    <row r="60" spans="1:8">
      <c r="A60" s="16"/>
      <c r="B60" s="12"/>
      <c r="C60" s="53"/>
      <c r="D60" s="53"/>
      <c r="E60" s="54"/>
      <c r="F60" s="54"/>
      <c r="G60" s="54"/>
      <c r="H60" s="54"/>
    </row>
    <row r="61" spans="1:8">
      <c r="A61" s="16"/>
      <c r="B61" s="12"/>
      <c r="C61" s="53"/>
      <c r="D61" s="53"/>
      <c r="E61" s="54"/>
      <c r="F61" s="54"/>
      <c r="G61" s="54"/>
      <c r="H61" s="54"/>
    </row>
    <row r="62" spans="1:8">
      <c r="A62" s="16"/>
      <c r="B62" s="12"/>
      <c r="C62" s="53"/>
      <c r="D62" s="53"/>
      <c r="E62" s="54"/>
      <c r="F62" s="54"/>
      <c r="G62" s="54"/>
      <c r="H62" s="54"/>
    </row>
    <row r="63" spans="1:8">
      <c r="A63" s="16"/>
      <c r="B63" s="12"/>
      <c r="C63" s="53"/>
      <c r="D63" s="53"/>
      <c r="E63" s="54"/>
      <c r="F63" s="54"/>
      <c r="G63" s="54"/>
      <c r="H63" s="54"/>
    </row>
    <row r="64" spans="1:8">
      <c r="A64" s="16"/>
      <c r="B64" s="12"/>
      <c r="C64" s="53"/>
      <c r="D64" s="53"/>
      <c r="E64" s="54"/>
      <c r="F64" s="54"/>
      <c r="G64" s="54"/>
      <c r="H64" s="54"/>
    </row>
    <row r="65" spans="1:8">
      <c r="A65" s="16"/>
      <c r="B65" s="12"/>
      <c r="C65" s="53"/>
      <c r="D65" s="53"/>
      <c r="E65" s="54"/>
      <c r="F65" s="54"/>
      <c r="G65" s="54"/>
      <c r="H65" s="54"/>
    </row>
    <row r="66" spans="1:8">
      <c r="A66" s="16"/>
      <c r="B66" s="12"/>
      <c r="C66" s="53"/>
      <c r="D66" s="53"/>
      <c r="E66" s="54"/>
      <c r="F66" s="54"/>
      <c r="G66" s="54"/>
      <c r="H66" s="54"/>
    </row>
    <row r="67" spans="1:8">
      <c r="A67" s="16"/>
      <c r="B67" s="12"/>
      <c r="C67" s="53"/>
      <c r="D67" s="53"/>
      <c r="E67" s="54"/>
      <c r="F67" s="54"/>
      <c r="G67" s="54"/>
      <c r="H67" s="54"/>
    </row>
    <row r="68" spans="1:8">
      <c r="A68" s="16"/>
      <c r="B68" s="12"/>
      <c r="C68" s="53"/>
      <c r="D68" s="53"/>
      <c r="E68" s="54"/>
      <c r="F68" s="54"/>
      <c r="G68" s="54"/>
      <c r="H68" s="54"/>
    </row>
    <row r="69" spans="1:8">
      <c r="A69" s="16"/>
      <c r="B69" s="12"/>
      <c r="C69" s="53"/>
      <c r="D69" s="53"/>
      <c r="E69" s="54"/>
      <c r="F69" s="54"/>
      <c r="G69" s="54"/>
      <c r="H69" s="54"/>
    </row>
    <row r="70" spans="1:8">
      <c r="A70" s="16"/>
      <c r="B70" s="12"/>
      <c r="C70" s="53"/>
      <c r="D70" s="53"/>
      <c r="E70" s="54"/>
      <c r="F70" s="54"/>
      <c r="G70" s="54"/>
      <c r="H70" s="54"/>
    </row>
    <row r="71" spans="1:8">
      <c r="A71" s="16"/>
      <c r="B71" s="12"/>
      <c r="C71" s="53"/>
      <c r="D71" s="53"/>
      <c r="E71" s="54"/>
      <c r="F71" s="54"/>
      <c r="G71" s="54"/>
      <c r="H71" s="54"/>
    </row>
    <row r="72" spans="1:8">
      <c r="A72" s="16"/>
      <c r="B72" s="12"/>
      <c r="C72" s="53"/>
      <c r="D72" s="53"/>
      <c r="E72" s="54"/>
      <c r="F72" s="54"/>
      <c r="G72" s="54"/>
      <c r="H72" s="54"/>
    </row>
    <row r="73" spans="1:8">
      <c r="A73" s="16"/>
      <c r="B73" s="12"/>
      <c r="C73" s="53"/>
      <c r="D73" s="53"/>
      <c r="E73" s="54"/>
      <c r="F73" s="54"/>
      <c r="G73" s="54"/>
      <c r="H73" s="54"/>
    </row>
    <row r="74" spans="1:8">
      <c r="A74" s="16"/>
      <c r="B74" s="12"/>
      <c r="C74" s="53"/>
      <c r="D74" s="53"/>
      <c r="E74" s="54"/>
      <c r="F74" s="54"/>
      <c r="G74" s="54"/>
      <c r="H74" s="54"/>
    </row>
    <row r="75" spans="1:8">
      <c r="A75" s="16"/>
      <c r="B75" s="12"/>
      <c r="C75" s="53"/>
      <c r="D75" s="53"/>
      <c r="E75" s="54"/>
      <c r="F75" s="54"/>
      <c r="G75" s="54"/>
      <c r="H75" s="54"/>
    </row>
    <row r="76" spans="1:8">
      <c r="A76" s="16"/>
      <c r="B76" s="12"/>
      <c r="C76" s="53"/>
      <c r="D76" s="53"/>
      <c r="E76" s="54"/>
      <c r="F76" s="54"/>
      <c r="G76" s="54"/>
      <c r="H76" s="54"/>
    </row>
    <row r="77" spans="1:8">
      <c r="A77" s="16"/>
      <c r="B77" s="12"/>
      <c r="C77" s="53"/>
      <c r="D77" s="53"/>
      <c r="E77" s="54"/>
      <c r="F77" s="54"/>
      <c r="G77" s="54"/>
      <c r="H77" s="54"/>
    </row>
    <row r="78" spans="1:8">
      <c r="A78" s="16"/>
      <c r="B78" s="12"/>
      <c r="C78" s="53"/>
      <c r="D78" s="53"/>
      <c r="E78" s="54"/>
      <c r="F78" s="54"/>
      <c r="G78" s="54"/>
      <c r="H78" s="54"/>
    </row>
    <row r="79" spans="1:8">
      <c r="A79" s="16"/>
      <c r="B79" s="12"/>
      <c r="C79" s="53"/>
      <c r="D79" s="53"/>
      <c r="E79" s="54"/>
      <c r="F79" s="54"/>
      <c r="G79" s="54"/>
      <c r="H79" s="54"/>
    </row>
    <row r="80" spans="1:8">
      <c r="A80" s="16"/>
      <c r="B80" s="12"/>
      <c r="C80" s="53"/>
      <c r="D80" s="53"/>
      <c r="E80" s="54"/>
      <c r="F80" s="54"/>
      <c r="G80" s="54"/>
      <c r="H80" s="54"/>
    </row>
    <row r="81" spans="1:8">
      <c r="A81" s="16"/>
      <c r="B81" s="12"/>
      <c r="C81" s="53"/>
      <c r="D81" s="53"/>
      <c r="E81" s="54"/>
      <c r="F81" s="54"/>
      <c r="G81" s="54"/>
      <c r="H81" s="54"/>
    </row>
    <row r="82" spans="1:8">
      <c r="A82" s="16"/>
      <c r="B82" s="12"/>
      <c r="C82" s="53"/>
      <c r="D82" s="53"/>
      <c r="E82" s="54"/>
      <c r="F82" s="54"/>
      <c r="G82" s="54"/>
      <c r="H82" s="54"/>
    </row>
    <row r="83" spans="1:8">
      <c r="A83" s="16"/>
      <c r="B83" s="12"/>
      <c r="C83" s="53"/>
      <c r="D83" s="53"/>
      <c r="E83" s="54"/>
      <c r="F83" s="54"/>
      <c r="G83" s="54"/>
      <c r="H83" s="54"/>
    </row>
    <row r="84" spans="1:8">
      <c r="A84" s="16"/>
      <c r="B84" s="12"/>
      <c r="C84" s="53"/>
      <c r="D84" s="53"/>
      <c r="E84" s="54"/>
      <c r="F84" s="54"/>
      <c r="G84" s="54"/>
      <c r="H84" s="54"/>
    </row>
    <row r="85" spans="1:8">
      <c r="A85" s="16"/>
      <c r="B85" s="12"/>
      <c r="C85" s="54"/>
      <c r="D85" s="54"/>
      <c r="E85" s="54"/>
      <c r="F85" s="54"/>
      <c r="G85" s="54"/>
      <c r="H85" s="54"/>
    </row>
    <row r="86" spans="1:8">
      <c r="A86" s="16"/>
      <c r="B86" s="12"/>
      <c r="C86" s="54"/>
      <c r="D86" s="54"/>
      <c r="E86" s="54"/>
      <c r="F86" s="54"/>
      <c r="G86" s="54"/>
      <c r="H86" s="54"/>
    </row>
    <row r="87" spans="1:8">
      <c r="A87" s="16"/>
      <c r="B87" s="12"/>
      <c r="C87" s="54"/>
      <c r="D87" s="54"/>
      <c r="E87" s="54"/>
      <c r="F87" s="54"/>
      <c r="G87" s="54"/>
      <c r="H87" s="54"/>
    </row>
    <row r="88" spans="1:8">
      <c r="A88" s="16"/>
      <c r="B88" s="12"/>
      <c r="C88" s="54"/>
      <c r="D88" s="54"/>
      <c r="E88" s="54"/>
      <c r="F88" s="54"/>
      <c r="G88" s="54"/>
      <c r="H88" s="54"/>
    </row>
    <row r="89" spans="1:8">
      <c r="A89" s="16"/>
      <c r="B89" s="12"/>
      <c r="C89" s="54"/>
      <c r="D89" s="54"/>
      <c r="E89" s="54"/>
      <c r="F89" s="54"/>
      <c r="G89" s="54"/>
      <c r="H89" s="54"/>
    </row>
    <row r="90" spans="1:8">
      <c r="A90" s="16"/>
      <c r="B90" s="12"/>
      <c r="C90" s="54"/>
      <c r="D90" s="54"/>
      <c r="E90" s="54"/>
      <c r="F90" s="54"/>
      <c r="G90" s="54"/>
      <c r="H90" s="54"/>
    </row>
    <row r="91" spans="1:8">
      <c r="A91" s="16"/>
      <c r="B91" s="12"/>
      <c r="C91" s="54"/>
      <c r="D91" s="54"/>
      <c r="E91" s="54"/>
      <c r="F91" s="54"/>
      <c r="G91" s="54"/>
      <c r="H91" s="54"/>
    </row>
    <row r="92" spans="1:8">
      <c r="A92" s="16"/>
      <c r="B92" s="12"/>
      <c r="C92" s="54"/>
      <c r="D92" s="54"/>
      <c r="E92" s="54"/>
      <c r="F92" s="54"/>
      <c r="G92" s="54"/>
      <c r="H92" s="54"/>
    </row>
    <row r="93" spans="1:8">
      <c r="A93" s="16"/>
      <c r="B93" s="12"/>
      <c r="C93" s="54"/>
      <c r="D93" s="54"/>
      <c r="E93" s="54"/>
      <c r="F93" s="54"/>
      <c r="G93" s="54"/>
      <c r="H93" s="54"/>
    </row>
    <row r="94" spans="1:8">
      <c r="A94" s="16"/>
      <c r="B94" s="12"/>
      <c r="C94" s="54"/>
      <c r="D94" s="54"/>
      <c r="E94" s="54"/>
      <c r="F94" s="54"/>
      <c r="G94" s="54"/>
      <c r="H94" s="54"/>
    </row>
    <row r="95" spans="1:8">
      <c r="A95" s="16"/>
      <c r="B95" s="12"/>
      <c r="C95" s="54"/>
      <c r="D95" s="54"/>
      <c r="E95" s="54"/>
      <c r="F95" s="54"/>
      <c r="G95" s="54"/>
      <c r="H95" s="54"/>
    </row>
    <row r="96" spans="1:8">
      <c r="A96" s="16"/>
      <c r="B96" s="12"/>
      <c r="C96" s="54"/>
      <c r="D96" s="54"/>
      <c r="E96" s="54"/>
      <c r="F96" s="54"/>
      <c r="G96" s="54"/>
      <c r="H96" s="54"/>
    </row>
    <row r="97" spans="1:8">
      <c r="A97" s="16"/>
      <c r="B97" s="278"/>
      <c r="C97" s="54"/>
      <c r="D97" s="54"/>
      <c r="E97" s="54"/>
      <c r="F97" s="54"/>
      <c r="G97" s="54"/>
      <c r="H97" s="54"/>
    </row>
    <row r="98" spans="1:8">
      <c r="A98" s="16"/>
      <c r="B98" s="12"/>
      <c r="C98" s="54"/>
      <c r="D98" s="54"/>
      <c r="E98" s="54"/>
      <c r="F98" s="54"/>
      <c r="G98" s="54"/>
      <c r="H98" s="54"/>
    </row>
    <row r="99" spans="1:8">
      <c r="A99" s="16"/>
      <c r="B99" s="12"/>
      <c r="C99" s="54"/>
      <c r="D99" s="54"/>
      <c r="E99" s="54"/>
      <c r="F99" s="54"/>
      <c r="G99" s="54"/>
      <c r="H99" s="54"/>
    </row>
    <row r="100" spans="1:8">
      <c r="A100" s="16"/>
      <c r="B100" s="12"/>
      <c r="C100" s="54"/>
      <c r="D100" s="54"/>
      <c r="E100" s="54"/>
      <c r="F100" s="54"/>
      <c r="G100" s="54"/>
      <c r="H100" s="54"/>
    </row>
    <row r="101" spans="1:8">
      <c r="A101" s="16"/>
      <c r="B101" s="12"/>
      <c r="C101" s="54"/>
      <c r="D101" s="54"/>
      <c r="E101" s="54"/>
      <c r="F101" s="54"/>
      <c r="G101" s="54"/>
      <c r="H101" s="54"/>
    </row>
    <row r="102" spans="1:8">
      <c r="A102" s="16"/>
      <c r="B102" s="12"/>
      <c r="C102" s="54"/>
      <c r="D102" s="54"/>
      <c r="E102" s="54"/>
      <c r="F102" s="54"/>
      <c r="G102" s="54"/>
      <c r="H102" s="54"/>
    </row>
    <row r="103" spans="1:8">
      <c r="A103" s="16"/>
      <c r="B103" s="12"/>
      <c r="C103" s="54"/>
      <c r="D103" s="54"/>
      <c r="E103" s="54"/>
      <c r="F103" s="54"/>
      <c r="G103" s="54"/>
      <c r="H103" s="54"/>
    </row>
    <row r="104" spans="1:8">
      <c r="A104" s="16"/>
      <c r="B104" s="12"/>
      <c r="C104" s="54"/>
      <c r="D104" s="54"/>
      <c r="E104" s="54"/>
      <c r="F104" s="54"/>
      <c r="G104" s="54"/>
      <c r="H104" s="54"/>
    </row>
    <row r="105" spans="1:8">
      <c r="A105" s="16"/>
      <c r="B105" s="12"/>
      <c r="C105" s="54"/>
      <c r="D105" s="54"/>
      <c r="E105" s="54"/>
      <c r="F105" s="54"/>
      <c r="G105" s="54"/>
      <c r="H105" s="54"/>
    </row>
    <row r="106" spans="1:8">
      <c r="A106" s="16"/>
      <c r="B106" s="12"/>
      <c r="C106" s="54"/>
      <c r="D106" s="54"/>
      <c r="E106" s="54"/>
      <c r="F106" s="54"/>
      <c r="G106" s="54"/>
      <c r="H106" s="54"/>
    </row>
    <row r="107" spans="1:8">
      <c r="A107" s="16"/>
      <c r="B107" s="12"/>
      <c r="C107" s="54"/>
      <c r="D107" s="54"/>
      <c r="E107" s="54"/>
      <c r="F107" s="54"/>
      <c r="G107" s="54"/>
      <c r="H107" s="54"/>
    </row>
    <row r="108" spans="1:8">
      <c r="A108" s="16"/>
      <c r="B108" s="12"/>
      <c r="C108" s="54"/>
      <c r="D108" s="54"/>
      <c r="E108" s="54"/>
      <c r="F108" s="54"/>
      <c r="G108" s="54"/>
      <c r="H108" s="54"/>
    </row>
    <row r="109" spans="1:8">
      <c r="A109" s="16"/>
      <c r="B109" s="12"/>
      <c r="C109" s="54"/>
      <c r="D109" s="54"/>
      <c r="E109" s="54"/>
      <c r="F109" s="54"/>
      <c r="G109" s="54"/>
      <c r="H109" s="54"/>
    </row>
    <row r="110" spans="1:8">
      <c r="A110" s="16"/>
      <c r="B110" s="12"/>
      <c r="C110" s="54"/>
      <c r="D110" s="54"/>
      <c r="E110" s="54"/>
      <c r="F110" s="54"/>
      <c r="G110" s="54"/>
      <c r="H110" s="54"/>
    </row>
    <row r="111" spans="1:8">
      <c r="A111" s="16"/>
      <c r="B111" s="12"/>
      <c r="C111" s="54"/>
      <c r="D111" s="54"/>
      <c r="E111" s="54"/>
      <c r="F111" s="54"/>
      <c r="G111" s="54"/>
      <c r="H111" s="54"/>
    </row>
    <row r="112" spans="1:8">
      <c r="A112" s="16"/>
      <c r="B112" s="12"/>
      <c r="C112" s="54"/>
      <c r="D112" s="54"/>
      <c r="E112" s="54"/>
      <c r="F112" s="54"/>
      <c r="G112" s="54"/>
      <c r="H112" s="54"/>
    </row>
    <row r="113" spans="1:8">
      <c r="A113" s="16"/>
      <c r="B113" s="12"/>
      <c r="C113" s="54"/>
      <c r="D113" s="54"/>
      <c r="E113" s="54"/>
      <c r="F113" s="54"/>
      <c r="G113" s="54"/>
      <c r="H113" s="54"/>
    </row>
    <row r="114" spans="1:8">
      <c r="A114" s="16"/>
      <c r="B114" s="12"/>
      <c r="C114" s="54"/>
      <c r="D114" s="54"/>
      <c r="E114" s="54"/>
      <c r="F114" s="54"/>
      <c r="G114" s="54"/>
      <c r="H114" s="54"/>
    </row>
    <row r="115" spans="1:8">
      <c r="A115" s="16"/>
      <c r="B115" s="12"/>
      <c r="C115" s="54"/>
      <c r="D115" s="54"/>
      <c r="E115" s="54"/>
      <c r="F115" s="54"/>
      <c r="G115" s="54"/>
      <c r="H115" s="54"/>
    </row>
    <row r="116" spans="1:8">
      <c r="A116" s="16"/>
      <c r="B116" s="12"/>
      <c r="C116" s="54"/>
      <c r="D116" s="54"/>
      <c r="E116" s="54"/>
      <c r="F116" s="54"/>
      <c r="G116" s="54"/>
      <c r="H116" s="54"/>
    </row>
    <row r="117" spans="1:8">
      <c r="A117" s="16"/>
      <c r="B117" s="12"/>
      <c r="C117" s="54"/>
      <c r="D117" s="54"/>
      <c r="E117" s="54"/>
      <c r="F117" s="54"/>
      <c r="G117" s="54"/>
      <c r="H117" s="54"/>
    </row>
    <row r="118" spans="1:8">
      <c r="A118" s="16"/>
      <c r="B118" s="278"/>
      <c r="C118" s="54"/>
      <c r="D118" s="54"/>
      <c r="E118" s="54"/>
      <c r="F118" s="54"/>
      <c r="G118" s="54"/>
      <c r="H118" s="54"/>
    </row>
    <row r="119" spans="1:8">
      <c r="A119" s="16"/>
      <c r="B119" s="12"/>
      <c r="C119" s="54"/>
      <c r="D119" s="54"/>
      <c r="E119" s="54"/>
      <c r="F119" s="54"/>
      <c r="G119" s="54"/>
      <c r="H119" s="54"/>
    </row>
    <row r="120" spans="1:8">
      <c r="A120" s="16"/>
      <c r="B120" s="12"/>
      <c r="C120" s="54"/>
      <c r="D120" s="54"/>
      <c r="E120" s="54"/>
      <c r="F120" s="54"/>
      <c r="G120" s="54"/>
      <c r="H120" s="54"/>
    </row>
    <row r="121" spans="1:8">
      <c r="A121" s="16"/>
      <c r="B121" s="12"/>
      <c r="C121" s="54"/>
      <c r="D121" s="54"/>
      <c r="E121" s="54"/>
      <c r="F121" s="54"/>
      <c r="G121" s="54"/>
      <c r="H121" s="54"/>
    </row>
    <row r="122" spans="1:8">
      <c r="A122" s="16"/>
      <c r="B122" s="12"/>
      <c r="C122" s="54"/>
      <c r="D122" s="54"/>
      <c r="E122" s="54"/>
      <c r="F122" s="54"/>
      <c r="G122" s="54"/>
      <c r="H122" s="54"/>
    </row>
    <row r="123" spans="1:8">
      <c r="A123" s="16"/>
      <c r="B123" s="12"/>
      <c r="C123" s="54"/>
      <c r="D123" s="54"/>
      <c r="E123" s="54"/>
      <c r="F123" s="54"/>
      <c r="G123" s="54"/>
      <c r="H123" s="54"/>
    </row>
    <row r="124" spans="1:8">
      <c r="A124" s="16"/>
      <c r="B124" s="12"/>
      <c r="C124" s="54"/>
      <c r="D124" s="54"/>
      <c r="E124" s="54"/>
      <c r="F124" s="54"/>
      <c r="G124" s="54"/>
      <c r="H124" s="54"/>
    </row>
    <row r="125" spans="1:8">
      <c r="A125" s="16"/>
      <c r="B125" s="12"/>
      <c r="C125" s="54"/>
      <c r="D125" s="54"/>
      <c r="E125" s="54"/>
      <c r="F125" s="54"/>
      <c r="G125" s="54"/>
      <c r="H125" s="54"/>
    </row>
    <row r="126" spans="1:8">
      <c r="A126" s="16"/>
      <c r="B126" s="12"/>
      <c r="C126" s="54"/>
      <c r="D126" s="54"/>
      <c r="E126" s="54"/>
      <c r="F126" s="54"/>
      <c r="G126" s="54"/>
      <c r="H126" s="54"/>
    </row>
    <row r="127" spans="1:8">
      <c r="A127" s="16"/>
      <c r="B127" s="12"/>
      <c r="C127" s="54"/>
      <c r="D127" s="54"/>
      <c r="E127" s="54"/>
      <c r="F127" s="54"/>
      <c r="G127" s="54"/>
      <c r="H127" s="54"/>
    </row>
    <row r="128" spans="1:8">
      <c r="A128" s="16"/>
      <c r="B128" s="12"/>
      <c r="C128" s="54"/>
      <c r="D128" s="54"/>
      <c r="E128" s="54"/>
      <c r="F128" s="54"/>
      <c r="G128" s="54"/>
      <c r="H128" s="54"/>
    </row>
    <row r="129" spans="1:8">
      <c r="A129" s="16"/>
      <c r="B129" s="12"/>
      <c r="C129" s="54"/>
      <c r="D129" s="54"/>
      <c r="E129" s="54"/>
      <c r="F129" s="54"/>
      <c r="G129" s="54"/>
      <c r="H129" s="54"/>
    </row>
    <row r="130" spans="1:8">
      <c r="A130" s="16"/>
      <c r="B130" s="12"/>
      <c r="C130" s="54"/>
      <c r="D130" s="54"/>
      <c r="E130" s="54"/>
      <c r="F130" s="54"/>
      <c r="G130" s="54"/>
      <c r="H130" s="54"/>
    </row>
    <row r="131" spans="1:8">
      <c r="A131" s="16"/>
      <c r="B131" s="12"/>
      <c r="C131" s="54"/>
      <c r="D131" s="54"/>
      <c r="E131" s="54"/>
      <c r="F131" s="54"/>
      <c r="G131" s="54"/>
      <c r="H131" s="54"/>
    </row>
    <row r="132" spans="1:8">
      <c r="A132" s="16"/>
      <c r="B132" s="12"/>
      <c r="C132" s="54"/>
      <c r="D132" s="54"/>
      <c r="E132" s="54"/>
      <c r="F132" s="54"/>
      <c r="G132" s="54"/>
      <c r="H132" s="54"/>
    </row>
    <row r="133" spans="1:8">
      <c r="A133" s="16"/>
      <c r="B133" s="12"/>
      <c r="C133" s="54"/>
      <c r="D133" s="54"/>
      <c r="E133" s="54"/>
      <c r="F133" s="54"/>
      <c r="G133" s="54"/>
      <c r="H133" s="54"/>
    </row>
    <row r="134" spans="1:8">
      <c r="A134" s="16"/>
      <c r="B134" s="12"/>
      <c r="C134" s="54"/>
      <c r="D134" s="54"/>
      <c r="E134" s="54"/>
      <c r="F134" s="54"/>
      <c r="G134" s="54"/>
      <c r="H134" s="54"/>
    </row>
    <row r="135" spans="1:8">
      <c r="A135" s="16"/>
      <c r="B135" s="12"/>
      <c r="C135" s="54"/>
      <c r="D135" s="54"/>
      <c r="E135" s="54"/>
      <c r="F135" s="54"/>
      <c r="G135" s="54"/>
      <c r="H135" s="54"/>
    </row>
    <row r="136" spans="1:8">
      <c r="A136" s="16"/>
      <c r="B136" s="12"/>
      <c r="C136" s="54"/>
      <c r="D136" s="54"/>
      <c r="E136" s="54"/>
      <c r="F136" s="54"/>
      <c r="G136" s="54"/>
      <c r="H136" s="54"/>
    </row>
    <row r="137" spans="1:8">
      <c r="A137" s="16"/>
      <c r="B137" s="12"/>
      <c r="C137" s="54"/>
      <c r="D137" s="54"/>
      <c r="E137" s="54"/>
      <c r="F137" s="54"/>
      <c r="G137" s="54"/>
      <c r="H137" s="54"/>
    </row>
    <row r="138" spans="1:8">
      <c r="A138" s="16"/>
      <c r="B138" s="12"/>
      <c r="C138" s="54"/>
      <c r="D138" s="54"/>
      <c r="E138" s="54"/>
      <c r="F138" s="54"/>
      <c r="G138" s="54"/>
      <c r="H138" s="54"/>
    </row>
    <row r="139" spans="1:8">
      <c r="A139" s="16"/>
      <c r="B139" s="12"/>
      <c r="C139" s="54"/>
      <c r="D139" s="54"/>
      <c r="E139" s="54"/>
      <c r="F139" s="54"/>
      <c r="G139" s="54"/>
      <c r="H139" s="54"/>
    </row>
    <row r="140" spans="1:8">
      <c r="A140" s="16"/>
      <c r="B140" s="12"/>
      <c r="C140" s="54"/>
      <c r="D140" s="54"/>
      <c r="E140" s="54"/>
      <c r="F140" s="54"/>
      <c r="G140" s="54"/>
      <c r="H140" s="54"/>
    </row>
    <row r="141" spans="1:8">
      <c r="A141" s="16"/>
      <c r="B141" s="12"/>
      <c r="C141" s="54"/>
      <c r="D141" s="54"/>
      <c r="E141" s="54"/>
      <c r="F141" s="54"/>
      <c r="G141" s="54"/>
      <c r="H141" s="54"/>
    </row>
    <row r="142" spans="1:8">
      <c r="A142" s="16"/>
      <c r="B142" s="12"/>
      <c r="C142" s="54"/>
      <c r="D142" s="54"/>
      <c r="E142" s="54"/>
      <c r="F142" s="54"/>
      <c r="G142" s="54"/>
      <c r="H142" s="54"/>
    </row>
    <row r="143" spans="1:8">
      <c r="A143" s="16"/>
      <c r="B143" s="12"/>
      <c r="C143" s="54"/>
      <c r="D143" s="54"/>
      <c r="E143" s="54"/>
      <c r="F143" s="54"/>
      <c r="G143" s="54"/>
      <c r="H143" s="54"/>
    </row>
    <row r="144" spans="1:8">
      <c r="A144" s="16"/>
      <c r="B144" s="12"/>
      <c r="C144" s="54"/>
      <c r="D144" s="54"/>
      <c r="E144" s="54"/>
      <c r="F144" s="54"/>
      <c r="G144" s="54"/>
      <c r="H144" s="54"/>
    </row>
    <row r="145" spans="1:8">
      <c r="A145" s="16"/>
      <c r="B145" s="12"/>
      <c r="C145" s="54"/>
      <c r="D145" s="54"/>
      <c r="E145" s="54"/>
      <c r="F145" s="54"/>
      <c r="G145" s="54"/>
      <c r="H145" s="54"/>
    </row>
    <row r="146" spans="1:8">
      <c r="A146" s="16"/>
      <c r="B146" s="12"/>
      <c r="C146" s="54"/>
      <c r="D146" s="54"/>
      <c r="E146" s="54"/>
      <c r="F146" s="54"/>
      <c r="G146" s="54"/>
      <c r="H146" s="54"/>
    </row>
    <row r="147" spans="1:8">
      <c r="A147" s="16"/>
      <c r="B147" s="12"/>
      <c r="C147" s="54"/>
      <c r="D147" s="54"/>
      <c r="E147" s="54"/>
      <c r="F147" s="54"/>
      <c r="G147" s="54"/>
      <c r="H147" s="54"/>
    </row>
    <row r="148" spans="1:8">
      <c r="A148" s="16"/>
      <c r="B148" s="12"/>
      <c r="C148" s="54"/>
      <c r="D148" s="54"/>
      <c r="E148" s="54"/>
      <c r="F148" s="54"/>
      <c r="G148" s="54"/>
      <c r="H148" s="54"/>
    </row>
    <row r="149" spans="1:8">
      <c r="A149" s="16"/>
      <c r="B149" s="12"/>
      <c r="C149" s="54"/>
      <c r="D149" s="54"/>
      <c r="E149" s="54"/>
      <c r="F149" s="54"/>
      <c r="G149" s="54"/>
      <c r="H149" s="54"/>
    </row>
    <row r="150" spans="1:8">
      <c r="A150" s="16"/>
      <c r="B150" s="12"/>
      <c r="C150" s="54"/>
      <c r="D150" s="54"/>
      <c r="E150" s="54"/>
      <c r="F150" s="54"/>
      <c r="G150" s="54"/>
      <c r="H150" s="54"/>
    </row>
    <row r="151" spans="1:8">
      <c r="A151" s="16"/>
      <c r="B151" s="12"/>
      <c r="C151" s="54"/>
      <c r="D151" s="54"/>
      <c r="E151" s="54"/>
      <c r="F151" s="54"/>
      <c r="G151" s="54"/>
      <c r="H151" s="54"/>
    </row>
    <row r="152" spans="1:8">
      <c r="A152" s="16"/>
      <c r="B152" s="12"/>
      <c r="C152" s="54"/>
      <c r="D152" s="54"/>
      <c r="E152" s="54"/>
      <c r="F152" s="54"/>
      <c r="G152" s="54"/>
      <c r="H152" s="54"/>
    </row>
    <row r="153" spans="1:8">
      <c r="A153" s="16"/>
      <c r="B153" s="12"/>
      <c r="C153" s="54"/>
      <c r="D153" s="54"/>
      <c r="E153" s="54"/>
      <c r="F153" s="54"/>
      <c r="G153" s="54"/>
      <c r="H153" s="54"/>
    </row>
    <row r="154" spans="1:8">
      <c r="A154" s="16"/>
      <c r="B154" s="278"/>
      <c r="C154" s="54"/>
      <c r="D154" s="54"/>
      <c r="E154" s="54"/>
      <c r="F154" s="54"/>
      <c r="G154" s="54"/>
      <c r="H154" s="54"/>
    </row>
    <row r="155" spans="1:8">
      <c r="A155" s="16"/>
      <c r="B155" s="12"/>
      <c r="C155" s="54"/>
      <c r="D155" s="54"/>
      <c r="E155" s="54"/>
      <c r="F155" s="54"/>
      <c r="G155" s="54"/>
      <c r="H155" s="54"/>
    </row>
    <row r="156" spans="1:8">
      <c r="A156" s="16"/>
      <c r="B156" s="12"/>
      <c r="C156" s="54"/>
      <c r="D156" s="54"/>
      <c r="E156" s="54"/>
      <c r="F156" s="54"/>
      <c r="G156" s="54"/>
      <c r="H156" s="54"/>
    </row>
    <row r="157" spans="1:8">
      <c r="A157" s="16"/>
      <c r="B157" s="12"/>
      <c r="C157" s="54"/>
      <c r="D157" s="54"/>
      <c r="E157" s="54"/>
      <c r="F157" s="54"/>
      <c r="G157" s="54"/>
      <c r="H157" s="54"/>
    </row>
    <row r="158" spans="1:8">
      <c r="A158" s="16"/>
      <c r="B158" s="12"/>
      <c r="C158" s="54"/>
      <c r="D158" s="54"/>
      <c r="E158" s="54"/>
      <c r="F158" s="54"/>
      <c r="G158" s="54"/>
      <c r="H158" s="54"/>
    </row>
    <row r="159" spans="1:8">
      <c r="A159" s="16"/>
      <c r="B159" s="12"/>
      <c r="C159" s="54"/>
      <c r="D159" s="54"/>
      <c r="E159" s="54"/>
      <c r="F159" s="54"/>
      <c r="G159" s="54"/>
      <c r="H159" s="54"/>
    </row>
    <row r="160" spans="1:8">
      <c r="A160" s="16"/>
      <c r="B160" s="12"/>
      <c r="C160" s="54"/>
      <c r="D160" s="54"/>
      <c r="E160" s="54"/>
      <c r="F160" s="54"/>
      <c r="G160" s="54"/>
      <c r="H160" s="54"/>
    </row>
    <row r="161" spans="1:8">
      <c r="A161" s="16"/>
      <c r="B161" s="12"/>
      <c r="C161" s="54"/>
      <c r="D161" s="54"/>
      <c r="E161" s="54"/>
      <c r="F161" s="54"/>
      <c r="G161" s="54"/>
      <c r="H161" s="54"/>
    </row>
    <row r="162" spans="1:8">
      <c r="A162" s="16"/>
      <c r="B162" s="12"/>
      <c r="C162" s="54"/>
      <c r="D162" s="54"/>
      <c r="E162" s="54"/>
      <c r="F162" s="54"/>
      <c r="G162" s="54"/>
      <c r="H162" s="54"/>
    </row>
    <row r="163" spans="1:8">
      <c r="A163" s="16"/>
      <c r="B163" s="12"/>
      <c r="C163" s="54"/>
      <c r="D163" s="54"/>
      <c r="E163" s="54"/>
      <c r="F163" s="54"/>
      <c r="G163" s="54"/>
      <c r="H163" s="54"/>
    </row>
    <row r="164" spans="1:8">
      <c r="A164" s="16"/>
      <c r="B164" s="12"/>
      <c r="C164" s="54"/>
      <c r="D164" s="54"/>
      <c r="E164" s="54"/>
      <c r="F164" s="54"/>
      <c r="G164" s="54"/>
      <c r="H164" s="54"/>
    </row>
    <row r="165" spans="1:8">
      <c r="A165" s="16"/>
      <c r="B165" s="12"/>
      <c r="C165" s="54"/>
      <c r="D165" s="54"/>
      <c r="E165" s="54"/>
      <c r="F165" s="54"/>
      <c r="G165" s="54"/>
      <c r="H165" s="54"/>
    </row>
    <row r="166" spans="1:8">
      <c r="A166" s="16"/>
      <c r="B166" s="12"/>
      <c r="C166" s="54"/>
      <c r="D166" s="54"/>
      <c r="E166" s="54"/>
      <c r="F166" s="54"/>
      <c r="G166" s="54"/>
      <c r="H166" s="54"/>
    </row>
    <row r="167" spans="1:8">
      <c r="A167" s="16"/>
      <c r="B167" s="12"/>
      <c r="C167" s="54"/>
      <c r="D167" s="54"/>
      <c r="E167" s="54"/>
      <c r="F167" s="54"/>
      <c r="G167" s="54"/>
      <c r="H167" s="54"/>
    </row>
    <row r="168" spans="1:8">
      <c r="A168" s="16"/>
      <c r="B168" s="12"/>
      <c r="C168" s="54"/>
      <c r="D168" s="54"/>
      <c r="E168" s="54"/>
      <c r="F168" s="54"/>
      <c r="G168" s="54"/>
      <c r="H168" s="54"/>
    </row>
    <row r="169" spans="1:8">
      <c r="A169" s="16"/>
      <c r="B169" s="12"/>
      <c r="C169" s="54"/>
      <c r="D169" s="54"/>
      <c r="E169" s="54"/>
      <c r="F169" s="54"/>
      <c r="G169" s="54"/>
      <c r="H169" s="54"/>
    </row>
    <row r="170" spans="1:8">
      <c r="A170" s="16"/>
      <c r="B170" s="12"/>
      <c r="C170" s="54"/>
      <c r="D170" s="54"/>
      <c r="E170" s="54"/>
      <c r="F170" s="54"/>
      <c r="G170" s="54"/>
      <c r="H170" s="54"/>
    </row>
    <row r="171" spans="1:8">
      <c r="A171" s="16"/>
      <c r="B171" s="12"/>
      <c r="C171" s="54"/>
      <c r="D171" s="54"/>
      <c r="E171" s="54"/>
      <c r="F171" s="54"/>
      <c r="G171" s="54"/>
      <c r="H171" s="54"/>
    </row>
    <row r="172" spans="1:8">
      <c r="A172" s="16"/>
      <c r="B172" s="12"/>
      <c r="C172" s="54"/>
      <c r="D172" s="54"/>
      <c r="E172" s="54"/>
      <c r="F172" s="54"/>
      <c r="G172" s="54"/>
      <c r="H172" s="54"/>
    </row>
    <row r="173" spans="1:8">
      <c r="A173" s="16"/>
      <c r="B173" s="12"/>
      <c r="C173" s="54"/>
      <c r="D173" s="54"/>
      <c r="E173" s="54"/>
      <c r="F173" s="54"/>
      <c r="G173" s="54"/>
      <c r="H173" s="54"/>
    </row>
    <row r="174" spans="1:8">
      <c r="A174" s="16"/>
      <c r="B174" s="12"/>
      <c r="C174" s="54"/>
      <c r="D174" s="54"/>
      <c r="E174" s="54"/>
      <c r="F174" s="54"/>
      <c r="G174" s="54"/>
      <c r="H174" s="54"/>
    </row>
    <row r="175" spans="1:8">
      <c r="A175" s="16"/>
      <c r="B175" s="12"/>
      <c r="C175" s="54"/>
      <c r="D175" s="54"/>
      <c r="E175" s="54"/>
      <c r="F175" s="54"/>
      <c r="G175" s="54"/>
      <c r="H175" s="54"/>
    </row>
    <row r="176" spans="1:8">
      <c r="A176" s="16"/>
      <c r="B176" s="12"/>
      <c r="C176" s="54"/>
      <c r="D176" s="54"/>
      <c r="E176" s="54"/>
      <c r="F176" s="54"/>
      <c r="G176" s="54"/>
      <c r="H176" s="54"/>
    </row>
    <row r="177" spans="1:8">
      <c r="A177" s="16"/>
      <c r="B177" s="12"/>
      <c r="C177" s="54"/>
      <c r="D177" s="54"/>
      <c r="E177" s="54"/>
      <c r="F177" s="54"/>
      <c r="G177" s="54"/>
      <c r="H177" s="54"/>
    </row>
    <row r="178" spans="1:8">
      <c r="A178" s="16"/>
      <c r="B178" s="12"/>
      <c r="C178" s="54"/>
      <c r="D178" s="54"/>
      <c r="E178" s="54"/>
      <c r="F178" s="54"/>
      <c r="G178" s="54"/>
      <c r="H178" s="54"/>
    </row>
    <row r="179" spans="1:8">
      <c r="A179" s="16"/>
      <c r="B179" s="12"/>
      <c r="C179" s="54"/>
      <c r="D179" s="54"/>
      <c r="E179" s="54"/>
      <c r="F179" s="54"/>
      <c r="G179" s="54"/>
      <c r="H179" s="54"/>
    </row>
    <row r="180" spans="1:8">
      <c r="A180" s="16"/>
      <c r="B180" s="12"/>
      <c r="C180" s="54"/>
      <c r="D180" s="54"/>
      <c r="E180" s="54"/>
      <c r="F180" s="54"/>
      <c r="G180" s="54"/>
      <c r="H180" s="54"/>
    </row>
    <row r="181" spans="1:8">
      <c r="A181" s="16"/>
      <c r="B181" s="12"/>
      <c r="C181" s="54"/>
      <c r="D181" s="54"/>
      <c r="E181" s="54"/>
      <c r="F181" s="54"/>
      <c r="G181" s="54"/>
      <c r="H181" s="54"/>
    </row>
    <row r="182" spans="1:8">
      <c r="A182" s="16"/>
      <c r="B182" s="12"/>
      <c r="C182" s="54"/>
      <c r="D182" s="54"/>
      <c r="E182" s="54"/>
      <c r="F182" s="54"/>
      <c r="G182" s="54"/>
      <c r="H182" s="54"/>
    </row>
    <row r="183" spans="1:8">
      <c r="A183" s="16"/>
      <c r="B183" s="12"/>
      <c r="C183" s="54"/>
      <c r="D183" s="54"/>
      <c r="E183" s="54"/>
      <c r="F183" s="54"/>
      <c r="G183" s="54"/>
      <c r="H183" s="54"/>
    </row>
    <row r="184" spans="1:8">
      <c r="A184" s="16"/>
      <c r="B184" s="12"/>
      <c r="C184" s="54"/>
      <c r="D184" s="54"/>
      <c r="E184" s="54"/>
      <c r="F184" s="54"/>
      <c r="G184" s="54"/>
      <c r="H184" s="54"/>
    </row>
    <row r="185" spans="1:8">
      <c r="A185" s="16"/>
      <c r="B185" s="12"/>
      <c r="C185" s="54"/>
      <c r="D185" s="54"/>
      <c r="E185" s="54"/>
      <c r="F185" s="54"/>
      <c r="G185" s="54"/>
      <c r="H185" s="54"/>
    </row>
    <row r="186" spans="1:8">
      <c r="A186" s="16"/>
      <c r="B186" s="12"/>
      <c r="C186" s="54"/>
      <c r="D186" s="54"/>
      <c r="E186" s="54"/>
      <c r="F186" s="54"/>
      <c r="G186" s="54"/>
      <c r="H186" s="54"/>
    </row>
    <row r="187" spans="1:8">
      <c r="A187" s="16"/>
      <c r="B187" s="12"/>
      <c r="C187" s="54"/>
      <c r="D187" s="54"/>
      <c r="E187" s="54"/>
      <c r="F187" s="54"/>
      <c r="G187" s="54"/>
      <c r="H187" s="54"/>
    </row>
    <row r="188" spans="1:8">
      <c r="A188" s="16"/>
      <c r="B188" s="12"/>
      <c r="C188" s="54"/>
      <c r="D188" s="54"/>
      <c r="E188" s="54"/>
      <c r="F188" s="54"/>
      <c r="G188" s="54"/>
      <c r="H188" s="54"/>
    </row>
    <row r="189" spans="1:8">
      <c r="A189" s="16"/>
      <c r="B189" s="12"/>
      <c r="C189" s="54"/>
      <c r="D189" s="54"/>
      <c r="E189" s="54"/>
      <c r="F189" s="54"/>
      <c r="G189" s="54"/>
      <c r="H189" s="54"/>
    </row>
    <row r="190" spans="1:8">
      <c r="A190" s="16"/>
      <c r="B190" s="12"/>
      <c r="C190" s="54"/>
      <c r="D190" s="54"/>
      <c r="E190" s="54"/>
      <c r="F190" s="54"/>
      <c r="G190" s="54"/>
      <c r="H190" s="54"/>
    </row>
    <row r="191" spans="1:8">
      <c r="A191" s="16"/>
      <c r="B191" s="12"/>
      <c r="C191" s="54"/>
      <c r="D191" s="54"/>
      <c r="E191" s="54"/>
      <c r="F191" s="54"/>
      <c r="G191" s="54"/>
      <c r="H191" s="54"/>
    </row>
    <row r="192" spans="1:8">
      <c r="A192" s="16"/>
      <c r="B192" s="12"/>
      <c r="C192" s="54"/>
      <c r="D192" s="54"/>
      <c r="E192" s="54"/>
      <c r="F192" s="54"/>
      <c r="G192" s="54"/>
      <c r="H192" s="54"/>
    </row>
    <row r="193" spans="1:8">
      <c r="A193" s="16"/>
      <c r="B193" s="12"/>
      <c r="C193" s="54"/>
      <c r="D193" s="54"/>
      <c r="E193" s="54"/>
      <c r="F193" s="54"/>
      <c r="G193" s="54"/>
      <c r="H193" s="54"/>
    </row>
    <row r="194" spans="1:8">
      <c r="A194" s="16"/>
      <c r="B194" s="12"/>
      <c r="C194" s="54"/>
      <c r="D194" s="54"/>
      <c r="E194" s="54"/>
      <c r="F194" s="54"/>
      <c r="G194" s="54"/>
      <c r="H194" s="54"/>
    </row>
    <row r="195" spans="1:8">
      <c r="A195" s="16"/>
      <c r="B195" s="12"/>
      <c r="C195" s="54"/>
      <c r="D195" s="54"/>
      <c r="E195" s="54"/>
      <c r="F195" s="54"/>
      <c r="G195" s="54"/>
      <c r="H195" s="54"/>
    </row>
    <row r="196" spans="1:8">
      <c r="A196" s="16"/>
      <c r="B196" s="12"/>
      <c r="C196" s="54"/>
      <c r="D196" s="54"/>
      <c r="E196" s="54"/>
      <c r="F196" s="54"/>
      <c r="G196" s="54"/>
      <c r="H196" s="54"/>
    </row>
    <row r="197" spans="1:8">
      <c r="A197" s="16"/>
      <c r="B197" s="12"/>
      <c r="C197" s="54"/>
      <c r="D197" s="54"/>
      <c r="E197" s="54"/>
      <c r="F197" s="54"/>
      <c r="G197" s="54"/>
      <c r="H197" s="54"/>
    </row>
    <row r="198" spans="1:8">
      <c r="A198" s="16"/>
      <c r="B198" s="12"/>
      <c r="C198" s="54"/>
      <c r="D198" s="54"/>
      <c r="E198" s="54"/>
      <c r="F198" s="54"/>
      <c r="G198" s="54"/>
      <c r="H198" s="54"/>
    </row>
    <row r="199" spans="1:8">
      <c r="A199" s="16"/>
      <c r="B199" s="12"/>
      <c r="C199" s="54"/>
      <c r="D199" s="54"/>
      <c r="E199" s="54"/>
      <c r="F199" s="54"/>
      <c r="G199" s="54"/>
      <c r="H199" s="54"/>
    </row>
    <row r="200" spans="1:8">
      <c r="A200" s="16"/>
      <c r="B200" s="12"/>
      <c r="C200" s="54"/>
      <c r="D200" s="54"/>
      <c r="E200" s="54"/>
      <c r="F200" s="54"/>
      <c r="G200" s="54"/>
      <c r="H200" s="54"/>
    </row>
    <row r="201" spans="1:8">
      <c r="A201" s="16"/>
      <c r="B201" s="12"/>
      <c r="C201" s="54"/>
      <c r="D201" s="54"/>
      <c r="E201" s="54"/>
      <c r="F201" s="54"/>
      <c r="G201" s="54"/>
      <c r="H201" s="54"/>
    </row>
    <row r="202" spans="1:8">
      <c r="A202" s="16"/>
      <c r="B202" s="12"/>
      <c r="C202" s="54"/>
      <c r="D202" s="54"/>
      <c r="E202" s="54"/>
      <c r="F202" s="54"/>
      <c r="G202" s="54"/>
      <c r="H202" s="54"/>
    </row>
    <row r="203" spans="1:8">
      <c r="A203" s="16"/>
      <c r="B203" s="12"/>
      <c r="C203" s="54"/>
      <c r="D203" s="54"/>
      <c r="E203" s="54"/>
      <c r="F203" s="54"/>
      <c r="G203" s="54"/>
      <c r="H203" s="54"/>
    </row>
    <row r="204" spans="1:8">
      <c r="A204" s="16"/>
      <c r="B204" s="12"/>
      <c r="C204" s="54"/>
      <c r="D204" s="54"/>
      <c r="E204" s="54"/>
      <c r="F204" s="54"/>
      <c r="G204" s="54"/>
      <c r="H204" s="54"/>
    </row>
    <row r="205" spans="1:8">
      <c r="A205" s="16"/>
      <c r="B205" s="12"/>
      <c r="C205" s="54"/>
      <c r="D205" s="54"/>
      <c r="E205" s="54"/>
      <c r="F205" s="54"/>
      <c r="G205" s="54"/>
      <c r="H205" s="54"/>
    </row>
    <row r="206" spans="1:8">
      <c r="A206" s="16"/>
      <c r="B206" s="12"/>
      <c r="C206" s="54"/>
      <c r="D206" s="54"/>
      <c r="E206" s="54"/>
      <c r="F206" s="54"/>
      <c r="G206" s="54"/>
      <c r="H206" s="54"/>
    </row>
    <row r="207" spans="1:8">
      <c r="A207" s="16"/>
      <c r="B207" s="12"/>
      <c r="C207" s="54"/>
      <c r="D207" s="54"/>
      <c r="E207" s="54"/>
      <c r="F207" s="54"/>
      <c r="G207" s="54"/>
      <c r="H207" s="54"/>
    </row>
    <row r="208" spans="1:8">
      <c r="A208" s="16"/>
      <c r="B208" s="12"/>
      <c r="C208" s="54"/>
      <c r="D208" s="54"/>
      <c r="E208" s="54"/>
      <c r="F208" s="54"/>
      <c r="G208" s="54"/>
      <c r="H208" s="54"/>
    </row>
    <row r="209" spans="1:8">
      <c r="A209" s="16"/>
      <c r="B209" s="12"/>
      <c r="C209" s="54"/>
      <c r="D209" s="54"/>
      <c r="E209" s="54"/>
      <c r="F209" s="54"/>
      <c r="G209" s="54"/>
      <c r="H209" s="54"/>
    </row>
    <row r="210" spans="1:8">
      <c r="A210" s="16"/>
      <c r="B210" s="12"/>
      <c r="C210" s="54"/>
      <c r="D210" s="54"/>
      <c r="E210" s="54"/>
      <c r="F210" s="54"/>
      <c r="G210" s="54"/>
      <c r="H210" s="54"/>
    </row>
    <row r="211" spans="1:8">
      <c r="A211" s="16"/>
      <c r="B211" s="12"/>
      <c r="C211" s="54"/>
      <c r="D211" s="54"/>
      <c r="E211" s="54"/>
      <c r="F211" s="54"/>
      <c r="G211" s="54"/>
      <c r="H211" s="54"/>
    </row>
    <row r="212" spans="1:8">
      <c r="A212" s="16"/>
      <c r="B212" s="12"/>
      <c r="C212" s="54"/>
      <c r="D212" s="54"/>
      <c r="E212" s="54"/>
      <c r="F212" s="54"/>
      <c r="G212" s="54"/>
      <c r="H212" s="54"/>
    </row>
    <row r="213" spans="1:8">
      <c r="A213" s="16"/>
      <c r="B213" s="12"/>
      <c r="C213" s="54"/>
      <c r="D213" s="54"/>
      <c r="E213" s="54"/>
      <c r="F213" s="54"/>
      <c r="G213" s="54"/>
      <c r="H213" s="54"/>
    </row>
    <row r="214" spans="1:8">
      <c r="A214" s="16"/>
      <c r="B214" s="12"/>
      <c r="C214" s="54"/>
      <c r="D214" s="54"/>
      <c r="E214" s="54"/>
      <c r="F214" s="54"/>
      <c r="G214" s="54"/>
      <c r="H214" s="54"/>
    </row>
    <row r="215" spans="1:8">
      <c r="A215" s="16"/>
      <c r="B215" s="12"/>
      <c r="C215" s="54"/>
      <c r="D215" s="54"/>
      <c r="E215" s="54"/>
      <c r="F215" s="54"/>
      <c r="G215" s="54"/>
      <c r="H215" s="54"/>
    </row>
    <row r="216" spans="1:8">
      <c r="A216" s="16"/>
      <c r="B216" s="12"/>
      <c r="C216" s="54"/>
      <c r="D216" s="54"/>
      <c r="E216" s="54"/>
      <c r="F216" s="54"/>
      <c r="G216" s="54"/>
      <c r="H216" s="54"/>
    </row>
    <row r="217" spans="1:8">
      <c r="A217" s="16"/>
      <c r="B217" s="12"/>
      <c r="C217" s="54"/>
      <c r="D217" s="54"/>
      <c r="E217" s="54"/>
      <c r="F217" s="54"/>
      <c r="G217" s="54"/>
      <c r="H217" s="54"/>
    </row>
    <row r="218" spans="1:8">
      <c r="A218" s="16"/>
      <c r="B218" s="12"/>
      <c r="C218" s="54"/>
      <c r="D218" s="54"/>
      <c r="E218" s="54"/>
      <c r="F218" s="54"/>
      <c r="G218" s="54"/>
      <c r="H218" s="54"/>
    </row>
    <row r="219" spans="1:8">
      <c r="A219" s="16"/>
      <c r="B219" s="12"/>
      <c r="C219" s="54"/>
      <c r="D219" s="54"/>
      <c r="E219" s="54"/>
      <c r="F219" s="54"/>
      <c r="G219" s="54"/>
      <c r="H219" s="54"/>
    </row>
    <row r="220" spans="1:8">
      <c r="A220" s="16"/>
      <c r="B220" s="12"/>
      <c r="C220" s="54"/>
      <c r="D220" s="54"/>
      <c r="E220" s="54"/>
      <c r="F220" s="54"/>
      <c r="G220" s="54"/>
      <c r="H220" s="54"/>
    </row>
    <row r="221" spans="1:8">
      <c r="A221" s="16"/>
      <c r="B221" s="12"/>
      <c r="C221" s="54"/>
      <c r="D221" s="54"/>
      <c r="E221" s="54"/>
      <c r="F221" s="54"/>
      <c r="G221" s="54"/>
      <c r="H221" s="54"/>
    </row>
    <row r="222" spans="1:8">
      <c r="A222" s="16"/>
      <c r="B222" s="12"/>
      <c r="C222" s="54"/>
      <c r="D222" s="54"/>
      <c r="E222" s="54"/>
      <c r="F222" s="54"/>
      <c r="G222" s="54"/>
      <c r="H222" s="54"/>
    </row>
    <row r="223" spans="1:8">
      <c r="A223" s="16"/>
      <c r="B223" s="12"/>
      <c r="C223" s="54"/>
      <c r="D223" s="54"/>
      <c r="E223" s="54"/>
      <c r="F223" s="54"/>
      <c r="G223" s="54"/>
      <c r="H223" s="54"/>
    </row>
    <row r="224" spans="1:8">
      <c r="A224" s="16"/>
      <c r="B224" s="12"/>
      <c r="C224" s="54"/>
      <c r="D224" s="54"/>
      <c r="E224" s="54"/>
      <c r="F224" s="54"/>
      <c r="G224" s="54"/>
      <c r="H224" s="54"/>
    </row>
    <row r="225" spans="1:8">
      <c r="A225" s="16"/>
      <c r="B225" s="12"/>
      <c r="C225" s="54"/>
      <c r="D225" s="54"/>
      <c r="E225" s="54"/>
      <c r="F225" s="54"/>
      <c r="G225" s="54"/>
      <c r="H225" s="54"/>
    </row>
    <row r="226" spans="1:8">
      <c r="A226" s="16"/>
      <c r="B226" s="12"/>
      <c r="C226" s="54"/>
      <c r="D226" s="54"/>
      <c r="E226" s="54"/>
      <c r="F226" s="54"/>
      <c r="G226" s="54"/>
      <c r="H226" s="54"/>
    </row>
    <row r="227" spans="1:8">
      <c r="A227" s="16"/>
      <c r="B227" s="12"/>
      <c r="C227" s="54"/>
      <c r="D227" s="54"/>
      <c r="E227" s="54"/>
      <c r="F227" s="54"/>
      <c r="G227" s="54"/>
      <c r="H227" s="54"/>
    </row>
    <row r="228" spans="1:8">
      <c r="A228" s="16"/>
      <c r="B228" s="12"/>
      <c r="C228" s="54"/>
      <c r="D228" s="54"/>
      <c r="E228" s="54"/>
      <c r="F228" s="54"/>
      <c r="G228" s="54"/>
      <c r="H228" s="54"/>
    </row>
    <row r="229" spans="1:8">
      <c r="A229" s="16"/>
      <c r="B229" s="12"/>
      <c r="C229" s="54"/>
      <c r="D229" s="54"/>
      <c r="E229" s="54"/>
      <c r="F229" s="54"/>
      <c r="G229" s="54"/>
      <c r="H229" s="54"/>
    </row>
    <row r="230" spans="1:8">
      <c r="A230" s="16"/>
      <c r="B230" s="12"/>
      <c r="C230" s="54"/>
      <c r="D230" s="54"/>
      <c r="E230" s="54"/>
      <c r="F230" s="54"/>
      <c r="G230" s="54"/>
      <c r="H230" s="54"/>
    </row>
    <row r="231" spans="1:8">
      <c r="A231" s="16"/>
      <c r="B231" s="12"/>
      <c r="C231" s="54"/>
      <c r="D231" s="54"/>
      <c r="E231" s="54"/>
      <c r="F231" s="54"/>
      <c r="G231" s="54"/>
      <c r="H231" s="54"/>
    </row>
    <row r="232" spans="1:8">
      <c r="A232" s="16"/>
      <c r="B232" s="12"/>
      <c r="C232" s="54"/>
      <c r="D232" s="54"/>
      <c r="E232" s="54"/>
      <c r="F232" s="54"/>
      <c r="G232" s="54"/>
      <c r="H232" s="54"/>
    </row>
    <row r="233" spans="1:8">
      <c r="A233" s="16"/>
      <c r="B233" s="12"/>
      <c r="C233" s="54"/>
      <c r="D233" s="54"/>
      <c r="E233" s="54"/>
      <c r="F233" s="54"/>
      <c r="G233" s="54"/>
      <c r="H233" s="54"/>
    </row>
    <row r="234" spans="1:8">
      <c r="A234" s="16"/>
      <c r="B234" s="12"/>
      <c r="C234" s="54"/>
      <c r="D234" s="54"/>
      <c r="E234" s="54"/>
      <c r="F234" s="54"/>
      <c r="G234" s="54"/>
      <c r="H234" s="54"/>
    </row>
    <row r="235" spans="1:8">
      <c r="A235" s="16"/>
      <c r="B235" s="12"/>
      <c r="C235" s="54"/>
      <c r="D235" s="54"/>
      <c r="E235" s="54"/>
      <c r="F235" s="54"/>
      <c r="G235" s="54"/>
      <c r="H235" s="54"/>
    </row>
    <row r="236" spans="1:8">
      <c r="A236" s="16"/>
      <c r="B236" s="12"/>
      <c r="C236" s="54"/>
      <c r="D236" s="54"/>
      <c r="E236" s="54"/>
      <c r="F236" s="54"/>
      <c r="G236" s="54"/>
      <c r="H236" s="54"/>
    </row>
    <row r="237" spans="1:8">
      <c r="A237" s="16"/>
      <c r="B237" s="12"/>
      <c r="C237" s="54"/>
      <c r="D237" s="54"/>
      <c r="E237" s="54"/>
      <c r="F237" s="54"/>
      <c r="G237" s="54"/>
      <c r="H237" s="54"/>
    </row>
    <row r="238" spans="1:8">
      <c r="A238" s="16"/>
      <c r="B238" s="12"/>
      <c r="C238" s="54"/>
      <c r="D238" s="54"/>
      <c r="E238" s="54"/>
      <c r="F238" s="54"/>
      <c r="G238" s="54"/>
      <c r="H238" s="54"/>
    </row>
    <row r="239" spans="1:8">
      <c r="A239" s="16"/>
      <c r="B239" s="12"/>
      <c r="C239" s="54"/>
      <c r="D239" s="54"/>
      <c r="E239" s="54"/>
      <c r="F239" s="54"/>
      <c r="G239" s="54"/>
      <c r="H239" s="54"/>
    </row>
    <row r="240" spans="1:8">
      <c r="A240" s="16"/>
      <c r="B240" s="12"/>
      <c r="C240" s="54"/>
      <c r="D240" s="54"/>
      <c r="E240" s="54"/>
      <c r="F240" s="54"/>
      <c r="G240" s="54"/>
      <c r="H240" s="54"/>
    </row>
    <row r="241" spans="1:8">
      <c r="A241" s="16"/>
      <c r="B241" s="12"/>
      <c r="C241" s="54"/>
      <c r="D241" s="54"/>
      <c r="E241" s="54"/>
      <c r="F241" s="54"/>
      <c r="G241" s="54"/>
      <c r="H241" s="54"/>
    </row>
    <row r="242" spans="1:8">
      <c r="A242" s="16"/>
      <c r="B242" s="12"/>
      <c r="C242" s="54"/>
      <c r="D242" s="54"/>
      <c r="E242" s="54"/>
      <c r="F242" s="54"/>
      <c r="G242" s="54"/>
      <c r="H242" s="54"/>
    </row>
    <row r="243" spans="1:8">
      <c r="A243" s="16"/>
      <c r="B243" s="12"/>
      <c r="C243" s="54"/>
      <c r="D243" s="54"/>
      <c r="E243" s="54"/>
      <c r="F243" s="54"/>
      <c r="G243" s="54"/>
      <c r="H243" s="54"/>
    </row>
    <row r="244" spans="1:8">
      <c r="A244" s="16"/>
      <c r="B244" s="12"/>
      <c r="C244" s="54"/>
      <c r="D244" s="54"/>
      <c r="E244" s="54"/>
      <c r="F244" s="54"/>
      <c r="G244" s="54"/>
      <c r="H244" s="54"/>
    </row>
    <row r="245" spans="1:8">
      <c r="A245" s="16"/>
      <c r="B245" s="12"/>
      <c r="C245" s="54"/>
      <c r="D245" s="54"/>
      <c r="E245" s="54"/>
      <c r="F245" s="54"/>
      <c r="G245" s="54"/>
      <c r="H245" s="54"/>
    </row>
    <row r="246" spans="1:8">
      <c r="A246" s="16"/>
      <c r="B246" s="12"/>
      <c r="C246" s="54"/>
      <c r="D246" s="54"/>
      <c r="E246" s="54"/>
      <c r="F246" s="54"/>
      <c r="G246" s="54"/>
      <c r="H246" s="54"/>
    </row>
    <row r="247" spans="1:8">
      <c r="A247" s="16"/>
      <c r="B247" s="12"/>
      <c r="C247" s="54"/>
      <c r="D247" s="54"/>
      <c r="E247" s="54"/>
      <c r="F247" s="54"/>
      <c r="G247" s="54"/>
      <c r="H247" s="54"/>
    </row>
    <row r="248" spans="1:8">
      <c r="A248" s="16"/>
      <c r="B248" s="12"/>
      <c r="C248" s="54"/>
      <c r="D248" s="54"/>
      <c r="E248" s="54"/>
      <c r="F248" s="54"/>
      <c r="G248" s="54"/>
      <c r="H248" s="54"/>
    </row>
    <row r="249" spans="1:8">
      <c r="A249" s="16"/>
      <c r="B249" s="12"/>
      <c r="C249" s="54"/>
      <c r="D249" s="54"/>
      <c r="E249" s="54"/>
      <c r="F249" s="54"/>
      <c r="G249" s="54"/>
      <c r="H249" s="54"/>
    </row>
    <row r="250" spans="1:8">
      <c r="A250" s="16"/>
      <c r="B250" s="12"/>
      <c r="C250" s="54"/>
      <c r="D250" s="54"/>
      <c r="E250" s="54"/>
      <c r="F250" s="54"/>
      <c r="G250" s="54"/>
      <c r="H250" s="54"/>
    </row>
    <row r="251" spans="1:8">
      <c r="A251" s="16"/>
      <c r="B251" s="12"/>
      <c r="C251" s="54"/>
      <c r="D251" s="54"/>
      <c r="E251" s="54"/>
      <c r="F251" s="54"/>
      <c r="G251" s="54"/>
      <c r="H251" s="54"/>
    </row>
    <row r="252" spans="1:8">
      <c r="A252" s="16"/>
      <c r="B252" s="12"/>
      <c r="C252" s="54"/>
      <c r="D252" s="54"/>
      <c r="E252" s="54"/>
      <c r="F252" s="54"/>
      <c r="G252" s="54"/>
      <c r="H252" s="54"/>
    </row>
    <row r="253" spans="1:8">
      <c r="A253" s="16"/>
      <c r="B253" s="12"/>
      <c r="C253" s="54"/>
      <c r="D253" s="54"/>
      <c r="E253" s="54"/>
      <c r="F253" s="54"/>
      <c r="G253" s="54"/>
      <c r="H253" s="54"/>
    </row>
    <row r="254" spans="1:8">
      <c r="A254" s="16"/>
      <c r="B254" s="12"/>
      <c r="C254" s="54"/>
      <c r="D254" s="54"/>
      <c r="E254" s="54"/>
      <c r="F254" s="54"/>
      <c r="G254" s="54"/>
      <c r="H254" s="54"/>
    </row>
    <row r="255" spans="1:8">
      <c r="A255" s="16"/>
      <c r="B255" s="12"/>
      <c r="C255" s="54"/>
      <c r="D255" s="54"/>
      <c r="E255" s="54"/>
      <c r="F255" s="54"/>
      <c r="G255" s="54"/>
      <c r="H255" s="54"/>
    </row>
    <row r="256" spans="1:8">
      <c r="A256" s="16"/>
      <c r="B256" s="12"/>
      <c r="C256" s="54"/>
      <c r="D256" s="54"/>
      <c r="E256" s="54"/>
      <c r="F256" s="54"/>
      <c r="G256" s="54"/>
      <c r="H256" s="54"/>
    </row>
    <row r="257" spans="1:8">
      <c r="A257" s="16"/>
      <c r="B257" s="12"/>
      <c r="C257" s="54"/>
      <c r="D257" s="54"/>
      <c r="E257" s="54"/>
      <c r="F257" s="54"/>
      <c r="G257" s="54"/>
      <c r="H257" s="54"/>
    </row>
    <row r="258" spans="1:8">
      <c r="A258" s="16"/>
      <c r="B258" s="12"/>
      <c r="C258" s="54"/>
      <c r="D258" s="54"/>
      <c r="E258" s="54"/>
      <c r="F258" s="54"/>
      <c r="G258" s="54"/>
      <c r="H258" s="54"/>
    </row>
    <row r="259" spans="1:8">
      <c r="A259" s="16"/>
      <c r="B259" s="12"/>
      <c r="C259" s="54"/>
      <c r="D259" s="54"/>
      <c r="E259" s="54"/>
      <c r="F259" s="54"/>
      <c r="G259" s="54"/>
      <c r="H259" s="54"/>
    </row>
    <row r="260" spans="1:8">
      <c r="A260" s="16"/>
      <c r="B260" s="12"/>
      <c r="C260" s="54"/>
      <c r="D260" s="54"/>
      <c r="E260" s="54"/>
      <c r="F260" s="54"/>
      <c r="G260" s="54"/>
      <c r="H260" s="54"/>
    </row>
    <row r="261" spans="1:8">
      <c r="A261" s="16"/>
      <c r="B261" s="12"/>
      <c r="C261" s="54"/>
      <c r="D261" s="54"/>
      <c r="E261" s="54"/>
      <c r="F261" s="54"/>
      <c r="G261" s="54"/>
      <c r="H261" s="54"/>
    </row>
    <row r="262" spans="1:8">
      <c r="A262" s="16"/>
      <c r="B262" s="12"/>
      <c r="C262" s="54"/>
      <c r="D262" s="54"/>
      <c r="E262" s="54"/>
      <c r="F262" s="54"/>
      <c r="G262" s="54"/>
      <c r="H262" s="54"/>
    </row>
    <row r="263" spans="1:8">
      <c r="A263" s="16"/>
      <c r="B263" s="12"/>
      <c r="C263" s="54"/>
      <c r="D263" s="54"/>
      <c r="E263" s="54"/>
      <c r="F263" s="54"/>
      <c r="G263" s="54"/>
      <c r="H263" s="54"/>
    </row>
    <row r="264" spans="1:8">
      <c r="A264" s="16"/>
      <c r="B264" s="12"/>
      <c r="C264" s="54"/>
      <c r="D264" s="54"/>
      <c r="E264" s="54"/>
      <c r="F264" s="54"/>
      <c r="G264" s="54"/>
      <c r="H264" s="54"/>
    </row>
    <row r="265" spans="1:8">
      <c r="A265" s="16"/>
      <c r="B265" s="12"/>
      <c r="C265" s="54"/>
      <c r="D265" s="54"/>
      <c r="E265" s="54"/>
      <c r="F265" s="54"/>
      <c r="G265" s="54"/>
      <c r="H265" s="54"/>
    </row>
    <row r="266" spans="1:8">
      <c r="A266" s="16"/>
      <c r="B266" s="12"/>
      <c r="C266" s="54"/>
      <c r="D266" s="54"/>
      <c r="E266" s="54"/>
      <c r="F266" s="54"/>
      <c r="G266" s="54"/>
      <c r="H266" s="54"/>
    </row>
    <row r="267" spans="1:8">
      <c r="A267" s="16"/>
      <c r="B267" s="12"/>
      <c r="C267" s="54"/>
      <c r="D267" s="54"/>
      <c r="E267" s="54"/>
      <c r="F267" s="54"/>
      <c r="G267" s="54"/>
      <c r="H267" s="54"/>
    </row>
    <row r="268" spans="1:8">
      <c r="A268" s="16"/>
      <c r="B268" s="12"/>
      <c r="C268" s="54"/>
      <c r="D268" s="54"/>
      <c r="E268" s="54"/>
      <c r="F268" s="54"/>
      <c r="G268" s="54"/>
      <c r="H268" s="54"/>
    </row>
    <row r="269" spans="1:8">
      <c r="A269" s="16"/>
      <c r="B269" s="12"/>
      <c r="C269" s="54"/>
      <c r="D269" s="54"/>
      <c r="E269" s="54"/>
      <c r="F269" s="54"/>
      <c r="G269" s="54"/>
      <c r="H269" s="54"/>
    </row>
    <row r="270" spans="1:8">
      <c r="A270" s="16"/>
      <c r="B270" s="12"/>
      <c r="C270" s="54"/>
      <c r="D270" s="54"/>
      <c r="E270" s="54"/>
      <c r="F270" s="54"/>
      <c r="G270" s="54"/>
      <c r="H270" s="54"/>
    </row>
    <row r="271" spans="1:8">
      <c r="A271" s="16"/>
      <c r="B271" s="12"/>
      <c r="C271" s="54"/>
      <c r="D271" s="54"/>
      <c r="E271" s="54"/>
      <c r="F271" s="54"/>
      <c r="G271" s="54"/>
      <c r="H271" s="54"/>
    </row>
    <row r="272" spans="1:8">
      <c r="A272" s="16"/>
      <c r="B272" s="12"/>
      <c r="C272" s="54"/>
      <c r="D272" s="54"/>
      <c r="E272" s="54"/>
      <c r="F272" s="54"/>
      <c r="G272" s="54"/>
      <c r="H272" s="54"/>
    </row>
    <row r="273" spans="1:8">
      <c r="A273" s="16"/>
      <c r="B273" s="12"/>
      <c r="C273" s="54"/>
      <c r="D273" s="54"/>
      <c r="E273" s="54"/>
      <c r="F273" s="54"/>
      <c r="G273" s="54"/>
      <c r="H273" s="54"/>
    </row>
    <row r="274" spans="1:8">
      <c r="A274" s="16"/>
      <c r="B274" s="12"/>
      <c r="C274" s="54"/>
      <c r="D274" s="54"/>
      <c r="E274" s="54"/>
      <c r="F274" s="54"/>
      <c r="G274" s="54"/>
      <c r="H274" s="54"/>
    </row>
    <row r="275" spans="1:8">
      <c r="A275" s="16"/>
      <c r="B275" s="12"/>
      <c r="C275" s="54"/>
      <c r="D275" s="54"/>
      <c r="E275" s="54"/>
      <c r="F275" s="54"/>
      <c r="G275" s="54"/>
      <c r="H275" s="54"/>
    </row>
    <row r="276" spans="1:8">
      <c r="A276" s="16"/>
      <c r="B276" s="12"/>
      <c r="C276" s="54"/>
      <c r="D276" s="54"/>
      <c r="E276" s="54"/>
      <c r="F276" s="54"/>
      <c r="G276" s="54"/>
      <c r="H276" s="54"/>
    </row>
    <row r="277" spans="1:8">
      <c r="A277" s="16"/>
      <c r="B277" s="12"/>
      <c r="C277" s="54"/>
      <c r="D277" s="54"/>
      <c r="E277" s="54"/>
      <c r="F277" s="54"/>
      <c r="G277" s="54"/>
      <c r="H277" s="54"/>
    </row>
    <row r="278" spans="1:8">
      <c r="A278" s="16"/>
      <c r="B278" s="12"/>
      <c r="C278" s="54"/>
      <c r="D278" s="54"/>
      <c r="E278" s="54"/>
      <c r="F278" s="54"/>
      <c r="G278" s="54"/>
      <c r="H278" s="54"/>
    </row>
    <row r="279" spans="1:8">
      <c r="A279" s="16"/>
      <c r="B279" s="12"/>
      <c r="C279" s="54"/>
      <c r="D279" s="54"/>
      <c r="E279" s="54"/>
      <c r="F279" s="54"/>
      <c r="G279" s="54"/>
      <c r="H279" s="54"/>
    </row>
    <row r="280" spans="1:8">
      <c r="A280" s="16"/>
      <c r="B280" s="12"/>
      <c r="C280" s="54"/>
      <c r="D280" s="54"/>
      <c r="E280" s="54"/>
      <c r="F280" s="54"/>
      <c r="G280" s="54"/>
      <c r="H280" s="54"/>
    </row>
    <row r="281" spans="1:8">
      <c r="A281" s="16"/>
      <c r="B281" s="12"/>
      <c r="C281" s="54"/>
      <c r="D281" s="54"/>
      <c r="E281" s="54"/>
      <c r="F281" s="54"/>
      <c r="G281" s="54"/>
      <c r="H281" s="54"/>
    </row>
    <row r="282" spans="1:8">
      <c r="A282" s="16"/>
      <c r="B282" s="12"/>
      <c r="C282" s="54"/>
      <c r="D282" s="54"/>
      <c r="E282" s="54"/>
      <c r="F282" s="54"/>
      <c r="G282" s="54"/>
      <c r="H282" s="54"/>
    </row>
    <row r="283" spans="1:8">
      <c r="A283" s="16"/>
      <c r="B283" s="12"/>
      <c r="C283" s="54"/>
      <c r="D283" s="54"/>
      <c r="E283" s="54"/>
      <c r="F283" s="54"/>
      <c r="G283" s="54"/>
      <c r="H283" s="54"/>
    </row>
    <row r="284" spans="1:8">
      <c r="A284" s="16"/>
      <c r="B284" s="12"/>
      <c r="C284" s="54"/>
      <c r="D284" s="54"/>
      <c r="E284" s="54"/>
      <c r="F284" s="54"/>
      <c r="G284" s="54"/>
      <c r="H284" s="54"/>
    </row>
    <row r="285" spans="1:8">
      <c r="A285" s="16"/>
      <c r="B285" s="12"/>
      <c r="C285" s="54"/>
      <c r="D285" s="54"/>
      <c r="E285" s="54"/>
      <c r="F285" s="54"/>
      <c r="G285" s="54"/>
      <c r="H285" s="54"/>
    </row>
    <row r="286" spans="1:8">
      <c r="A286" s="16"/>
      <c r="B286" s="12"/>
      <c r="C286" s="54"/>
      <c r="D286" s="54"/>
      <c r="E286" s="54"/>
      <c r="F286" s="54"/>
      <c r="G286" s="54"/>
      <c r="H286" s="54"/>
    </row>
    <row r="287" spans="1:8">
      <c r="A287" s="16"/>
      <c r="B287" s="12"/>
      <c r="C287" s="54"/>
      <c r="D287" s="54"/>
      <c r="E287" s="54"/>
      <c r="F287" s="54"/>
      <c r="G287" s="54"/>
      <c r="H287" s="54"/>
    </row>
    <row r="288" spans="1:8">
      <c r="A288" s="16"/>
      <c r="B288" s="12"/>
      <c r="C288" s="54"/>
      <c r="D288" s="54"/>
      <c r="E288" s="54"/>
      <c r="F288" s="54"/>
      <c r="G288" s="54"/>
      <c r="H288" s="54"/>
    </row>
    <row r="289" spans="1:8">
      <c r="A289" s="16"/>
      <c r="B289" s="12"/>
      <c r="C289" s="54"/>
      <c r="D289" s="54"/>
      <c r="E289" s="54"/>
      <c r="F289" s="54"/>
      <c r="G289" s="54"/>
      <c r="H289" s="54"/>
    </row>
    <row r="290" spans="1:8">
      <c r="A290" s="16"/>
      <c r="B290" s="12"/>
      <c r="C290" s="54"/>
      <c r="D290" s="54"/>
      <c r="E290" s="54"/>
      <c r="F290" s="54"/>
      <c r="G290" s="54"/>
      <c r="H290" s="54"/>
    </row>
    <row r="291" spans="1:8">
      <c r="A291" s="16"/>
      <c r="B291" s="12"/>
      <c r="C291" s="54"/>
      <c r="D291" s="54"/>
      <c r="E291" s="54"/>
      <c r="F291" s="54"/>
      <c r="G291" s="54"/>
      <c r="H291" s="54"/>
    </row>
    <row r="292" spans="1:8">
      <c r="A292" s="16"/>
      <c r="B292" s="12"/>
      <c r="C292" s="54"/>
      <c r="D292" s="54"/>
      <c r="E292" s="54"/>
      <c r="F292" s="54"/>
      <c r="G292" s="54"/>
      <c r="H292" s="54"/>
    </row>
    <row r="293" spans="1:8">
      <c r="A293" s="16"/>
      <c r="B293" s="12"/>
      <c r="C293" s="54"/>
      <c r="D293" s="54"/>
      <c r="E293" s="54"/>
      <c r="F293" s="54"/>
      <c r="G293" s="54"/>
      <c r="H293" s="54"/>
    </row>
    <row r="294" spans="1:8">
      <c r="A294" s="16"/>
      <c r="B294" s="12"/>
      <c r="C294" s="54"/>
      <c r="D294" s="54"/>
      <c r="E294" s="54"/>
      <c r="F294" s="54"/>
      <c r="G294" s="54"/>
      <c r="H294" s="54"/>
    </row>
    <row r="295" spans="1:8">
      <c r="A295" s="16"/>
      <c r="B295" s="12"/>
      <c r="C295" s="54"/>
      <c r="D295" s="54"/>
      <c r="E295" s="54"/>
      <c r="F295" s="54"/>
      <c r="G295" s="54"/>
      <c r="H295" s="54"/>
    </row>
    <row r="296" spans="1:8">
      <c r="A296" s="16"/>
      <c r="B296" s="12"/>
      <c r="C296" s="54"/>
      <c r="D296" s="54"/>
      <c r="E296" s="54"/>
      <c r="F296" s="54"/>
      <c r="G296" s="54"/>
      <c r="H296" s="54"/>
    </row>
    <row r="297" spans="1:8">
      <c r="A297" s="16"/>
      <c r="B297" s="12"/>
      <c r="C297" s="54"/>
      <c r="D297" s="54"/>
      <c r="E297" s="54"/>
      <c r="F297" s="54"/>
      <c r="G297" s="54"/>
      <c r="H297" s="54"/>
    </row>
    <row r="298" spans="1:8">
      <c r="A298" s="16"/>
      <c r="B298" s="12"/>
      <c r="C298" s="54"/>
      <c r="D298" s="54"/>
      <c r="E298" s="54"/>
      <c r="F298" s="54"/>
      <c r="G298" s="54"/>
      <c r="H298" s="54"/>
    </row>
    <row r="299" spans="1:8">
      <c r="A299" s="16"/>
      <c r="B299" s="13"/>
      <c r="C299" s="100"/>
      <c r="D299" s="100"/>
      <c r="E299" s="100"/>
      <c r="F299" s="100"/>
      <c r="G299" s="100"/>
      <c r="H299" s="100"/>
    </row>
    <row r="300" spans="1:8">
      <c r="A300" s="16"/>
      <c r="B300" s="12"/>
      <c r="C300" s="12"/>
      <c r="D300" s="12"/>
      <c r="E300" s="12"/>
      <c r="F300" s="12"/>
      <c r="G300" s="12"/>
      <c r="H300" s="12"/>
    </row>
    <row r="301" spans="1:8" ht="13.8" thickBot="1">
      <c r="A301" s="119"/>
      <c r="B301" s="24" t="s">
        <v>138</v>
      </c>
      <c r="C301" s="102">
        <f t="shared" ref="C301:H301" si="1">SUM(C11:C299)*C9</f>
        <v>0</v>
      </c>
      <c r="D301" s="102">
        <f t="shared" si="1"/>
        <v>0</v>
      </c>
      <c r="E301" s="102">
        <f t="shared" si="1"/>
        <v>0</v>
      </c>
      <c r="F301" s="102">
        <f t="shared" si="1"/>
        <v>0</v>
      </c>
      <c r="G301" s="102">
        <f t="shared" si="1"/>
        <v>0</v>
      </c>
      <c r="H301" s="102">
        <f t="shared" si="1"/>
        <v>0</v>
      </c>
    </row>
  </sheetData>
  <sheetProtection algorithmName="SHA-512" hashValue="LQ3iGdQ1eCPmTgy97Vr7/FTalSmTFYQtbRnIZfBFyrt8uSocrdviHn2u05CY/jTUgiFmRbIOvmXjT2FLHmjpYw==" saltValue="VLjQt8rC3wd0p1bsGicpng==" spinCount="100000" sheet="1" objects="1" scenarios="1"/>
  <mergeCells count="5">
    <mergeCell ref="P3:R3"/>
    <mergeCell ref="AE3:AH3"/>
    <mergeCell ref="A1:H1"/>
    <mergeCell ref="C2:D2"/>
    <mergeCell ref="G2:H2"/>
  </mergeCells>
  <pageMargins left="0.15748031496062992" right="0.15748031496062992" top="0.74803149606299213" bottom="0.74803149606299213" header="0.31496062992125984" footer="0.31496062992125984"/>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206"/>
  <sheetViews>
    <sheetView topLeftCell="A7" zoomScaleNormal="100" workbookViewId="0">
      <selection activeCell="C33" sqref="C33"/>
    </sheetView>
  </sheetViews>
  <sheetFormatPr baseColWidth="10" defaultRowHeight="13.2"/>
  <cols>
    <col min="1" max="1" width="8.21875" customWidth="1"/>
    <col min="2" max="2" width="25.33203125" customWidth="1"/>
    <col min="3" max="3" width="9.33203125" customWidth="1"/>
    <col min="4" max="4" width="8.6640625" customWidth="1"/>
    <col min="5" max="5" width="9.5546875" customWidth="1"/>
    <col min="6" max="6" width="10" customWidth="1"/>
    <col min="7" max="7" width="10.6640625" customWidth="1"/>
    <col min="8" max="8" width="13.77734375" customWidth="1"/>
    <col min="9" max="9" width="8.21875" customWidth="1"/>
    <col min="10" max="10" width="19.109375" customWidth="1"/>
    <col min="11" max="11" width="8" customWidth="1"/>
    <col min="12" max="12" width="12.77734375" customWidth="1"/>
    <col min="14" max="14" width="12.44140625" bestFit="1" customWidth="1"/>
  </cols>
  <sheetData>
    <row r="1" spans="1:14" ht="22.8">
      <c r="A1" s="296" t="s">
        <v>431</v>
      </c>
      <c r="B1" s="296"/>
      <c r="C1" s="296"/>
      <c r="D1" s="296"/>
      <c r="E1" s="296"/>
      <c r="F1" s="296"/>
      <c r="G1" s="292"/>
      <c r="H1" s="292"/>
    </row>
    <row r="2" spans="1:14" ht="9" customHeight="1"/>
    <row r="3" spans="1:14">
      <c r="A3" s="1" t="s">
        <v>171</v>
      </c>
      <c r="J3" t="s">
        <v>189</v>
      </c>
    </row>
    <row r="4" spans="1:14">
      <c r="A4" t="s">
        <v>13</v>
      </c>
      <c r="J4">
        <v>2007</v>
      </c>
      <c r="K4" s="17">
        <v>1.0549999999999999</v>
      </c>
      <c r="M4">
        <v>2016</v>
      </c>
      <c r="N4">
        <v>1.08</v>
      </c>
    </row>
    <row r="5" spans="1:14">
      <c r="A5" t="s">
        <v>4</v>
      </c>
      <c r="J5">
        <v>2008</v>
      </c>
      <c r="K5" s="17">
        <v>1.1830000000000001</v>
      </c>
      <c r="M5">
        <v>2017</v>
      </c>
      <c r="N5">
        <v>1.1399999999999999</v>
      </c>
    </row>
    <row r="6" spans="1:14">
      <c r="A6" t="s">
        <v>5</v>
      </c>
      <c r="J6">
        <v>2009</v>
      </c>
      <c r="K6" s="17">
        <v>0.96</v>
      </c>
      <c r="M6">
        <v>2018</v>
      </c>
      <c r="N6">
        <v>1.2</v>
      </c>
    </row>
    <row r="7" spans="1:14">
      <c r="A7" t="s">
        <v>6</v>
      </c>
      <c r="J7">
        <v>2010</v>
      </c>
      <c r="K7" s="17">
        <v>1.0589999999999999</v>
      </c>
    </row>
    <row r="8" spans="1:14">
      <c r="A8" t="s">
        <v>20</v>
      </c>
      <c r="J8">
        <v>2011</v>
      </c>
      <c r="K8" s="17">
        <v>1.2789999999999999</v>
      </c>
    </row>
    <row r="9" spans="1:14" ht="11.25" customHeight="1">
      <c r="J9">
        <v>2012</v>
      </c>
      <c r="K9" s="17">
        <v>1.34</v>
      </c>
    </row>
    <row r="10" spans="1:14">
      <c r="A10" t="s">
        <v>17</v>
      </c>
      <c r="J10" s="21">
        <v>2013</v>
      </c>
      <c r="K10" s="17">
        <v>1.34</v>
      </c>
    </row>
    <row r="11" spans="1:14">
      <c r="A11" t="s">
        <v>47</v>
      </c>
      <c r="J11" s="21">
        <v>2014</v>
      </c>
      <c r="K11" s="17">
        <v>1.39</v>
      </c>
      <c r="L11" s="57"/>
    </row>
    <row r="12" spans="1:14">
      <c r="A12" t="s">
        <v>18</v>
      </c>
      <c r="J12" s="21">
        <v>2015</v>
      </c>
      <c r="K12" s="17">
        <v>1.1299999999999999</v>
      </c>
      <c r="L12" s="21"/>
    </row>
    <row r="13" spans="1:14">
      <c r="A13" t="s">
        <v>48</v>
      </c>
    </row>
    <row r="14" spans="1:14" ht="11.25" customHeight="1" thickBot="1">
      <c r="L14" t="s">
        <v>45</v>
      </c>
      <c r="M14" t="s">
        <v>46</v>
      </c>
      <c r="N14" s="21" t="s">
        <v>279</v>
      </c>
    </row>
    <row r="15" spans="1:14" ht="14.4" thickBot="1">
      <c r="A15" s="52" t="s">
        <v>172</v>
      </c>
      <c r="G15" s="297" t="str">
        <f>Identification!B5</f>
        <v>Nom de l'entreprise</v>
      </c>
      <c r="H15" s="298"/>
      <c r="J15" s="1" t="s">
        <v>43</v>
      </c>
      <c r="L15" s="21" t="s">
        <v>280</v>
      </c>
      <c r="M15" s="21" t="s">
        <v>281</v>
      </c>
      <c r="N15" s="105" t="s">
        <v>282</v>
      </c>
    </row>
    <row r="16" spans="1:14">
      <c r="A16" s="21" t="s">
        <v>438</v>
      </c>
      <c r="E16" s="14">
        <v>0</v>
      </c>
      <c r="G16" s="21" t="s">
        <v>54</v>
      </c>
      <c r="H16" s="62"/>
      <c r="J16" t="s">
        <v>37</v>
      </c>
      <c r="L16" s="15">
        <v>100</v>
      </c>
      <c r="M16" s="63">
        <f>M22*M20</f>
        <v>99.998999999999995</v>
      </c>
    </row>
    <row r="17" spans="1:14">
      <c r="A17" s="21" t="s">
        <v>439</v>
      </c>
      <c r="E17" s="14">
        <v>0</v>
      </c>
      <c r="G17" s="21" t="s">
        <v>55</v>
      </c>
      <c r="H17" s="62"/>
      <c r="J17" t="s">
        <v>38</v>
      </c>
      <c r="L17" s="112">
        <v>1.4</v>
      </c>
      <c r="M17" s="113">
        <f>L17</f>
        <v>1.4</v>
      </c>
      <c r="N17" s="113">
        <f>L17</f>
        <v>1.4</v>
      </c>
    </row>
    <row r="18" spans="1:14">
      <c r="A18" t="s">
        <v>7</v>
      </c>
      <c r="B18" s="1"/>
      <c r="C18" s="1"/>
      <c r="D18" s="1"/>
      <c r="E18" s="245">
        <f>E16-E17</f>
        <v>0</v>
      </c>
      <c r="G18" s="21" t="s">
        <v>56</v>
      </c>
      <c r="H18" s="22"/>
      <c r="J18" t="s">
        <v>39</v>
      </c>
      <c r="L18" s="114">
        <v>9</v>
      </c>
      <c r="M18" s="114">
        <v>9</v>
      </c>
      <c r="N18" s="114">
        <v>9</v>
      </c>
    </row>
    <row r="19" spans="1:14">
      <c r="G19" s="21" t="s">
        <v>136</v>
      </c>
      <c r="H19" s="147"/>
      <c r="J19" s="1" t="s">
        <v>40</v>
      </c>
      <c r="K19" s="1"/>
      <c r="L19" s="246">
        <f>L16*100/(L17*L18)</f>
        <v>793.65079365079362</v>
      </c>
      <c r="M19" s="246">
        <f>M21*M20</f>
        <v>793.64285714285711</v>
      </c>
      <c r="N19" s="246">
        <f>N21*N20</f>
        <v>0</v>
      </c>
    </row>
    <row r="20" spans="1:14">
      <c r="A20" t="s">
        <v>8</v>
      </c>
      <c r="B20" s="1"/>
      <c r="C20" s="1"/>
      <c r="D20" s="1"/>
      <c r="E20" s="246">
        <f>C200</f>
        <v>0</v>
      </c>
      <c r="G20" s="21" t="s">
        <v>57</v>
      </c>
      <c r="H20" s="22"/>
      <c r="J20" t="s">
        <v>42</v>
      </c>
      <c r="L20" s="111">
        <v>0.3</v>
      </c>
      <c r="M20" s="111">
        <v>0.3</v>
      </c>
      <c r="N20" s="111">
        <v>0.3</v>
      </c>
    </row>
    <row r="21" spans="1:14">
      <c r="A21" t="s">
        <v>9</v>
      </c>
      <c r="E21" s="247">
        <f>E18</f>
        <v>0</v>
      </c>
      <c r="G21" s="21" t="s">
        <v>130</v>
      </c>
      <c r="H21" s="22"/>
      <c r="J21" s="1" t="s">
        <v>41</v>
      </c>
      <c r="K21" s="1"/>
      <c r="L21" s="246">
        <f>L19/L20</f>
        <v>2645.5026455026455</v>
      </c>
      <c r="M21" s="246">
        <f>M22*100/(M17*M18)</f>
        <v>2645.4761904761904</v>
      </c>
      <c r="N21" s="249">
        <f>E18</f>
        <v>0</v>
      </c>
    </row>
    <row r="22" spans="1:14">
      <c r="A22" t="s">
        <v>10</v>
      </c>
      <c r="E22" s="248" t="e">
        <f>E20/E21</f>
        <v>#DIV/0!</v>
      </c>
      <c r="F22" s="7"/>
      <c r="G22" s="21" t="s">
        <v>137</v>
      </c>
      <c r="H22" s="22"/>
      <c r="J22" t="s">
        <v>44</v>
      </c>
      <c r="L22" s="250">
        <f>L16*L21/L19</f>
        <v>333.33333333333337</v>
      </c>
      <c r="M22" s="15">
        <v>333.33</v>
      </c>
      <c r="N22" s="251">
        <f>E18*N18/100*N17</f>
        <v>0</v>
      </c>
    </row>
    <row r="23" spans="1:14" ht="9" customHeight="1"/>
    <row r="24" spans="1:14">
      <c r="A24" t="s">
        <v>49</v>
      </c>
    </row>
    <row r="25" spans="1:14" ht="15.6">
      <c r="A25" s="21" t="s">
        <v>58</v>
      </c>
      <c r="F25" s="166" t="s">
        <v>295</v>
      </c>
      <c r="G25" s="120"/>
      <c r="H25" s="120"/>
      <c r="I25" s="120"/>
      <c r="J25" s="104"/>
    </row>
    <row r="26" spans="1:14" ht="9" customHeight="1" thickBot="1"/>
    <row r="27" spans="1:14" ht="13.5" customHeight="1" thickTop="1" thickBot="1">
      <c r="A27" s="176" t="s">
        <v>0</v>
      </c>
      <c r="B27" s="177" t="s">
        <v>313</v>
      </c>
      <c r="C27" s="178" t="s">
        <v>14</v>
      </c>
      <c r="D27" s="299" t="s">
        <v>11</v>
      </c>
      <c r="E27" s="300"/>
      <c r="F27" s="300"/>
      <c r="G27" s="300"/>
      <c r="H27" s="300"/>
      <c r="I27" s="301"/>
    </row>
    <row r="28" spans="1:14" ht="13.5" customHeight="1" thickBot="1">
      <c r="A28" s="179"/>
      <c r="B28" s="180" t="s">
        <v>344</v>
      </c>
      <c r="C28" s="180" t="s">
        <v>15</v>
      </c>
      <c r="D28" s="181" t="s">
        <v>315</v>
      </c>
      <c r="E28" s="181" t="s">
        <v>12</v>
      </c>
      <c r="F28" s="181" t="s">
        <v>2</v>
      </c>
      <c r="G28" s="181" t="s">
        <v>316</v>
      </c>
      <c r="H28" s="182" t="s">
        <v>1</v>
      </c>
      <c r="I28" s="183" t="s">
        <v>317</v>
      </c>
    </row>
    <row r="29" spans="1:14" ht="13.5" customHeight="1" thickBot="1">
      <c r="A29" s="179"/>
      <c r="B29" s="180" t="s">
        <v>345</v>
      </c>
      <c r="C29" s="184" t="s">
        <v>60</v>
      </c>
      <c r="D29" s="185"/>
      <c r="E29" s="180" t="s">
        <v>169</v>
      </c>
      <c r="F29" s="180" t="s">
        <v>314</v>
      </c>
      <c r="G29" s="180" t="s">
        <v>59</v>
      </c>
      <c r="H29" s="180" t="s">
        <v>19</v>
      </c>
      <c r="I29" s="186"/>
    </row>
    <row r="30" spans="1:14" ht="19.5" customHeight="1" thickBot="1">
      <c r="A30" s="241">
        <v>2020</v>
      </c>
      <c r="B30" s="242" t="s">
        <v>251</v>
      </c>
      <c r="C30" s="243">
        <f>C200</f>
        <v>0</v>
      </c>
      <c r="D30" s="243">
        <f>D201</f>
        <v>0</v>
      </c>
      <c r="E30" s="243">
        <f t="shared" ref="E30:I30" si="0">E201</f>
        <v>0</v>
      </c>
      <c r="F30" s="243">
        <f t="shared" si="0"/>
        <v>0</v>
      </c>
      <c r="G30" s="243">
        <f t="shared" si="0"/>
        <v>0</v>
      </c>
      <c r="H30" s="243">
        <f t="shared" si="0"/>
        <v>0</v>
      </c>
      <c r="I30" s="244">
        <f t="shared" si="0"/>
        <v>0</v>
      </c>
    </row>
    <row r="31" spans="1:14" ht="15" customHeight="1" thickTop="1">
      <c r="A31" s="124"/>
      <c r="B31" s="23" t="s">
        <v>413</v>
      </c>
      <c r="C31" s="53"/>
      <c r="D31" s="53"/>
      <c r="E31" s="53"/>
      <c r="F31" s="53"/>
      <c r="G31" s="53"/>
      <c r="H31" s="54"/>
      <c r="I31" s="149"/>
      <c r="J31" s="21" t="s">
        <v>374</v>
      </c>
    </row>
    <row r="32" spans="1:14" ht="15" customHeight="1">
      <c r="A32" s="16"/>
      <c r="B32" s="12" t="s">
        <v>414</v>
      </c>
      <c r="C32" s="54"/>
      <c r="D32" s="54"/>
      <c r="E32" s="54"/>
      <c r="F32" s="54"/>
      <c r="G32" s="54"/>
      <c r="H32" s="54"/>
      <c r="I32" s="150"/>
      <c r="J32" t="s">
        <v>348</v>
      </c>
    </row>
    <row r="33" spans="1:15" ht="15" customHeight="1">
      <c r="A33" s="16"/>
      <c r="B33" s="12"/>
      <c r="C33" s="54"/>
      <c r="D33" s="54"/>
      <c r="E33" s="54"/>
      <c r="F33" s="54"/>
      <c r="G33" s="54"/>
      <c r="H33" s="54"/>
      <c r="I33" s="54"/>
      <c r="J33" t="s">
        <v>349</v>
      </c>
      <c r="K33" t="s">
        <v>350</v>
      </c>
      <c r="L33" s="21" t="s">
        <v>375</v>
      </c>
      <c r="M33" s="21" t="s">
        <v>376</v>
      </c>
      <c r="N33" t="s">
        <v>351</v>
      </c>
      <c r="O33" s="21" t="s">
        <v>377</v>
      </c>
    </row>
    <row r="34" spans="1:15" ht="15" customHeight="1">
      <c r="A34" s="16"/>
      <c r="B34" s="12"/>
      <c r="C34" s="54"/>
      <c r="D34" s="54"/>
      <c r="E34" s="54"/>
      <c r="F34" s="54"/>
      <c r="G34" s="54"/>
      <c r="H34" s="54"/>
      <c r="I34" s="54"/>
      <c r="J34" s="165">
        <v>0</v>
      </c>
      <c r="K34">
        <v>56.03</v>
      </c>
      <c r="L34" s="76">
        <f>K34*9%</f>
        <v>5.0427</v>
      </c>
      <c r="M34">
        <v>4.45</v>
      </c>
      <c r="N34">
        <v>17.7</v>
      </c>
      <c r="O34" s="106">
        <f>K34+M34+N34+L34</f>
        <v>83.222700000000003</v>
      </c>
    </row>
    <row r="35" spans="1:15" ht="15" customHeight="1">
      <c r="A35" s="16"/>
      <c r="B35" s="12"/>
      <c r="C35" s="54"/>
      <c r="D35" s="54"/>
      <c r="E35" s="54"/>
      <c r="F35" s="54"/>
      <c r="G35" s="54"/>
      <c r="H35" s="54"/>
      <c r="I35" s="54"/>
      <c r="J35" t="s">
        <v>352</v>
      </c>
      <c r="K35">
        <f>90*1.014</f>
        <v>91.26</v>
      </c>
      <c r="L35" s="76">
        <f t="shared" ref="L35:L39" si="1">K35*9%</f>
        <v>8.2134</v>
      </c>
      <c r="M35">
        <v>4.45</v>
      </c>
      <c r="N35">
        <v>17.7</v>
      </c>
      <c r="O35" s="106">
        <f t="shared" ref="O35:O39" si="2">K35+M35+N35+L35</f>
        <v>121.6234</v>
      </c>
    </row>
    <row r="36" spans="1:15" ht="15" customHeight="1">
      <c r="A36" s="16"/>
      <c r="B36" s="12"/>
      <c r="C36" s="54"/>
      <c r="D36" s="54"/>
      <c r="E36" s="54"/>
      <c r="F36" s="54"/>
      <c r="G36" s="54"/>
      <c r="H36" s="54"/>
      <c r="I36" s="54"/>
      <c r="J36" t="s">
        <v>353</v>
      </c>
      <c r="K36">
        <f>124*1.014</f>
        <v>125.736</v>
      </c>
      <c r="L36" s="76">
        <f t="shared" si="1"/>
        <v>11.316240000000001</v>
      </c>
      <c r="M36">
        <v>4.45</v>
      </c>
      <c r="N36">
        <v>17.7</v>
      </c>
      <c r="O36" s="106">
        <f t="shared" si="2"/>
        <v>159.20223999999999</v>
      </c>
    </row>
    <row r="37" spans="1:15" ht="15" customHeight="1">
      <c r="A37" s="16"/>
      <c r="B37" s="12"/>
      <c r="C37" s="54"/>
      <c r="D37" s="54"/>
      <c r="E37" s="54"/>
      <c r="F37" s="54"/>
      <c r="G37" s="54"/>
      <c r="H37" s="54"/>
      <c r="I37" s="54"/>
      <c r="J37" t="s">
        <v>354</v>
      </c>
      <c r="K37">
        <f>151*1.014</f>
        <v>153.114</v>
      </c>
      <c r="L37" s="76">
        <f t="shared" si="1"/>
        <v>13.78026</v>
      </c>
      <c r="M37">
        <v>4.45</v>
      </c>
      <c r="N37">
        <v>17.7</v>
      </c>
      <c r="O37" s="106">
        <f t="shared" si="2"/>
        <v>189.04425999999998</v>
      </c>
    </row>
    <row r="38" spans="1:15" ht="15" customHeight="1">
      <c r="A38" s="16"/>
      <c r="B38" s="12"/>
      <c r="C38" s="54"/>
      <c r="D38" s="54"/>
      <c r="E38" s="54"/>
      <c r="F38" s="54"/>
      <c r="G38" s="54"/>
      <c r="H38" s="54"/>
      <c r="I38" s="54"/>
      <c r="J38" t="s">
        <v>355</v>
      </c>
      <c r="K38" s="76">
        <f>164*1.014</f>
        <v>166.29599999999999</v>
      </c>
      <c r="L38" s="76">
        <f t="shared" si="1"/>
        <v>14.966639999999998</v>
      </c>
      <c r="M38">
        <v>4.45</v>
      </c>
      <c r="N38">
        <v>17.7</v>
      </c>
      <c r="O38" s="106">
        <f t="shared" si="2"/>
        <v>203.41263999999995</v>
      </c>
    </row>
    <row r="39" spans="1:15" ht="15" customHeight="1">
      <c r="A39" s="16"/>
      <c r="B39" s="12"/>
      <c r="C39" s="54"/>
      <c r="D39" s="54"/>
      <c r="E39" s="54"/>
      <c r="F39" s="54"/>
      <c r="G39" s="54"/>
      <c r="H39" s="54"/>
      <c r="I39" s="54"/>
      <c r="J39" t="s">
        <v>356</v>
      </c>
      <c r="K39">
        <f>324*1.014</f>
        <v>328.536</v>
      </c>
      <c r="L39" s="76">
        <f t="shared" si="1"/>
        <v>29.568239999999999</v>
      </c>
      <c r="M39">
        <v>4.45</v>
      </c>
      <c r="N39">
        <v>17.7</v>
      </c>
      <c r="O39" s="106">
        <f t="shared" si="2"/>
        <v>380.25423999999998</v>
      </c>
    </row>
    <row r="40" spans="1:15" ht="15" customHeight="1">
      <c r="A40" s="16"/>
      <c r="B40" s="12"/>
      <c r="C40" s="54"/>
      <c r="D40" s="54"/>
      <c r="E40" s="54"/>
      <c r="F40" s="54"/>
      <c r="G40" s="54"/>
      <c r="H40" s="54"/>
      <c r="I40" s="54"/>
    </row>
    <row r="41" spans="1:15" ht="15" customHeight="1">
      <c r="A41" s="16"/>
      <c r="B41" s="12"/>
      <c r="C41" s="54"/>
      <c r="D41" s="54"/>
      <c r="E41" s="54"/>
      <c r="F41" s="54"/>
      <c r="G41" s="54"/>
      <c r="H41" s="54"/>
      <c r="I41" s="54"/>
    </row>
    <row r="42" spans="1:15" ht="15" customHeight="1">
      <c r="A42" s="16"/>
      <c r="B42" s="12"/>
      <c r="C42" s="54"/>
      <c r="D42" s="54"/>
      <c r="E42" s="54"/>
      <c r="F42" s="54"/>
      <c r="G42" s="54"/>
      <c r="H42" s="54"/>
      <c r="I42" s="54"/>
    </row>
    <row r="43" spans="1:15" ht="15" customHeight="1">
      <c r="A43" s="16"/>
      <c r="B43" s="12"/>
      <c r="C43" s="54"/>
      <c r="D43" s="54"/>
      <c r="E43" s="54"/>
      <c r="F43" s="54"/>
      <c r="G43" s="54"/>
      <c r="H43" s="54"/>
      <c r="I43" s="54"/>
    </row>
    <row r="44" spans="1:15" ht="15" customHeight="1">
      <c r="A44" s="16"/>
      <c r="B44" s="12"/>
      <c r="C44" s="54"/>
      <c r="D44" s="54"/>
      <c r="E44" s="54"/>
      <c r="F44" s="54"/>
      <c r="G44" s="54"/>
      <c r="H44" s="54"/>
      <c r="I44" s="54"/>
    </row>
    <row r="45" spans="1:15" ht="15" customHeight="1">
      <c r="A45" s="16"/>
      <c r="B45" s="12"/>
      <c r="C45" s="54"/>
      <c r="D45" s="54"/>
      <c r="E45" s="54"/>
      <c r="F45" s="54"/>
      <c r="G45" s="54"/>
      <c r="H45" s="54"/>
      <c r="I45" s="54"/>
    </row>
    <row r="46" spans="1:15" ht="15" customHeight="1">
      <c r="A46" s="16"/>
      <c r="B46" s="12"/>
      <c r="C46" s="54"/>
      <c r="D46" s="54"/>
      <c r="E46" s="54"/>
      <c r="F46" s="54"/>
      <c r="G46" s="54"/>
      <c r="H46" s="54"/>
      <c r="I46" s="54"/>
    </row>
    <row r="47" spans="1:15" ht="15" customHeight="1">
      <c r="A47" s="16"/>
      <c r="B47" s="12"/>
      <c r="C47" s="54"/>
      <c r="D47" s="54"/>
      <c r="E47" s="54"/>
      <c r="F47" s="54"/>
      <c r="G47" s="54"/>
      <c r="H47" s="54"/>
      <c r="I47" s="54"/>
    </row>
    <row r="48" spans="1:15" ht="15" customHeight="1">
      <c r="A48" s="16"/>
      <c r="B48" s="12"/>
      <c r="C48" s="54"/>
      <c r="D48" s="54"/>
      <c r="E48" s="54"/>
      <c r="F48" s="54"/>
      <c r="G48" s="54"/>
      <c r="H48" s="54"/>
      <c r="I48" s="54"/>
    </row>
    <row r="49" spans="1:10" ht="15" customHeight="1">
      <c r="A49" s="16"/>
      <c r="B49" s="12"/>
      <c r="C49" s="54"/>
      <c r="D49" s="54"/>
      <c r="E49" s="54"/>
      <c r="F49" s="54"/>
      <c r="G49" s="54"/>
      <c r="H49" s="54"/>
      <c r="I49" s="54"/>
    </row>
    <row r="50" spans="1:10" ht="15" customHeight="1">
      <c r="A50" s="16"/>
      <c r="B50" s="12"/>
      <c r="C50" s="54"/>
      <c r="D50" s="54"/>
      <c r="E50" s="54"/>
      <c r="F50" s="54"/>
      <c r="G50" s="54"/>
      <c r="H50" s="54"/>
      <c r="I50" s="54"/>
      <c r="J50" s="21" t="s">
        <v>213</v>
      </c>
    </row>
    <row r="51" spans="1:10" ht="15" customHeight="1">
      <c r="A51" s="16"/>
      <c r="B51" s="12"/>
      <c r="C51" s="54"/>
      <c r="D51" s="54"/>
      <c r="E51" s="54"/>
      <c r="F51" s="54"/>
      <c r="G51" s="54"/>
      <c r="H51" s="54"/>
      <c r="I51" s="54"/>
    </row>
    <row r="52" spans="1:10" ht="15" customHeight="1">
      <c r="A52" s="16"/>
      <c r="B52" s="12"/>
      <c r="C52" s="54"/>
      <c r="D52" s="54"/>
      <c r="E52" s="54"/>
      <c r="F52" s="54"/>
      <c r="G52" s="54"/>
      <c r="H52" s="54"/>
      <c r="I52" s="54"/>
    </row>
    <row r="53" spans="1:10" ht="15" customHeight="1">
      <c r="A53" s="16"/>
      <c r="B53" s="12"/>
      <c r="C53" s="54"/>
      <c r="D53" s="54"/>
      <c r="E53" s="54"/>
      <c r="F53" s="54"/>
      <c r="G53" s="54"/>
      <c r="H53" s="54"/>
      <c r="I53" s="54"/>
    </row>
    <row r="54" spans="1:10" ht="15" customHeight="1">
      <c r="A54" s="16"/>
      <c r="B54" s="12"/>
      <c r="C54" s="54"/>
      <c r="D54" s="54"/>
      <c r="E54" s="54"/>
      <c r="F54" s="54"/>
      <c r="G54" s="54"/>
      <c r="H54" s="54"/>
      <c r="I54" s="54"/>
    </row>
    <row r="55" spans="1:10" ht="15" customHeight="1">
      <c r="A55" s="16"/>
      <c r="B55" s="12"/>
      <c r="C55" s="54"/>
      <c r="D55" s="54"/>
      <c r="E55" s="54"/>
      <c r="F55" s="54"/>
      <c r="G55" s="54"/>
      <c r="H55" s="54"/>
      <c r="I55" s="54"/>
    </row>
    <row r="56" spans="1:10" ht="15" customHeight="1">
      <c r="A56" s="16"/>
      <c r="B56" s="12"/>
      <c r="C56" s="54"/>
      <c r="D56" s="54"/>
      <c r="E56" s="54"/>
      <c r="F56" s="54"/>
      <c r="G56" s="54"/>
      <c r="H56" s="54"/>
      <c r="I56" s="54"/>
    </row>
    <row r="57" spans="1:10" ht="15" customHeight="1">
      <c r="A57" s="16"/>
      <c r="B57" s="12"/>
      <c r="C57" s="54"/>
      <c r="D57" s="54"/>
      <c r="E57" s="54"/>
      <c r="F57" s="54"/>
      <c r="G57" s="54"/>
      <c r="H57" s="54"/>
      <c r="I57" s="54"/>
    </row>
    <row r="58" spans="1:10" ht="15" customHeight="1">
      <c r="A58" s="16"/>
      <c r="B58" s="12"/>
      <c r="C58" s="54"/>
      <c r="D58" s="54"/>
      <c r="E58" s="54"/>
      <c r="F58" s="54"/>
      <c r="G58" s="54"/>
      <c r="H58" s="54"/>
      <c r="I58" s="54"/>
    </row>
    <row r="59" spans="1:10" ht="15" customHeight="1">
      <c r="A59" s="16"/>
      <c r="B59" s="12"/>
      <c r="C59" s="54"/>
      <c r="D59" s="54"/>
      <c r="E59" s="54"/>
      <c r="F59" s="54"/>
      <c r="G59" s="54"/>
      <c r="H59" s="54"/>
      <c r="I59" s="54"/>
    </row>
    <row r="60" spans="1:10" ht="15" customHeight="1">
      <c r="A60" s="16"/>
      <c r="B60" s="12"/>
      <c r="C60" s="54"/>
      <c r="D60" s="54"/>
      <c r="E60" s="54"/>
      <c r="F60" s="54"/>
      <c r="G60" s="54"/>
      <c r="H60" s="54"/>
      <c r="I60" s="54"/>
    </row>
    <row r="61" spans="1:10" ht="15" customHeight="1">
      <c r="A61" s="16"/>
      <c r="B61" s="12"/>
      <c r="C61" s="54"/>
      <c r="D61" s="54"/>
      <c r="E61" s="54"/>
      <c r="F61" s="54"/>
      <c r="G61" s="54"/>
      <c r="H61" s="54"/>
      <c r="I61" s="54"/>
    </row>
    <row r="62" spans="1:10" ht="15" customHeight="1">
      <c r="A62" s="16"/>
      <c r="B62" s="12"/>
      <c r="C62" s="54"/>
      <c r="D62" s="54"/>
      <c r="E62" s="54"/>
      <c r="F62" s="54"/>
      <c r="G62" s="54"/>
      <c r="H62" s="54"/>
      <c r="I62" s="54"/>
    </row>
    <row r="63" spans="1:10" ht="15" customHeight="1">
      <c r="A63" s="16"/>
      <c r="B63" s="12"/>
      <c r="C63" s="54"/>
      <c r="D63" s="54"/>
      <c r="E63" s="54"/>
      <c r="F63" s="54"/>
      <c r="G63" s="54"/>
      <c r="H63" s="54"/>
      <c r="I63" s="54"/>
    </row>
    <row r="64" spans="1:10" ht="15" customHeight="1">
      <c r="A64" s="16"/>
      <c r="B64" s="12"/>
      <c r="C64" s="54"/>
      <c r="D64" s="54"/>
      <c r="E64" s="54"/>
      <c r="F64" s="54"/>
      <c r="G64" s="54"/>
      <c r="H64" s="54"/>
      <c r="I64" s="54"/>
    </row>
    <row r="65" spans="1:9" ht="15" customHeight="1">
      <c r="A65" s="16"/>
      <c r="B65" s="12"/>
      <c r="C65" s="54"/>
      <c r="D65" s="54"/>
      <c r="E65" s="54"/>
      <c r="F65" s="54"/>
      <c r="G65" s="54"/>
      <c r="H65" s="54"/>
      <c r="I65" s="54"/>
    </row>
    <row r="66" spans="1:9" ht="15" customHeight="1">
      <c r="A66" s="16"/>
      <c r="B66" s="12"/>
      <c r="C66" s="54"/>
      <c r="D66" s="54"/>
      <c r="E66" s="54"/>
      <c r="F66" s="54"/>
      <c r="G66" s="54"/>
      <c r="H66" s="54"/>
      <c r="I66" s="54"/>
    </row>
    <row r="67" spans="1:9" ht="15" customHeight="1">
      <c r="A67" s="16"/>
      <c r="B67" s="12"/>
      <c r="C67" s="54"/>
      <c r="D67" s="54"/>
      <c r="E67" s="54"/>
      <c r="F67" s="54"/>
      <c r="G67" s="54"/>
      <c r="H67" s="54"/>
      <c r="I67" s="54"/>
    </row>
    <row r="68" spans="1:9" ht="15" customHeight="1">
      <c r="A68" s="16"/>
      <c r="B68" s="12"/>
      <c r="C68" s="54"/>
      <c r="D68" s="54"/>
      <c r="E68" s="54"/>
      <c r="F68" s="54"/>
      <c r="G68" s="54"/>
      <c r="H68" s="54"/>
      <c r="I68" s="54"/>
    </row>
    <row r="69" spans="1:9" ht="15" customHeight="1">
      <c r="A69" s="16"/>
      <c r="B69" s="12"/>
      <c r="C69" s="54"/>
      <c r="D69" s="54"/>
      <c r="E69" s="54"/>
      <c r="F69" s="54"/>
      <c r="G69" s="54"/>
      <c r="H69" s="54"/>
      <c r="I69" s="54"/>
    </row>
    <row r="70" spans="1:9" ht="15" customHeight="1">
      <c r="A70" s="16"/>
      <c r="B70" s="12"/>
      <c r="C70" s="54"/>
      <c r="D70" s="54"/>
      <c r="E70" s="54"/>
      <c r="F70" s="54"/>
      <c r="G70" s="54"/>
      <c r="H70" s="54"/>
      <c r="I70" s="54"/>
    </row>
    <row r="71" spans="1:9" ht="15" customHeight="1">
      <c r="A71" s="16"/>
      <c r="B71" s="12"/>
      <c r="C71" s="54"/>
      <c r="D71" s="54"/>
      <c r="E71" s="54"/>
      <c r="F71" s="54"/>
      <c r="G71" s="54"/>
      <c r="H71" s="54"/>
      <c r="I71" s="54"/>
    </row>
    <row r="72" spans="1:9" ht="15" customHeight="1">
      <c r="A72" s="16"/>
      <c r="B72" s="12"/>
      <c r="C72" s="54"/>
      <c r="D72" s="54"/>
      <c r="E72" s="54"/>
      <c r="F72" s="54"/>
      <c r="G72" s="54"/>
      <c r="H72" s="54"/>
      <c r="I72" s="54"/>
    </row>
    <row r="73" spans="1:9" ht="15" customHeight="1">
      <c r="A73" s="16"/>
      <c r="B73" s="12"/>
      <c r="C73" s="54"/>
      <c r="D73" s="54"/>
      <c r="E73" s="54"/>
      <c r="F73" s="54"/>
      <c r="G73" s="54"/>
      <c r="H73" s="54"/>
      <c r="I73" s="54"/>
    </row>
    <row r="74" spans="1:9" ht="15" customHeight="1">
      <c r="A74" s="16"/>
      <c r="B74" s="12"/>
      <c r="C74" s="54"/>
      <c r="D74" s="54"/>
      <c r="E74" s="54"/>
      <c r="F74" s="54"/>
      <c r="G74" s="54"/>
      <c r="H74" s="54"/>
      <c r="I74" s="54"/>
    </row>
    <row r="75" spans="1:9" ht="15" customHeight="1">
      <c r="A75" s="16"/>
      <c r="B75" s="12"/>
      <c r="C75" s="54"/>
      <c r="D75" s="54"/>
      <c r="E75" s="54"/>
      <c r="F75" s="54"/>
      <c r="G75" s="54"/>
      <c r="H75" s="54"/>
      <c r="I75" s="54"/>
    </row>
    <row r="76" spans="1:9" ht="15" customHeight="1">
      <c r="A76" s="16"/>
      <c r="B76" s="12"/>
      <c r="C76" s="54"/>
      <c r="D76" s="54"/>
      <c r="E76" s="54"/>
      <c r="F76" s="54"/>
      <c r="G76" s="54"/>
      <c r="H76" s="54"/>
      <c r="I76" s="54"/>
    </row>
    <row r="77" spans="1:9" ht="15" customHeight="1">
      <c r="A77" s="16"/>
      <c r="B77" s="12"/>
      <c r="C77" s="54"/>
      <c r="D77" s="54"/>
      <c r="E77" s="54"/>
      <c r="F77" s="54"/>
      <c r="G77" s="54"/>
      <c r="H77" s="54"/>
      <c r="I77" s="54"/>
    </row>
    <row r="78" spans="1:9" ht="15" customHeight="1">
      <c r="A78" s="16"/>
      <c r="B78" s="12"/>
      <c r="C78" s="54"/>
      <c r="D78" s="54"/>
      <c r="E78" s="54"/>
      <c r="F78" s="54"/>
      <c r="G78" s="54"/>
      <c r="H78" s="54"/>
      <c r="I78" s="54"/>
    </row>
    <row r="79" spans="1:9" ht="15" customHeight="1">
      <c r="A79" s="16"/>
      <c r="B79" s="12"/>
      <c r="C79" s="54"/>
      <c r="D79" s="54"/>
      <c r="E79" s="54"/>
      <c r="F79" s="54"/>
      <c r="G79" s="54"/>
      <c r="H79" s="54"/>
      <c r="I79" s="54"/>
    </row>
    <row r="80" spans="1:9" ht="15" customHeight="1">
      <c r="A80" s="16"/>
      <c r="B80" s="12"/>
      <c r="C80" s="54"/>
      <c r="D80" s="54"/>
      <c r="E80" s="54"/>
      <c r="F80" s="54"/>
      <c r="G80" s="54"/>
      <c r="H80" s="54"/>
      <c r="I80" s="54"/>
    </row>
    <row r="81" spans="1:10" ht="15" customHeight="1">
      <c r="A81" s="16"/>
      <c r="B81" s="12"/>
      <c r="C81" s="54"/>
      <c r="D81" s="54"/>
      <c r="E81" s="54"/>
      <c r="F81" s="54"/>
      <c r="G81" s="54"/>
      <c r="H81" s="54"/>
      <c r="I81" s="54"/>
    </row>
    <row r="82" spans="1:10" ht="15" customHeight="1">
      <c r="A82" s="16"/>
      <c r="B82" s="12"/>
      <c r="C82" s="54"/>
      <c r="D82" s="54"/>
      <c r="E82" s="54"/>
      <c r="F82" s="54"/>
      <c r="G82" s="54"/>
      <c r="H82" s="54"/>
      <c r="I82" s="54"/>
    </row>
    <row r="83" spans="1:10" ht="15" customHeight="1">
      <c r="A83" s="16"/>
      <c r="B83" s="12"/>
      <c r="C83" s="54"/>
      <c r="D83" s="54"/>
      <c r="E83" s="54"/>
      <c r="F83" s="54"/>
      <c r="G83" s="54"/>
      <c r="H83" s="54"/>
      <c r="I83" s="54"/>
    </row>
    <row r="84" spans="1:10" ht="15" customHeight="1">
      <c r="A84" s="16"/>
      <c r="B84" s="12"/>
      <c r="C84" s="54"/>
      <c r="D84" s="54"/>
      <c r="E84" s="54"/>
      <c r="F84" s="54"/>
      <c r="G84" s="54"/>
      <c r="H84" s="54"/>
      <c r="I84" s="54"/>
    </row>
    <row r="85" spans="1:10" ht="15" customHeight="1">
      <c r="A85" s="16"/>
      <c r="B85" s="12"/>
      <c r="C85" s="54"/>
      <c r="D85" s="54"/>
      <c r="E85" s="54"/>
      <c r="F85" s="54"/>
      <c r="G85" s="54"/>
      <c r="H85" s="54"/>
      <c r="I85" s="54"/>
      <c r="J85" s="21" t="s">
        <v>214</v>
      </c>
    </row>
    <row r="86" spans="1:10" ht="15" customHeight="1">
      <c r="A86" s="16"/>
      <c r="B86" s="12"/>
      <c r="C86" s="54"/>
      <c r="D86" s="54"/>
      <c r="E86" s="54"/>
      <c r="F86" s="54"/>
      <c r="G86" s="54"/>
      <c r="H86" s="54"/>
      <c r="I86" s="54"/>
    </row>
    <row r="87" spans="1:10" ht="15" customHeight="1">
      <c r="A87" s="16"/>
      <c r="B87" s="12"/>
      <c r="C87" s="54"/>
      <c r="D87" s="54"/>
      <c r="E87" s="54"/>
      <c r="F87" s="54"/>
      <c r="G87" s="54"/>
      <c r="H87" s="54"/>
      <c r="I87" s="54"/>
    </row>
    <row r="88" spans="1:10" ht="15" customHeight="1">
      <c r="A88" s="16"/>
      <c r="B88" s="12"/>
      <c r="C88" s="54"/>
      <c r="D88" s="54"/>
      <c r="E88" s="54"/>
      <c r="F88" s="54"/>
      <c r="G88" s="54"/>
      <c r="H88" s="54"/>
      <c r="I88" s="54"/>
    </row>
    <row r="89" spans="1:10" ht="15" customHeight="1">
      <c r="A89" s="16"/>
      <c r="B89" s="12"/>
      <c r="C89" s="54"/>
      <c r="D89" s="54"/>
      <c r="E89" s="54"/>
      <c r="F89" s="54"/>
      <c r="G89" s="54"/>
      <c r="H89" s="54"/>
      <c r="I89" s="54"/>
    </row>
    <row r="90" spans="1:10" ht="15" customHeight="1">
      <c r="A90" s="16"/>
      <c r="B90" s="12"/>
      <c r="C90" s="54"/>
      <c r="D90" s="54"/>
      <c r="E90" s="54"/>
      <c r="F90" s="54"/>
      <c r="G90" s="54"/>
      <c r="H90" s="54"/>
      <c r="I90" s="54"/>
    </row>
    <row r="91" spans="1:10" ht="15" customHeight="1">
      <c r="A91" s="16"/>
      <c r="B91" s="12"/>
      <c r="C91" s="54"/>
      <c r="D91" s="54"/>
      <c r="E91" s="54"/>
      <c r="F91" s="54"/>
      <c r="G91" s="54"/>
      <c r="H91" s="54"/>
      <c r="I91" s="54"/>
    </row>
    <row r="92" spans="1:10" ht="15" customHeight="1">
      <c r="A92" s="16"/>
      <c r="B92" s="12"/>
      <c r="C92" s="54"/>
      <c r="D92" s="54"/>
      <c r="E92" s="54"/>
      <c r="F92" s="54"/>
      <c r="G92" s="54"/>
      <c r="H92" s="54"/>
      <c r="I92" s="54"/>
    </row>
    <row r="93" spans="1:10" ht="15" customHeight="1">
      <c r="A93" s="16"/>
      <c r="B93" s="12"/>
      <c r="C93" s="54"/>
      <c r="D93" s="54"/>
      <c r="E93" s="54"/>
      <c r="F93" s="54"/>
      <c r="G93" s="54"/>
      <c r="H93" s="54"/>
      <c r="I93" s="54"/>
    </row>
    <row r="94" spans="1:10" ht="15" customHeight="1">
      <c r="A94" s="16"/>
      <c r="B94" s="12"/>
      <c r="C94" s="54"/>
      <c r="D94" s="54"/>
      <c r="E94" s="54"/>
      <c r="F94" s="54"/>
      <c r="G94" s="54"/>
      <c r="H94" s="54"/>
      <c r="I94" s="54"/>
    </row>
    <row r="95" spans="1:10" ht="15" customHeight="1">
      <c r="A95" s="16"/>
      <c r="B95" s="12"/>
      <c r="C95" s="54"/>
      <c r="D95" s="54"/>
      <c r="E95" s="54"/>
      <c r="F95" s="54"/>
      <c r="G95" s="54"/>
      <c r="H95" s="54"/>
      <c r="I95" s="54"/>
    </row>
    <row r="96" spans="1:10" ht="15" customHeight="1">
      <c r="A96" s="16"/>
      <c r="B96" s="12"/>
      <c r="C96" s="54"/>
      <c r="D96" s="54"/>
      <c r="E96" s="54"/>
      <c r="F96" s="54"/>
      <c r="G96" s="54"/>
      <c r="H96" s="54"/>
      <c r="I96" s="54"/>
    </row>
    <row r="97" spans="1:9" ht="15" customHeight="1">
      <c r="A97" s="16"/>
      <c r="B97" s="12"/>
      <c r="C97" s="54"/>
      <c r="D97" s="54"/>
      <c r="E97" s="54"/>
      <c r="F97" s="54"/>
      <c r="G97" s="54"/>
      <c r="H97" s="54"/>
      <c r="I97" s="54"/>
    </row>
    <row r="98" spans="1:9" ht="15" customHeight="1">
      <c r="A98" s="16"/>
      <c r="B98" s="12"/>
      <c r="C98" s="54"/>
      <c r="D98" s="54"/>
      <c r="E98" s="54"/>
      <c r="F98" s="54"/>
      <c r="G98" s="54"/>
      <c r="H98" s="54"/>
      <c r="I98" s="54"/>
    </row>
    <row r="99" spans="1:9" ht="15" customHeight="1">
      <c r="A99" s="16"/>
      <c r="B99" s="12"/>
      <c r="C99" s="54"/>
      <c r="D99" s="54"/>
      <c r="E99" s="54"/>
      <c r="F99" s="54"/>
      <c r="G99" s="54"/>
      <c r="H99" s="54"/>
      <c r="I99" s="54"/>
    </row>
    <row r="100" spans="1:9" ht="15" customHeight="1">
      <c r="A100" s="16"/>
      <c r="B100" s="12"/>
      <c r="C100" s="54"/>
      <c r="D100" s="54"/>
      <c r="E100" s="54"/>
      <c r="F100" s="54"/>
      <c r="G100" s="54"/>
      <c r="H100" s="54"/>
      <c r="I100" s="54"/>
    </row>
    <row r="101" spans="1:9" ht="15" customHeight="1">
      <c r="A101" s="16"/>
      <c r="B101" s="12"/>
      <c r="C101" s="54"/>
      <c r="D101" s="54"/>
      <c r="E101" s="54"/>
      <c r="F101" s="54"/>
      <c r="G101" s="54"/>
      <c r="H101" s="54"/>
      <c r="I101" s="54"/>
    </row>
    <row r="102" spans="1:9" ht="15" customHeight="1">
      <c r="A102" s="16"/>
      <c r="B102" s="12"/>
      <c r="C102" s="54"/>
      <c r="D102" s="54"/>
      <c r="E102" s="54"/>
      <c r="F102" s="54"/>
      <c r="G102" s="54"/>
      <c r="H102" s="54"/>
      <c r="I102" s="54"/>
    </row>
    <row r="103" spans="1:9" ht="15" customHeight="1">
      <c r="A103" s="16"/>
      <c r="B103" s="12"/>
      <c r="C103" s="54"/>
      <c r="D103" s="54"/>
      <c r="E103" s="54"/>
      <c r="F103" s="54"/>
      <c r="G103" s="54"/>
      <c r="H103" s="54"/>
      <c r="I103" s="54"/>
    </row>
    <row r="104" spans="1:9" ht="15" customHeight="1">
      <c r="A104" s="16"/>
      <c r="B104" s="12"/>
      <c r="C104" s="54"/>
      <c r="D104" s="54"/>
      <c r="E104" s="54"/>
      <c r="F104" s="54"/>
      <c r="G104" s="54"/>
      <c r="H104" s="54"/>
      <c r="I104" s="54"/>
    </row>
    <row r="105" spans="1:9" ht="15" customHeight="1">
      <c r="A105" s="16"/>
      <c r="B105" s="12"/>
      <c r="C105" s="54"/>
      <c r="D105" s="54"/>
      <c r="E105" s="54"/>
      <c r="F105" s="54"/>
      <c r="G105" s="54"/>
      <c r="H105" s="54"/>
      <c r="I105" s="54"/>
    </row>
    <row r="106" spans="1:9" ht="15" customHeight="1">
      <c r="A106" s="16"/>
      <c r="B106" s="12"/>
      <c r="C106" s="54"/>
      <c r="D106" s="54"/>
      <c r="E106" s="54"/>
      <c r="F106" s="54"/>
      <c r="G106" s="54"/>
      <c r="H106" s="54"/>
      <c r="I106" s="54"/>
    </row>
    <row r="107" spans="1:9" ht="15" customHeight="1">
      <c r="A107" s="16"/>
      <c r="B107" s="12"/>
      <c r="C107" s="54"/>
      <c r="D107" s="54"/>
      <c r="E107" s="54"/>
      <c r="F107" s="54"/>
      <c r="G107" s="54"/>
      <c r="H107" s="54"/>
      <c r="I107" s="54"/>
    </row>
    <row r="108" spans="1:9" ht="15" customHeight="1">
      <c r="A108" s="16"/>
      <c r="B108" s="12"/>
      <c r="C108" s="54"/>
      <c r="D108" s="54"/>
      <c r="E108" s="54"/>
      <c r="F108" s="54"/>
      <c r="G108" s="54"/>
      <c r="H108" s="54"/>
      <c r="I108" s="54"/>
    </row>
    <row r="109" spans="1:9" ht="15" customHeight="1">
      <c r="A109" s="16"/>
      <c r="B109" s="12"/>
      <c r="C109" s="54"/>
      <c r="D109" s="54"/>
      <c r="E109" s="54"/>
      <c r="F109" s="54"/>
      <c r="G109" s="54"/>
      <c r="H109" s="54"/>
      <c r="I109" s="54"/>
    </row>
    <row r="110" spans="1:9" ht="15" customHeight="1">
      <c r="A110" s="16"/>
      <c r="B110" s="12"/>
      <c r="C110" s="54"/>
      <c r="D110" s="54"/>
      <c r="E110" s="54"/>
      <c r="F110" s="54"/>
      <c r="G110" s="54"/>
      <c r="H110" s="54"/>
      <c r="I110" s="54"/>
    </row>
    <row r="111" spans="1:9" ht="15" customHeight="1">
      <c r="A111" s="16"/>
      <c r="B111" s="12"/>
      <c r="C111" s="54"/>
      <c r="D111" s="54"/>
      <c r="E111" s="54"/>
      <c r="F111" s="54"/>
      <c r="G111" s="54"/>
      <c r="H111" s="54"/>
      <c r="I111" s="54"/>
    </row>
    <row r="112" spans="1:9" ht="15" customHeight="1">
      <c r="A112" s="16"/>
      <c r="B112" s="12"/>
      <c r="C112" s="54"/>
      <c r="D112" s="54"/>
      <c r="E112" s="54"/>
      <c r="F112" s="54"/>
      <c r="G112" s="54"/>
      <c r="H112" s="54"/>
      <c r="I112" s="54"/>
    </row>
    <row r="113" spans="1:9" ht="15" customHeight="1">
      <c r="A113" s="16"/>
      <c r="B113" s="12"/>
      <c r="C113" s="54"/>
      <c r="D113" s="54"/>
      <c r="E113" s="54"/>
      <c r="F113" s="54"/>
      <c r="G113" s="54"/>
      <c r="H113" s="54"/>
      <c r="I113" s="54"/>
    </row>
    <row r="114" spans="1:9" ht="15" customHeight="1">
      <c r="A114" s="16"/>
      <c r="B114" s="12"/>
      <c r="C114" s="54"/>
      <c r="D114" s="54"/>
      <c r="E114" s="54"/>
      <c r="F114" s="54"/>
      <c r="G114" s="54"/>
      <c r="H114" s="54"/>
      <c r="I114" s="54"/>
    </row>
    <row r="115" spans="1:9" ht="15" customHeight="1">
      <c r="A115" s="16"/>
      <c r="B115" s="12"/>
      <c r="C115" s="54"/>
      <c r="D115" s="54"/>
      <c r="E115" s="54"/>
      <c r="F115" s="54"/>
      <c r="G115" s="54"/>
      <c r="H115" s="54"/>
      <c r="I115" s="54"/>
    </row>
    <row r="116" spans="1:9" ht="15" customHeight="1">
      <c r="A116" s="16"/>
      <c r="B116" s="12"/>
      <c r="C116" s="54"/>
      <c r="D116" s="54"/>
      <c r="E116" s="54"/>
      <c r="F116" s="54"/>
      <c r="G116" s="54"/>
      <c r="H116" s="54"/>
      <c r="I116" s="54"/>
    </row>
    <row r="117" spans="1:9" ht="15" customHeight="1">
      <c r="A117" s="16"/>
      <c r="B117" s="12"/>
      <c r="C117" s="54"/>
      <c r="D117" s="54"/>
      <c r="E117" s="54"/>
      <c r="F117" s="54"/>
      <c r="G117" s="54"/>
      <c r="H117" s="54"/>
      <c r="I117" s="54"/>
    </row>
    <row r="118" spans="1:9" ht="15" customHeight="1">
      <c r="A118" s="16"/>
      <c r="B118" s="12"/>
      <c r="C118" s="54"/>
      <c r="D118" s="54"/>
      <c r="E118" s="54"/>
      <c r="F118" s="54"/>
      <c r="G118" s="54"/>
      <c r="H118" s="54"/>
      <c r="I118" s="54"/>
    </row>
    <row r="119" spans="1:9" ht="15" customHeight="1">
      <c r="A119" s="16"/>
      <c r="B119" s="12"/>
      <c r="C119" s="54"/>
      <c r="D119" s="54"/>
      <c r="E119" s="54"/>
      <c r="F119" s="54"/>
      <c r="G119" s="54"/>
      <c r="H119" s="54"/>
      <c r="I119" s="54"/>
    </row>
    <row r="120" spans="1:9" ht="15" customHeight="1">
      <c r="A120" s="16"/>
      <c r="B120" s="12"/>
      <c r="C120" s="54"/>
      <c r="D120" s="54"/>
      <c r="E120" s="54"/>
      <c r="F120" s="54"/>
      <c r="G120" s="54"/>
      <c r="H120" s="54"/>
      <c r="I120" s="54"/>
    </row>
    <row r="121" spans="1:9" ht="15" customHeight="1">
      <c r="A121" s="16"/>
      <c r="B121" s="12"/>
      <c r="C121" s="54"/>
      <c r="D121" s="54"/>
      <c r="E121" s="54"/>
      <c r="F121" s="54"/>
      <c r="G121" s="54"/>
      <c r="H121" s="54"/>
      <c r="I121" s="54"/>
    </row>
    <row r="122" spans="1:9" ht="15" customHeight="1">
      <c r="A122" s="16"/>
      <c r="B122" s="12"/>
      <c r="C122" s="54"/>
      <c r="D122" s="54"/>
      <c r="E122" s="54"/>
      <c r="F122" s="54"/>
      <c r="G122" s="54"/>
      <c r="H122" s="54"/>
      <c r="I122" s="54"/>
    </row>
    <row r="123" spans="1:9" ht="15" customHeight="1">
      <c r="A123" s="16"/>
      <c r="B123" s="12"/>
      <c r="C123" s="54"/>
      <c r="D123" s="54"/>
      <c r="E123" s="54"/>
      <c r="F123" s="54"/>
      <c r="G123" s="54"/>
      <c r="H123" s="54"/>
      <c r="I123" s="54"/>
    </row>
    <row r="124" spans="1:9" ht="15" customHeight="1">
      <c r="A124" s="16"/>
      <c r="B124" s="12"/>
      <c r="C124" s="54"/>
      <c r="D124" s="54"/>
      <c r="E124" s="54"/>
      <c r="F124" s="54"/>
      <c r="G124" s="54"/>
      <c r="H124" s="54"/>
      <c r="I124" s="54"/>
    </row>
    <row r="125" spans="1:9" ht="15" customHeight="1">
      <c r="A125" s="16"/>
      <c r="B125" s="12"/>
      <c r="C125" s="54"/>
      <c r="D125" s="54"/>
      <c r="E125" s="54"/>
      <c r="F125" s="54"/>
      <c r="G125" s="54"/>
      <c r="H125" s="54"/>
      <c r="I125" s="54"/>
    </row>
    <row r="126" spans="1:9" ht="15" customHeight="1">
      <c r="A126" s="16"/>
      <c r="B126" s="12"/>
      <c r="C126" s="54"/>
      <c r="D126" s="54"/>
      <c r="E126" s="54"/>
      <c r="F126" s="54"/>
      <c r="G126" s="54"/>
      <c r="H126" s="54"/>
      <c r="I126" s="54"/>
    </row>
    <row r="127" spans="1:9" ht="15" customHeight="1">
      <c r="A127" s="16"/>
      <c r="B127" s="12"/>
      <c r="C127" s="54"/>
      <c r="D127" s="54"/>
      <c r="E127" s="54"/>
      <c r="F127" s="54"/>
      <c r="G127" s="54"/>
      <c r="H127" s="54"/>
      <c r="I127" s="54"/>
    </row>
    <row r="128" spans="1:9" ht="15" customHeight="1">
      <c r="A128" s="16"/>
      <c r="B128" s="12"/>
      <c r="C128" s="54"/>
      <c r="D128" s="54"/>
      <c r="E128" s="54"/>
      <c r="F128" s="54"/>
      <c r="G128" s="54"/>
      <c r="H128" s="54"/>
      <c r="I128" s="54"/>
    </row>
    <row r="129" spans="1:9" ht="15" customHeight="1">
      <c r="A129" s="16"/>
      <c r="B129" s="12"/>
      <c r="C129" s="54"/>
      <c r="D129" s="54"/>
      <c r="E129" s="54"/>
      <c r="F129" s="54"/>
      <c r="G129" s="54"/>
      <c r="H129" s="54"/>
      <c r="I129" s="54"/>
    </row>
    <row r="130" spans="1:9" ht="15" customHeight="1">
      <c r="A130" s="16"/>
      <c r="B130" s="12"/>
      <c r="C130" s="54"/>
      <c r="D130" s="54"/>
      <c r="E130" s="54"/>
      <c r="F130" s="54"/>
      <c r="G130" s="54"/>
      <c r="H130" s="54"/>
      <c r="I130" s="54"/>
    </row>
    <row r="131" spans="1:9" ht="15" customHeight="1">
      <c r="A131" s="16"/>
      <c r="B131" s="12"/>
      <c r="C131" s="54"/>
      <c r="D131" s="54"/>
      <c r="E131" s="54"/>
      <c r="F131" s="54"/>
      <c r="G131" s="54"/>
      <c r="H131" s="54"/>
      <c r="I131" s="54"/>
    </row>
    <row r="132" spans="1:9" ht="15" customHeight="1">
      <c r="A132" s="16"/>
      <c r="B132" s="12"/>
      <c r="C132" s="54"/>
      <c r="D132" s="54"/>
      <c r="E132" s="54"/>
      <c r="F132" s="54"/>
      <c r="G132" s="54"/>
      <c r="H132" s="54"/>
      <c r="I132" s="54"/>
    </row>
    <row r="133" spans="1:9" ht="15" customHeight="1">
      <c r="A133" s="16"/>
      <c r="B133" s="12"/>
      <c r="C133" s="54"/>
      <c r="D133" s="54"/>
      <c r="E133" s="54"/>
      <c r="F133" s="54"/>
      <c r="G133" s="54"/>
      <c r="H133" s="54"/>
      <c r="I133" s="54"/>
    </row>
    <row r="134" spans="1:9" ht="15" customHeight="1">
      <c r="A134" s="16"/>
      <c r="B134" s="12"/>
      <c r="C134" s="54"/>
      <c r="D134" s="54"/>
      <c r="E134" s="54"/>
      <c r="F134" s="54"/>
      <c r="G134" s="54"/>
      <c r="H134" s="54"/>
      <c r="I134" s="54"/>
    </row>
    <row r="135" spans="1:9" ht="15" customHeight="1">
      <c r="A135" s="16"/>
      <c r="B135" s="12"/>
      <c r="C135" s="54"/>
      <c r="D135" s="54"/>
      <c r="E135" s="54"/>
      <c r="F135" s="54"/>
      <c r="G135" s="54"/>
      <c r="H135" s="54"/>
      <c r="I135" s="54"/>
    </row>
    <row r="136" spans="1:9" ht="15" customHeight="1">
      <c r="A136" s="16"/>
      <c r="B136" s="12"/>
      <c r="C136" s="54"/>
      <c r="D136" s="54"/>
      <c r="E136" s="54"/>
      <c r="F136" s="54"/>
      <c r="G136" s="54"/>
      <c r="H136" s="54"/>
      <c r="I136" s="54"/>
    </row>
    <row r="137" spans="1:9" ht="15" customHeight="1">
      <c r="A137" s="16"/>
      <c r="B137" s="12"/>
      <c r="C137" s="54"/>
      <c r="D137" s="54"/>
      <c r="E137" s="54"/>
      <c r="F137" s="54"/>
      <c r="G137" s="54"/>
      <c r="H137" s="54"/>
      <c r="I137" s="54"/>
    </row>
    <row r="138" spans="1:9" ht="15" customHeight="1">
      <c r="A138" s="16"/>
      <c r="B138" s="12"/>
      <c r="C138" s="54"/>
      <c r="D138" s="54"/>
      <c r="E138" s="54"/>
      <c r="F138" s="54"/>
      <c r="G138" s="54"/>
      <c r="H138" s="54"/>
      <c r="I138" s="54"/>
    </row>
    <row r="139" spans="1:9" ht="15" customHeight="1">
      <c r="A139" s="16"/>
      <c r="B139" s="12"/>
      <c r="C139" s="54"/>
      <c r="D139" s="54"/>
      <c r="E139" s="54"/>
      <c r="F139" s="54"/>
      <c r="G139" s="54"/>
      <c r="H139" s="54"/>
      <c r="I139" s="54"/>
    </row>
    <row r="140" spans="1:9" ht="15" customHeight="1">
      <c r="A140" s="16"/>
      <c r="B140" s="12"/>
      <c r="C140" s="54"/>
      <c r="D140" s="54"/>
      <c r="E140" s="54"/>
      <c r="F140" s="54"/>
      <c r="G140" s="54"/>
      <c r="H140" s="54"/>
      <c r="I140" s="54"/>
    </row>
    <row r="141" spans="1:9" ht="15" customHeight="1">
      <c r="A141" s="16"/>
      <c r="B141" s="12"/>
      <c r="C141" s="54"/>
      <c r="D141" s="54"/>
      <c r="E141" s="54"/>
      <c r="F141" s="54"/>
      <c r="G141" s="54"/>
      <c r="H141" s="54"/>
      <c r="I141" s="54"/>
    </row>
    <row r="142" spans="1:9" ht="15" customHeight="1">
      <c r="A142" s="16"/>
      <c r="B142" s="12"/>
      <c r="C142" s="54"/>
      <c r="D142" s="54"/>
      <c r="E142" s="54"/>
      <c r="F142" s="54"/>
      <c r="G142" s="54"/>
      <c r="H142" s="54"/>
      <c r="I142" s="54"/>
    </row>
    <row r="143" spans="1:9" ht="15" customHeight="1">
      <c r="A143" s="16"/>
      <c r="B143" s="12"/>
      <c r="C143" s="54"/>
      <c r="D143" s="54"/>
      <c r="E143" s="54"/>
      <c r="F143" s="54"/>
      <c r="G143" s="54"/>
      <c r="H143" s="54"/>
      <c r="I143" s="54"/>
    </row>
    <row r="144" spans="1:9" ht="15" customHeight="1">
      <c r="A144" s="16"/>
      <c r="B144" s="12"/>
      <c r="C144" s="54"/>
      <c r="D144" s="54"/>
      <c r="E144" s="54"/>
      <c r="F144" s="54"/>
      <c r="G144" s="54"/>
      <c r="H144" s="54"/>
      <c r="I144" s="54"/>
    </row>
    <row r="145" spans="1:9" ht="15" customHeight="1">
      <c r="A145" s="16"/>
      <c r="B145" s="12"/>
      <c r="C145" s="54"/>
      <c r="D145" s="54"/>
      <c r="E145" s="54"/>
      <c r="F145" s="54"/>
      <c r="G145" s="54"/>
      <c r="H145" s="54"/>
      <c r="I145" s="54"/>
    </row>
    <row r="146" spans="1:9" ht="15" customHeight="1">
      <c r="A146" s="16"/>
      <c r="B146" s="12"/>
      <c r="C146" s="54"/>
      <c r="D146" s="54"/>
      <c r="E146" s="54"/>
      <c r="F146" s="54"/>
      <c r="G146" s="54"/>
      <c r="H146" s="54"/>
      <c r="I146" s="54"/>
    </row>
    <row r="147" spans="1:9" ht="15" customHeight="1">
      <c r="A147" s="16"/>
      <c r="B147" s="12"/>
      <c r="C147" s="54"/>
      <c r="D147" s="54"/>
      <c r="E147" s="54"/>
      <c r="F147" s="54"/>
      <c r="G147" s="54"/>
      <c r="H147" s="54"/>
      <c r="I147" s="54"/>
    </row>
    <row r="148" spans="1:9" ht="15" customHeight="1">
      <c r="A148" s="16"/>
      <c r="B148" s="12"/>
      <c r="C148" s="54"/>
      <c r="D148" s="54"/>
      <c r="E148" s="54"/>
      <c r="F148" s="54"/>
      <c r="G148" s="54"/>
      <c r="H148" s="54"/>
      <c r="I148" s="54"/>
    </row>
    <row r="149" spans="1:9" ht="15" customHeight="1">
      <c r="A149" s="16"/>
      <c r="B149" s="12"/>
      <c r="C149" s="54"/>
      <c r="D149" s="54"/>
      <c r="E149" s="54"/>
      <c r="F149" s="54"/>
      <c r="G149" s="54"/>
      <c r="H149" s="54"/>
      <c r="I149" s="54"/>
    </row>
    <row r="150" spans="1:9" ht="15" customHeight="1">
      <c r="A150" s="16"/>
      <c r="B150" s="12"/>
      <c r="C150" s="54"/>
      <c r="D150" s="54"/>
      <c r="E150" s="54"/>
      <c r="F150" s="54"/>
      <c r="G150" s="54"/>
      <c r="H150" s="54"/>
      <c r="I150" s="54"/>
    </row>
    <row r="151" spans="1:9" ht="15" customHeight="1">
      <c r="A151" s="16"/>
      <c r="B151" s="12"/>
      <c r="C151" s="54"/>
      <c r="D151" s="54"/>
      <c r="E151" s="54"/>
      <c r="F151" s="54"/>
      <c r="G151" s="54"/>
      <c r="H151" s="54"/>
      <c r="I151" s="54"/>
    </row>
    <row r="152" spans="1:9" ht="15" customHeight="1">
      <c r="A152" s="16"/>
      <c r="B152" s="12"/>
      <c r="C152" s="54"/>
      <c r="D152" s="54"/>
      <c r="E152" s="54"/>
      <c r="F152" s="54"/>
      <c r="G152" s="54"/>
      <c r="H152" s="54"/>
      <c r="I152" s="54"/>
    </row>
    <row r="153" spans="1:9" ht="15" customHeight="1">
      <c r="A153" s="16"/>
      <c r="B153" s="12"/>
      <c r="C153" s="54"/>
      <c r="D153" s="54"/>
      <c r="E153" s="54"/>
      <c r="F153" s="54"/>
      <c r="G153" s="54"/>
      <c r="H153" s="54"/>
      <c r="I153" s="54"/>
    </row>
    <row r="154" spans="1:9" ht="15" customHeight="1">
      <c r="A154" s="16"/>
      <c r="B154" s="12"/>
      <c r="C154" s="54"/>
      <c r="D154" s="54"/>
      <c r="E154" s="54"/>
      <c r="F154" s="54"/>
      <c r="G154" s="54"/>
      <c r="H154" s="54"/>
      <c r="I154" s="54"/>
    </row>
    <row r="155" spans="1:9" ht="15" customHeight="1">
      <c r="A155" s="16"/>
      <c r="B155" s="12"/>
      <c r="C155" s="54"/>
      <c r="D155" s="54"/>
      <c r="E155" s="54"/>
      <c r="F155" s="54"/>
      <c r="G155" s="54"/>
      <c r="H155" s="54"/>
      <c r="I155" s="54"/>
    </row>
    <row r="156" spans="1:9" ht="15" customHeight="1">
      <c r="A156" s="16"/>
      <c r="B156" s="12"/>
      <c r="C156" s="54"/>
      <c r="D156" s="54"/>
      <c r="E156" s="54"/>
      <c r="F156" s="54"/>
      <c r="G156" s="54"/>
      <c r="H156" s="54"/>
      <c r="I156" s="54"/>
    </row>
    <row r="157" spans="1:9" ht="15" customHeight="1">
      <c r="A157" s="16"/>
      <c r="B157" s="12"/>
      <c r="C157" s="54"/>
      <c r="D157" s="54"/>
      <c r="E157" s="54"/>
      <c r="F157" s="54"/>
      <c r="G157" s="54"/>
      <c r="H157" s="54"/>
      <c r="I157" s="54"/>
    </row>
    <row r="158" spans="1:9" ht="15" customHeight="1">
      <c r="A158" s="16"/>
      <c r="B158" s="12"/>
      <c r="C158" s="54"/>
      <c r="D158" s="54"/>
      <c r="E158" s="54"/>
      <c r="F158" s="54"/>
      <c r="G158" s="54"/>
      <c r="H158" s="54"/>
      <c r="I158" s="54"/>
    </row>
    <row r="159" spans="1:9" ht="15" customHeight="1">
      <c r="A159" s="16"/>
      <c r="B159" s="12"/>
      <c r="C159" s="54"/>
      <c r="D159" s="54"/>
      <c r="E159" s="54"/>
      <c r="F159" s="54"/>
      <c r="G159" s="54"/>
      <c r="H159" s="54"/>
      <c r="I159" s="54"/>
    </row>
    <row r="160" spans="1:9" ht="15" customHeight="1">
      <c r="A160" s="16"/>
      <c r="B160" s="12"/>
      <c r="C160" s="54"/>
      <c r="D160" s="54"/>
      <c r="E160" s="54"/>
      <c r="F160" s="54"/>
      <c r="G160" s="54"/>
      <c r="H160" s="54"/>
      <c r="I160" s="54"/>
    </row>
    <row r="161" spans="1:9" ht="15" customHeight="1">
      <c r="A161" s="16"/>
      <c r="B161" s="12"/>
      <c r="C161" s="54"/>
      <c r="D161" s="54"/>
      <c r="E161" s="54"/>
      <c r="F161" s="54"/>
      <c r="G161" s="54"/>
      <c r="H161" s="54"/>
      <c r="I161" s="54"/>
    </row>
    <row r="162" spans="1:9" ht="15" customHeight="1">
      <c r="A162" s="16"/>
      <c r="B162" s="12"/>
      <c r="C162" s="54"/>
      <c r="D162" s="54"/>
      <c r="E162" s="54"/>
      <c r="F162" s="54"/>
      <c r="G162" s="54"/>
      <c r="H162" s="54"/>
      <c r="I162" s="54"/>
    </row>
    <row r="163" spans="1:9" ht="15" customHeight="1">
      <c r="A163" s="16"/>
      <c r="B163" s="12"/>
      <c r="C163" s="54"/>
      <c r="D163" s="54"/>
      <c r="E163" s="54"/>
      <c r="F163" s="54"/>
      <c r="G163" s="54"/>
      <c r="H163" s="54"/>
      <c r="I163" s="54"/>
    </row>
    <row r="164" spans="1:9" ht="15" customHeight="1">
      <c r="A164" s="16"/>
      <c r="B164" s="12"/>
      <c r="C164" s="54"/>
      <c r="D164" s="54"/>
      <c r="E164" s="54"/>
      <c r="F164" s="54"/>
      <c r="G164" s="54"/>
      <c r="H164" s="54"/>
      <c r="I164" s="54"/>
    </row>
    <row r="165" spans="1:9" ht="15" customHeight="1">
      <c r="A165" s="16"/>
      <c r="B165" s="12"/>
      <c r="C165" s="54"/>
      <c r="D165" s="54"/>
      <c r="E165" s="54"/>
      <c r="F165" s="54"/>
      <c r="G165" s="54"/>
      <c r="H165" s="54"/>
      <c r="I165" s="54"/>
    </row>
    <row r="166" spans="1:9" ht="15" customHeight="1">
      <c r="A166" s="16"/>
      <c r="B166" s="12"/>
      <c r="C166" s="54"/>
      <c r="D166" s="54"/>
      <c r="E166" s="54"/>
      <c r="F166" s="54"/>
      <c r="G166" s="54"/>
      <c r="H166" s="54"/>
      <c r="I166" s="54"/>
    </row>
    <row r="167" spans="1:9" ht="15" customHeight="1">
      <c r="A167" s="16"/>
      <c r="B167" s="12"/>
      <c r="C167" s="54"/>
      <c r="D167" s="54"/>
      <c r="E167" s="54"/>
      <c r="F167" s="54"/>
      <c r="G167" s="54"/>
      <c r="H167" s="54"/>
      <c r="I167" s="54"/>
    </row>
    <row r="168" spans="1:9" ht="15" customHeight="1">
      <c r="A168" s="16"/>
      <c r="B168" s="12"/>
      <c r="C168" s="54"/>
      <c r="D168" s="54"/>
      <c r="E168" s="54"/>
      <c r="F168" s="54"/>
      <c r="G168" s="54"/>
      <c r="H168" s="54"/>
      <c r="I168" s="54"/>
    </row>
    <row r="169" spans="1:9" ht="15" customHeight="1">
      <c r="A169" s="16"/>
      <c r="B169" s="12"/>
      <c r="C169" s="54"/>
      <c r="D169" s="54"/>
      <c r="E169" s="54"/>
      <c r="F169" s="54"/>
      <c r="G169" s="54"/>
      <c r="H169" s="54"/>
      <c r="I169" s="54"/>
    </row>
    <row r="170" spans="1:9" ht="15" customHeight="1">
      <c r="A170" s="16"/>
      <c r="B170" s="12"/>
      <c r="C170" s="54"/>
      <c r="D170" s="54"/>
      <c r="E170" s="54"/>
      <c r="F170" s="54"/>
      <c r="G170" s="54"/>
      <c r="H170" s="54"/>
      <c r="I170" s="54"/>
    </row>
    <row r="171" spans="1:9" ht="15" customHeight="1">
      <c r="A171" s="16"/>
      <c r="B171" s="12"/>
      <c r="C171" s="54"/>
      <c r="D171" s="54"/>
      <c r="E171" s="54"/>
      <c r="F171" s="54"/>
      <c r="G171" s="54"/>
      <c r="H171" s="54"/>
      <c r="I171" s="54"/>
    </row>
    <row r="172" spans="1:9" ht="15" customHeight="1">
      <c r="A172" s="16"/>
      <c r="B172" s="12"/>
      <c r="C172" s="54"/>
      <c r="D172" s="54"/>
      <c r="E172" s="54"/>
      <c r="F172" s="54"/>
      <c r="G172" s="54"/>
      <c r="H172" s="54"/>
      <c r="I172" s="54"/>
    </row>
    <row r="173" spans="1:9" ht="15" customHeight="1">
      <c r="A173" s="16"/>
      <c r="B173" s="12"/>
      <c r="C173" s="54"/>
      <c r="D173" s="54"/>
      <c r="E173" s="54"/>
      <c r="F173" s="54"/>
      <c r="G173" s="54"/>
      <c r="H173" s="54"/>
      <c r="I173" s="54"/>
    </row>
    <row r="174" spans="1:9" ht="15" customHeight="1">
      <c r="A174" s="16"/>
      <c r="B174" s="12"/>
      <c r="C174" s="54"/>
      <c r="D174" s="54"/>
      <c r="E174" s="54"/>
      <c r="F174" s="54"/>
      <c r="G174" s="54"/>
      <c r="H174" s="54"/>
      <c r="I174" s="54"/>
    </row>
    <row r="175" spans="1:9" ht="15" customHeight="1">
      <c r="A175" s="16"/>
      <c r="B175" s="12"/>
      <c r="C175" s="54"/>
      <c r="D175" s="54"/>
      <c r="E175" s="54"/>
      <c r="F175" s="54"/>
      <c r="G175" s="54"/>
      <c r="H175" s="54"/>
      <c r="I175" s="54"/>
    </row>
    <row r="176" spans="1:9" ht="15" customHeight="1">
      <c r="A176" s="16"/>
      <c r="B176" s="12"/>
      <c r="C176" s="54"/>
      <c r="D176" s="54"/>
      <c r="E176" s="54"/>
      <c r="F176" s="54"/>
      <c r="G176" s="54"/>
      <c r="H176" s="54"/>
      <c r="I176" s="54"/>
    </row>
    <row r="177" spans="1:9" ht="15" customHeight="1">
      <c r="A177" s="16"/>
      <c r="B177" s="12"/>
      <c r="C177" s="54"/>
      <c r="D177" s="54"/>
      <c r="E177" s="54"/>
      <c r="F177" s="54"/>
      <c r="G177" s="54"/>
      <c r="H177" s="54"/>
      <c r="I177" s="54"/>
    </row>
    <row r="178" spans="1:9" ht="15" customHeight="1">
      <c r="A178" s="16"/>
      <c r="B178" s="12"/>
      <c r="C178" s="54"/>
      <c r="D178" s="54"/>
      <c r="E178" s="54"/>
      <c r="F178" s="54"/>
      <c r="G178" s="54"/>
      <c r="H178" s="54"/>
      <c r="I178" s="54"/>
    </row>
    <row r="179" spans="1:9" ht="15" customHeight="1">
      <c r="A179" s="16"/>
      <c r="B179" s="12"/>
      <c r="C179" s="54"/>
      <c r="D179" s="54"/>
      <c r="E179" s="54"/>
      <c r="F179" s="54"/>
      <c r="G179" s="54"/>
      <c r="H179" s="54"/>
      <c r="I179" s="54"/>
    </row>
    <row r="180" spans="1:9" ht="15" customHeight="1">
      <c r="A180" s="16"/>
      <c r="B180" s="12"/>
      <c r="C180" s="54"/>
      <c r="D180" s="54"/>
      <c r="E180" s="54"/>
      <c r="F180" s="54"/>
      <c r="G180" s="54"/>
      <c r="H180" s="54"/>
      <c r="I180" s="54"/>
    </row>
    <row r="181" spans="1:9" ht="15" customHeight="1">
      <c r="A181" s="16"/>
      <c r="B181" s="12"/>
      <c r="C181" s="54"/>
      <c r="D181" s="54"/>
      <c r="E181" s="54"/>
      <c r="F181" s="54"/>
      <c r="G181" s="54"/>
      <c r="H181" s="54"/>
      <c r="I181" s="54"/>
    </row>
    <row r="182" spans="1:9" ht="15" customHeight="1">
      <c r="A182" s="16"/>
      <c r="B182" s="12"/>
      <c r="C182" s="54"/>
      <c r="D182" s="54"/>
      <c r="E182" s="54"/>
      <c r="F182" s="54"/>
      <c r="G182" s="54"/>
      <c r="H182" s="54"/>
      <c r="I182" s="54"/>
    </row>
    <row r="183" spans="1:9" ht="15" customHeight="1">
      <c r="A183" s="16"/>
      <c r="B183" s="12"/>
      <c r="C183" s="54"/>
      <c r="D183" s="54"/>
      <c r="E183" s="54"/>
      <c r="F183" s="54"/>
      <c r="G183" s="54"/>
      <c r="H183" s="54"/>
      <c r="I183" s="54"/>
    </row>
    <row r="184" spans="1:9" ht="15" customHeight="1">
      <c r="A184" s="16"/>
      <c r="B184" s="12"/>
      <c r="C184" s="54"/>
      <c r="D184" s="54"/>
      <c r="E184" s="54"/>
      <c r="F184" s="54"/>
      <c r="G184" s="54"/>
      <c r="H184" s="54"/>
      <c r="I184" s="54"/>
    </row>
    <row r="185" spans="1:9" ht="15" customHeight="1">
      <c r="A185" s="16"/>
      <c r="B185" s="12"/>
      <c r="C185" s="54"/>
      <c r="D185" s="54"/>
      <c r="E185" s="54"/>
      <c r="F185" s="54"/>
      <c r="G185" s="54"/>
      <c r="H185" s="54"/>
      <c r="I185" s="54"/>
    </row>
    <row r="186" spans="1:9" ht="15" customHeight="1">
      <c r="A186" s="16"/>
      <c r="B186" s="12"/>
      <c r="C186" s="54"/>
      <c r="D186" s="54"/>
      <c r="E186" s="54"/>
      <c r="F186" s="54"/>
      <c r="G186" s="54"/>
      <c r="H186" s="54"/>
      <c r="I186" s="54"/>
    </row>
    <row r="187" spans="1:9" ht="15" customHeight="1">
      <c r="A187" s="16"/>
      <c r="B187" s="12"/>
      <c r="C187" s="54"/>
      <c r="D187" s="54"/>
      <c r="E187" s="54"/>
      <c r="F187" s="54"/>
      <c r="G187" s="54"/>
      <c r="H187" s="54"/>
      <c r="I187" s="54"/>
    </row>
    <row r="188" spans="1:9" ht="15" customHeight="1">
      <c r="A188" s="16"/>
      <c r="B188" s="12"/>
      <c r="C188" s="54"/>
      <c r="D188" s="54"/>
      <c r="E188" s="54"/>
      <c r="F188" s="54"/>
      <c r="G188" s="54"/>
      <c r="H188" s="54"/>
      <c r="I188" s="54"/>
    </row>
    <row r="189" spans="1:9" ht="15" customHeight="1">
      <c r="A189" s="16"/>
      <c r="B189" s="12"/>
      <c r="C189" s="54"/>
      <c r="D189" s="54"/>
      <c r="E189" s="54"/>
      <c r="F189" s="54"/>
      <c r="G189" s="54"/>
      <c r="H189" s="54"/>
      <c r="I189" s="54"/>
    </row>
    <row r="190" spans="1:9" ht="15" customHeight="1">
      <c r="A190" s="16"/>
      <c r="B190" s="12"/>
      <c r="C190" s="54"/>
      <c r="D190" s="54"/>
      <c r="E190" s="54"/>
      <c r="F190" s="54"/>
      <c r="G190" s="54"/>
      <c r="H190" s="54"/>
      <c r="I190" s="54"/>
    </row>
    <row r="191" spans="1:9" ht="15" customHeight="1">
      <c r="A191" s="16"/>
      <c r="B191" s="12"/>
      <c r="C191" s="54"/>
      <c r="D191" s="54"/>
      <c r="E191" s="54"/>
      <c r="F191" s="54"/>
      <c r="G191" s="54"/>
      <c r="H191" s="54"/>
      <c r="I191" s="54"/>
    </row>
    <row r="192" spans="1:9" ht="15" customHeight="1">
      <c r="A192" s="16"/>
      <c r="B192" s="12"/>
      <c r="C192" s="54"/>
      <c r="D192" s="54"/>
      <c r="E192" s="54"/>
      <c r="F192" s="54"/>
      <c r="G192" s="54"/>
      <c r="H192" s="54"/>
      <c r="I192" s="54"/>
    </row>
    <row r="193" spans="1:16" ht="15" customHeight="1">
      <c r="A193" s="16"/>
      <c r="B193" s="12"/>
      <c r="C193" s="54"/>
      <c r="D193" s="54"/>
      <c r="E193" s="54"/>
      <c r="F193" s="54"/>
      <c r="G193" s="54"/>
      <c r="H193" s="54"/>
      <c r="I193" s="54"/>
    </row>
    <row r="194" spans="1:16" ht="15" customHeight="1">
      <c r="A194" s="16"/>
      <c r="B194" s="12"/>
      <c r="C194" s="54"/>
      <c r="D194" s="54"/>
      <c r="E194" s="54"/>
      <c r="F194" s="54"/>
      <c r="G194" s="54"/>
      <c r="H194" s="54"/>
      <c r="I194" s="54"/>
    </row>
    <row r="195" spans="1:16" ht="15" customHeight="1">
      <c r="A195" s="16"/>
      <c r="B195" s="12"/>
      <c r="C195" s="54"/>
      <c r="D195" s="54"/>
      <c r="E195" s="54"/>
      <c r="F195" s="54"/>
      <c r="G195" s="54"/>
      <c r="H195" s="54"/>
      <c r="I195" s="54"/>
    </row>
    <row r="196" spans="1:16" ht="15" customHeight="1">
      <c r="A196" s="16"/>
      <c r="B196" s="12"/>
      <c r="C196" s="54"/>
      <c r="D196" s="54"/>
      <c r="E196" s="54"/>
      <c r="F196" s="54"/>
      <c r="G196" s="54"/>
      <c r="H196" s="54"/>
      <c r="I196" s="54"/>
    </row>
    <row r="197" spans="1:16" ht="15" customHeight="1">
      <c r="A197" s="16"/>
      <c r="B197" s="12"/>
      <c r="C197" s="54"/>
      <c r="D197" s="54"/>
      <c r="E197" s="54"/>
      <c r="F197" s="54"/>
      <c r="G197" s="54"/>
      <c r="H197" s="54"/>
      <c r="I197" s="54"/>
    </row>
    <row r="198" spans="1:16" ht="15" customHeight="1" thickBot="1">
      <c r="A198" s="16"/>
      <c r="B198" s="12"/>
      <c r="C198" s="54"/>
      <c r="D198" s="54"/>
      <c r="E198" s="54"/>
      <c r="F198" s="54"/>
      <c r="G198" s="54"/>
      <c r="H198" s="54"/>
      <c r="I198" s="54"/>
    </row>
    <row r="199" spans="1:16" ht="15" customHeight="1" thickBot="1">
      <c r="A199" s="16"/>
      <c r="B199" s="12"/>
      <c r="C199" s="54"/>
      <c r="D199" s="54"/>
      <c r="E199" s="54"/>
      <c r="F199" s="54"/>
      <c r="G199" s="54"/>
      <c r="H199" s="54"/>
      <c r="I199" s="205"/>
      <c r="J199" s="204" t="s">
        <v>250</v>
      </c>
      <c r="N199" s="33" t="s">
        <v>149</v>
      </c>
      <c r="O199" s="33" t="s">
        <v>150</v>
      </c>
    </row>
    <row r="200" spans="1:16" ht="15" customHeight="1">
      <c r="A200" s="187"/>
      <c r="B200" s="188" t="s">
        <v>156</v>
      </c>
      <c r="C200" s="189">
        <f t="shared" ref="C200:I200" si="3">SUM(C31:C199)</f>
        <v>0</v>
      </c>
      <c r="D200" s="189">
        <f t="shared" si="3"/>
        <v>0</v>
      </c>
      <c r="E200" s="189">
        <f t="shared" si="3"/>
        <v>0</v>
      </c>
      <c r="F200" s="189">
        <f t="shared" si="3"/>
        <v>0</v>
      </c>
      <c r="G200" s="189">
        <f t="shared" si="3"/>
        <v>0</v>
      </c>
      <c r="H200" s="189">
        <f>SUM(H31:H199)</f>
        <v>0</v>
      </c>
      <c r="I200" s="190">
        <f t="shared" si="3"/>
        <v>0</v>
      </c>
      <c r="J200" s="191">
        <f>SUM(D200:I200)</f>
        <v>0</v>
      </c>
      <c r="L200" s="21" t="s">
        <v>248</v>
      </c>
      <c r="M200" s="76">
        <f>D200+E200</f>
        <v>0</v>
      </c>
    </row>
    <row r="201" spans="1:16" ht="15" customHeight="1">
      <c r="A201" s="192"/>
      <c r="B201" s="193" t="s">
        <v>251</v>
      </c>
      <c r="C201" s="194" t="s">
        <v>139</v>
      </c>
      <c r="D201" s="195">
        <f>IF(TPS!$B$3=2,D200,D200-(D200-D200/(1.05*1.095))*$E$22)</f>
        <v>0</v>
      </c>
      <c r="E201" s="195">
        <f>IF(TPS!$B$3=2,E200,E200-(E200-E200/(1.05*1.095))*$E$22)</f>
        <v>0</v>
      </c>
      <c r="F201" s="195">
        <f>F200</f>
        <v>0</v>
      </c>
      <c r="G201" s="195">
        <f>G200</f>
        <v>0</v>
      </c>
      <c r="H201" s="195">
        <f>H200</f>
        <v>0</v>
      </c>
      <c r="I201" s="196">
        <f>I200</f>
        <v>0</v>
      </c>
      <c r="J201" s="191">
        <f>SUM(D201:I201)</f>
        <v>0</v>
      </c>
      <c r="L201" s="21" t="s">
        <v>249</v>
      </c>
      <c r="M201" s="76">
        <f>M200/(1.05*1.095)</f>
        <v>0</v>
      </c>
      <c r="N201" s="76">
        <f>M201*5%</f>
        <v>0</v>
      </c>
      <c r="O201" s="76">
        <f>M201*1.05*9.5%</f>
        <v>0</v>
      </c>
      <c r="P201">
        <f>(M201*5%+M201*1.05*9.5%)</f>
        <v>0</v>
      </c>
    </row>
    <row r="202" spans="1:16" ht="15" customHeight="1" thickBot="1">
      <c r="A202" s="197"/>
      <c r="B202" s="198" t="s">
        <v>35</v>
      </c>
      <c r="C202" s="199"/>
      <c r="D202" s="200" t="e">
        <f>D201*$E$22</f>
        <v>#DIV/0!</v>
      </c>
      <c r="E202" s="200" t="e">
        <f>E201*$E$22</f>
        <v>#DIV/0!</v>
      </c>
      <c r="F202" s="200" t="e">
        <f>F201*$E$22</f>
        <v>#DIV/0!</v>
      </c>
      <c r="G202" s="200" t="e">
        <f>G201*$E$22</f>
        <v>#DIV/0!</v>
      </c>
      <c r="H202" s="200" t="e">
        <f>H201*$E$22</f>
        <v>#DIV/0!</v>
      </c>
      <c r="I202" s="201">
        <f>I201</f>
        <v>0</v>
      </c>
      <c r="J202" s="202" t="e">
        <f>SUM(D202:I202)</f>
        <v>#DIV/0!</v>
      </c>
      <c r="L202" s="21" t="s">
        <v>247</v>
      </c>
      <c r="M202" s="76" t="e">
        <f>M200-P202</f>
        <v>#DIV/0!</v>
      </c>
      <c r="N202" s="76" t="e">
        <f>N201*$E$22</f>
        <v>#DIV/0!</v>
      </c>
      <c r="O202" s="76" t="e">
        <f>O201*$E$22</f>
        <v>#DIV/0!</v>
      </c>
      <c r="P202" t="e">
        <f>P201*E22</f>
        <v>#DIV/0!</v>
      </c>
    </row>
    <row r="203" spans="1:16" ht="13.8" thickBot="1">
      <c r="H203" s="203" t="e">
        <f>SUM(D202:H202)+I202</f>
        <v>#DIV/0!</v>
      </c>
      <c r="J203" s="20"/>
      <c r="L203" s="105" t="s">
        <v>252</v>
      </c>
      <c r="M203" s="76">
        <f>F200+G200+H200+I200</f>
        <v>0</v>
      </c>
      <c r="P203" t="e">
        <f>P201-P202</f>
        <v>#DIV/0!</v>
      </c>
    </row>
    <row r="204" spans="1:16">
      <c r="L204" s="105" t="s">
        <v>253</v>
      </c>
      <c r="M204" s="76" t="e">
        <f>SUM(M202:M203)</f>
        <v>#DIV/0!</v>
      </c>
    </row>
    <row r="206" spans="1:16">
      <c r="L206" s="21" t="s">
        <v>346</v>
      </c>
    </row>
  </sheetData>
  <sheetProtection algorithmName="SHA-512" hashValue="txaPIcAYvu3ONNAgiDVEHx+rJwDQ8ZcnVjzCQno6hVWxz9KgrJqBcHsHF212wsH6pAzyV/czAtWKPHFyjVoY1g==" saltValue="6hL0i0O01TTOdW1pOlN8xQ==" spinCount="100000" sheet="1" objects="1" scenarios="1"/>
  <sortState xmlns:xlrd2="http://schemas.microsoft.com/office/spreadsheetml/2017/richdata2" ref="A31:H92">
    <sortCondition ref="A31:A92"/>
  </sortState>
  <mergeCells count="3">
    <mergeCell ref="A1:H1"/>
    <mergeCell ref="G15:H15"/>
    <mergeCell ref="D27:I27"/>
  </mergeCells>
  <phoneticPr fontId="1" type="noConversion"/>
  <pageMargins left="0.23622047244094491" right="0.23622047244094491" top="0.59055118110236227" bottom="0.59055118110236227" header="0.51181102362204722" footer="0.51181102362204722"/>
  <pageSetup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356"/>
  <sheetViews>
    <sheetView topLeftCell="F1" zoomScale="110" zoomScaleNormal="110" workbookViewId="0">
      <pane ySplit="11" topLeftCell="A12" activePane="bottomLeft" state="frozen"/>
      <selection activeCell="L10" sqref="L10"/>
      <selection pane="bottomLeft" activeCell="T14" sqref="T14"/>
    </sheetView>
  </sheetViews>
  <sheetFormatPr baseColWidth="10" defaultRowHeight="13.2"/>
  <cols>
    <col min="1" max="1" width="9.109375" customWidth="1"/>
    <col min="2" max="2" width="18.33203125" customWidth="1"/>
    <col min="3" max="3" width="12" customWidth="1"/>
    <col min="4" max="4" width="10.88671875" customWidth="1"/>
    <col min="5" max="7" width="8.109375" customWidth="1"/>
    <col min="8" max="8" width="9.88671875" customWidth="1"/>
    <col min="9" max="9" width="9.33203125" customWidth="1"/>
    <col min="10" max="11" width="9.6640625" customWidth="1"/>
    <col min="12" max="14" width="8.5546875" customWidth="1"/>
    <col min="15" max="15" width="8.77734375" customWidth="1"/>
    <col min="16" max="16" width="8.88671875" customWidth="1"/>
    <col min="17" max="23" width="8.5546875" customWidth="1"/>
    <col min="24" max="24" width="8.88671875" customWidth="1"/>
    <col min="25" max="25" width="9.6640625" customWidth="1"/>
    <col min="26" max="31" width="8.5546875" customWidth="1"/>
    <col min="32" max="32" width="9.5546875" customWidth="1"/>
    <col min="33" max="33" width="10.109375" customWidth="1"/>
    <col min="34" max="34" width="9.109375" customWidth="1"/>
    <col min="35" max="35" width="9.21875" customWidth="1"/>
    <col min="36" max="37" width="8.5546875" customWidth="1"/>
    <col min="38" max="39" width="9.33203125" customWidth="1"/>
  </cols>
  <sheetData>
    <row r="1" spans="1:39" ht="22.8">
      <c r="A1" s="292" t="s">
        <v>432</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row>
    <row r="2" spans="1:39" ht="9.75" customHeight="1" thickBot="1">
      <c r="A2" s="3"/>
      <c r="B2" s="3"/>
    </row>
    <row r="3" spans="1:39" ht="14.4" thickBot="1">
      <c r="A3" s="148" t="s">
        <v>296</v>
      </c>
      <c r="B3" s="120"/>
      <c r="C3" s="120"/>
      <c r="D3" s="120"/>
      <c r="E3" s="120"/>
      <c r="F3" s="120"/>
      <c r="G3" s="120"/>
      <c r="K3" s="307" t="str">
        <f>Identification!B5</f>
        <v>Nom de l'entreprise</v>
      </c>
      <c r="L3" s="308"/>
      <c r="M3" s="308"/>
      <c r="N3" s="308"/>
      <c r="O3" s="309"/>
      <c r="Z3" s="67"/>
      <c r="AA3" s="67"/>
      <c r="AB3" s="67"/>
      <c r="AC3" s="67"/>
    </row>
    <row r="4" spans="1:39" ht="14.4" thickBot="1">
      <c r="A4" s="36" t="s">
        <v>297</v>
      </c>
      <c r="K4" s="314" t="str">
        <f>IF(Identification!B16&gt;0,Identification!B16,"  ")</f>
        <v xml:space="preserve">  </v>
      </c>
      <c r="L4" s="315"/>
      <c r="M4" s="315"/>
      <c r="N4" s="315"/>
      <c r="O4" s="316"/>
      <c r="P4" s="115"/>
      <c r="Q4" s="115"/>
      <c r="R4" s="115"/>
      <c r="S4" s="115"/>
      <c r="T4" s="115"/>
      <c r="U4" s="115"/>
      <c r="AH4" s="19"/>
      <c r="AI4" s="19"/>
      <c r="AJ4" s="19"/>
      <c r="AK4" s="19"/>
    </row>
    <row r="5" spans="1:39" ht="14.4" thickBot="1">
      <c r="A5" s="36" t="s">
        <v>347</v>
      </c>
      <c r="C5" s="21" t="s">
        <v>390</v>
      </c>
      <c r="K5" s="304">
        <f>Identification!B15</f>
        <v>0</v>
      </c>
      <c r="L5" s="305"/>
      <c r="M5" s="305"/>
      <c r="N5" s="305"/>
      <c r="O5" s="306"/>
      <c r="P5" s="126"/>
      <c r="Q5" s="126"/>
      <c r="R5" s="126"/>
      <c r="S5" s="126"/>
      <c r="T5" s="126"/>
      <c r="U5" s="126"/>
      <c r="AB5" s="310" t="s">
        <v>289</v>
      </c>
      <c r="AC5" s="311"/>
      <c r="AD5" s="312"/>
      <c r="AE5" s="313"/>
      <c r="AF5" s="206"/>
      <c r="AG5" s="206"/>
      <c r="AH5" s="19"/>
      <c r="AI5" s="19"/>
      <c r="AJ5" s="19"/>
      <c r="AK5" s="19"/>
    </row>
    <row r="6" spans="1:39" ht="3" customHeight="1" thickBot="1">
      <c r="A6" s="36"/>
      <c r="AB6" s="155"/>
      <c r="AC6" s="6"/>
      <c r="AD6" s="6"/>
      <c r="AE6" s="156"/>
      <c r="AF6" s="6"/>
      <c r="AG6" s="6"/>
    </row>
    <row r="7" spans="1:39" ht="13.8" thickTop="1">
      <c r="A7" s="137" t="s">
        <v>0</v>
      </c>
      <c r="B7" s="138" t="s">
        <v>337</v>
      </c>
      <c r="C7" s="138" t="s">
        <v>407</v>
      </c>
      <c r="D7" s="138" t="s">
        <v>407</v>
      </c>
      <c r="E7" s="138" t="s">
        <v>283</v>
      </c>
      <c r="F7" s="139" t="s">
        <v>320</v>
      </c>
      <c r="G7" s="139" t="s">
        <v>403</v>
      </c>
      <c r="H7" s="139" t="s">
        <v>284</v>
      </c>
      <c r="I7" s="138" t="s">
        <v>288</v>
      </c>
      <c r="J7" s="138" t="s">
        <v>31</v>
      </c>
      <c r="K7" s="139" t="s">
        <v>16</v>
      </c>
      <c r="L7" s="138" t="s">
        <v>61</v>
      </c>
      <c r="M7" s="138" t="s">
        <v>141</v>
      </c>
      <c r="N7" s="138" t="s">
        <v>399</v>
      </c>
      <c r="O7" s="138" t="s">
        <v>140</v>
      </c>
      <c r="P7" s="138" t="s">
        <v>338</v>
      </c>
      <c r="Q7" s="138" t="s">
        <v>339</v>
      </c>
      <c r="R7" s="138" t="s">
        <v>341</v>
      </c>
      <c r="S7" s="138" t="s">
        <v>142</v>
      </c>
      <c r="T7" s="138" t="s">
        <v>332</v>
      </c>
      <c r="U7" s="138" t="s">
        <v>246</v>
      </c>
      <c r="V7" s="138" t="s">
        <v>168</v>
      </c>
      <c r="W7" s="140" t="s">
        <v>198</v>
      </c>
      <c r="X7" s="317" t="s">
        <v>331</v>
      </c>
      <c r="Y7" s="318"/>
      <c r="Z7" s="141" t="s">
        <v>371</v>
      </c>
      <c r="AA7" s="151" t="s">
        <v>162</v>
      </c>
      <c r="AB7" s="157" t="s">
        <v>290</v>
      </c>
      <c r="AC7" s="138" t="s">
        <v>143</v>
      </c>
      <c r="AD7" s="139" t="s">
        <v>141</v>
      </c>
      <c r="AE7" s="158" t="s">
        <v>324</v>
      </c>
      <c r="AF7" s="302" t="s">
        <v>382</v>
      </c>
      <c r="AG7" s="303"/>
      <c r="AH7" s="162" t="s">
        <v>384</v>
      </c>
      <c r="AI7" s="162" t="s">
        <v>381</v>
      </c>
      <c r="AJ7" s="138" t="s">
        <v>358</v>
      </c>
      <c r="AK7" s="139" t="s">
        <v>326</v>
      </c>
      <c r="AL7" s="139" t="s">
        <v>327</v>
      </c>
      <c r="AM7" s="142" t="s">
        <v>28</v>
      </c>
    </row>
    <row r="8" spans="1:39" ht="13.8" thickBot="1">
      <c r="A8" s="127"/>
      <c r="B8" s="128"/>
      <c r="C8" s="128" t="s">
        <v>318</v>
      </c>
      <c r="D8" s="128" t="s">
        <v>319</v>
      </c>
      <c r="E8" s="128"/>
      <c r="F8" s="129"/>
      <c r="G8" s="129"/>
      <c r="H8" s="129" t="s">
        <v>285</v>
      </c>
      <c r="I8" s="128" t="s">
        <v>335</v>
      </c>
      <c r="J8" s="129" t="s">
        <v>287</v>
      </c>
      <c r="K8" s="129" t="s">
        <v>321</v>
      </c>
      <c r="L8" s="129" t="s">
        <v>322</v>
      </c>
      <c r="M8" s="128" t="s">
        <v>402</v>
      </c>
      <c r="N8" s="128" t="s">
        <v>408</v>
      </c>
      <c r="O8" s="129"/>
      <c r="P8" s="128" t="s">
        <v>333</v>
      </c>
      <c r="Q8" s="128" t="s">
        <v>340</v>
      </c>
      <c r="R8" s="129" t="s">
        <v>323</v>
      </c>
      <c r="S8" s="129" t="s">
        <v>24</v>
      </c>
      <c r="T8" s="129"/>
      <c r="U8" s="129"/>
      <c r="V8" s="129"/>
      <c r="W8" s="135"/>
      <c r="X8" s="135" t="s">
        <v>328</v>
      </c>
      <c r="Y8" s="135" t="s">
        <v>329</v>
      </c>
      <c r="Z8" s="135" t="s">
        <v>24</v>
      </c>
      <c r="AA8" s="152"/>
      <c r="AB8" s="159"/>
      <c r="AC8" s="128"/>
      <c r="AD8" s="128" t="s">
        <v>378</v>
      </c>
      <c r="AE8" s="160" t="s">
        <v>325</v>
      </c>
      <c r="AF8" s="164" t="s">
        <v>381</v>
      </c>
      <c r="AG8" s="164" t="s">
        <v>383</v>
      </c>
      <c r="AH8" s="163" t="s">
        <v>385</v>
      </c>
      <c r="AI8" s="163" t="s">
        <v>385</v>
      </c>
      <c r="AJ8" s="129" t="s">
        <v>405</v>
      </c>
      <c r="AK8" s="129"/>
      <c r="AL8" s="129"/>
      <c r="AM8" s="136"/>
    </row>
    <row r="9" spans="1:39" ht="14.4" thickTop="1" thickBot="1">
      <c r="A9" s="127"/>
      <c r="B9" s="128"/>
      <c r="C9" s="138" t="s">
        <v>427</v>
      </c>
      <c r="D9" s="138" t="s">
        <v>277</v>
      </c>
      <c r="E9" s="128"/>
      <c r="F9" s="254">
        <f>F10+G10+AF10+AI10</f>
        <v>0</v>
      </c>
      <c r="G9" s="129"/>
      <c r="H9" s="129"/>
      <c r="I9" s="128" t="s">
        <v>336</v>
      </c>
      <c r="J9" s="128" t="s">
        <v>334</v>
      </c>
      <c r="K9" s="129" t="s">
        <v>286</v>
      </c>
      <c r="L9" s="254">
        <f>L10+N10</f>
        <v>0</v>
      </c>
      <c r="M9" s="129" t="s">
        <v>401</v>
      </c>
      <c r="N9" s="128"/>
      <c r="O9" s="129"/>
      <c r="P9" s="128" t="s">
        <v>30</v>
      </c>
      <c r="Q9" s="129"/>
      <c r="R9" s="129"/>
      <c r="S9" s="129"/>
      <c r="T9" s="129"/>
      <c r="U9" s="129"/>
      <c r="V9" s="129"/>
      <c r="W9" s="135"/>
      <c r="X9" s="135"/>
      <c r="Y9" s="135" t="s">
        <v>330</v>
      </c>
      <c r="Z9" s="135"/>
      <c r="AA9" s="152"/>
      <c r="AB9" s="159"/>
      <c r="AC9" s="128"/>
      <c r="AD9" s="129" t="s">
        <v>404</v>
      </c>
      <c r="AE9" s="160"/>
      <c r="AF9" s="19"/>
      <c r="AG9" s="19"/>
      <c r="AH9" s="153" t="s">
        <v>379</v>
      </c>
      <c r="AI9" s="153" t="s">
        <v>379</v>
      </c>
      <c r="AJ9" s="129" t="s">
        <v>406</v>
      </c>
      <c r="AK9" s="129"/>
      <c r="AL9" s="129"/>
      <c r="AM9" s="136"/>
    </row>
    <row r="10" spans="1:39" ht="14.4" thickTop="1" thickBot="1">
      <c r="A10" s="252">
        <v>2020</v>
      </c>
      <c r="B10" s="253" t="s">
        <v>250</v>
      </c>
      <c r="C10" s="254">
        <f t="shared" ref="C10:AM10" si="0">C343</f>
        <v>0</v>
      </c>
      <c r="D10" s="254">
        <f t="shared" si="0"/>
        <v>0</v>
      </c>
      <c r="E10" s="254">
        <f t="shared" si="0"/>
        <v>0</v>
      </c>
      <c r="F10" s="254">
        <f t="shared" si="0"/>
        <v>0</v>
      </c>
      <c r="G10" s="254">
        <f t="shared" ref="G10" si="1">G343</f>
        <v>0</v>
      </c>
      <c r="H10" s="254">
        <f t="shared" si="0"/>
        <v>0</v>
      </c>
      <c r="I10" s="254">
        <f t="shared" si="0"/>
        <v>0</v>
      </c>
      <c r="J10" s="254">
        <f t="shared" si="0"/>
        <v>0</v>
      </c>
      <c r="K10" s="254">
        <f t="shared" si="0"/>
        <v>0</v>
      </c>
      <c r="L10" s="254">
        <f t="shared" si="0"/>
        <v>0</v>
      </c>
      <c r="M10" s="254">
        <f t="shared" si="0"/>
        <v>0</v>
      </c>
      <c r="N10" s="254">
        <f t="shared" ref="N10" si="2">N343</f>
        <v>0</v>
      </c>
      <c r="O10" s="254">
        <f t="shared" si="0"/>
        <v>0</v>
      </c>
      <c r="P10" s="254">
        <f t="shared" si="0"/>
        <v>0</v>
      </c>
      <c r="Q10" s="254">
        <f t="shared" si="0"/>
        <v>0</v>
      </c>
      <c r="R10" s="254">
        <f t="shared" si="0"/>
        <v>0</v>
      </c>
      <c r="S10" s="254">
        <f t="shared" ref="S10:AA10" si="3">S343</f>
        <v>0</v>
      </c>
      <c r="T10" s="254">
        <f t="shared" si="3"/>
        <v>1000</v>
      </c>
      <c r="U10" s="254">
        <f t="shared" si="3"/>
        <v>0</v>
      </c>
      <c r="V10" s="254">
        <f t="shared" si="3"/>
        <v>0</v>
      </c>
      <c r="W10" s="254">
        <f t="shared" si="3"/>
        <v>0</v>
      </c>
      <c r="X10" s="254">
        <f t="shared" si="3"/>
        <v>0</v>
      </c>
      <c r="Y10" s="254">
        <f t="shared" si="3"/>
        <v>0</v>
      </c>
      <c r="Z10" s="254">
        <f t="shared" si="3"/>
        <v>0</v>
      </c>
      <c r="AA10" s="255">
        <f t="shared" si="3"/>
        <v>0</v>
      </c>
      <c r="AB10" s="238">
        <f t="shared" si="0"/>
        <v>0</v>
      </c>
      <c r="AC10" s="239">
        <f t="shared" si="0"/>
        <v>0</v>
      </c>
      <c r="AD10" s="239">
        <f t="shared" si="0"/>
        <v>0</v>
      </c>
      <c r="AE10" s="240">
        <f t="shared" si="0"/>
        <v>0</v>
      </c>
      <c r="AF10" s="240">
        <f t="shared" si="0"/>
        <v>0</v>
      </c>
      <c r="AG10" s="240">
        <f t="shared" si="0"/>
        <v>0</v>
      </c>
      <c r="AH10" s="256">
        <f t="shared" si="0"/>
        <v>0</v>
      </c>
      <c r="AI10" s="256">
        <f>AI343</f>
        <v>0</v>
      </c>
      <c r="AJ10" s="254">
        <f t="shared" si="0"/>
        <v>0</v>
      </c>
      <c r="AK10" s="254">
        <f t="shared" si="0"/>
        <v>0</v>
      </c>
      <c r="AL10" s="254">
        <f t="shared" si="0"/>
        <v>0</v>
      </c>
      <c r="AM10" s="257">
        <f t="shared" si="0"/>
        <v>1000</v>
      </c>
    </row>
    <row r="11" spans="1:39" ht="14.4" customHeight="1" thickTop="1" thickBot="1">
      <c r="A11" s="258" t="s">
        <v>0</v>
      </c>
      <c r="B11" s="143" t="s">
        <v>42</v>
      </c>
      <c r="C11" s="144">
        <v>1</v>
      </c>
      <c r="D11" s="144">
        <v>1</v>
      </c>
      <c r="E11" s="144">
        <v>1</v>
      </c>
      <c r="F11" s="144">
        <v>1</v>
      </c>
      <c r="G11" s="144">
        <v>1</v>
      </c>
      <c r="H11" s="144">
        <v>1</v>
      </c>
      <c r="I11" s="144">
        <v>1</v>
      </c>
      <c r="J11" s="144">
        <v>1</v>
      </c>
      <c r="K11" s="144">
        <v>1</v>
      </c>
      <c r="L11" s="144">
        <v>1</v>
      </c>
      <c r="M11" s="144">
        <v>1</v>
      </c>
      <c r="N11" s="144">
        <v>1</v>
      </c>
      <c r="O11" s="144">
        <v>1</v>
      </c>
      <c r="P11" s="144">
        <v>1</v>
      </c>
      <c r="Q11" s="144">
        <v>1</v>
      </c>
      <c r="R11" s="144">
        <v>1</v>
      </c>
      <c r="S11" s="144">
        <v>1</v>
      </c>
      <c r="T11" s="144">
        <v>1</v>
      </c>
      <c r="U11" s="144">
        <v>0.7</v>
      </c>
      <c r="V11" s="144">
        <v>0.6</v>
      </c>
      <c r="W11" s="144">
        <v>1</v>
      </c>
      <c r="X11" s="144">
        <v>1</v>
      </c>
      <c r="Y11" s="144">
        <v>1</v>
      </c>
      <c r="Z11" s="144">
        <v>1</v>
      </c>
      <c r="AA11" s="144">
        <v>1</v>
      </c>
      <c r="AB11" s="154">
        <v>1</v>
      </c>
      <c r="AC11" s="154">
        <v>1</v>
      </c>
      <c r="AD11" s="154">
        <v>1</v>
      </c>
      <c r="AE11" s="154">
        <v>1</v>
      </c>
      <c r="AF11" s="154">
        <v>1</v>
      </c>
      <c r="AG11" s="154">
        <v>1</v>
      </c>
      <c r="AH11" s="144">
        <v>1</v>
      </c>
      <c r="AI11" s="144">
        <v>1</v>
      </c>
      <c r="AJ11" s="144">
        <v>1</v>
      </c>
      <c r="AK11" s="144">
        <v>1</v>
      </c>
      <c r="AL11" s="144">
        <v>1</v>
      </c>
      <c r="AM11" s="145"/>
    </row>
    <row r="12" spans="1:39" ht="13.8" thickTop="1">
      <c r="A12" s="124"/>
      <c r="B12" s="23"/>
      <c r="C12" s="53"/>
      <c r="D12" s="53"/>
      <c r="E12" s="53"/>
      <c r="F12" s="53"/>
      <c r="G12" s="53"/>
      <c r="H12" s="53"/>
      <c r="I12" s="53"/>
      <c r="J12" s="53"/>
      <c r="K12" s="53"/>
      <c r="L12" s="53"/>
      <c r="M12" s="53"/>
      <c r="N12" s="53"/>
      <c r="O12" s="53"/>
      <c r="P12" s="53"/>
      <c r="Q12" s="53"/>
      <c r="R12" s="53"/>
      <c r="S12" s="53"/>
      <c r="T12" s="53">
        <v>500</v>
      </c>
      <c r="U12" s="53"/>
      <c r="V12" s="53"/>
      <c r="W12" s="53"/>
      <c r="X12" s="53"/>
      <c r="Y12" s="53"/>
      <c r="Z12" s="53"/>
      <c r="AA12" s="53"/>
      <c r="AB12" s="53"/>
      <c r="AC12" s="53"/>
      <c r="AD12" s="53"/>
      <c r="AE12" s="53"/>
      <c r="AF12" s="53"/>
      <c r="AG12" s="53"/>
      <c r="AH12" s="53"/>
      <c r="AI12" s="53"/>
      <c r="AJ12" s="53"/>
      <c r="AK12" s="53"/>
      <c r="AL12" s="53"/>
      <c r="AM12" s="207"/>
    </row>
    <row r="13" spans="1:39">
      <c r="A13" s="124"/>
      <c r="B13" s="23"/>
      <c r="C13" s="53"/>
      <c r="D13" s="53"/>
      <c r="E13" s="53"/>
      <c r="F13" s="53"/>
      <c r="G13" s="53"/>
      <c r="H13" s="53"/>
      <c r="I13" s="53"/>
      <c r="J13" s="53"/>
      <c r="K13" s="53"/>
      <c r="L13" s="53"/>
      <c r="M13" s="53"/>
      <c r="N13" s="53"/>
      <c r="O13" s="53"/>
      <c r="P13" s="53"/>
      <c r="Q13" s="53"/>
      <c r="R13" s="53"/>
      <c r="S13" s="53"/>
      <c r="T13" s="53">
        <v>500</v>
      </c>
      <c r="U13" s="53"/>
      <c r="V13" s="53"/>
      <c r="W13" s="53"/>
      <c r="X13" s="53"/>
      <c r="Y13" s="53"/>
      <c r="Z13" s="53"/>
      <c r="AA13" s="53"/>
      <c r="AB13" s="53"/>
      <c r="AC13" s="53"/>
      <c r="AD13" s="53"/>
      <c r="AE13" s="53"/>
      <c r="AF13" s="53"/>
      <c r="AG13" s="53"/>
      <c r="AH13" s="53"/>
      <c r="AI13" s="53"/>
      <c r="AJ13" s="53"/>
      <c r="AK13" s="53"/>
      <c r="AL13" s="53"/>
      <c r="AM13" s="207"/>
    </row>
    <row r="14" spans="1:39">
      <c r="A14" s="124"/>
      <c r="B14" s="12"/>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5"/>
    </row>
    <row r="15" spans="1:39">
      <c r="A15" s="124"/>
      <c r="B15" s="1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5"/>
    </row>
    <row r="16" spans="1:39">
      <c r="A16" s="124"/>
      <c r="B16" s="12"/>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5"/>
    </row>
    <row r="17" spans="1:39">
      <c r="A17" s="124"/>
      <c r="B17" s="1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5"/>
    </row>
    <row r="18" spans="1:39">
      <c r="A18" s="124"/>
      <c r="B18" s="12"/>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5"/>
    </row>
    <row r="19" spans="1:39">
      <c r="A19" s="124"/>
      <c r="B19" s="12"/>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5"/>
    </row>
    <row r="20" spans="1:39">
      <c r="A20" s="124"/>
      <c r="B20" s="12"/>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5"/>
    </row>
    <row r="21" spans="1:39">
      <c r="A21" s="124"/>
      <c r="B21" s="1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5"/>
    </row>
    <row r="22" spans="1:39">
      <c r="A22" s="124"/>
      <c r="B22" s="12"/>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5"/>
    </row>
    <row r="23" spans="1:39">
      <c r="A23" s="124"/>
      <c r="B23" s="12"/>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5"/>
    </row>
    <row r="24" spans="1:39">
      <c r="A24" s="124"/>
      <c r="B24" s="12"/>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5"/>
    </row>
    <row r="25" spans="1:39">
      <c r="A25" s="124"/>
      <c r="B25" s="12"/>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5"/>
    </row>
    <row r="26" spans="1:39">
      <c r="A26" s="124"/>
      <c r="B26" s="12"/>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5"/>
    </row>
    <row r="27" spans="1:39">
      <c r="A27" s="124"/>
      <c r="B27" s="12"/>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5"/>
    </row>
    <row r="28" spans="1:39">
      <c r="A28" s="124"/>
      <c r="B28" s="1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5"/>
    </row>
    <row r="29" spans="1:39">
      <c r="A29" s="124"/>
      <c r="B29" s="12"/>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5"/>
    </row>
    <row r="30" spans="1:39">
      <c r="A30" s="124"/>
      <c r="B30" s="12"/>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5"/>
    </row>
    <row r="31" spans="1:39">
      <c r="A31" s="124"/>
      <c r="B31" s="1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5"/>
    </row>
    <row r="32" spans="1:39">
      <c r="A32" s="124"/>
      <c r="B32" s="12"/>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5"/>
    </row>
    <row r="33" spans="1:39">
      <c r="A33" s="124"/>
      <c r="B33" s="1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5"/>
    </row>
    <row r="34" spans="1:39">
      <c r="A34" s="124"/>
      <c r="B34" s="12"/>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5"/>
    </row>
    <row r="35" spans="1:39" hidden="1">
      <c r="A35" s="124"/>
      <c r="B35" s="1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5"/>
    </row>
    <row r="36" spans="1:39" hidden="1">
      <c r="A36" s="124"/>
      <c r="B36" s="1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5"/>
    </row>
    <row r="37" spans="1:39">
      <c r="A37" s="124"/>
      <c r="B37" s="12"/>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5"/>
    </row>
    <row r="38" spans="1:39">
      <c r="A38" s="124"/>
      <c r="B38" s="1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5"/>
    </row>
    <row r="39" spans="1:39">
      <c r="A39" s="124"/>
      <c r="B39" s="12"/>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5"/>
    </row>
    <row r="40" spans="1:39">
      <c r="A40" s="124"/>
      <c r="B40" s="1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5"/>
    </row>
    <row r="41" spans="1:39">
      <c r="A41" s="124"/>
      <c r="B41" s="1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5"/>
    </row>
    <row r="42" spans="1:39">
      <c r="A42" s="124"/>
      <c r="B42" s="12"/>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5"/>
    </row>
    <row r="43" spans="1:39">
      <c r="A43" s="124"/>
      <c r="B43" s="12"/>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5"/>
    </row>
    <row r="44" spans="1:39">
      <c r="A44" s="124"/>
      <c r="B44" s="12"/>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5"/>
    </row>
    <row r="45" spans="1:39">
      <c r="A45" s="124"/>
      <c r="B45" s="1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5"/>
    </row>
    <row r="46" spans="1:39">
      <c r="A46" s="124"/>
      <c r="B46" s="1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5"/>
    </row>
    <row r="47" spans="1:39">
      <c r="A47" s="124"/>
      <c r="B47" s="1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5"/>
    </row>
    <row r="48" spans="1:39">
      <c r="A48" s="124"/>
      <c r="B48" s="1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5"/>
    </row>
    <row r="49" spans="1:39">
      <c r="A49" s="124"/>
      <c r="B49" s="1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5"/>
    </row>
    <row r="50" spans="1:39">
      <c r="A50" s="124"/>
      <c r="B50" s="1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5"/>
    </row>
    <row r="51" spans="1:39" ht="13.2" customHeight="1">
      <c r="A51" s="124"/>
      <c r="B51" s="1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5"/>
    </row>
    <row r="52" spans="1:39">
      <c r="A52" s="124"/>
      <c r="B52" s="1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5"/>
    </row>
    <row r="53" spans="1:39">
      <c r="A53" s="124"/>
      <c r="B53" s="12"/>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5"/>
    </row>
    <row r="54" spans="1:39">
      <c r="A54" s="124"/>
      <c r="B54" s="1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5"/>
    </row>
    <row r="55" spans="1:39">
      <c r="A55" s="124"/>
      <c r="B55" s="1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5"/>
    </row>
    <row r="56" spans="1:39">
      <c r="A56" s="124"/>
      <c r="B56" s="12"/>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5"/>
    </row>
    <row r="57" spans="1:39">
      <c r="A57" s="124"/>
      <c r="B57" s="1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5"/>
    </row>
    <row r="58" spans="1:39">
      <c r="A58" s="124"/>
      <c r="B58" s="1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5"/>
    </row>
    <row r="59" spans="1:39">
      <c r="A59" s="124"/>
      <c r="B59" s="12"/>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5"/>
    </row>
    <row r="60" spans="1:39">
      <c r="A60" s="124"/>
      <c r="B60" s="12"/>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5"/>
    </row>
    <row r="61" spans="1:39">
      <c r="A61" s="124"/>
      <c r="B61" s="1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5"/>
    </row>
    <row r="62" spans="1:39">
      <c r="A62" s="124"/>
      <c r="B62" s="12"/>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5"/>
    </row>
    <row r="63" spans="1:39">
      <c r="A63" s="124"/>
      <c r="B63" s="12"/>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5"/>
    </row>
    <row r="64" spans="1:39">
      <c r="A64" s="124"/>
      <c r="B64" s="12"/>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5"/>
    </row>
    <row r="65" spans="1:39">
      <c r="A65" s="124"/>
      <c r="B65" s="12"/>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5"/>
    </row>
    <row r="66" spans="1:39">
      <c r="A66" s="124"/>
      <c r="B66" s="12"/>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5"/>
    </row>
    <row r="67" spans="1:39">
      <c r="A67" s="124"/>
      <c r="B67" s="12"/>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5"/>
    </row>
    <row r="68" spans="1:39">
      <c r="A68" s="124"/>
      <c r="B68" s="12"/>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5"/>
    </row>
    <row r="69" spans="1:39">
      <c r="A69" s="124"/>
      <c r="B69" s="12"/>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5"/>
    </row>
    <row r="70" spans="1:39">
      <c r="A70" s="124"/>
      <c r="B70" s="12"/>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5"/>
    </row>
    <row r="71" spans="1:39">
      <c r="A71" s="124"/>
      <c r="B71" s="12"/>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5"/>
    </row>
    <row r="72" spans="1:39">
      <c r="A72" s="124"/>
      <c r="B72" s="12"/>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5"/>
    </row>
    <row r="73" spans="1:39">
      <c r="A73" s="124"/>
      <c r="B73" s="12"/>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5"/>
    </row>
    <row r="74" spans="1:39">
      <c r="A74" s="124"/>
      <c r="B74" s="12"/>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5"/>
    </row>
    <row r="75" spans="1:39">
      <c r="A75" s="124"/>
      <c r="B75" s="12"/>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5"/>
    </row>
    <row r="76" spans="1:39">
      <c r="A76" s="124"/>
      <c r="B76" s="12"/>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5"/>
    </row>
    <row r="77" spans="1:39">
      <c r="A77" s="124"/>
      <c r="B77" s="12"/>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5"/>
    </row>
    <row r="78" spans="1:39">
      <c r="A78" s="124"/>
      <c r="B78" s="12"/>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5"/>
    </row>
    <row r="79" spans="1:39">
      <c r="A79" s="124"/>
      <c r="B79" s="12"/>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5"/>
    </row>
    <row r="80" spans="1:39">
      <c r="A80" s="124"/>
      <c r="B80" s="12"/>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5"/>
    </row>
    <row r="81" spans="1:39">
      <c r="A81" s="124"/>
      <c r="B81" s="12"/>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5"/>
    </row>
    <row r="82" spans="1:39">
      <c r="A82" s="124"/>
      <c r="B82" s="12"/>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5"/>
    </row>
    <row r="83" spans="1:39">
      <c r="A83" s="124"/>
      <c r="B83" s="12"/>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5"/>
    </row>
    <row r="84" spans="1:39">
      <c r="A84" s="124"/>
      <c r="B84" s="12"/>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5"/>
    </row>
    <row r="85" spans="1:39">
      <c r="A85" s="124"/>
      <c r="B85" s="12"/>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5"/>
    </row>
    <row r="86" spans="1:39">
      <c r="A86" s="124"/>
      <c r="B86" s="12"/>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5"/>
    </row>
    <row r="87" spans="1:39">
      <c r="A87" s="124"/>
      <c r="B87" s="12"/>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5"/>
    </row>
    <row r="88" spans="1:39">
      <c r="A88" s="124"/>
      <c r="B88" s="12"/>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5"/>
    </row>
    <row r="89" spans="1:39">
      <c r="A89" s="124"/>
      <c r="B89" s="12"/>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5"/>
    </row>
    <row r="90" spans="1:39">
      <c r="A90" s="124"/>
      <c r="B90" s="12"/>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5"/>
    </row>
    <row r="91" spans="1:39">
      <c r="A91" s="124"/>
      <c r="B91" s="12"/>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5"/>
    </row>
    <row r="92" spans="1:39">
      <c r="A92" s="124"/>
      <c r="B92" s="12"/>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5"/>
    </row>
    <row r="93" spans="1:39">
      <c r="A93" s="124"/>
      <c r="B93" s="12"/>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5"/>
    </row>
    <row r="94" spans="1:39">
      <c r="A94" s="124"/>
      <c r="B94" s="12"/>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5"/>
    </row>
    <row r="95" spans="1:39">
      <c r="A95" s="124"/>
      <c r="B95" s="12"/>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5"/>
    </row>
    <row r="96" spans="1:39">
      <c r="A96" s="124"/>
      <c r="B96" s="12"/>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5"/>
    </row>
    <row r="97" spans="1:39">
      <c r="A97" s="124"/>
      <c r="B97" s="12"/>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5"/>
    </row>
    <row r="98" spans="1:39">
      <c r="A98" s="124"/>
      <c r="B98" s="12"/>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5"/>
    </row>
    <row r="99" spans="1:39">
      <c r="A99" s="124"/>
      <c r="B99" s="12"/>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5"/>
    </row>
    <row r="100" spans="1:39">
      <c r="A100" s="124"/>
      <c r="B100" s="12"/>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5"/>
    </row>
    <row r="101" spans="1:39">
      <c r="A101" s="124"/>
      <c r="B101" s="12"/>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5"/>
    </row>
    <row r="102" spans="1:39">
      <c r="A102" s="124"/>
      <c r="B102" s="12"/>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5"/>
    </row>
    <row r="103" spans="1:39">
      <c r="A103" s="124"/>
      <c r="B103" s="12"/>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5"/>
    </row>
    <row r="104" spans="1:39">
      <c r="A104" s="124"/>
      <c r="B104" s="12"/>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5"/>
    </row>
    <row r="105" spans="1:39">
      <c r="A105" s="124"/>
      <c r="B105" s="12"/>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5"/>
    </row>
    <row r="106" spans="1:39">
      <c r="A106" s="124"/>
      <c r="B106" s="12"/>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5"/>
    </row>
    <row r="107" spans="1:39">
      <c r="A107" s="124"/>
      <c r="B107" s="12"/>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5"/>
    </row>
    <row r="108" spans="1:39">
      <c r="A108" s="124"/>
      <c r="B108" s="12"/>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5"/>
    </row>
    <row r="109" spans="1:39">
      <c r="A109" s="124"/>
      <c r="B109" s="12"/>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5"/>
    </row>
    <row r="110" spans="1:39">
      <c r="A110" s="124"/>
      <c r="B110" s="12"/>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5"/>
    </row>
    <row r="111" spans="1:39">
      <c r="A111" s="124"/>
      <c r="B111" s="12"/>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5"/>
    </row>
    <row r="112" spans="1:39">
      <c r="A112" s="124"/>
      <c r="B112" s="12"/>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5"/>
    </row>
    <row r="113" spans="1:39">
      <c r="A113" s="124"/>
      <c r="B113" s="12"/>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5"/>
    </row>
    <row r="114" spans="1:39">
      <c r="A114" s="124"/>
      <c r="B114" s="12"/>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5"/>
    </row>
    <row r="115" spans="1:39">
      <c r="A115" s="124"/>
      <c r="B115" s="12"/>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5"/>
    </row>
    <row r="116" spans="1:39">
      <c r="A116" s="124"/>
      <c r="B116" s="12"/>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5"/>
    </row>
    <row r="117" spans="1:39">
      <c r="A117" s="124"/>
      <c r="B117" s="12"/>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5"/>
    </row>
    <row r="118" spans="1:39">
      <c r="A118" s="124"/>
      <c r="B118" s="12"/>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5"/>
    </row>
    <row r="119" spans="1:39">
      <c r="A119" s="124"/>
      <c r="B119" s="12"/>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5"/>
    </row>
    <row r="120" spans="1:39">
      <c r="A120" s="124"/>
      <c r="B120" s="12"/>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5"/>
    </row>
    <row r="121" spans="1:39">
      <c r="A121" s="124"/>
      <c r="B121" s="12"/>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5"/>
    </row>
    <row r="122" spans="1:39">
      <c r="A122" s="124"/>
      <c r="B122" s="12"/>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5"/>
    </row>
    <row r="123" spans="1:39">
      <c r="A123" s="124"/>
      <c r="B123" s="12"/>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5"/>
    </row>
    <row r="124" spans="1:39">
      <c r="A124" s="124"/>
      <c r="B124" s="12"/>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5"/>
    </row>
    <row r="125" spans="1:39">
      <c r="A125" s="124"/>
      <c r="B125" s="12"/>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5"/>
    </row>
    <row r="126" spans="1:39">
      <c r="A126" s="124"/>
      <c r="B126" s="12"/>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5"/>
    </row>
    <row r="127" spans="1:39">
      <c r="A127" s="124"/>
      <c r="B127" s="12"/>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5"/>
    </row>
    <row r="128" spans="1:39">
      <c r="A128" s="124"/>
      <c r="B128" s="12"/>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5"/>
    </row>
    <row r="129" spans="1:39">
      <c r="A129" s="124"/>
      <c r="B129" s="12"/>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5"/>
    </row>
    <row r="130" spans="1:39">
      <c r="A130" s="124"/>
      <c r="B130" s="12"/>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5"/>
    </row>
    <row r="131" spans="1:39">
      <c r="A131" s="124"/>
      <c r="B131" s="12"/>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5"/>
    </row>
    <row r="132" spans="1:39">
      <c r="A132" s="124"/>
      <c r="B132" s="12"/>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5"/>
    </row>
    <row r="133" spans="1:39">
      <c r="A133" s="124"/>
      <c r="B133" s="12"/>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5"/>
    </row>
    <row r="134" spans="1:39">
      <c r="A134" s="124"/>
      <c r="B134" s="12"/>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5"/>
    </row>
    <row r="135" spans="1:39">
      <c r="A135" s="124"/>
      <c r="B135" s="12"/>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5"/>
    </row>
    <row r="136" spans="1:39">
      <c r="A136" s="124"/>
      <c r="B136" s="12"/>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5"/>
    </row>
    <row r="137" spans="1:39">
      <c r="A137" s="124"/>
      <c r="B137" s="12"/>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5"/>
    </row>
    <row r="138" spans="1:39">
      <c r="A138" s="124"/>
      <c r="B138" s="12"/>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5"/>
    </row>
    <row r="139" spans="1:39">
      <c r="A139" s="124"/>
      <c r="B139" s="12"/>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5"/>
    </row>
    <row r="140" spans="1:39">
      <c r="A140" s="124"/>
      <c r="B140" s="12"/>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5"/>
    </row>
    <row r="141" spans="1:39">
      <c r="A141" s="124"/>
      <c r="B141" s="12"/>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5"/>
    </row>
    <row r="142" spans="1:39">
      <c r="A142" s="124"/>
      <c r="B142" s="12"/>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5"/>
    </row>
    <row r="143" spans="1:39">
      <c r="A143" s="124"/>
      <c r="B143" s="12"/>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5"/>
    </row>
    <row r="144" spans="1:39">
      <c r="A144" s="124"/>
      <c r="B144" s="12"/>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5"/>
    </row>
    <row r="145" spans="1:39">
      <c r="A145" s="124"/>
      <c r="B145" s="12"/>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5"/>
    </row>
    <row r="146" spans="1:39">
      <c r="A146" s="124"/>
      <c r="B146" s="12"/>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5"/>
    </row>
    <row r="147" spans="1:39">
      <c r="A147" s="124"/>
      <c r="B147" s="12"/>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5"/>
    </row>
    <row r="148" spans="1:39">
      <c r="A148" s="124"/>
      <c r="B148" s="12"/>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5"/>
    </row>
    <row r="149" spans="1:39">
      <c r="A149" s="124"/>
      <c r="B149" s="12"/>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5"/>
    </row>
    <row r="150" spans="1:39">
      <c r="A150" s="124"/>
      <c r="B150" s="12"/>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5"/>
    </row>
    <row r="151" spans="1:39">
      <c r="A151" s="124"/>
      <c r="B151" s="12"/>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5"/>
    </row>
    <row r="152" spans="1:39">
      <c r="A152" s="124"/>
      <c r="B152" s="12"/>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5"/>
    </row>
    <row r="153" spans="1:39">
      <c r="A153" s="124"/>
      <c r="B153" s="12"/>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5"/>
    </row>
    <row r="154" spans="1:39">
      <c r="A154" s="124"/>
      <c r="B154" s="12"/>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5"/>
    </row>
    <row r="155" spans="1:39">
      <c r="A155" s="124"/>
      <c r="B155" s="12"/>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5"/>
    </row>
    <row r="156" spans="1:39">
      <c r="A156" s="124"/>
      <c r="B156" s="12"/>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5"/>
    </row>
    <row r="157" spans="1:39">
      <c r="A157" s="124"/>
      <c r="B157" s="12"/>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5"/>
    </row>
    <row r="158" spans="1:39">
      <c r="A158" s="124"/>
      <c r="B158" s="12"/>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5"/>
    </row>
    <row r="159" spans="1:39">
      <c r="A159" s="124"/>
      <c r="B159" s="12"/>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5"/>
    </row>
    <row r="160" spans="1:39">
      <c r="A160" s="124"/>
      <c r="B160" s="12"/>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5"/>
    </row>
    <row r="161" spans="1:39">
      <c r="A161" s="124"/>
      <c r="B161" s="12"/>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5"/>
    </row>
    <row r="162" spans="1:39">
      <c r="A162" s="124"/>
      <c r="B162" s="12"/>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5"/>
    </row>
    <row r="163" spans="1:39">
      <c r="A163" s="124"/>
      <c r="B163" s="12"/>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5"/>
    </row>
    <row r="164" spans="1:39">
      <c r="A164" s="124"/>
      <c r="B164" s="12"/>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5"/>
    </row>
    <row r="165" spans="1:39">
      <c r="A165" s="124"/>
      <c r="B165" s="12"/>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5"/>
    </row>
    <row r="166" spans="1:39">
      <c r="A166" s="124"/>
      <c r="B166" s="12"/>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5"/>
    </row>
    <row r="167" spans="1:39">
      <c r="A167" s="124"/>
      <c r="B167" s="12"/>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5"/>
    </row>
    <row r="168" spans="1:39">
      <c r="A168" s="124"/>
      <c r="B168" s="12"/>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5"/>
    </row>
    <row r="169" spans="1:39">
      <c r="A169" s="124"/>
      <c r="B169" s="12"/>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5"/>
    </row>
    <row r="170" spans="1:39">
      <c r="A170" s="124"/>
      <c r="B170" s="12"/>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5"/>
    </row>
    <row r="171" spans="1:39">
      <c r="A171" s="124"/>
      <c r="B171" s="12"/>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5"/>
    </row>
    <row r="172" spans="1:39">
      <c r="A172" s="124"/>
      <c r="B172" s="12"/>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5"/>
    </row>
    <row r="173" spans="1:39">
      <c r="A173" s="124"/>
      <c r="B173" s="12"/>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5"/>
    </row>
    <row r="174" spans="1:39">
      <c r="A174" s="124"/>
      <c r="B174" s="12"/>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5"/>
    </row>
    <row r="175" spans="1:39">
      <c r="A175" s="124"/>
      <c r="B175" s="12"/>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5"/>
    </row>
    <row r="176" spans="1:39">
      <c r="A176" s="124"/>
      <c r="B176" s="12"/>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5"/>
    </row>
    <row r="177" spans="1:39">
      <c r="A177" s="124"/>
      <c r="B177" s="12"/>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5"/>
    </row>
    <row r="178" spans="1:39">
      <c r="A178" s="124"/>
      <c r="B178" s="12"/>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5"/>
    </row>
    <row r="179" spans="1:39">
      <c r="A179" s="124"/>
      <c r="B179" s="12"/>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5"/>
    </row>
    <row r="180" spans="1:39">
      <c r="A180" s="124"/>
      <c r="B180" s="12"/>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5"/>
    </row>
    <row r="181" spans="1:39">
      <c r="A181" s="124"/>
      <c r="B181" s="12"/>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5"/>
    </row>
    <row r="182" spans="1:39">
      <c r="A182" s="124"/>
      <c r="B182" s="12"/>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5"/>
    </row>
    <row r="183" spans="1:39">
      <c r="A183" s="124"/>
      <c r="B183" s="12"/>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5"/>
    </row>
    <row r="184" spans="1:39">
      <c r="A184" s="124"/>
      <c r="B184" s="12"/>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5"/>
    </row>
    <row r="185" spans="1:39">
      <c r="A185" s="124"/>
      <c r="B185" s="12"/>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5"/>
    </row>
    <row r="186" spans="1:39">
      <c r="A186" s="124"/>
      <c r="B186" s="12"/>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5"/>
    </row>
    <row r="187" spans="1:39">
      <c r="A187" s="124"/>
      <c r="B187" s="12"/>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5"/>
    </row>
    <row r="188" spans="1:39">
      <c r="A188" s="124"/>
      <c r="B188" s="12"/>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5"/>
    </row>
    <row r="189" spans="1:39">
      <c r="A189" s="124"/>
      <c r="B189" s="12"/>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5"/>
    </row>
    <row r="190" spans="1:39">
      <c r="A190" s="124"/>
      <c r="B190" s="12"/>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5"/>
    </row>
    <row r="191" spans="1:39">
      <c r="A191" s="124"/>
      <c r="B191" s="12"/>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5"/>
    </row>
    <row r="192" spans="1:39">
      <c r="A192" s="124"/>
      <c r="B192" s="12"/>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5"/>
    </row>
    <row r="193" spans="1:39">
      <c r="A193" s="124"/>
      <c r="B193" s="12"/>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5"/>
    </row>
    <row r="194" spans="1:39">
      <c r="A194" s="124"/>
      <c r="B194" s="12"/>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5"/>
    </row>
    <row r="195" spans="1:39">
      <c r="A195" s="124"/>
      <c r="B195" s="12"/>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5"/>
    </row>
    <row r="196" spans="1:39">
      <c r="A196" s="124"/>
      <c r="B196" s="12"/>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5"/>
    </row>
    <row r="197" spans="1:39">
      <c r="A197" s="124"/>
      <c r="B197" s="12"/>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5"/>
    </row>
    <row r="198" spans="1:39">
      <c r="A198" s="124"/>
      <c r="B198" s="12"/>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5"/>
    </row>
    <row r="199" spans="1:39">
      <c r="A199" s="124"/>
      <c r="B199" s="12"/>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5"/>
    </row>
    <row r="200" spans="1:39">
      <c r="A200" s="124"/>
      <c r="B200" s="12"/>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5"/>
    </row>
    <row r="201" spans="1:39">
      <c r="A201" s="124"/>
      <c r="B201" s="12"/>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5"/>
    </row>
    <row r="202" spans="1:39">
      <c r="A202" s="124"/>
      <c r="B202" s="12"/>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5"/>
    </row>
    <row r="203" spans="1:39">
      <c r="A203" s="124"/>
      <c r="B203" s="12"/>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5"/>
    </row>
    <row r="204" spans="1:39">
      <c r="A204" s="124"/>
      <c r="B204" s="12"/>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5"/>
    </row>
    <row r="205" spans="1:39">
      <c r="A205" s="124"/>
      <c r="B205" s="12"/>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5"/>
    </row>
    <row r="206" spans="1:39">
      <c r="A206" s="124"/>
      <c r="B206" s="12"/>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5"/>
    </row>
    <row r="207" spans="1:39">
      <c r="A207" s="124"/>
      <c r="B207" s="12"/>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5"/>
    </row>
    <row r="208" spans="1:39">
      <c r="A208" s="124"/>
      <c r="B208" s="12"/>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5"/>
    </row>
    <row r="209" spans="1:39">
      <c r="A209" s="124"/>
      <c r="B209" s="12"/>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5"/>
    </row>
    <row r="210" spans="1:39">
      <c r="A210" s="124"/>
      <c r="B210" s="12"/>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5"/>
    </row>
    <row r="211" spans="1:39">
      <c r="A211" s="124"/>
      <c r="B211" s="12"/>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5"/>
    </row>
    <row r="212" spans="1:39">
      <c r="A212" s="124"/>
      <c r="B212" s="12"/>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5"/>
    </row>
    <row r="213" spans="1:39">
      <c r="A213" s="124"/>
      <c r="B213" s="12"/>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5"/>
    </row>
    <row r="214" spans="1:39">
      <c r="A214" s="124"/>
      <c r="B214" s="12"/>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5"/>
    </row>
    <row r="215" spans="1:39">
      <c r="A215" s="124"/>
      <c r="B215" s="12"/>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5"/>
    </row>
    <row r="216" spans="1:39">
      <c r="A216" s="124"/>
      <c r="B216" s="12"/>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5"/>
    </row>
    <row r="217" spans="1:39">
      <c r="A217" s="124"/>
      <c r="B217" s="12"/>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5"/>
    </row>
    <row r="218" spans="1:39">
      <c r="A218" s="124"/>
      <c r="B218" s="12"/>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5"/>
    </row>
    <row r="219" spans="1:39">
      <c r="A219" s="124"/>
      <c r="B219" s="12"/>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5"/>
    </row>
    <row r="220" spans="1:39">
      <c r="A220" s="124"/>
      <c r="B220" s="12"/>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5"/>
    </row>
    <row r="221" spans="1:39">
      <c r="A221" s="124"/>
      <c r="B221" s="12"/>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5"/>
    </row>
    <row r="222" spans="1:39">
      <c r="A222" s="124"/>
      <c r="B222" s="12"/>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5"/>
    </row>
    <row r="223" spans="1:39">
      <c r="A223" s="124"/>
      <c r="B223" s="12"/>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5"/>
    </row>
    <row r="224" spans="1:39">
      <c r="A224" s="124"/>
      <c r="B224" s="12"/>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5"/>
    </row>
    <row r="225" spans="1:39">
      <c r="A225" s="124"/>
      <c r="B225" s="12"/>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5"/>
    </row>
    <row r="226" spans="1:39">
      <c r="A226" s="124"/>
      <c r="B226" s="12"/>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5"/>
    </row>
    <row r="227" spans="1:39">
      <c r="A227" s="124"/>
      <c r="B227" s="12"/>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5"/>
    </row>
    <row r="228" spans="1:39">
      <c r="A228" s="124"/>
      <c r="B228" s="12"/>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5"/>
    </row>
    <row r="229" spans="1:39">
      <c r="A229" s="124"/>
      <c r="B229" s="12"/>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5"/>
    </row>
    <row r="230" spans="1:39">
      <c r="A230" s="124"/>
      <c r="B230" s="12"/>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5"/>
    </row>
    <row r="231" spans="1:39">
      <c r="A231" s="124"/>
      <c r="B231" s="12"/>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5"/>
    </row>
    <row r="232" spans="1:39">
      <c r="A232" s="124"/>
      <c r="B232" s="12"/>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5"/>
    </row>
    <row r="233" spans="1:39">
      <c r="A233" s="124"/>
      <c r="B233" s="12"/>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5"/>
    </row>
    <row r="234" spans="1:39">
      <c r="A234" s="124"/>
      <c r="B234" s="12"/>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5"/>
    </row>
    <row r="235" spans="1:39">
      <c r="A235" s="124"/>
      <c r="B235" s="12"/>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5"/>
    </row>
    <row r="236" spans="1:39">
      <c r="A236" s="124"/>
      <c r="B236" s="12"/>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5"/>
    </row>
    <row r="237" spans="1:39">
      <c r="A237" s="124"/>
      <c r="B237" s="12"/>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5"/>
    </row>
    <row r="238" spans="1:39">
      <c r="A238" s="124"/>
      <c r="B238" s="12"/>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5"/>
    </row>
    <row r="239" spans="1:39">
      <c r="A239" s="124"/>
      <c r="B239" s="12"/>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5"/>
    </row>
    <row r="240" spans="1:39">
      <c r="A240" s="124"/>
      <c r="B240" s="12"/>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5"/>
    </row>
    <row r="241" spans="1:39">
      <c r="A241" s="124"/>
      <c r="B241" s="12"/>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5"/>
    </row>
    <row r="242" spans="1:39">
      <c r="A242" s="124"/>
      <c r="B242" s="12"/>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5"/>
    </row>
    <row r="243" spans="1:39">
      <c r="A243" s="124"/>
      <c r="B243" s="12"/>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5"/>
    </row>
    <row r="244" spans="1:39">
      <c r="A244" s="124"/>
      <c r="B244" s="12"/>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5"/>
    </row>
    <row r="245" spans="1:39">
      <c r="A245" s="124"/>
      <c r="B245" s="12"/>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5"/>
    </row>
    <row r="246" spans="1:39">
      <c r="A246" s="124"/>
      <c r="B246" s="12"/>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5"/>
    </row>
    <row r="247" spans="1:39">
      <c r="A247" s="124"/>
      <c r="B247" s="12"/>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5"/>
    </row>
    <row r="248" spans="1:39">
      <c r="A248" s="124"/>
      <c r="B248" s="12"/>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5"/>
    </row>
    <row r="249" spans="1:39">
      <c r="A249" s="124"/>
      <c r="B249" s="12"/>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5"/>
    </row>
    <row r="250" spans="1:39">
      <c r="A250" s="124"/>
      <c r="B250" s="12"/>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5"/>
    </row>
    <row r="251" spans="1:39">
      <c r="A251" s="124"/>
      <c r="B251" s="12"/>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5"/>
    </row>
    <row r="252" spans="1:39">
      <c r="A252" s="124"/>
      <c r="B252" s="12"/>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5"/>
    </row>
    <row r="253" spans="1:39">
      <c r="A253" s="124"/>
      <c r="B253" s="12"/>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5"/>
    </row>
    <row r="254" spans="1:39">
      <c r="A254" s="124"/>
      <c r="B254" s="12"/>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5"/>
    </row>
    <row r="255" spans="1:39">
      <c r="A255" s="124"/>
      <c r="B255" s="12"/>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5"/>
    </row>
    <row r="256" spans="1:39">
      <c r="A256" s="124"/>
      <c r="B256" s="12"/>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5"/>
    </row>
    <row r="257" spans="1:39">
      <c r="A257" s="124"/>
      <c r="B257" s="12"/>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5"/>
    </row>
    <row r="258" spans="1:39">
      <c r="A258" s="124"/>
      <c r="B258" s="12"/>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5"/>
    </row>
    <row r="259" spans="1:39">
      <c r="A259" s="124"/>
      <c r="B259" s="12"/>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5"/>
    </row>
    <row r="260" spans="1:39">
      <c r="A260" s="124"/>
      <c r="B260" s="12"/>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5"/>
    </row>
    <row r="261" spans="1:39">
      <c r="A261" s="124"/>
      <c r="B261" s="12"/>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5"/>
    </row>
    <row r="262" spans="1:39">
      <c r="A262" s="124"/>
      <c r="B262" s="12"/>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5"/>
    </row>
    <row r="263" spans="1:39">
      <c r="A263" s="124"/>
      <c r="B263" s="12"/>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5"/>
    </row>
    <row r="264" spans="1:39">
      <c r="A264" s="124"/>
      <c r="B264" s="12"/>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5"/>
    </row>
    <row r="265" spans="1:39">
      <c r="A265" s="124"/>
      <c r="B265" s="12"/>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5"/>
    </row>
    <row r="266" spans="1:39">
      <c r="A266" s="124"/>
      <c r="B266" s="12"/>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5"/>
    </row>
    <row r="267" spans="1:39">
      <c r="A267" s="124"/>
      <c r="B267" s="12"/>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5"/>
    </row>
    <row r="268" spans="1:39">
      <c r="A268" s="124"/>
      <c r="B268" s="12"/>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5"/>
    </row>
    <row r="269" spans="1:39">
      <c r="A269" s="124"/>
      <c r="B269" s="12"/>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5"/>
    </row>
    <row r="270" spans="1:39">
      <c r="A270" s="124"/>
      <c r="B270" s="12"/>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5"/>
    </row>
    <row r="271" spans="1:39">
      <c r="A271" s="124"/>
      <c r="B271" s="12"/>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5"/>
    </row>
    <row r="272" spans="1:39">
      <c r="A272" s="124"/>
      <c r="B272" s="12"/>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5"/>
    </row>
    <row r="273" spans="1:39">
      <c r="A273" s="124"/>
      <c r="B273" s="12"/>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5"/>
    </row>
    <row r="274" spans="1:39">
      <c r="A274" s="124"/>
      <c r="B274" s="12"/>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5"/>
    </row>
    <row r="275" spans="1:39">
      <c r="A275" s="124"/>
      <c r="B275" s="12"/>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5"/>
    </row>
    <row r="276" spans="1:39">
      <c r="A276" s="124"/>
      <c r="B276" s="12"/>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5"/>
    </row>
    <row r="277" spans="1:39">
      <c r="A277" s="124"/>
      <c r="B277" s="12"/>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5"/>
    </row>
    <row r="278" spans="1:39">
      <c r="A278" s="124"/>
      <c r="B278" s="12"/>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5"/>
    </row>
    <row r="279" spans="1:39">
      <c r="A279" s="124"/>
      <c r="B279" s="12"/>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5"/>
    </row>
    <row r="280" spans="1:39">
      <c r="A280" s="124"/>
      <c r="B280" s="12"/>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5"/>
    </row>
    <row r="281" spans="1:39">
      <c r="A281" s="124"/>
      <c r="B281" s="12"/>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5"/>
    </row>
    <row r="282" spans="1:39">
      <c r="A282" s="124"/>
      <c r="B282" s="12"/>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5"/>
    </row>
    <row r="283" spans="1:39">
      <c r="A283" s="124"/>
      <c r="B283" s="12"/>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5"/>
    </row>
    <row r="284" spans="1:39">
      <c r="A284" s="124"/>
      <c r="B284" s="12"/>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5"/>
    </row>
    <row r="285" spans="1:39">
      <c r="A285" s="124"/>
      <c r="B285" s="12"/>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5"/>
    </row>
    <row r="286" spans="1:39">
      <c r="A286" s="124"/>
      <c r="B286" s="12"/>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5"/>
    </row>
    <row r="287" spans="1:39">
      <c r="A287" s="124"/>
      <c r="B287" s="12"/>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5"/>
    </row>
    <row r="288" spans="1:39">
      <c r="A288" s="124"/>
      <c r="B288" s="12"/>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5"/>
    </row>
    <row r="289" spans="1:39">
      <c r="A289" s="124"/>
      <c r="B289" s="12"/>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5"/>
    </row>
    <row r="290" spans="1:39">
      <c r="A290" s="124"/>
      <c r="B290" s="12"/>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5"/>
    </row>
    <row r="291" spans="1:39">
      <c r="A291" s="124"/>
      <c r="B291" s="12"/>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5"/>
    </row>
    <row r="292" spans="1:39">
      <c r="A292" s="124"/>
      <c r="B292" s="12"/>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5"/>
    </row>
    <row r="293" spans="1:39">
      <c r="A293" s="124"/>
      <c r="B293" s="12"/>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5"/>
    </row>
    <row r="294" spans="1:39">
      <c r="A294" s="124"/>
      <c r="B294" s="12"/>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5"/>
    </row>
    <row r="295" spans="1:39">
      <c r="A295" s="124"/>
      <c r="B295" s="12"/>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5"/>
    </row>
    <row r="296" spans="1:39">
      <c r="A296" s="124"/>
      <c r="B296" s="12"/>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5"/>
    </row>
    <row r="297" spans="1:39">
      <c r="A297" s="124"/>
      <c r="B297" s="12"/>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5"/>
    </row>
    <row r="298" spans="1:39">
      <c r="A298" s="124"/>
      <c r="B298" s="12"/>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5"/>
    </row>
    <row r="299" spans="1:39">
      <c r="A299" s="124"/>
      <c r="B299" s="12"/>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5"/>
    </row>
    <row r="300" spans="1:39">
      <c r="A300" s="124"/>
      <c r="B300" s="12"/>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5"/>
    </row>
    <row r="301" spans="1:39">
      <c r="A301" s="124"/>
      <c r="B301" s="12"/>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5"/>
    </row>
    <row r="302" spans="1:39">
      <c r="A302" s="124"/>
      <c r="B302" s="12"/>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5"/>
    </row>
    <row r="303" spans="1:39">
      <c r="A303" s="124"/>
      <c r="B303" s="12"/>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5"/>
    </row>
    <row r="304" spans="1:39">
      <c r="A304" s="124"/>
      <c r="B304" s="12"/>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5"/>
    </row>
    <row r="305" spans="1:39">
      <c r="A305" s="124"/>
      <c r="B305" s="12"/>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5"/>
    </row>
    <row r="306" spans="1:39">
      <c r="A306" s="124"/>
      <c r="B306" s="12"/>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5"/>
    </row>
    <row r="307" spans="1:39">
      <c r="A307" s="124"/>
      <c r="B307" s="12"/>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5"/>
    </row>
    <row r="308" spans="1:39">
      <c r="A308" s="124"/>
      <c r="B308" s="12"/>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5"/>
    </row>
    <row r="309" spans="1:39">
      <c r="A309" s="124"/>
      <c r="B309" s="12"/>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5"/>
    </row>
    <row r="310" spans="1:39">
      <c r="A310" s="124"/>
      <c r="B310" s="12"/>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5"/>
    </row>
    <row r="311" spans="1:39">
      <c r="A311" s="124"/>
      <c r="B311" s="12"/>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5"/>
    </row>
    <row r="312" spans="1:39">
      <c r="A312" s="124"/>
      <c r="B312" s="12"/>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5"/>
    </row>
    <row r="313" spans="1:39">
      <c r="A313" s="124"/>
      <c r="B313" s="12"/>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5"/>
    </row>
    <row r="314" spans="1:39">
      <c r="A314" s="124"/>
      <c r="B314" s="12"/>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5"/>
    </row>
    <row r="315" spans="1:39">
      <c r="A315" s="124"/>
      <c r="B315" s="12"/>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5"/>
    </row>
    <row r="316" spans="1:39">
      <c r="A316" s="124"/>
      <c r="B316" s="12"/>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5"/>
    </row>
    <row r="317" spans="1:39">
      <c r="A317" s="124"/>
      <c r="B317" s="12"/>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5"/>
    </row>
    <row r="318" spans="1:39">
      <c r="A318" s="124"/>
      <c r="B318" s="12"/>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5"/>
    </row>
    <row r="319" spans="1:39">
      <c r="A319" s="124"/>
      <c r="B319" s="12"/>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5"/>
    </row>
    <row r="320" spans="1:39">
      <c r="A320" s="124"/>
      <c r="B320" s="12"/>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5"/>
    </row>
    <row r="321" spans="1:39">
      <c r="A321" s="124"/>
      <c r="B321" s="12"/>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5"/>
    </row>
    <row r="322" spans="1:39">
      <c r="A322" s="124"/>
      <c r="B322" s="12"/>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5"/>
    </row>
    <row r="323" spans="1:39">
      <c r="A323" s="124"/>
      <c r="B323" s="12"/>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5"/>
    </row>
    <row r="324" spans="1:39">
      <c r="A324" s="124"/>
      <c r="B324" s="12"/>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5"/>
    </row>
    <row r="325" spans="1:39">
      <c r="A325" s="124"/>
      <c r="B325" s="12"/>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5"/>
    </row>
    <row r="326" spans="1:39">
      <c r="A326" s="124"/>
      <c r="B326" s="12"/>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5"/>
    </row>
    <row r="327" spans="1:39">
      <c r="A327" s="124"/>
      <c r="B327" s="12"/>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5"/>
    </row>
    <row r="328" spans="1:39">
      <c r="A328" s="124"/>
      <c r="B328" s="12"/>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5"/>
    </row>
    <row r="329" spans="1:39">
      <c r="A329" s="124"/>
      <c r="B329" s="12"/>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5"/>
    </row>
    <row r="330" spans="1:39">
      <c r="A330" s="124"/>
      <c r="B330" s="12"/>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5"/>
    </row>
    <row r="331" spans="1:39">
      <c r="A331" s="124"/>
      <c r="B331" s="12"/>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5"/>
    </row>
    <row r="332" spans="1:39">
      <c r="A332" s="124"/>
      <c r="B332" s="12"/>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5"/>
    </row>
    <row r="333" spans="1:39">
      <c r="A333" s="124"/>
      <c r="B333" s="12"/>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5"/>
    </row>
    <row r="334" spans="1:39">
      <c r="A334" s="124"/>
      <c r="B334" s="12"/>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5"/>
    </row>
    <row r="335" spans="1:39">
      <c r="A335" s="124"/>
      <c r="B335" s="12"/>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5"/>
    </row>
    <row r="336" spans="1:39">
      <c r="A336" s="124"/>
      <c r="B336" s="12"/>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5"/>
    </row>
    <row r="337" spans="1:39">
      <c r="A337" s="124"/>
      <c r="B337" s="12"/>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5"/>
    </row>
    <row r="338" spans="1:39">
      <c r="A338" s="124"/>
      <c r="B338" s="12"/>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5"/>
    </row>
    <row r="339" spans="1:39">
      <c r="A339" s="124"/>
      <c r="B339" s="12"/>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5"/>
    </row>
    <row r="340" spans="1:39">
      <c r="A340" s="124"/>
      <c r="B340" s="12"/>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5"/>
    </row>
    <row r="341" spans="1:39">
      <c r="A341" s="124"/>
      <c r="B341" s="12"/>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5"/>
    </row>
    <row r="342" spans="1:39">
      <c r="A342" s="118"/>
      <c r="B342" s="13"/>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c r="AL342" s="100"/>
      <c r="AM342" s="101"/>
    </row>
    <row r="343" spans="1:39" ht="13.8" thickBot="1">
      <c r="A343" s="2"/>
      <c r="B343" s="24" t="s">
        <v>250</v>
      </c>
      <c r="C343" s="273">
        <f t="shared" ref="C343:AL343" si="4">SUM(C12:C342)*C11</f>
        <v>0</v>
      </c>
      <c r="D343" s="273">
        <f t="shared" si="4"/>
        <v>0</v>
      </c>
      <c r="E343" s="273">
        <f t="shared" si="4"/>
        <v>0</v>
      </c>
      <c r="F343" s="273">
        <f t="shared" si="4"/>
        <v>0</v>
      </c>
      <c r="G343" s="273">
        <f t="shared" si="4"/>
        <v>0</v>
      </c>
      <c r="H343" s="273">
        <f t="shared" si="4"/>
        <v>0</v>
      </c>
      <c r="I343" s="273">
        <f t="shared" si="4"/>
        <v>0</v>
      </c>
      <c r="J343" s="273">
        <f t="shared" si="4"/>
        <v>0</v>
      </c>
      <c r="K343" s="273">
        <f t="shared" si="4"/>
        <v>0</v>
      </c>
      <c r="L343" s="273">
        <f t="shared" si="4"/>
        <v>0</v>
      </c>
      <c r="M343" s="273">
        <f t="shared" ref="M343" si="5">SUM(M12:M342)*M11</f>
        <v>0</v>
      </c>
      <c r="N343" s="273">
        <f t="shared" si="4"/>
        <v>0</v>
      </c>
      <c r="O343" s="273">
        <f t="shared" si="4"/>
        <v>0</v>
      </c>
      <c r="P343" s="273">
        <f t="shared" si="4"/>
        <v>0</v>
      </c>
      <c r="Q343" s="273">
        <f t="shared" si="4"/>
        <v>0</v>
      </c>
      <c r="R343" s="273">
        <f t="shared" si="4"/>
        <v>0</v>
      </c>
      <c r="S343" s="273">
        <f t="shared" si="4"/>
        <v>0</v>
      </c>
      <c r="T343" s="273">
        <f t="shared" si="4"/>
        <v>1000</v>
      </c>
      <c r="U343" s="273">
        <f t="shared" si="4"/>
        <v>0</v>
      </c>
      <c r="V343" s="273">
        <f t="shared" si="4"/>
        <v>0</v>
      </c>
      <c r="W343" s="273">
        <f t="shared" si="4"/>
        <v>0</v>
      </c>
      <c r="X343" s="273">
        <f t="shared" si="4"/>
        <v>0</v>
      </c>
      <c r="Y343" s="273">
        <f t="shared" si="4"/>
        <v>0</v>
      </c>
      <c r="Z343" s="273">
        <f t="shared" si="4"/>
        <v>0</v>
      </c>
      <c r="AA343" s="273">
        <f t="shared" si="4"/>
        <v>0</v>
      </c>
      <c r="AB343" s="273">
        <f t="shared" si="4"/>
        <v>0</v>
      </c>
      <c r="AC343" s="273">
        <f t="shared" si="4"/>
        <v>0</v>
      </c>
      <c r="AD343" s="273">
        <f t="shared" si="4"/>
        <v>0</v>
      </c>
      <c r="AE343" s="273">
        <f t="shared" si="4"/>
        <v>0</v>
      </c>
      <c r="AF343" s="273">
        <f t="shared" si="4"/>
        <v>0</v>
      </c>
      <c r="AG343" s="273">
        <f t="shared" si="4"/>
        <v>0</v>
      </c>
      <c r="AH343" s="273">
        <f t="shared" si="4"/>
        <v>0</v>
      </c>
      <c r="AI343" s="273">
        <f t="shared" si="4"/>
        <v>0</v>
      </c>
      <c r="AJ343" s="273">
        <f t="shared" si="4"/>
        <v>0</v>
      </c>
      <c r="AK343" s="273">
        <f t="shared" si="4"/>
        <v>0</v>
      </c>
      <c r="AL343" s="273">
        <f t="shared" si="4"/>
        <v>0</v>
      </c>
      <c r="AM343" s="274">
        <f>SUM(C343:AL343)-F343/2-G343/2-X343-Y343-AI343/2-AF343/2</f>
        <v>1000</v>
      </c>
    </row>
    <row r="344" spans="1:39">
      <c r="A344" s="8"/>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row>
    <row r="345" spans="1:39">
      <c r="A345" s="8"/>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row>
    <row r="346" spans="1:39">
      <c r="A346" s="8"/>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row>
    <row r="347" spans="1:39">
      <c r="A347" s="8"/>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row>
    <row r="348" spans="1:39">
      <c r="A348" s="8"/>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row>
    <row r="349" spans="1:39">
      <c r="A349" s="8"/>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row>
    <row r="350" spans="1:39">
      <c r="A350" s="8"/>
      <c r="B350" s="9"/>
      <c r="C350" s="9"/>
      <c r="D350" s="9"/>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row>
    <row r="351" spans="1:39">
      <c r="A351" s="8"/>
      <c r="B351" s="9"/>
      <c r="C351" s="9"/>
      <c r="D351" s="9"/>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row>
    <row r="352" spans="1:39">
      <c r="A352" s="8"/>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row>
    <row r="353" spans="1:39">
      <c r="A353" s="8"/>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row>
    <row r="354" spans="1:39">
      <c r="A354" s="8"/>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row>
    <row r="355" spans="1:39">
      <c r="A355" s="8"/>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row>
    <row r="356" spans="1:39">
      <c r="A356" s="8"/>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row>
  </sheetData>
  <sheetProtection sheet="1" objects="1" scenarios="1"/>
  <sortState xmlns:xlrd2="http://schemas.microsoft.com/office/spreadsheetml/2017/richdata2" ref="A12:AP101">
    <sortCondition ref="A12:A101"/>
  </sortState>
  <mergeCells count="7">
    <mergeCell ref="AF7:AG7"/>
    <mergeCell ref="K5:O5"/>
    <mergeCell ref="A1:AC1"/>
    <mergeCell ref="K3:O3"/>
    <mergeCell ref="AB5:AE5"/>
    <mergeCell ref="K4:O4"/>
    <mergeCell ref="X7:Y7"/>
  </mergeCells>
  <phoneticPr fontId="1" type="noConversion"/>
  <pageMargins left="0.27559055118110237" right="0.18" top="0.59055118110236227" bottom="0.39370078740157483" header="0.51181102362204722" footer="0.51181102362204722"/>
  <pageSetup paperSize="5" orientation="landscape"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40"/>
  <sheetViews>
    <sheetView zoomScale="130" zoomScaleNormal="130" workbookViewId="0">
      <selection activeCell="A3" sqref="A3"/>
    </sheetView>
  </sheetViews>
  <sheetFormatPr baseColWidth="10" defaultRowHeight="13.2"/>
  <cols>
    <col min="1" max="1" width="21.33203125" customWidth="1"/>
    <col min="2" max="2" width="12.109375" customWidth="1"/>
    <col min="4" max="4" width="12.109375" customWidth="1"/>
    <col min="7" max="7" width="10.6640625" customWidth="1"/>
    <col min="10" max="10" width="13" customWidth="1"/>
  </cols>
  <sheetData>
    <row r="1" spans="1:19" ht="22.8">
      <c r="A1" s="292" t="s">
        <v>433</v>
      </c>
      <c r="B1" s="292"/>
      <c r="C1" s="292"/>
      <c r="D1" s="292"/>
      <c r="E1" s="292"/>
      <c r="F1" s="292"/>
      <c r="G1" s="292"/>
      <c r="H1" s="292"/>
      <c r="I1" s="292"/>
      <c r="J1" s="292"/>
    </row>
    <row r="2" spans="1:19" ht="17.399999999999999">
      <c r="A2" s="3"/>
    </row>
    <row r="3" spans="1:19" ht="17.399999999999999">
      <c r="A3" s="3" t="s">
        <v>164</v>
      </c>
    </row>
    <row r="4" spans="1:19" ht="6" customHeight="1">
      <c r="A4" s="3"/>
    </row>
    <row r="5" spans="1:19" ht="15.6">
      <c r="A5" s="166" t="s">
        <v>163</v>
      </c>
      <c r="B5" s="120"/>
      <c r="C5" s="120"/>
      <c r="D5" s="120"/>
      <c r="E5" s="120"/>
      <c r="F5" s="120"/>
      <c r="G5" s="120"/>
      <c r="H5" s="120"/>
      <c r="I5" s="120"/>
    </row>
    <row r="6" spans="1:19" ht="15">
      <c r="A6" s="32" t="s">
        <v>165</v>
      </c>
      <c r="D6" s="39"/>
    </row>
    <row r="7" spans="1:19" ht="15">
      <c r="A7" s="32" t="s">
        <v>167</v>
      </c>
      <c r="D7" s="38"/>
    </row>
    <row r="8" spans="1:19" ht="6" customHeight="1">
      <c r="A8" s="32"/>
      <c r="D8" s="38"/>
    </row>
    <row r="9" spans="1:19" ht="15">
      <c r="A9" s="32" t="s">
        <v>391</v>
      </c>
    </row>
    <row r="10" spans="1:19" ht="15.6" thickBot="1">
      <c r="A10" s="32"/>
    </row>
    <row r="11" spans="1:19" ht="14.4" thickTop="1">
      <c r="A11" s="4"/>
      <c r="B11" s="40" t="s">
        <v>32</v>
      </c>
      <c r="C11" s="41" t="s">
        <v>387</v>
      </c>
      <c r="D11" s="42" t="s">
        <v>12</v>
      </c>
      <c r="E11" s="41" t="str">
        <f>IF(Identification!B7=1,"intérêts","loyer")</f>
        <v>intérêts</v>
      </c>
      <c r="F11" s="41" t="str">
        <f>IF(Identification!B7=1,"Taxes","")</f>
        <v>Taxes</v>
      </c>
      <c r="G11" s="41" t="str">
        <f>IF(Identification!B7=1,"Taxes","")</f>
        <v>Taxes</v>
      </c>
      <c r="H11" s="41" t="s">
        <v>3</v>
      </c>
      <c r="I11" s="41" t="s">
        <v>3</v>
      </c>
      <c r="J11" s="43" t="s">
        <v>23</v>
      </c>
    </row>
    <row r="12" spans="1:19" ht="14.4" thickBot="1">
      <c r="A12" s="5"/>
      <c r="B12" s="44" t="s">
        <v>33</v>
      </c>
      <c r="C12" s="45" t="str">
        <f>IF(Identification!B7=1,"maison","pour locataire")</f>
        <v>maison</v>
      </c>
      <c r="D12" s="46" t="s">
        <v>169</v>
      </c>
      <c r="E12" s="45" t="str">
        <f>IF(Identification!B7=1,"hypothèque","total année")</f>
        <v>hypothèque</v>
      </c>
      <c r="F12" s="45" t="str">
        <f>IF(Identification!B7=1,"municipales","")</f>
        <v>municipales</v>
      </c>
      <c r="G12" s="45" t="str">
        <f>IF(Identification!B7=1,"scolaires","")</f>
        <v>scolaires</v>
      </c>
      <c r="H12" s="45" t="s">
        <v>62</v>
      </c>
      <c r="I12" s="44" t="s">
        <v>168</v>
      </c>
      <c r="J12" s="47" t="s">
        <v>24</v>
      </c>
      <c r="L12" s="108"/>
      <c r="O12" s="21" t="s">
        <v>254</v>
      </c>
      <c r="P12" s="21" t="s">
        <v>255</v>
      </c>
      <c r="Q12" s="21" t="s">
        <v>258</v>
      </c>
      <c r="R12" s="21" t="s">
        <v>256</v>
      </c>
      <c r="S12" s="21" t="s">
        <v>257</v>
      </c>
    </row>
    <row r="13" spans="1:19" ht="14.4" thickTop="1">
      <c r="A13" s="48" t="s">
        <v>34</v>
      </c>
      <c r="B13" s="58"/>
      <c r="C13" s="59"/>
      <c r="D13" s="60"/>
      <c r="E13" s="59"/>
      <c r="F13" s="61"/>
      <c r="G13" s="61"/>
      <c r="H13" s="61"/>
      <c r="I13" s="61"/>
      <c r="J13" s="260">
        <f>C26</f>
        <v>0.1</v>
      </c>
      <c r="L13" s="106"/>
      <c r="O13" s="106">
        <f>B13+D13+H13+I13</f>
        <v>0</v>
      </c>
      <c r="P13">
        <f>O13/(1.05*1.095)</f>
        <v>0</v>
      </c>
    </row>
    <row r="14" spans="1:19" ht="14.4" thickBot="1">
      <c r="A14" s="49" t="s">
        <v>342</v>
      </c>
      <c r="B14" s="259">
        <f>IF(Identification!$B$10=1,B13/Identification!$B8,B13)</f>
        <v>0</v>
      </c>
      <c r="C14" s="259">
        <f>IF(Identification!$B$10=1,C13/Identification!$B8,C13)</f>
        <v>0</v>
      </c>
      <c r="D14" s="259">
        <f>IF(Identification!$B$10=1,D13/Identification!$B8,D13)</f>
        <v>0</v>
      </c>
      <c r="E14" s="259">
        <f>IF(Identification!$B$10=1,E13/Identification!$B8,E13)</f>
        <v>0</v>
      </c>
      <c r="F14" s="259">
        <f>IF(Identification!$B$10=1,F13/Identification!$B8,F13)</f>
        <v>0</v>
      </c>
      <c r="G14" s="259">
        <f>IF(Identification!$B$10=1,G13/Identification!$B8,G13)</f>
        <v>0</v>
      </c>
      <c r="H14" s="259">
        <f>IF(Identification!$B$10=1,H13/Identification!$B8,H13)</f>
        <v>0</v>
      </c>
      <c r="I14" s="259">
        <f>IF(Identification!$B$10=1,I13/Identification!$B8,I13)</f>
        <v>0</v>
      </c>
      <c r="J14" s="260"/>
      <c r="L14" s="106"/>
      <c r="O14" s="106"/>
    </row>
    <row r="15" spans="1:19" ht="15" thickTop="1" thickBot="1">
      <c r="A15" s="146" t="s">
        <v>157</v>
      </c>
      <c r="B15" s="261">
        <f>IF(TPS!$B$3=2,B14,B14-(B14-B14/(1.05*1.095))*$J$13)</f>
        <v>0</v>
      </c>
      <c r="C15" s="261">
        <f>C14</f>
        <v>0</v>
      </c>
      <c r="D15" s="261">
        <f>IF(TPS!$B$3=2,D14,D14-(D14-D14/(1.05*1.095))*$J$13)</f>
        <v>0</v>
      </c>
      <c r="E15" s="261">
        <f>E14</f>
        <v>0</v>
      </c>
      <c r="F15" s="261">
        <f>F14</f>
        <v>0</v>
      </c>
      <c r="G15" s="261">
        <f>G14</f>
        <v>0</v>
      </c>
      <c r="H15" s="261">
        <f>IF(TPS!$B$3=2,H14,H14-(H14-H14/(1.05*1.095))*$J$13)</f>
        <v>0</v>
      </c>
      <c r="I15" s="261">
        <f>IF(TPS!$B$3=2,I14,I14-(I14-I14/(1.05*1.095))*$J$13)</f>
        <v>0</v>
      </c>
      <c r="J15" s="262"/>
      <c r="L15" s="106"/>
      <c r="N15" s="7">
        <f>J13</f>
        <v>0.1</v>
      </c>
      <c r="O15" s="106">
        <f>O13*N15</f>
        <v>0</v>
      </c>
      <c r="P15" s="106">
        <f>P13*N15</f>
        <v>0</v>
      </c>
      <c r="Q15" s="106">
        <f>P15*5%+P15*1.05*9.5%</f>
        <v>0</v>
      </c>
      <c r="R15">
        <f>TPS!D17</f>
        <v>0</v>
      </c>
      <c r="S15">
        <f>P15*5%*(1-N15)</f>
        <v>0</v>
      </c>
    </row>
    <row r="16" spans="1:19" ht="14.4" thickTop="1">
      <c r="A16" s="50" t="s">
        <v>35</v>
      </c>
      <c r="B16" s="263">
        <f>B15*$J$13</f>
        <v>0</v>
      </c>
      <c r="C16" s="263">
        <f t="shared" ref="C16:I16" si="0">C15*$J$13</f>
        <v>0</v>
      </c>
      <c r="D16" s="263">
        <f t="shared" si="0"/>
        <v>0</v>
      </c>
      <c r="E16" s="263">
        <f t="shared" si="0"/>
        <v>0</v>
      </c>
      <c r="F16" s="263">
        <f t="shared" si="0"/>
        <v>0</v>
      </c>
      <c r="G16" s="263">
        <f t="shared" si="0"/>
        <v>0</v>
      </c>
      <c r="H16" s="263">
        <f t="shared" si="0"/>
        <v>0</v>
      </c>
      <c r="I16" s="263">
        <f t="shared" si="0"/>
        <v>0</v>
      </c>
      <c r="J16" s="264">
        <f>SUM(B16:I16)</f>
        <v>0</v>
      </c>
      <c r="P16">
        <f>R15</f>
        <v>0</v>
      </c>
    </row>
    <row r="17" spans="1:16" ht="14.4" thickBot="1">
      <c r="A17" s="51" t="s">
        <v>36</v>
      </c>
      <c r="B17" s="265">
        <f t="shared" ref="B17:I17" si="1">B13-B16</f>
        <v>0</v>
      </c>
      <c r="C17" s="265">
        <f t="shared" si="1"/>
        <v>0</v>
      </c>
      <c r="D17" s="265">
        <f t="shared" si="1"/>
        <v>0</v>
      </c>
      <c r="E17" s="265">
        <f t="shared" si="1"/>
        <v>0</v>
      </c>
      <c r="F17" s="265">
        <f t="shared" si="1"/>
        <v>0</v>
      </c>
      <c r="G17" s="265">
        <f t="shared" si="1"/>
        <v>0</v>
      </c>
      <c r="H17" s="265">
        <f t="shared" si="1"/>
        <v>0</v>
      </c>
      <c r="I17" s="265">
        <f t="shared" si="1"/>
        <v>0</v>
      </c>
      <c r="J17" s="266">
        <f>SUM(B17:I17)</f>
        <v>0</v>
      </c>
      <c r="P17" s="106">
        <f>SUM(P15:P16)</f>
        <v>0</v>
      </c>
    </row>
    <row r="18" spans="1:16" ht="14.4" thickTop="1" thickBot="1">
      <c r="G18" s="68">
        <f>F15+G15</f>
        <v>0</v>
      </c>
    </row>
    <row r="19" spans="1:16" ht="15" thickTop="1" thickBot="1">
      <c r="A19" s="52" t="s">
        <v>51</v>
      </c>
      <c r="C19" s="319" t="str">
        <f>Identification!B5</f>
        <v>Nom de l'entreprise</v>
      </c>
      <c r="D19" s="320"/>
    </row>
    <row r="20" spans="1:16" ht="13.8">
      <c r="A20" s="36" t="s">
        <v>52</v>
      </c>
      <c r="C20" s="14">
        <v>100</v>
      </c>
    </row>
    <row r="21" spans="1:16" ht="13.8">
      <c r="A21" s="36" t="s">
        <v>53</v>
      </c>
      <c r="C21" s="14">
        <v>1000</v>
      </c>
    </row>
    <row r="22" spans="1:16" ht="9" customHeight="1">
      <c r="A22" s="36"/>
      <c r="C22" s="35"/>
    </row>
    <row r="23" spans="1:16" ht="13.8">
      <c r="A23" s="36" t="s">
        <v>190</v>
      </c>
      <c r="C23" s="35"/>
    </row>
    <row r="24" spans="1:16" ht="13.8">
      <c r="A24" s="36" t="s">
        <v>191</v>
      </c>
      <c r="C24" s="14">
        <v>0</v>
      </c>
    </row>
    <row r="25" spans="1:16" ht="13.8">
      <c r="A25" s="36" t="s">
        <v>192</v>
      </c>
      <c r="C25" s="14">
        <v>0</v>
      </c>
    </row>
    <row r="26" spans="1:16" ht="13.8">
      <c r="A26" s="36" t="s">
        <v>42</v>
      </c>
      <c r="C26" s="11">
        <f>IF(C24=0,C20/C21,C20/C21*C24/(C24+C25))</f>
        <v>0.1</v>
      </c>
    </row>
    <row r="28" spans="1:16" ht="13.8">
      <c r="A28" s="52" t="s">
        <v>22</v>
      </c>
    </row>
    <row r="29" spans="1:16" ht="13.8">
      <c r="A29" s="36" t="s">
        <v>185</v>
      </c>
    </row>
    <row r="30" spans="1:16" ht="13.8">
      <c r="A30" s="36" t="s">
        <v>187</v>
      </c>
    </row>
    <row r="31" spans="1:16" ht="13.8">
      <c r="A31" s="52" t="s">
        <v>166</v>
      </c>
    </row>
    <row r="32" spans="1:16" ht="13.8">
      <c r="A32" s="36" t="s">
        <v>186</v>
      </c>
    </row>
    <row r="33" spans="1:2" ht="13.8">
      <c r="A33" s="36" t="s">
        <v>188</v>
      </c>
    </row>
    <row r="35" spans="1:2" ht="13.8">
      <c r="A35" s="52" t="s">
        <v>291</v>
      </c>
    </row>
    <row r="36" spans="1:2" ht="13.8">
      <c r="A36" s="36"/>
    </row>
    <row r="37" spans="1:2" ht="13.8">
      <c r="A37" s="36" t="s">
        <v>63</v>
      </c>
    </row>
    <row r="38" spans="1:2" ht="13.8">
      <c r="A38" s="36" t="s">
        <v>418</v>
      </c>
    </row>
    <row r="40" spans="1:2">
      <c r="A40" s="167"/>
      <c r="B40" s="37"/>
    </row>
  </sheetData>
  <sheetProtection algorithmName="SHA-512" hashValue="Xx7xXhk3pNfUOdY2EZpsl1egTFUYdg7O9rYVEGUT4s4Mn6If1VaOm4EyygeNWp/S+f6nhNVdzXHcLB9vaWD2yA==" saltValue="sOBF3Sefpc91Nszbs1iilg==" spinCount="100000" sheet="1" objects="1" scenarios="1"/>
  <mergeCells count="2">
    <mergeCell ref="A1:J1"/>
    <mergeCell ref="C19:D19"/>
  </mergeCells>
  <phoneticPr fontId="1" type="noConversion"/>
  <pageMargins left="0.59055118110236227" right="0.59055118110236227" top="0.98425196850393704" bottom="0.98425196850393704" header="0.51181102362204722" footer="0.51181102362204722"/>
  <pageSetup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130" zoomScaleNormal="130" workbookViewId="0">
      <selection activeCell="C23" sqref="C23"/>
    </sheetView>
  </sheetViews>
  <sheetFormatPr baseColWidth="10" defaultRowHeight="13.2"/>
  <cols>
    <col min="1" max="1" width="29.88671875" customWidth="1"/>
  </cols>
  <sheetData>
    <row r="1" spans="1:9" ht="27.6">
      <c r="A1" s="25" t="s">
        <v>421</v>
      </c>
    </row>
    <row r="2" spans="1:9" ht="17.25" customHeight="1" thickBot="1"/>
    <row r="3" spans="1:9" ht="17.25" customHeight="1" thickBot="1">
      <c r="A3" s="270" t="str">
        <f>Identification!B5</f>
        <v>Nom de l'entreprise</v>
      </c>
      <c r="B3" s="57" t="s">
        <v>178</v>
      </c>
      <c r="C3" s="57" t="s">
        <v>179</v>
      </c>
    </row>
    <row r="4" spans="1:9" ht="17.25" customHeight="1">
      <c r="A4" s="1" t="s">
        <v>64</v>
      </c>
      <c r="D4" s="21" t="s">
        <v>23</v>
      </c>
      <c r="G4" s="21" t="s">
        <v>184</v>
      </c>
    </row>
    <row r="5" spans="1:9">
      <c r="A5" s="62"/>
      <c r="B5" s="219">
        <f>Revenus!C8</f>
        <v>0</v>
      </c>
      <c r="C5" s="219">
        <f>B5</f>
        <v>0</v>
      </c>
      <c r="D5" s="269" t="e">
        <f>B5/(B11)</f>
        <v>#DIV/0!</v>
      </c>
      <c r="G5" s="21" t="s">
        <v>180</v>
      </c>
      <c r="H5" s="21" t="s">
        <v>181</v>
      </c>
      <c r="I5" s="21" t="s">
        <v>182</v>
      </c>
    </row>
    <row r="6" spans="1:9">
      <c r="A6" s="62"/>
      <c r="B6" s="219">
        <f>Revenus!D8</f>
        <v>0</v>
      </c>
      <c r="C6" s="219">
        <f t="shared" ref="C6" si="0">B6</f>
        <v>0</v>
      </c>
      <c r="D6" s="269" t="e">
        <f>B6/($B11)</f>
        <v>#DIV/0!</v>
      </c>
      <c r="G6">
        <v>32500</v>
      </c>
      <c r="H6" s="7">
        <v>0.02</v>
      </c>
      <c r="I6">
        <f>G6*H6</f>
        <v>650</v>
      </c>
    </row>
    <row r="7" spans="1:9" ht="13.8" thickBot="1">
      <c r="A7" s="62"/>
      <c r="B7" s="219">
        <f>Revenus!E8+Revenus!F8</f>
        <v>0</v>
      </c>
      <c r="C7" s="219">
        <f t="shared" ref="C7" si="1">B7</f>
        <v>0</v>
      </c>
      <c r="G7">
        <v>52000</v>
      </c>
      <c r="H7" s="7">
        <v>1.2500000000000001E-2</v>
      </c>
      <c r="I7">
        <f>G7*H7</f>
        <v>650</v>
      </c>
    </row>
    <row r="8" spans="1:9" ht="13.8" thickBot="1">
      <c r="A8" s="214" t="s">
        <v>195</v>
      </c>
      <c r="B8" s="220">
        <f>SUM(B5:B7)</f>
        <v>0</v>
      </c>
      <c r="C8" s="221">
        <f t="shared" ref="C8:C13" si="2">B8</f>
        <v>0</v>
      </c>
      <c r="G8" s="18">
        <f>C11</f>
        <v>0</v>
      </c>
      <c r="H8" s="7">
        <f>IF(G8&lt;G7,H6,H7)</f>
        <v>0.02</v>
      </c>
      <c r="I8">
        <f>IF(G8&lt;G6,G8*H6,IF(G8&gt;G7,G8*H7,I6))</f>
        <v>0</v>
      </c>
    </row>
    <row r="9" spans="1:9">
      <c r="A9" s="215" t="s">
        <v>194</v>
      </c>
      <c r="B9" s="219">
        <f>Revenus!G8</f>
        <v>0</v>
      </c>
      <c r="C9" s="219">
        <f t="shared" si="2"/>
        <v>0</v>
      </c>
      <c r="D9" s="269" t="e">
        <f>B9/($B$11)</f>
        <v>#DIV/0!</v>
      </c>
    </row>
    <row r="10" spans="1:9" ht="13.8" thickBot="1">
      <c r="A10" s="215" t="s">
        <v>293</v>
      </c>
      <c r="B10" s="219">
        <f>Revenus!H8</f>
        <v>0</v>
      </c>
      <c r="C10" s="219">
        <f t="shared" si="2"/>
        <v>0</v>
      </c>
      <c r="D10" s="269" t="e">
        <f>B10/($B$11)</f>
        <v>#DIV/0!</v>
      </c>
    </row>
    <row r="11" spans="1:9" ht="13.8" thickBot="1">
      <c r="A11" s="216" t="s">
        <v>196</v>
      </c>
      <c r="B11" s="222">
        <f>B8+B9+B10</f>
        <v>0</v>
      </c>
      <c r="C11" s="223">
        <f t="shared" si="2"/>
        <v>0</v>
      </c>
      <c r="D11" s="247" t="e">
        <f>SUM(D5:D10)</f>
        <v>#DIV/0!</v>
      </c>
    </row>
    <row r="12" spans="1:9">
      <c r="A12" s="217" t="s">
        <v>395</v>
      </c>
      <c r="B12" s="224">
        <f>Identification!B14</f>
        <v>0</v>
      </c>
      <c r="C12" s="225">
        <f>B12</f>
        <v>0</v>
      </c>
      <c r="D12" s="247"/>
    </row>
    <row r="13" spans="1:9">
      <c r="A13" s="215" t="s">
        <v>176</v>
      </c>
      <c r="B13" s="226">
        <f>'Dépenses affaires'!C343+'Dépenses affaires'!D343</f>
        <v>0</v>
      </c>
      <c r="C13" s="219">
        <f t="shared" si="2"/>
        <v>0</v>
      </c>
    </row>
    <row r="14" spans="1:9">
      <c r="A14" s="215"/>
      <c r="B14" s="227">
        <f>SUM(B12:B13)</f>
        <v>0</v>
      </c>
      <c r="C14" s="227">
        <f>SUM(C12:C13)</f>
        <v>0</v>
      </c>
    </row>
    <row r="15" spans="1:9">
      <c r="A15" s="213" t="s">
        <v>396</v>
      </c>
      <c r="B15" s="226">
        <f>Identification!B15</f>
        <v>0</v>
      </c>
      <c r="C15" s="219">
        <f>B15</f>
        <v>0</v>
      </c>
    </row>
    <row r="16" spans="1:9" ht="13.8" thickBot="1">
      <c r="A16" s="213" t="s">
        <v>397</v>
      </c>
      <c r="B16" s="227">
        <f>B14-B15</f>
        <v>0</v>
      </c>
      <c r="C16" s="219">
        <f>B16</f>
        <v>0</v>
      </c>
    </row>
    <row r="17" spans="1:4" ht="13.8" thickBot="1">
      <c r="A17" s="35" t="s">
        <v>25</v>
      </c>
      <c r="B17" s="228">
        <f>B11-B16</f>
        <v>0</v>
      </c>
      <c r="C17" s="229">
        <f>B17</f>
        <v>0</v>
      </c>
    </row>
    <row r="18" spans="1:4">
      <c r="B18" s="17"/>
      <c r="C18" s="17"/>
      <c r="D18" t="s">
        <v>193</v>
      </c>
    </row>
    <row r="19" spans="1:4">
      <c r="A19" s="21" t="s">
        <v>183</v>
      </c>
      <c r="B19" s="226">
        <f>'Dépenses affaires'!AM343-'Dépenses affaires'!C343-'Dépenses affaires'!D343-'Dépenses affaires'!T10</f>
        <v>0</v>
      </c>
      <c r="C19" s="226">
        <f>IF('Dépenses affaires'!F343*50%&gt;I8,I8+B19+'Dépenses affaires'!T10-'Dépenses affaires'!F343*50%-'Dépenses affaires'!P343,B19+'Dépenses affaires'!T10-'Dépenses affaires'!P343)</f>
        <v>1000</v>
      </c>
      <c r="D19" s="226">
        <f>'Dépenses affaires'!P343</f>
        <v>0</v>
      </c>
    </row>
    <row r="20" spans="1:4">
      <c r="A20" t="s">
        <v>26</v>
      </c>
      <c r="B20" s="226">
        <f>IF(Automobile!E20=0,0,Automobile!H203)</f>
        <v>0</v>
      </c>
      <c r="C20" s="226">
        <f t="shared" ref="C20:C24" si="3">B20</f>
        <v>0</v>
      </c>
    </row>
    <row r="21" spans="1:4">
      <c r="A21" s="21" t="s">
        <v>197</v>
      </c>
      <c r="B21" s="226">
        <f>'Dépenses affaires'!X343*50%*55%*3</f>
        <v>0</v>
      </c>
      <c r="C21" s="226">
        <f>'Dépenses affaires'!X343*100%</f>
        <v>0</v>
      </c>
    </row>
    <row r="22" spans="1:4">
      <c r="A22" s="21" t="s">
        <v>174</v>
      </c>
      <c r="B22" s="226">
        <f>'Dépenses affaires'!Y343*50%*20%*3</f>
        <v>0</v>
      </c>
      <c r="C22" s="226">
        <f t="shared" si="3"/>
        <v>0</v>
      </c>
    </row>
    <row r="23" spans="1:4">
      <c r="A23" s="21" t="s">
        <v>429</v>
      </c>
      <c r="B23" s="283"/>
      <c r="C23" s="283">
        <f>B23</f>
        <v>0</v>
      </c>
    </row>
    <row r="24" spans="1:4" ht="13.8" thickBot="1">
      <c r="A24" t="s">
        <v>27</v>
      </c>
      <c r="B24" s="219">
        <f>IF(Automobile!E20=0,0,IF(Amortissement!B8=2019,Amortissement!B14,IF(Amortissement!B8=2018,Amortissement!B24,IF(Amortissement!B8=2017,Amortissement!B34,IF(Amortissement!B8=2016,Amortissement!B44,IF(Amortissement!B8=2015,Amortissement!B54,IF(Amortissement!B8=2014,Amortissement!B64,IF(Amortissement!B8=2013,Amortissement!B74,IF(Amortissement!B8=2012,Amortissement!B84,IF(Amortissement!B8=2011,Amortissement!B94,Amortissement!B104))))))))))</f>
        <v>0</v>
      </c>
      <c r="C24" s="226">
        <f t="shared" si="3"/>
        <v>0</v>
      </c>
    </row>
    <row r="25" spans="1:4" ht="13.8" thickBot="1">
      <c r="A25" s="21" t="s">
        <v>34</v>
      </c>
      <c r="B25" s="230">
        <f>SUM(B19:B24)</f>
        <v>0</v>
      </c>
      <c r="C25" s="229">
        <f>SUM(C19:C24)</f>
        <v>1000</v>
      </c>
    </row>
    <row r="26" spans="1:4">
      <c r="A26" s="105" t="s">
        <v>398</v>
      </c>
      <c r="B26" s="231">
        <f>B17-B25</f>
        <v>0</v>
      </c>
      <c r="C26" s="232">
        <f>C17-C25</f>
        <v>-1000</v>
      </c>
    </row>
    <row r="27" spans="1:4">
      <c r="A27" s="21" t="s">
        <v>153</v>
      </c>
      <c r="B27" s="233">
        <f>Domicile!J16</f>
        <v>0</v>
      </c>
      <c r="C27" s="234">
        <f>Domicile!B16+(Domicile!C16+Domicile!D16+Domicile!E16+Domicile!F16+Domicile!G16+Domicile!H16+Domicile!I16)*50%</f>
        <v>0</v>
      </c>
    </row>
    <row r="28" spans="1:4" ht="13.8" thickBot="1">
      <c r="A28" t="s">
        <v>29</v>
      </c>
      <c r="B28" s="235">
        <f>IF(B17-B19-B20-B21-B22-B23-B24&gt;B27,B17-B19-B20-B21-B22-B23-B24-B27,IF(B17-B19-B20-B21-B22-B23-B24&lt;0,B17-B19-B20-B21-B22-B23-B24,0))</f>
        <v>0</v>
      </c>
      <c r="C28" s="236">
        <f>IF(C17-C19-C20-C21-C22-C23-C24&gt;C27,C17-C19-C20-C21-C22-C23-C24-C27,IF(C17-C19-C20-C21-C22-C23-C24&lt;0,C17-C19-C20-C21-C22-C23-C24,0))</f>
        <v>-1000</v>
      </c>
    </row>
    <row r="31" spans="1:4">
      <c r="A31" s="21" t="s">
        <v>419</v>
      </c>
      <c r="B31" s="218">
        <f>B28+D19</f>
        <v>0</v>
      </c>
      <c r="C31" s="218">
        <f>C28</f>
        <v>-1000</v>
      </c>
    </row>
    <row r="32" spans="1:4">
      <c r="A32" s="105" t="s">
        <v>420</v>
      </c>
      <c r="B32" s="218">
        <f>D19</f>
        <v>0</v>
      </c>
      <c r="C32" s="218">
        <f>D19</f>
        <v>0</v>
      </c>
    </row>
    <row r="33" spans="1:3">
      <c r="A33" s="105" t="s">
        <v>445</v>
      </c>
      <c r="B33" s="218">
        <f>B40</f>
        <v>750</v>
      </c>
      <c r="C33" s="218"/>
    </row>
    <row r="35" spans="1:3">
      <c r="A35" s="21" t="s">
        <v>440</v>
      </c>
      <c r="B35" s="34">
        <f>'Dépenses affaires'!T10</f>
        <v>1000</v>
      </c>
    </row>
    <row r="36" spans="1:3">
      <c r="A36" s="105" t="s">
        <v>443</v>
      </c>
      <c r="B36" s="34">
        <f>B35*50%</f>
        <v>500</v>
      </c>
    </row>
    <row r="37" spans="1:3">
      <c r="A37" s="105" t="s">
        <v>441</v>
      </c>
      <c r="B37">
        <v>250</v>
      </c>
    </row>
    <row r="38" spans="1:3">
      <c r="A38" s="105" t="s">
        <v>442</v>
      </c>
      <c r="B38" s="323">
        <v>0</v>
      </c>
    </row>
    <row r="39" spans="1:3">
      <c r="A39" s="105" t="s">
        <v>444</v>
      </c>
      <c r="B39" s="324">
        <f>MIN(B37-B38,B36)</f>
        <v>250</v>
      </c>
    </row>
    <row r="40" spans="1:3">
      <c r="A40" s="105" t="s">
        <v>445</v>
      </c>
      <c r="B40" s="34">
        <f>B35-B39</f>
        <v>750</v>
      </c>
    </row>
  </sheetData>
  <sheetProtection algorithmName="SHA-512" hashValue="EeWCdZOA5tjx/4CcNyO0ONA6Vo+WaB1RnOsAMMAIir8HrTMkOy8jW6pNYDInh9NTgsh24ArvPakIstlORXyaJg==" saltValue="QMoqIB2Bn4ZWow/hzrugdA==" spinCount="100000" sheet="1" objects="1" scenarios="1"/>
  <phoneticPr fontId="1" type="noConversion"/>
  <pageMargins left="0.78740157499999996" right="0.78740157499999996" top="0.984251969" bottom="0.984251969" header="0.4921259845" footer="0.492125984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74"/>
  <sheetViews>
    <sheetView topLeftCell="A4" zoomScale="120" zoomScaleNormal="120" workbookViewId="0">
      <selection activeCell="F32" sqref="F32"/>
    </sheetView>
  </sheetViews>
  <sheetFormatPr baseColWidth="10" defaultRowHeight="13.2"/>
  <cols>
    <col min="1" max="1" width="43.109375" customWidth="1"/>
    <col min="2" max="2" width="14.109375" customWidth="1"/>
    <col min="3" max="3" width="16.6640625" customWidth="1"/>
    <col min="4" max="4" width="13.33203125" customWidth="1"/>
  </cols>
  <sheetData>
    <row r="1" spans="1:11" ht="22.8">
      <c r="A1" s="296" t="s">
        <v>144</v>
      </c>
      <c r="B1" s="292"/>
      <c r="C1" s="292"/>
      <c r="D1" s="292"/>
      <c r="E1" s="292"/>
    </row>
    <row r="2" spans="1:11" ht="17.399999999999999">
      <c r="A2" s="3"/>
    </row>
    <row r="3" spans="1:11" ht="17.25" customHeight="1">
      <c r="A3" s="32" t="s">
        <v>158</v>
      </c>
      <c r="B3" s="275">
        <f>Identification!B6</f>
        <v>2</v>
      </c>
      <c r="K3" s="94"/>
    </row>
    <row r="4" spans="1:11" ht="17.25" customHeight="1">
      <c r="A4" s="32"/>
      <c r="B4" s="280" t="s">
        <v>422</v>
      </c>
      <c r="C4" s="280" t="s">
        <v>422</v>
      </c>
      <c r="K4" s="94"/>
    </row>
    <row r="5" spans="1:11" ht="17.25" customHeight="1">
      <c r="A5" s="32"/>
      <c r="B5" s="280" t="s">
        <v>423</v>
      </c>
      <c r="C5" s="281" t="s">
        <v>424</v>
      </c>
    </row>
    <row r="6" spans="1:11" ht="15">
      <c r="A6" s="32" t="s">
        <v>300</v>
      </c>
      <c r="B6" s="267">
        <f>Revenus!C8+Revenus!D8+Revenus!G8+Revenus!H8</f>
        <v>0</v>
      </c>
      <c r="C6" s="267">
        <f>Revenus!C8+Revenus!D8+Revenus!G8+Revenus!H8+Revenus!E8</f>
        <v>0</v>
      </c>
    </row>
    <row r="7" spans="1:11" ht="15">
      <c r="A7" s="32" t="s">
        <v>145</v>
      </c>
      <c r="B7" s="267">
        <f>B6*5%</f>
        <v>0</v>
      </c>
      <c r="C7" s="267">
        <f>C6*5%</f>
        <v>0</v>
      </c>
    </row>
    <row r="8" spans="1:11" ht="15">
      <c r="A8" s="32" t="s">
        <v>146</v>
      </c>
      <c r="B8" s="267">
        <f>B6*1.05*9.5%</f>
        <v>0</v>
      </c>
      <c r="C8" s="267">
        <f>B6*1.05*9.5%</f>
        <v>0</v>
      </c>
    </row>
    <row r="9" spans="1:11" ht="15">
      <c r="A9" s="32" t="s">
        <v>147</v>
      </c>
      <c r="B9" s="267">
        <f>B6*1.05*1.095</f>
        <v>0</v>
      </c>
      <c r="C9" s="267">
        <f>C6+C7+C8</f>
        <v>0</v>
      </c>
    </row>
    <row r="11" spans="1:11" ht="15">
      <c r="A11" s="32" t="s">
        <v>148</v>
      </c>
      <c r="B11" s="33" t="s">
        <v>386</v>
      </c>
      <c r="C11" s="33" t="s">
        <v>150</v>
      </c>
      <c r="D11" s="33" t="s">
        <v>28</v>
      </c>
    </row>
    <row r="12" spans="1:11" ht="15">
      <c r="A12" s="32" t="s">
        <v>151</v>
      </c>
      <c r="B12" s="218">
        <f>IF(Automobile!E20=0,0,(Automobile!D200+Automobile!E200)/(1.05*1.095)*5%*Automobile!E22)</f>
        <v>0</v>
      </c>
      <c r="C12" s="218">
        <f>IF(Automobile!E20=0,0,(Automobile!D200+Automobile!E200)/1.095*9.5%*Automobile!E22)</f>
        <v>0</v>
      </c>
      <c r="D12" s="218">
        <f>SUM(B12:C12)</f>
        <v>0</v>
      </c>
    </row>
    <row r="13" spans="1:11" ht="15">
      <c r="A13" s="32" t="s">
        <v>152</v>
      </c>
      <c r="B13" s="218">
        <f>('Dépenses affaires'!AM343-'Dépenses affaires'!D343-'Dépenses affaires'!AF343/2-'Dépenses affaires'!AG343-'Dépenses affaires'!G343/2-'Dépenses affaires'!I343-'Dépenses affaires'!N343-'Dépenses affaires'!AE343-'Dépenses affaires'!AH343-'Dépenses affaires'!AJ343-'Dépenses affaires'!K343-'Dépenses affaires'!Q343-'Dépenses affaires'!AI343/2)*5%</f>
        <v>50</v>
      </c>
      <c r="C13" s="218">
        <f>('Dépenses affaires'!AM343-'Dépenses affaires'!G343/2-'Dépenses affaires'!N343-'Dépenses affaires'!D343-'Dépenses affaires'!I343-'Dépenses affaires'!AE343-'Dépenses affaires'!AF343/2-'Dépenses affaires'!AG343-'Dépenses affaires'!AH343-'Dépenses affaires'!AI343/2-'Dépenses affaires'!AJ343-'Dépenses affaires'!K343-'Dépenses affaires'!Q343)*1.05*9.5%</f>
        <v>99.75</v>
      </c>
      <c r="D13" s="218">
        <f t="shared" ref="D13:D23" si="0">SUM(B13:C13)</f>
        <v>149.75</v>
      </c>
    </row>
    <row r="14" spans="1:11" ht="15">
      <c r="A14" s="32" t="s">
        <v>400</v>
      </c>
      <c r="B14" s="218">
        <f>'Dépenses affaires'!N343*5%</f>
        <v>0</v>
      </c>
      <c r="C14" s="218"/>
      <c r="D14" s="218"/>
    </row>
    <row r="15" spans="1:11" ht="15">
      <c r="A15" s="32" t="s">
        <v>382</v>
      </c>
      <c r="B15" s="218">
        <f>'Dépenses affaires'!AF343/2*13%+'Dépenses affaires'!AG343*13%</f>
        <v>0</v>
      </c>
      <c r="C15" s="218"/>
      <c r="D15" s="218"/>
    </row>
    <row r="16" spans="1:11" ht="15">
      <c r="A16" s="32" t="s">
        <v>380</v>
      </c>
      <c r="B16" s="218">
        <f>'Dépenses affaires'!AH343*15%+'Dépenses affaires'!AI343*50%*15%</f>
        <v>0</v>
      </c>
      <c r="C16" s="218"/>
      <c r="D16" s="218">
        <f>B16</f>
        <v>0</v>
      </c>
    </row>
    <row r="17" spans="1:11" ht="15">
      <c r="A17" s="32" t="s">
        <v>153</v>
      </c>
      <c r="B17" s="218">
        <f>(Domicile!B14+Domicile!D14+Domicile!H14+Domicile!I14)/(1.05*1.095)*5%*Domicile!J13</f>
        <v>0</v>
      </c>
      <c r="C17" s="218">
        <f>(Domicile!B14+Domicile!D14+Domicile!H14+Domicile!I14)/1.095*9.5%*Domicile!J13</f>
        <v>0</v>
      </c>
      <c r="D17" s="218">
        <f t="shared" si="0"/>
        <v>0</v>
      </c>
    </row>
    <row r="18" spans="1:11" ht="15">
      <c r="A18" s="32" t="s">
        <v>197</v>
      </c>
      <c r="B18" s="218">
        <f>'Dépenses affaires'!X343*5%</f>
        <v>0</v>
      </c>
      <c r="C18" s="218">
        <f>'Dépenses affaires'!X343*1.05*9.5%</f>
        <v>0</v>
      </c>
      <c r="D18" s="218">
        <f t="shared" ref="D18" si="1">SUM(B18:C18)</f>
        <v>0</v>
      </c>
    </row>
    <row r="19" spans="1:11" ht="15">
      <c r="A19" s="32" t="s">
        <v>170</v>
      </c>
      <c r="B19" s="218">
        <f>'Dépenses affaires'!Y343*5%</f>
        <v>0</v>
      </c>
      <c r="C19" s="218">
        <f>'Dépenses affaires'!Y343*1.05*9.5%</f>
        <v>0</v>
      </c>
      <c r="D19" s="218">
        <f t="shared" si="0"/>
        <v>0</v>
      </c>
    </row>
    <row r="20" spans="1:11" ht="15">
      <c r="A20" s="32" t="s">
        <v>159</v>
      </c>
      <c r="B20" s="218">
        <f>IF(Automobile!E20=0,0,IF(Amortissement!B8=2020,Amortissement!B14*5/105,IF(Amortissement!B8=2019,Amortissement!B24*5/105,IF(Amortissement!B8=2018,Amortissement!B34*5/105,IF(Amortissement!B8=2017,Amortissement!B44*5/105,IF(Amortissement!B8=2016,Amortissement!B54*5/105,IF(Amortissement!B8=2015,Amortissement!B64*5/105,IF(Amortissement!B8=2014,Amortissement!B74*5/105,IF(Amortissement!B8=2013,Amortissement!B84*5/105,IF(Amortissement!B8=2012,Amortissement!B94*5/105,IF(Amortissement!B8=2011,Amortissement!B104*5/105,IF(Amortissement!B8=2010,Amortissement!B114*5/105,IF(Amortissement!B8=2009,Amortissement!B124*5/105,IF(Amortissement!B8=2008,Amortissement!B134*5/105,Amortissement!B144*5/105))))))))))))))</f>
        <v>0</v>
      </c>
      <c r="C20" s="218">
        <f>IF(Automobile!E20=0,0,IF(Amortissement!B8=2020,Amortissement!B14*9.975/109.975,IF(Amortissement!B8=2019,Amortissement!B24*9.975/109.975,IF(Amortissement!B8=2018,Amortissement!B34*9.975/109.975,IF(Amortissement!B8=2017,Amortissement!B44*9.975/109.975,IF(Amortissement!B8=2016,Amortissement!B54*9.975/109.975,IF(Amortissement!B8=2015,Amortissement!B64*9.975/109.975,IF(Amortissement!B8=2014,Amortissement!B74*9.975/109.975,IF(Amortissement!B8=2013,Amortissement!B84*9.975/109.975,IF(Amortissement!B8=2012,Amortissement!B94*9.975/109.975,IF(Amortissement!B8=2011,Amortissement!B104*9.975/109.975,IF(Amortissement!B8=2010,Amortissement!B114*9.975/109.975,IF(Amortissement!B8=2009,Amortissement!B124*9.975/109.975,IF(Amortissement!B8=2008,Amortissement!B134*9.975/109.975,Amortissement!B144*9.975/109.975))))))))))))))</f>
        <v>0</v>
      </c>
      <c r="D20" s="218">
        <f t="shared" si="0"/>
        <v>0</v>
      </c>
    </row>
    <row r="21" spans="1:11" ht="15">
      <c r="A21" s="32" t="s">
        <v>154</v>
      </c>
      <c r="B21" s="218">
        <f>SUM(B12:B20)</f>
        <v>50</v>
      </c>
      <c r="C21" s="218">
        <f>SUM(C12:C20)</f>
        <v>99.75</v>
      </c>
      <c r="D21" s="218">
        <f t="shared" si="0"/>
        <v>149.75</v>
      </c>
      <c r="K21" s="21"/>
    </row>
    <row r="22" spans="1:11" ht="15">
      <c r="A22" s="32"/>
    </row>
    <row r="23" spans="1:11" ht="15">
      <c r="A23" s="32" t="s">
        <v>155</v>
      </c>
      <c r="B23" s="268">
        <f>C7-B21</f>
        <v>-50</v>
      </c>
      <c r="C23" s="268">
        <f>B8-C21</f>
        <v>-99.75</v>
      </c>
      <c r="D23" s="268">
        <f t="shared" si="0"/>
        <v>-149.75</v>
      </c>
    </row>
    <row r="24" spans="1:11" ht="15">
      <c r="A24" s="32"/>
    </row>
    <row r="25" spans="1:11" ht="15">
      <c r="A25" s="32"/>
    </row>
    <row r="26" spans="1:11" ht="15">
      <c r="A26" s="32" t="s">
        <v>428</v>
      </c>
    </row>
    <row r="27" spans="1:11" ht="15">
      <c r="A27" s="32" t="s">
        <v>271</v>
      </c>
    </row>
    <row r="28" spans="1:11" ht="15">
      <c r="A28" s="32" t="s">
        <v>270</v>
      </c>
    </row>
    <row r="29" spans="1:11" ht="15">
      <c r="A29" s="32"/>
    </row>
    <row r="30" spans="1:11" ht="15">
      <c r="A30" s="32"/>
    </row>
    <row r="31" spans="1:11" ht="15">
      <c r="A31" s="32"/>
    </row>
    <row r="32" spans="1:11" ht="15">
      <c r="A32" s="32"/>
    </row>
    <row r="33" spans="1:1" ht="15">
      <c r="A33" s="32"/>
    </row>
    <row r="34" spans="1:1" ht="15">
      <c r="A34" s="32"/>
    </row>
    <row r="35" spans="1:1" ht="15">
      <c r="A35" s="32"/>
    </row>
    <row r="36" spans="1:1" ht="15">
      <c r="A36" s="32"/>
    </row>
    <row r="37" spans="1:1" ht="15">
      <c r="A37" s="32"/>
    </row>
    <row r="38" spans="1:1" ht="15">
      <c r="A38" s="32"/>
    </row>
    <row r="39" spans="1:1" ht="15">
      <c r="A39" s="32"/>
    </row>
    <row r="40" spans="1:1" ht="15">
      <c r="A40" s="32"/>
    </row>
    <row r="41" spans="1:1" ht="15">
      <c r="A41" s="32"/>
    </row>
    <row r="42" spans="1:1" ht="15">
      <c r="A42" s="32"/>
    </row>
    <row r="43" spans="1:1" ht="15">
      <c r="A43" s="32"/>
    </row>
    <row r="44" spans="1:1" ht="15">
      <c r="A44" s="32"/>
    </row>
    <row r="45" spans="1:1" ht="15">
      <c r="A45" s="32"/>
    </row>
    <row r="46" spans="1:1" ht="15">
      <c r="A46" s="32"/>
    </row>
    <row r="47" spans="1:1" ht="15">
      <c r="A47" s="32"/>
    </row>
    <row r="48" spans="1:1" ht="15">
      <c r="A48" s="32"/>
    </row>
    <row r="49" spans="1:4" ht="15">
      <c r="A49" s="32"/>
    </row>
    <row r="50" spans="1:4" ht="15">
      <c r="A50" s="32"/>
    </row>
    <row r="51" spans="1:4" ht="15.6">
      <c r="A51" s="31" t="s">
        <v>274</v>
      </c>
    </row>
    <row r="52" spans="1:4" ht="15">
      <c r="A52" s="32" t="s">
        <v>275</v>
      </c>
    </row>
    <row r="53" spans="1:4" ht="15">
      <c r="A53" s="32" t="s">
        <v>272</v>
      </c>
    </row>
    <row r="54" spans="1:4" ht="15">
      <c r="A54" s="32" t="s">
        <v>273</v>
      </c>
    </row>
    <row r="55" spans="1:4" ht="15">
      <c r="A55" s="32"/>
    </row>
    <row r="56" spans="1:4" ht="15.6">
      <c r="A56" s="31" t="s">
        <v>276</v>
      </c>
    </row>
    <row r="57" spans="1:4" ht="15.6">
      <c r="A57" s="31"/>
      <c r="B57" s="33" t="s">
        <v>259</v>
      </c>
      <c r="C57" s="33" t="s">
        <v>260</v>
      </c>
      <c r="D57" s="33" t="s">
        <v>28</v>
      </c>
    </row>
    <row r="58" spans="1:4" ht="15">
      <c r="A58" s="32" t="s">
        <v>261</v>
      </c>
      <c r="B58">
        <v>5</v>
      </c>
      <c r="C58">
        <f>100*1.05*9.5%</f>
        <v>9.9749999999999996</v>
      </c>
      <c r="D58">
        <f>SUM(B58:C58)</f>
        <v>14.975</v>
      </c>
    </row>
    <row r="59" spans="1:4" ht="15">
      <c r="A59" s="32" t="s">
        <v>262</v>
      </c>
      <c r="B59">
        <f>B58</f>
        <v>5</v>
      </c>
      <c r="C59">
        <f>C58</f>
        <v>9.9749999999999996</v>
      </c>
      <c r="D59">
        <f>SUM(B59:C59)</f>
        <v>14.975</v>
      </c>
    </row>
    <row r="60" spans="1:4" ht="15">
      <c r="A60" s="32" t="s">
        <v>263</v>
      </c>
      <c r="B60">
        <f>B58-B59</f>
        <v>0</v>
      </c>
      <c r="C60">
        <f>C58-C59</f>
        <v>0</v>
      </c>
      <c r="D60">
        <f>D58-D59</f>
        <v>0</v>
      </c>
    </row>
    <row r="61" spans="1:4" ht="15.6">
      <c r="A61" s="31" t="s">
        <v>269</v>
      </c>
    </row>
    <row r="62" spans="1:4" ht="15.6">
      <c r="A62" s="31" t="s">
        <v>264</v>
      </c>
    </row>
    <row r="63" spans="1:4" ht="15.6">
      <c r="A63" s="31"/>
      <c r="B63" t="s">
        <v>302</v>
      </c>
      <c r="C63" t="s">
        <v>303</v>
      </c>
    </row>
    <row r="64" spans="1:4" ht="15">
      <c r="A64" s="32" t="s">
        <v>265</v>
      </c>
      <c r="B64" s="17">
        <f>C6</f>
        <v>0</v>
      </c>
      <c r="C64" s="17">
        <f>B6</f>
        <v>0</v>
      </c>
    </row>
    <row r="65" spans="1:4" ht="15">
      <c r="A65" s="32" t="s">
        <v>266</v>
      </c>
      <c r="B65" s="17">
        <f>IF(Automobile!E20=0,0,(Automobile!D200+Automobile!E200)/(1.05*1.095)*Automobile!E22)+('Dépenses affaires'!AM343-'Dépenses affaires'!D343-'Dépenses affaires'!J343-'Dépenses affaires'!Q343)+(Domicile!B13+Domicile!D13+Domicile!H13+Domicile!I13)/(1.05*1.095)*Domicile!J13+'Revenu net'!B21+'Revenu net'!B22+'Revenu net'!B24/1.05</f>
        <v>1000</v>
      </c>
      <c r="C65" s="17">
        <f>IF(Automobile!E20=0,0,(Automobile!D200+Automobile!E200)/(1.05*1.095)*Automobile!E22)+('Dépenses affaires'!AM343-'Dépenses affaires'!D343-'Dépenses affaires'!AH343-'Dépenses affaires'!J343-'Dépenses affaires'!Q343)+(Domicile!B13+Domicile!D13+Domicile!H13+Domicile!I13)/(1.05*1.095)*Domicile!J13+'Revenu net'!B21+'Revenu net'!B22+'Revenu net'!B24/1.09975</f>
        <v>1000</v>
      </c>
    </row>
    <row r="66" spans="1:4" ht="15">
      <c r="A66" s="32" t="s">
        <v>267</v>
      </c>
      <c r="B66" s="17">
        <f>B64-B65</f>
        <v>-1000</v>
      </c>
      <c r="C66" s="17">
        <f>C64-C65</f>
        <v>-1000</v>
      </c>
    </row>
    <row r="67" spans="1:4" ht="15">
      <c r="A67" s="32" t="s">
        <v>268</v>
      </c>
      <c r="B67" s="17">
        <f>B66*5%</f>
        <v>-50</v>
      </c>
      <c r="C67" s="17">
        <f>C66*1.05*9.5%</f>
        <v>-99.75</v>
      </c>
      <c r="D67" s="17">
        <f>SUM(B67:C67)</f>
        <v>-149.75</v>
      </c>
    </row>
    <row r="68" spans="1:4" ht="15.6">
      <c r="A68" s="31"/>
    </row>
    <row r="69" spans="1:4" ht="15.6">
      <c r="A69" s="31"/>
    </row>
    <row r="70" spans="1:4" ht="15">
      <c r="A70" s="32"/>
    </row>
    <row r="71" spans="1:4" ht="15">
      <c r="A71" s="32"/>
    </row>
    <row r="72" spans="1:4" ht="15">
      <c r="A72" s="32"/>
      <c r="B72" s="34"/>
    </row>
    <row r="73" spans="1:4" ht="15">
      <c r="A73" s="32"/>
      <c r="B73" s="107"/>
    </row>
    <row r="74" spans="1:4" ht="15">
      <c r="A74" s="32"/>
    </row>
  </sheetData>
  <sheetProtection algorithmName="SHA-512" hashValue="lF/VDamN3BsuNUUQ2R5NPl8CS8f7A+cTGWsGKm8C6Q5KwBYm4XCJc6wHAus1fLKceQQLGj9ZrdsNoZ9THer9Bw==" saltValue="qwHaSZUvrSoaqlP8UhqaFg==" spinCount="100000" sheet="1" objects="1" scenarios="1"/>
  <mergeCells count="1">
    <mergeCell ref="A1:E1"/>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5"/>
  <sheetViews>
    <sheetView zoomScale="130" zoomScaleNormal="130" workbookViewId="0">
      <selection activeCell="B117" sqref="B117"/>
    </sheetView>
  </sheetViews>
  <sheetFormatPr baseColWidth="10" defaultRowHeight="13.2"/>
  <cols>
    <col min="1" max="1" width="46.33203125" customWidth="1"/>
    <col min="2" max="2" width="13.5546875" customWidth="1"/>
    <col min="3" max="3" width="13" customWidth="1"/>
  </cols>
  <sheetData>
    <row r="1" spans="1:5" ht="17.399999999999999">
      <c r="A1" s="3" t="s">
        <v>79</v>
      </c>
    </row>
    <row r="2" spans="1:5" ht="17.399999999999999">
      <c r="A2" s="3"/>
    </row>
    <row r="3" spans="1:5" ht="15.6">
      <c r="A3" s="321" t="s">
        <v>134</v>
      </c>
      <c r="B3" s="322"/>
      <c r="C3" s="322"/>
      <c r="D3" s="322"/>
      <c r="E3" s="322"/>
    </row>
    <row r="4" spans="1:5">
      <c r="A4" s="21" t="s">
        <v>132</v>
      </c>
    </row>
    <row r="5" spans="1:5">
      <c r="A5" s="21" t="s">
        <v>133</v>
      </c>
    </row>
    <row r="6" spans="1:5">
      <c r="A6" s="21" t="s">
        <v>131</v>
      </c>
    </row>
    <row r="8" spans="1:5">
      <c r="A8" s="21" t="s">
        <v>135</v>
      </c>
      <c r="B8" s="122">
        <f>Automobile!H21</f>
        <v>0</v>
      </c>
    </row>
    <row r="9" spans="1:5">
      <c r="A9" s="21" t="s">
        <v>78</v>
      </c>
      <c r="B9" s="122">
        <f>IF(Automobile!H20&gt;30000*1.05*1.095,30000*1.05*1.095,Automobile!H20)</f>
        <v>0</v>
      </c>
    </row>
    <row r="10" spans="1:5">
      <c r="A10" s="21" t="s">
        <v>81</v>
      </c>
      <c r="B10" s="123" t="e">
        <f>Automobile!E22</f>
        <v>#DIV/0!</v>
      </c>
    </row>
    <row r="11" spans="1:5">
      <c r="A11" s="21" t="s">
        <v>76</v>
      </c>
      <c r="B11" s="10" t="e">
        <f>B9*B10</f>
        <v>#DIV/0!</v>
      </c>
    </row>
    <row r="12" spans="1:5">
      <c r="A12" t="s">
        <v>65</v>
      </c>
      <c r="B12" s="121">
        <v>0.3</v>
      </c>
      <c r="C12" s="26"/>
    </row>
    <row r="13" spans="1:5">
      <c r="A13" t="s">
        <v>66</v>
      </c>
      <c r="B13" s="121">
        <v>0.5</v>
      </c>
      <c r="C13" s="26"/>
    </row>
    <row r="14" spans="1:5">
      <c r="A14" s="21" t="s">
        <v>80</v>
      </c>
      <c r="B14" s="10" t="e">
        <f>B11*B12*B13</f>
        <v>#DIV/0!</v>
      </c>
      <c r="C14" s="30"/>
    </row>
    <row r="15" spans="1:5">
      <c r="A15" t="s">
        <v>67</v>
      </c>
      <c r="B15" s="10" t="e">
        <f>B11-B14</f>
        <v>#DIV/0!</v>
      </c>
      <c r="C15" s="27"/>
    </row>
    <row r="17" spans="1:4">
      <c r="A17" s="21" t="s">
        <v>77</v>
      </c>
      <c r="B17">
        <f>B8+1</f>
        <v>1</v>
      </c>
    </row>
    <row r="18" spans="1:4">
      <c r="A18" t="s">
        <v>68</v>
      </c>
      <c r="B18" s="284" t="e">
        <f>B10</f>
        <v>#DIV/0!</v>
      </c>
      <c r="C18" s="26"/>
    </row>
    <row r="19" spans="1:4">
      <c r="A19" t="s">
        <v>69</v>
      </c>
      <c r="B19" s="27">
        <f>$B$9-DB($B$9,400,12,1)</f>
        <v>0</v>
      </c>
      <c r="C19" s="27"/>
      <c r="D19" s="28"/>
    </row>
    <row r="20" spans="1:4">
      <c r="A20" t="s">
        <v>70</v>
      </c>
      <c r="B20" t="e">
        <f>IF(B18&gt;B10,B19*(B18-B10),IF(B18&lt;B10,B19*(B18-B10),0))</f>
        <v>#DIV/0!</v>
      </c>
    </row>
    <row r="21" spans="1:4">
      <c r="A21" t="s">
        <v>71</v>
      </c>
      <c r="B21" t="e">
        <f>B15+B20</f>
        <v>#DIV/0!</v>
      </c>
    </row>
    <row r="22" spans="1:4">
      <c r="A22" t="s">
        <v>72</v>
      </c>
      <c r="B22" t="e">
        <f>IF(B20&gt;0,B15*B12,B21*B12)</f>
        <v>#DIV/0!</v>
      </c>
    </row>
    <row r="23" spans="1:4">
      <c r="A23" t="s">
        <v>73</v>
      </c>
      <c r="B23" t="e">
        <f>IF(B20&gt;0,B20*B12*B13,0)</f>
        <v>#DIV/0!</v>
      </c>
    </row>
    <row r="24" spans="1:4">
      <c r="A24" t="s">
        <v>74</v>
      </c>
      <c r="B24" t="e">
        <f>B22+B23</f>
        <v>#DIV/0!</v>
      </c>
    </row>
    <row r="25" spans="1:4">
      <c r="A25" t="s">
        <v>75</v>
      </c>
      <c r="B25" t="e">
        <f>B21-B24</f>
        <v>#DIV/0!</v>
      </c>
    </row>
    <row r="27" spans="1:4">
      <c r="A27" t="s">
        <v>82</v>
      </c>
      <c r="B27">
        <f>B17+1</f>
        <v>2</v>
      </c>
    </row>
    <row r="28" spans="1:4">
      <c r="A28" t="s">
        <v>83</v>
      </c>
      <c r="B28" s="284" t="e">
        <f>B18</f>
        <v>#DIV/0!</v>
      </c>
    </row>
    <row r="29" spans="1:4">
      <c r="A29" t="s">
        <v>84</v>
      </c>
      <c r="B29" s="27">
        <f>B19-DB($B$9,400,12,2)</f>
        <v>0</v>
      </c>
    </row>
    <row r="30" spans="1:4">
      <c r="A30" t="s">
        <v>70</v>
      </c>
      <c r="B30" t="e">
        <f>IF(B28&gt;B18,B29*(B28-B18),IF(B28&lt;B18,B29*(B28-B18),0))</f>
        <v>#DIV/0!</v>
      </c>
    </row>
    <row r="31" spans="1:4">
      <c r="A31" t="s">
        <v>71</v>
      </c>
      <c r="B31" t="e">
        <f>B25+B30</f>
        <v>#DIV/0!</v>
      </c>
    </row>
    <row r="32" spans="1:4">
      <c r="A32" t="s">
        <v>85</v>
      </c>
      <c r="B32" t="e">
        <f>IF(B30&gt;0,B25*30%,B31*30%)</f>
        <v>#DIV/0!</v>
      </c>
    </row>
    <row r="33" spans="1:2">
      <c r="A33" t="s">
        <v>73</v>
      </c>
      <c r="B33" t="e">
        <f>IF(B30&gt;0,B30*30%*50%,0)</f>
        <v>#DIV/0!</v>
      </c>
    </row>
    <row r="34" spans="1:2">
      <c r="A34" t="s">
        <v>86</v>
      </c>
      <c r="B34" t="e">
        <f>B32+B33</f>
        <v>#DIV/0!</v>
      </c>
    </row>
    <row r="35" spans="1:2">
      <c r="A35" t="s">
        <v>87</v>
      </c>
      <c r="B35" t="e">
        <f>B31-B34</f>
        <v>#DIV/0!</v>
      </c>
    </row>
    <row r="37" spans="1:2">
      <c r="A37" t="s">
        <v>88</v>
      </c>
      <c r="B37">
        <f>B27+1</f>
        <v>3</v>
      </c>
    </row>
    <row r="38" spans="1:2">
      <c r="A38" t="s">
        <v>89</v>
      </c>
      <c r="B38" s="284" t="e">
        <f>B28</f>
        <v>#DIV/0!</v>
      </c>
    </row>
    <row r="39" spans="1:2">
      <c r="A39" t="s">
        <v>90</v>
      </c>
      <c r="B39" s="27">
        <f>B29-DB($B$9,400,12,3)</f>
        <v>0</v>
      </c>
    </row>
    <row r="40" spans="1:2">
      <c r="A40" t="s">
        <v>70</v>
      </c>
      <c r="B40" t="e">
        <f>IF(B38&gt;B28,B39*(B38-B28),IF(B38&lt;B28,B39*(B38-B28),0))</f>
        <v>#DIV/0!</v>
      </c>
    </row>
    <row r="41" spans="1:2">
      <c r="A41" t="s">
        <v>71</v>
      </c>
      <c r="B41" t="e">
        <f>B35+B40</f>
        <v>#DIV/0!</v>
      </c>
    </row>
    <row r="42" spans="1:2">
      <c r="A42" t="s">
        <v>91</v>
      </c>
      <c r="B42" t="e">
        <f>IF(B40&gt;0,B35*30%,B41*30%)</f>
        <v>#DIV/0!</v>
      </c>
    </row>
    <row r="43" spans="1:2">
      <c r="A43" t="s">
        <v>73</v>
      </c>
      <c r="B43" t="e">
        <f>IF(B40&gt;0,B40*30%*50%,0)</f>
        <v>#DIV/0!</v>
      </c>
    </row>
    <row r="44" spans="1:2">
      <c r="A44" t="s">
        <v>92</v>
      </c>
      <c r="B44" t="e">
        <f>B42+B43</f>
        <v>#DIV/0!</v>
      </c>
    </row>
    <row r="45" spans="1:2">
      <c r="A45" t="s">
        <v>93</v>
      </c>
      <c r="B45" t="e">
        <f>B41-B44</f>
        <v>#DIV/0!</v>
      </c>
    </row>
    <row r="47" spans="1:2">
      <c r="A47" t="s">
        <v>94</v>
      </c>
      <c r="B47">
        <f>B37+1</f>
        <v>4</v>
      </c>
    </row>
    <row r="48" spans="1:2">
      <c r="A48" t="s">
        <v>95</v>
      </c>
      <c r="B48" s="284" t="e">
        <f>B38</f>
        <v>#DIV/0!</v>
      </c>
    </row>
    <row r="49" spans="1:2">
      <c r="A49" t="s">
        <v>96</v>
      </c>
      <c r="B49" s="27">
        <f>B39-DB($B$9,400,12,4)</f>
        <v>0</v>
      </c>
    </row>
    <row r="50" spans="1:2">
      <c r="A50" t="s">
        <v>70</v>
      </c>
      <c r="B50" t="e">
        <f>IF(B48&gt;B38,B49*(B48-B38),IF(B48&lt;B38,B49*(B48-B38),0))</f>
        <v>#DIV/0!</v>
      </c>
    </row>
    <row r="51" spans="1:2">
      <c r="A51" t="s">
        <v>71</v>
      </c>
      <c r="B51" t="e">
        <f>IF(B45+B50&gt;0,B45+B50,0)</f>
        <v>#DIV/0!</v>
      </c>
    </row>
    <row r="52" spans="1:2">
      <c r="A52" t="s">
        <v>97</v>
      </c>
      <c r="B52" t="e">
        <f>IF(B50&gt;0,B45*30%,B51*30%)</f>
        <v>#DIV/0!</v>
      </c>
    </row>
    <row r="53" spans="1:2">
      <c r="A53" t="s">
        <v>73</v>
      </c>
      <c r="B53" t="e">
        <f>IF(B50&gt;0,B50*30%*50%,0)</f>
        <v>#DIV/0!</v>
      </c>
    </row>
    <row r="54" spans="1:2">
      <c r="A54" t="s">
        <v>98</v>
      </c>
      <c r="B54" t="e">
        <f>B52+B53</f>
        <v>#DIV/0!</v>
      </c>
    </row>
    <row r="55" spans="1:2">
      <c r="A55" t="s">
        <v>99</v>
      </c>
      <c r="B55" t="e">
        <f>IF(B51-B54&gt;0,B51-B54,0)</f>
        <v>#DIV/0!</v>
      </c>
    </row>
    <row r="57" spans="1:2">
      <c r="A57" s="21" t="s">
        <v>100</v>
      </c>
      <c r="B57">
        <f>B47+1</f>
        <v>5</v>
      </c>
    </row>
    <row r="58" spans="1:2">
      <c r="A58" s="21" t="s">
        <v>101</v>
      </c>
      <c r="B58" s="284" t="e">
        <f>B48</f>
        <v>#DIV/0!</v>
      </c>
    </row>
    <row r="59" spans="1:2">
      <c r="A59" s="21" t="s">
        <v>111</v>
      </c>
      <c r="B59" s="27">
        <f>B49-DB($B$9,400,12,5)</f>
        <v>0</v>
      </c>
    </row>
    <row r="60" spans="1:2">
      <c r="A60" t="s">
        <v>70</v>
      </c>
      <c r="B60" t="e">
        <f>IF(B58&gt;B48,B59*(B58-B48),IF(B58&lt;B48,B59*(B58-B48),0))</f>
        <v>#DIV/0!</v>
      </c>
    </row>
    <row r="61" spans="1:2">
      <c r="A61" t="s">
        <v>71</v>
      </c>
      <c r="B61" t="e">
        <f>IF(B55+B60&gt;0,B55+B60,0)</f>
        <v>#DIV/0!</v>
      </c>
    </row>
    <row r="62" spans="1:2">
      <c r="A62" s="21" t="s">
        <v>108</v>
      </c>
      <c r="B62" t="e">
        <f>IF(B60&gt;0,B55*30%,B61*30%)</f>
        <v>#DIV/0!</v>
      </c>
    </row>
    <row r="63" spans="1:2">
      <c r="A63" t="s">
        <v>73</v>
      </c>
      <c r="B63" t="e">
        <f>IF(B60&gt;0,B60*30%*50%,0)</f>
        <v>#DIV/0!</v>
      </c>
    </row>
    <row r="64" spans="1:2">
      <c r="A64" s="21" t="s">
        <v>109</v>
      </c>
      <c r="B64" t="e">
        <f>B62+B63</f>
        <v>#DIV/0!</v>
      </c>
    </row>
    <row r="65" spans="1:2">
      <c r="A65" s="21" t="s">
        <v>110</v>
      </c>
      <c r="B65" t="e">
        <f>IF(B61-B64&gt;0,B61-B64,0)</f>
        <v>#DIV/0!</v>
      </c>
    </row>
    <row r="67" spans="1:2">
      <c r="A67" s="21" t="s">
        <v>102</v>
      </c>
      <c r="B67">
        <f>B57+1</f>
        <v>6</v>
      </c>
    </row>
    <row r="68" spans="1:2">
      <c r="A68" s="21" t="s">
        <v>103</v>
      </c>
      <c r="B68" s="284" t="e">
        <f>B58</f>
        <v>#DIV/0!</v>
      </c>
    </row>
    <row r="69" spans="1:2">
      <c r="A69" s="21" t="s">
        <v>112</v>
      </c>
      <c r="B69" s="27">
        <f>B59-DB($B$9,400,12,6)</f>
        <v>0</v>
      </c>
    </row>
    <row r="70" spans="1:2">
      <c r="A70" t="s">
        <v>70</v>
      </c>
      <c r="B70" t="e">
        <f>IF(B68&gt;B58,B69*(B68-B58),IF(B68&lt;B58,B69*(B68-B58),0))</f>
        <v>#DIV/0!</v>
      </c>
    </row>
    <row r="71" spans="1:2">
      <c r="A71" t="s">
        <v>71</v>
      </c>
      <c r="B71" t="e">
        <f>IF(B65+B70&gt;0,B65+B70,0)</f>
        <v>#DIV/0!</v>
      </c>
    </row>
    <row r="72" spans="1:2">
      <c r="A72" s="21" t="s">
        <v>113</v>
      </c>
      <c r="B72" t="e">
        <f>IF(B70&gt;0,B65*30%,B71*30%)</f>
        <v>#DIV/0!</v>
      </c>
    </row>
    <row r="73" spans="1:2">
      <c r="A73" t="s">
        <v>73</v>
      </c>
      <c r="B73" t="e">
        <f>IF(B70&gt;0,B70*30%*50%,0)</f>
        <v>#DIV/0!</v>
      </c>
    </row>
    <row r="74" spans="1:2">
      <c r="A74" s="21" t="s">
        <v>114</v>
      </c>
      <c r="B74" t="e">
        <f>B72+B73</f>
        <v>#DIV/0!</v>
      </c>
    </row>
    <row r="75" spans="1:2">
      <c r="A75" s="21" t="s">
        <v>115</v>
      </c>
      <c r="B75" t="e">
        <f>IF(B71-B74&gt;0,B71-B74,0)</f>
        <v>#DIV/0!</v>
      </c>
    </row>
    <row r="77" spans="1:2">
      <c r="A77" s="21" t="s">
        <v>104</v>
      </c>
      <c r="B77">
        <f>B67+1</f>
        <v>7</v>
      </c>
    </row>
    <row r="78" spans="1:2">
      <c r="A78" s="21" t="s">
        <v>105</v>
      </c>
      <c r="B78" s="284" t="e">
        <f>B68</f>
        <v>#DIV/0!</v>
      </c>
    </row>
    <row r="79" spans="1:2">
      <c r="A79" s="21" t="s">
        <v>116</v>
      </c>
      <c r="B79" s="27">
        <f>B69-DB($B$9,400,12,7)</f>
        <v>0</v>
      </c>
    </row>
    <row r="80" spans="1:2">
      <c r="A80" t="s">
        <v>70</v>
      </c>
      <c r="B80" t="e">
        <f>IF(B78&gt;B68,B79*(B78-B68),IF(B78&lt;B68,B79*(B78-B68),0))</f>
        <v>#DIV/0!</v>
      </c>
    </row>
    <row r="81" spans="1:2">
      <c r="A81" t="s">
        <v>71</v>
      </c>
      <c r="B81" t="e">
        <f>IF(B75+B80&gt;0,B75+B80,0)</f>
        <v>#DIV/0!</v>
      </c>
    </row>
    <row r="82" spans="1:2">
      <c r="A82" s="21" t="s">
        <v>117</v>
      </c>
      <c r="B82" t="e">
        <f>IF(B80&gt;0,B75*30%,B81*30%)</f>
        <v>#DIV/0!</v>
      </c>
    </row>
    <row r="83" spans="1:2">
      <c r="A83" t="s">
        <v>73</v>
      </c>
      <c r="B83" t="e">
        <f>IF(B80&gt;0,B80*30%*50%,0)</f>
        <v>#DIV/0!</v>
      </c>
    </row>
    <row r="84" spans="1:2">
      <c r="A84" s="21" t="s">
        <v>118</v>
      </c>
      <c r="B84" t="e">
        <f>B82+B83</f>
        <v>#DIV/0!</v>
      </c>
    </row>
    <row r="85" spans="1:2">
      <c r="A85" s="21" t="s">
        <v>119</v>
      </c>
      <c r="B85" t="e">
        <f>IF(B81-B84&gt;0,B81-B84,0)</f>
        <v>#DIV/0!</v>
      </c>
    </row>
    <row r="87" spans="1:2">
      <c r="A87" s="21" t="s">
        <v>106</v>
      </c>
      <c r="B87">
        <f>B77+1</f>
        <v>8</v>
      </c>
    </row>
    <row r="88" spans="1:2">
      <c r="A88" s="21" t="s">
        <v>107</v>
      </c>
      <c r="B88" s="284" t="e">
        <f>B78</f>
        <v>#DIV/0!</v>
      </c>
    </row>
    <row r="89" spans="1:2">
      <c r="A89" s="21" t="s">
        <v>120</v>
      </c>
      <c r="B89" s="27">
        <f>B79-DB($B$9,400,12,8)</f>
        <v>0</v>
      </c>
    </row>
    <row r="90" spans="1:2">
      <c r="A90" t="s">
        <v>70</v>
      </c>
      <c r="B90" t="e">
        <f>IF(B88&gt;B78,B89*(B88-B78),IF(B88&lt;B78,B89*(B88-B78),0))</f>
        <v>#DIV/0!</v>
      </c>
    </row>
    <row r="91" spans="1:2">
      <c r="A91" t="s">
        <v>71</v>
      </c>
      <c r="B91" t="e">
        <f>IF(B85+B90&gt;0,B85+B90,0)</f>
        <v>#DIV/0!</v>
      </c>
    </row>
    <row r="92" spans="1:2">
      <c r="A92" s="21" t="s">
        <v>121</v>
      </c>
      <c r="B92" t="e">
        <f>IF(B90&gt;0,B85*30%,B91*30%)</f>
        <v>#DIV/0!</v>
      </c>
    </row>
    <row r="93" spans="1:2">
      <c r="A93" t="s">
        <v>73</v>
      </c>
      <c r="B93" t="e">
        <f>IF(B90&gt;0,B90*30%*50%,0)</f>
        <v>#DIV/0!</v>
      </c>
    </row>
    <row r="94" spans="1:2">
      <c r="A94" s="21" t="s">
        <v>122</v>
      </c>
      <c r="B94" t="e">
        <f>B92+B93</f>
        <v>#DIV/0!</v>
      </c>
    </row>
    <row r="95" spans="1:2">
      <c r="A95" s="21" t="s">
        <v>123</v>
      </c>
      <c r="B95" t="e">
        <f>IF(B91-B94&gt;0,B91-B94,0)</f>
        <v>#DIV/0!</v>
      </c>
    </row>
    <row r="97" spans="1:2">
      <c r="A97" s="21" t="s">
        <v>124</v>
      </c>
      <c r="B97">
        <f>B87+1</f>
        <v>9</v>
      </c>
    </row>
    <row r="98" spans="1:2">
      <c r="A98" s="21" t="s">
        <v>125</v>
      </c>
      <c r="B98" s="284" t="e">
        <f>B88</f>
        <v>#DIV/0!</v>
      </c>
    </row>
    <row r="99" spans="1:2">
      <c r="A99" s="21" t="s">
        <v>126</v>
      </c>
      <c r="B99" s="27">
        <f>B89-DB($B$9,400,12,9)</f>
        <v>0</v>
      </c>
    </row>
    <row r="100" spans="1:2">
      <c r="A100" t="s">
        <v>70</v>
      </c>
      <c r="B100" t="e">
        <f>IF(B98&gt;B88,B99*(B98-B88),IF(B98&lt;B88,B99*(B98-B88),0))</f>
        <v>#DIV/0!</v>
      </c>
    </row>
    <row r="101" spans="1:2">
      <c r="A101" t="s">
        <v>71</v>
      </c>
      <c r="B101" t="e">
        <f>IF(B95+B100&gt;0,B95+B100,0)</f>
        <v>#DIV/0!</v>
      </c>
    </row>
    <row r="102" spans="1:2">
      <c r="A102" s="21" t="s">
        <v>127</v>
      </c>
      <c r="B102" t="e">
        <f>IF(B100&gt;0,B95*30%,B101*30%)</f>
        <v>#DIV/0!</v>
      </c>
    </row>
    <row r="103" spans="1:2">
      <c r="A103" t="s">
        <v>73</v>
      </c>
      <c r="B103" t="e">
        <f>IF(B100&gt;0,B100*30%*50%,0)</f>
        <v>#DIV/0!</v>
      </c>
    </row>
    <row r="104" spans="1:2">
      <c r="A104" s="21" t="s">
        <v>128</v>
      </c>
      <c r="B104" t="e">
        <f>B102+B103</f>
        <v>#DIV/0!</v>
      </c>
    </row>
    <row r="105" spans="1:2">
      <c r="A105" s="21" t="s">
        <v>129</v>
      </c>
      <c r="B105" t="e">
        <f>IF(B101-B104&gt;0,B101-B104,0)</f>
        <v>#DIV/0!</v>
      </c>
    </row>
    <row r="107" spans="1:2">
      <c r="A107" s="21" t="s">
        <v>434</v>
      </c>
      <c r="B107">
        <f>B97+1</f>
        <v>10</v>
      </c>
    </row>
    <row r="108" spans="1:2">
      <c r="A108" s="21" t="s">
        <v>107</v>
      </c>
      <c r="B108" s="284" t="e">
        <f>B98</f>
        <v>#DIV/0!</v>
      </c>
    </row>
    <row r="109" spans="1:2">
      <c r="A109" s="21" t="s">
        <v>120</v>
      </c>
      <c r="B109" s="27">
        <f>B99-DB($B$9,400,12,10)</f>
        <v>0</v>
      </c>
    </row>
    <row r="110" spans="1:2">
      <c r="A110" t="s">
        <v>70</v>
      </c>
      <c r="B110" t="e">
        <f>IF(B108&gt;B98,B109*(B108-B98),IF(B108&lt;B98,B109*(B108-B98),0))</f>
        <v>#DIV/0!</v>
      </c>
    </row>
    <row r="111" spans="1:2">
      <c r="A111" t="s">
        <v>71</v>
      </c>
      <c r="B111" t="e">
        <f>IF(B105+B110&gt;0,B105+B110,0)</f>
        <v>#DIV/0!</v>
      </c>
    </row>
    <row r="112" spans="1:2">
      <c r="A112" s="21" t="s">
        <v>121</v>
      </c>
      <c r="B112" t="e">
        <f>IF(B110&gt;0,B105*30%,B111*30%)</f>
        <v>#DIV/0!</v>
      </c>
    </row>
    <row r="113" spans="1:2">
      <c r="A113" t="s">
        <v>73</v>
      </c>
      <c r="B113" t="e">
        <f>IF(B110&gt;0,B110*30%*50%,0)</f>
        <v>#DIV/0!</v>
      </c>
    </row>
    <row r="114" spans="1:2">
      <c r="A114" s="21" t="s">
        <v>122</v>
      </c>
      <c r="B114" t="e">
        <f>B112+B113</f>
        <v>#DIV/0!</v>
      </c>
    </row>
    <row r="115" spans="1:2">
      <c r="A115" s="21" t="s">
        <v>123</v>
      </c>
      <c r="B115" t="e">
        <f>IF(B111-B114&gt;0,B111-B114,0)</f>
        <v>#DIV/0!</v>
      </c>
    </row>
    <row r="117" spans="1:2">
      <c r="A117" s="21" t="s">
        <v>435</v>
      </c>
      <c r="B117">
        <f>B107+1</f>
        <v>11</v>
      </c>
    </row>
    <row r="118" spans="1:2">
      <c r="A118" s="21" t="s">
        <v>125</v>
      </c>
      <c r="B118" s="284" t="e">
        <f>B108</f>
        <v>#DIV/0!</v>
      </c>
    </row>
    <row r="119" spans="1:2">
      <c r="A119" s="21" t="s">
        <v>126</v>
      </c>
      <c r="B119" s="27">
        <f>B109-DB($B$9,400,12,12)</f>
        <v>0</v>
      </c>
    </row>
    <row r="120" spans="1:2">
      <c r="A120" t="s">
        <v>70</v>
      </c>
      <c r="B120" t="e">
        <f>IF(B118&gt;B108,B119*(B118-B108),IF(B118&lt;B108,B119*(B118-B108),0))</f>
        <v>#DIV/0!</v>
      </c>
    </row>
    <row r="121" spans="1:2">
      <c r="A121" t="s">
        <v>71</v>
      </c>
      <c r="B121" t="e">
        <f>IF(B115+B120&gt;0,B115+B120,0)</f>
        <v>#DIV/0!</v>
      </c>
    </row>
    <row r="122" spans="1:2">
      <c r="A122" s="21" t="s">
        <v>127</v>
      </c>
      <c r="B122" t="e">
        <f>IF(B120&gt;0,B115*30%,B121*30%)</f>
        <v>#DIV/0!</v>
      </c>
    </row>
    <row r="123" spans="1:2">
      <c r="A123" t="s">
        <v>73</v>
      </c>
      <c r="B123" t="e">
        <f>IF(B120&gt;0,B120*30%*50%,0)</f>
        <v>#DIV/0!</v>
      </c>
    </row>
    <row r="124" spans="1:2">
      <c r="A124" s="21" t="s">
        <v>128</v>
      </c>
      <c r="B124" t="e">
        <f>B122+B123</f>
        <v>#DIV/0!</v>
      </c>
    </row>
    <row r="125" spans="1:2">
      <c r="A125" s="21" t="s">
        <v>129</v>
      </c>
      <c r="B125" t="e">
        <f>IF(B121-B124&gt;0,B121-B124,0)</f>
        <v>#DIV/0!</v>
      </c>
    </row>
    <row r="127" spans="1:2">
      <c r="A127" s="21" t="s">
        <v>436</v>
      </c>
      <c r="B127">
        <f>B117+1</f>
        <v>12</v>
      </c>
    </row>
    <row r="128" spans="1:2">
      <c r="A128" s="21" t="s">
        <v>107</v>
      </c>
      <c r="B128" s="29" t="e">
        <f>B118</f>
        <v>#DIV/0!</v>
      </c>
    </row>
    <row r="129" spans="1:2">
      <c r="A129" s="21" t="s">
        <v>120</v>
      </c>
      <c r="B129" s="27">
        <f>B119-DB($B$9,400,12,12)</f>
        <v>0</v>
      </c>
    </row>
    <row r="130" spans="1:2">
      <c r="A130" t="s">
        <v>70</v>
      </c>
      <c r="B130" t="e">
        <f>IF(B128&gt;B118,B129*(B128-B118),IF(B128&lt;B118,B129*(B128-B118),0))</f>
        <v>#DIV/0!</v>
      </c>
    </row>
    <row r="131" spans="1:2">
      <c r="A131" t="s">
        <v>71</v>
      </c>
      <c r="B131" t="e">
        <f>IF(B125+B130&gt;0,B125+B130,0)</f>
        <v>#DIV/0!</v>
      </c>
    </row>
    <row r="132" spans="1:2">
      <c r="A132" s="21" t="s">
        <v>121</v>
      </c>
      <c r="B132" t="e">
        <f>IF(B130&gt;0,B125*30%,B131*30%)</f>
        <v>#DIV/0!</v>
      </c>
    </row>
    <row r="133" spans="1:2">
      <c r="A133" t="s">
        <v>73</v>
      </c>
      <c r="B133" t="e">
        <f>IF(B130&gt;0,B130*30%*50%,0)</f>
        <v>#DIV/0!</v>
      </c>
    </row>
    <row r="134" spans="1:2">
      <c r="A134" s="21" t="s">
        <v>122</v>
      </c>
      <c r="B134" t="e">
        <f>B132+B133</f>
        <v>#DIV/0!</v>
      </c>
    </row>
    <row r="135" spans="1:2">
      <c r="A135" s="21" t="s">
        <v>123</v>
      </c>
      <c r="B135" t="e">
        <f>IF(B131-B134&gt;0,B131-B134,0)</f>
        <v>#DIV/0!</v>
      </c>
    </row>
    <row r="137" spans="1:2">
      <c r="A137" s="21" t="s">
        <v>437</v>
      </c>
      <c r="B137">
        <f>B127+1</f>
        <v>13</v>
      </c>
    </row>
    <row r="138" spans="1:2">
      <c r="A138" s="21" t="s">
        <v>125</v>
      </c>
      <c r="B138" s="29" t="e">
        <f>B128</f>
        <v>#DIV/0!</v>
      </c>
    </row>
    <row r="139" spans="1:2">
      <c r="A139" s="21" t="s">
        <v>126</v>
      </c>
      <c r="B139" s="27">
        <f>B129-DB($B$9,400,12,12)</f>
        <v>0</v>
      </c>
    </row>
    <row r="140" spans="1:2">
      <c r="A140" t="s">
        <v>70</v>
      </c>
      <c r="B140" t="e">
        <f>IF(B138&gt;B128,B139*(B138-B128),IF(B138&lt;B128,B139*(B138-B128),0))</f>
        <v>#DIV/0!</v>
      </c>
    </row>
    <row r="141" spans="1:2">
      <c r="A141" t="s">
        <v>71</v>
      </c>
      <c r="B141" t="e">
        <f>IF(B135+B140&gt;0,B135+B140,0)</f>
        <v>#DIV/0!</v>
      </c>
    </row>
    <row r="142" spans="1:2">
      <c r="A142" s="21" t="s">
        <v>127</v>
      </c>
      <c r="B142" t="e">
        <f>IF(B140&gt;0,B135*30%,B141*30%)</f>
        <v>#DIV/0!</v>
      </c>
    </row>
    <row r="143" spans="1:2">
      <c r="A143" t="s">
        <v>73</v>
      </c>
      <c r="B143" t="e">
        <f>IF(B140&gt;0,B140*30%*50%,0)</f>
        <v>#DIV/0!</v>
      </c>
    </row>
    <row r="144" spans="1:2">
      <c r="A144" s="21" t="s">
        <v>128</v>
      </c>
      <c r="B144" t="e">
        <f>B142+B143</f>
        <v>#DIV/0!</v>
      </c>
    </row>
    <row r="145" spans="1:2">
      <c r="A145" s="21" t="s">
        <v>129</v>
      </c>
      <c r="B145" t="e">
        <f>IF(B141-B144&gt;0,B141-B144,0)</f>
        <v>#DIV/0!</v>
      </c>
    </row>
  </sheetData>
  <sheetProtection algorithmName="SHA-512" hashValue="/x/TR/DxaG3Eox1DUFLb5jAFWgYRTqKSo++DqNGS1INBgaB+8vWaYfNG0ZjI5amimGYvj+F0Xh1kf0uIdTTcJg==" saltValue="yLPxPTO3LK1fC4QEXExp9A==" spinCount="100000" sheet="1" objects="1" scenarios="1"/>
  <mergeCells count="1">
    <mergeCell ref="A3:E3"/>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workbookViewId="0">
      <selection activeCell="B6" sqref="B6"/>
    </sheetView>
  </sheetViews>
  <sheetFormatPr baseColWidth="10" defaultRowHeight="13.2"/>
  <cols>
    <col min="1" max="1" width="52.109375" customWidth="1"/>
    <col min="2" max="2" width="13.88671875" customWidth="1"/>
    <col min="3" max="3" width="13.44140625" customWidth="1"/>
    <col min="6" max="6" width="13.109375" customWidth="1"/>
  </cols>
  <sheetData>
    <row r="1" spans="1:7" ht="22.8">
      <c r="A1" s="69" t="s">
        <v>237</v>
      </c>
    </row>
    <row r="3" spans="1:7" ht="15">
      <c r="B3" s="98" t="s">
        <v>205</v>
      </c>
      <c r="C3" s="98" t="s">
        <v>204</v>
      </c>
    </row>
    <row r="4" spans="1:7" ht="15">
      <c r="A4" s="32" t="s">
        <v>238</v>
      </c>
      <c r="B4" s="271">
        <f>C4/(1.05*1.095)</f>
        <v>695.80343552946294</v>
      </c>
      <c r="C4" s="208">
        <v>800</v>
      </c>
    </row>
    <row r="5" spans="1:7" ht="15">
      <c r="A5" s="32" t="s">
        <v>239</v>
      </c>
      <c r="B5" s="208">
        <v>50000</v>
      </c>
      <c r="C5" s="267">
        <f>B5*1.05*1.095</f>
        <v>57487.5</v>
      </c>
    </row>
    <row r="6" spans="1:7" ht="15">
      <c r="B6" s="32"/>
      <c r="C6" s="32"/>
    </row>
    <row r="7" spans="1:7" ht="15">
      <c r="A7" s="32" t="s">
        <v>240</v>
      </c>
      <c r="B7" s="171"/>
      <c r="C7" s="32"/>
    </row>
    <row r="8" spans="1:7" ht="15">
      <c r="A8" s="32" t="s">
        <v>54</v>
      </c>
      <c r="B8" s="171"/>
      <c r="C8" s="32"/>
    </row>
    <row r="9" spans="1:7" ht="15">
      <c r="A9" s="32" t="s">
        <v>241</v>
      </c>
      <c r="B9" s="209"/>
      <c r="C9" s="32"/>
    </row>
    <row r="10" spans="1:7" ht="15">
      <c r="A10" s="32" t="s">
        <v>242</v>
      </c>
      <c r="B10" s="209"/>
      <c r="C10" s="32"/>
    </row>
    <row r="14" spans="1:7" ht="20.399999999999999">
      <c r="A14" s="95" t="s">
        <v>199</v>
      </c>
    </row>
    <row r="16" spans="1:7" ht="15">
      <c r="A16" s="32" t="s">
        <v>200</v>
      </c>
      <c r="B16" s="32"/>
      <c r="C16" s="32"/>
      <c r="D16" s="32"/>
      <c r="E16" s="32"/>
      <c r="F16" s="32"/>
      <c r="G16" s="32"/>
    </row>
    <row r="17" spans="1:7" ht="15">
      <c r="A17" s="32" t="s">
        <v>201</v>
      </c>
      <c r="B17" s="97">
        <f>C4*12</f>
        <v>9600</v>
      </c>
      <c r="C17" s="32"/>
      <c r="D17" s="32"/>
      <c r="E17" s="32"/>
      <c r="F17" s="32"/>
      <c r="G17" s="32"/>
    </row>
    <row r="18" spans="1:7" ht="15">
      <c r="A18" s="32" t="s">
        <v>202</v>
      </c>
      <c r="B18" s="97">
        <f>800*1.05*1.095*12</f>
        <v>11037.599999999999</v>
      </c>
      <c r="C18" s="32"/>
      <c r="D18" s="32"/>
      <c r="E18" s="32"/>
      <c r="F18" s="32" t="s">
        <v>204</v>
      </c>
      <c r="G18" s="32"/>
    </row>
    <row r="19" spans="1:7" ht="15">
      <c r="A19" s="32" t="s">
        <v>203</v>
      </c>
      <c r="B19" s="97">
        <f>G21</f>
        <v>7791.2470588235292</v>
      </c>
      <c r="C19" s="32"/>
      <c r="D19" s="32"/>
      <c r="E19" s="32">
        <v>30000</v>
      </c>
      <c r="F19" s="32">
        <f>E19*1.05*1.095</f>
        <v>34492.5</v>
      </c>
      <c r="G19" s="32">
        <f>F19</f>
        <v>34492.5</v>
      </c>
    </row>
    <row r="20" spans="1:7" ht="15">
      <c r="A20" s="32"/>
      <c r="B20" s="32"/>
      <c r="C20" s="32"/>
      <c r="D20" s="32"/>
      <c r="E20" s="32"/>
      <c r="F20" s="32">
        <f>100/85*F19</f>
        <v>40579.411764705881</v>
      </c>
      <c r="G20" s="32">
        <f>IF(F20&gt;B5,F20,B5)</f>
        <v>50000</v>
      </c>
    </row>
    <row r="21" spans="1:7" ht="15.6">
      <c r="A21" s="31" t="s">
        <v>234</v>
      </c>
      <c r="B21" s="272">
        <f>MIN(B17:B19)</f>
        <v>7791.2470588235292</v>
      </c>
      <c r="C21" s="32"/>
      <c r="D21" s="32"/>
      <c r="E21" s="32"/>
      <c r="F21" s="97">
        <f>$B$17*F19/(F20*85%)</f>
        <v>9600</v>
      </c>
      <c r="G21" s="97">
        <f>$B$17*G19/(G20*85%)</f>
        <v>7791.2470588235292</v>
      </c>
    </row>
    <row r="22" spans="1:7" ht="15">
      <c r="A22" s="32"/>
      <c r="B22" s="32"/>
      <c r="C22" s="32"/>
      <c r="D22" s="32"/>
      <c r="E22" s="32"/>
      <c r="F22" s="32"/>
      <c r="G22" s="32"/>
    </row>
    <row r="23" spans="1:7" ht="15">
      <c r="A23" s="32"/>
      <c r="B23" s="32"/>
      <c r="C23" s="32"/>
      <c r="D23" s="32"/>
      <c r="E23" s="32"/>
      <c r="F23" s="32"/>
      <c r="G23" s="32"/>
    </row>
    <row r="24" spans="1:7" ht="15">
      <c r="A24" s="32" t="s">
        <v>206</v>
      </c>
      <c r="B24" s="32"/>
      <c r="C24" s="32" t="s">
        <v>207</v>
      </c>
      <c r="D24" s="32" t="s">
        <v>208</v>
      </c>
      <c r="E24" s="32"/>
      <c r="F24" s="32" t="s">
        <v>50</v>
      </c>
      <c r="G24" s="75">
        <f>'Achat PMT mensuel'!B7</f>
        <v>1.9E-2</v>
      </c>
    </row>
    <row r="25" spans="1:7" ht="15">
      <c r="A25" s="32" t="s">
        <v>130</v>
      </c>
      <c r="B25" s="97">
        <f>B5</f>
        <v>50000</v>
      </c>
      <c r="C25" s="32">
        <f>B25*50%*30%</f>
        <v>7500</v>
      </c>
      <c r="D25" s="32">
        <f>B25-C25</f>
        <v>42500</v>
      </c>
      <c r="E25" s="32"/>
      <c r="F25" s="32"/>
      <c r="G25" s="32">
        <f>'Achat PMT mensuel'!E6</f>
        <v>346.59307116066702</v>
      </c>
    </row>
    <row r="26" spans="1:7" ht="15">
      <c r="A26" s="32" t="s">
        <v>209</v>
      </c>
      <c r="B26" s="32">
        <f>D25</f>
        <v>42500</v>
      </c>
      <c r="C26" s="32">
        <f>B26*30%</f>
        <v>12750</v>
      </c>
      <c r="D26" s="32">
        <f>B26-C26</f>
        <v>29750</v>
      </c>
      <c r="E26" s="32"/>
      <c r="F26" s="32"/>
      <c r="G26" s="32">
        <f>'Achat PMT mensuel'!E7</f>
        <v>272.80915201251418</v>
      </c>
    </row>
    <row r="27" spans="1:7" ht="15">
      <c r="A27" s="32" t="s">
        <v>210</v>
      </c>
      <c r="B27" s="32">
        <f t="shared" ref="B27:B29" si="0">D26</f>
        <v>29750</v>
      </c>
      <c r="C27" s="32">
        <f t="shared" ref="C27:C29" si="1">B27*30%</f>
        <v>8925</v>
      </c>
      <c r="D27" s="32">
        <f t="shared" ref="D27:D29" si="2">B27-C27</f>
        <v>20825</v>
      </c>
      <c r="E27" s="32"/>
      <c r="F27" s="32"/>
      <c r="G27" s="32">
        <f>'Achat PMT mensuel'!E8</f>
        <v>197.61267925418784</v>
      </c>
    </row>
    <row r="28" spans="1:7" ht="15">
      <c r="A28" s="32" t="s">
        <v>211</v>
      </c>
      <c r="B28" s="32">
        <f t="shared" si="0"/>
        <v>20825</v>
      </c>
      <c r="C28" s="32">
        <f t="shared" si="1"/>
        <v>6247.5</v>
      </c>
      <c r="D28" s="32">
        <f t="shared" si="2"/>
        <v>14577.5</v>
      </c>
      <c r="E28" s="32"/>
      <c r="F28" s="32"/>
      <c r="G28" s="32">
        <f>'Achat PMT mensuel'!E9</f>
        <v>120.97496573037715</v>
      </c>
    </row>
    <row r="29" spans="1:7" ht="15">
      <c r="A29" s="32" t="s">
        <v>212</v>
      </c>
      <c r="B29" s="32">
        <f t="shared" si="0"/>
        <v>14577.5</v>
      </c>
      <c r="C29" s="32">
        <f t="shared" si="1"/>
        <v>4373.25</v>
      </c>
      <c r="D29" s="32">
        <f t="shared" si="2"/>
        <v>10204.25</v>
      </c>
      <c r="E29" s="32"/>
      <c r="F29" s="32"/>
      <c r="G29" s="32">
        <f>'Achat PMT mensuel'!E10</f>
        <v>42.86838813818111</v>
      </c>
    </row>
    <row r="30" spans="1:7" ht="15">
      <c r="A30" s="32"/>
      <c r="B30" s="32"/>
      <c r="C30" s="32">
        <f>AVERAGE(C25:C29)</f>
        <v>7959.15</v>
      </c>
      <c r="D30" s="32"/>
      <c r="E30" s="32"/>
      <c r="F30" s="32"/>
      <c r="G30" s="32">
        <f>AVERAGE(G25:G29)</f>
        <v>196.17165125918547</v>
      </c>
    </row>
    <row r="31" spans="1:7" ht="15.6">
      <c r="A31" s="31" t="s">
        <v>235</v>
      </c>
      <c r="B31" s="32"/>
      <c r="C31" s="32"/>
      <c r="D31" s="32"/>
      <c r="E31" s="32"/>
      <c r="F31" s="32"/>
      <c r="G31" s="96">
        <f>C30+G30</f>
        <v>8155.3216512591853</v>
      </c>
    </row>
    <row r="32" spans="1:7" ht="15">
      <c r="A32" s="32"/>
      <c r="B32" s="32"/>
      <c r="C32" s="32"/>
      <c r="D32" s="32"/>
      <c r="E32" s="32"/>
      <c r="F32" s="32"/>
      <c r="G32" s="32"/>
    </row>
    <row r="33" spans="1:7" ht="15.6">
      <c r="A33" s="31" t="s">
        <v>215</v>
      </c>
      <c r="B33" s="32"/>
      <c r="C33" s="32"/>
      <c r="D33" s="32"/>
      <c r="E33" s="32"/>
      <c r="F33" s="32"/>
      <c r="G33" s="32"/>
    </row>
    <row r="34" spans="1:7" ht="15">
      <c r="A34" s="32"/>
      <c r="B34" s="32"/>
      <c r="C34" s="32"/>
      <c r="D34" s="32"/>
      <c r="E34" s="32"/>
      <c r="F34" s="32"/>
      <c r="G34" s="32"/>
    </row>
    <row r="35" spans="1:7" ht="15.6">
      <c r="A35" s="31" t="s">
        <v>236</v>
      </c>
      <c r="B35" s="32"/>
      <c r="C35" s="32"/>
      <c r="D35" s="32"/>
      <c r="E35" s="32"/>
      <c r="F35" s="32"/>
      <c r="G35" s="32"/>
    </row>
    <row r="36" spans="1:7" ht="15">
      <c r="A36" s="32"/>
      <c r="B36" s="32"/>
      <c r="C36" s="32"/>
      <c r="D36" s="32"/>
      <c r="E36" s="32"/>
      <c r="F36" s="32"/>
      <c r="G36" s="32"/>
    </row>
  </sheetData>
  <sheetProtection algorithmName="SHA-512" hashValue="fbxoWOEPTaq6gWLzOQ2n1ZCRjVOPICkprdHAmEzokYIpYd3WMuIyGCRvXdeCthsjQwQpo1J1aIz9Rison8MGkQ==" saltValue="GzT/KER4Ju405R4em+7awQ=="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Identification</vt:lpstr>
      <vt:lpstr>Revenus</vt:lpstr>
      <vt:lpstr>Automobile</vt:lpstr>
      <vt:lpstr>Dépenses affaires</vt:lpstr>
      <vt:lpstr>Domicile</vt:lpstr>
      <vt:lpstr>Revenu net</vt:lpstr>
      <vt:lpstr>TPS</vt:lpstr>
      <vt:lpstr>Amortissement</vt:lpstr>
      <vt:lpstr>Location</vt:lpstr>
      <vt:lpstr>Achat PMT mensuel</vt:lpstr>
      <vt:lpstr>Achat PMT Hebdo</vt:lpstr>
      <vt:lpstr>PMT bi-mensuel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Jean-Francois Robert</cp:lastModifiedBy>
  <cp:lastPrinted>2020-07-04T01:25:52Z</cp:lastPrinted>
  <dcterms:created xsi:type="dcterms:W3CDTF">2005-11-28T16:04:39Z</dcterms:created>
  <dcterms:modified xsi:type="dcterms:W3CDTF">2020-07-04T01:27:30Z</dcterms:modified>
</cp:coreProperties>
</file>