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polev\Dropbox\Precision\Boost\NewIntro-2021\NewCo\PrecisionHCT\PHA\Present\Investors-11-5-23\ExecutiveSummary\"/>
    </mc:Choice>
  </mc:AlternateContent>
  <xr:revisionPtr revIDLastSave="0" documentId="13_ncr:1_{B071FB59-7314-4C45-9385-A8DBD35A10E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History &amp; Current Pipeline" sheetId="20" r:id="rId1"/>
    <sheet name="Pending Pipeline" sheetId="19" r:id="rId2"/>
    <sheet name="Assumptions" sheetId="13" r:id="rId3"/>
    <sheet name="Projections" sheetId="16" r:id="rId4"/>
    <sheet name="Assumptions 2 Beta" sheetId="14" r:id="rId5"/>
    <sheet name="Beta-Pilot" sheetId="18" r:id="rId6"/>
    <sheet name="ROI Calculator" sheetId="21" r:id="rId7"/>
    <sheet name="Actual Bill Run Sheet" sheetId="6" r:id="rId8"/>
    <sheet name="Startup Balance Sheet" sheetId="4" r:id="rId9"/>
    <sheet name="Old Model Income 2023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21" l="1"/>
  <c r="F16" i="21"/>
  <c r="D14" i="21"/>
  <c r="C14" i="21"/>
  <c r="B7" i="21"/>
  <c r="B9" i="21" s="1"/>
  <c r="B17" i="21" l="1"/>
  <c r="B16" i="21"/>
  <c r="B13" i="21"/>
  <c r="B12" i="21"/>
  <c r="B11" i="21"/>
  <c r="B14" i="21" s="1"/>
  <c r="B18" i="21" s="1"/>
  <c r="E18" i="21" l="1"/>
  <c r="F18" i="21" s="1"/>
  <c r="D18" i="21"/>
  <c r="G18" i="21" s="1"/>
  <c r="B31" i="21"/>
  <c r="B19" i="21"/>
  <c r="D16" i="21"/>
  <c r="B29" i="21"/>
  <c r="E17" i="21"/>
  <c r="D17" i="21"/>
  <c r="B30" i="21"/>
  <c r="E30" i="21" l="1"/>
  <c r="D30" i="21"/>
  <c r="E19" i="21"/>
  <c r="F17" i="21"/>
  <c r="F19" i="21" s="1"/>
  <c r="B32" i="21"/>
  <c r="D29" i="21"/>
  <c r="D19" i="21"/>
  <c r="G16" i="21"/>
  <c r="G20" i="21"/>
  <c r="B22" i="21"/>
  <c r="C22" i="21" s="1"/>
  <c r="E31" i="21"/>
  <c r="F31" i="21" s="1"/>
  <c r="D31" i="21"/>
  <c r="G31" i="21" s="1"/>
  <c r="D32" i="21" l="1"/>
  <c r="G29" i="21"/>
  <c r="B35" i="21"/>
  <c r="C35" i="21" s="1"/>
  <c r="G33" i="21"/>
  <c r="G17" i="21"/>
  <c r="G19" i="21" s="1"/>
  <c r="E32" i="21"/>
  <c r="F30" i="21"/>
  <c r="F32" i="21" s="1"/>
  <c r="C23" i="21" l="1"/>
  <c r="C24" i="21" s="1"/>
  <c r="G21" i="21"/>
  <c r="G22" i="21"/>
  <c r="G30" i="21"/>
  <c r="G32" i="21"/>
  <c r="C36" i="21" l="1"/>
  <c r="C37" i="21" s="1"/>
  <c r="G34" i="21"/>
  <c r="G35" i="21"/>
  <c r="C12" i="19" l="1"/>
  <c r="E12" i="19"/>
  <c r="D12" i="19"/>
  <c r="C23" i="20"/>
  <c r="C13" i="20"/>
  <c r="D13" i="20" s="1"/>
  <c r="F10" i="20"/>
  <c r="F13" i="20" s="1"/>
  <c r="G13" i="20" s="1"/>
  <c r="G7" i="20"/>
  <c r="G10" i="20" l="1"/>
  <c r="F27" i="18" l="1"/>
  <c r="B27" i="18"/>
  <c r="L23" i="18"/>
  <c r="K23" i="18"/>
  <c r="G28" i="18" s="1"/>
  <c r="I23" i="18"/>
  <c r="G23" i="18"/>
  <c r="E23" i="18"/>
  <c r="M22" i="18"/>
  <c r="J22" i="18"/>
  <c r="H22" i="18"/>
  <c r="F22" i="18"/>
  <c r="D22" i="18"/>
  <c r="J21" i="18"/>
  <c r="H21" i="18"/>
  <c r="F21" i="18"/>
  <c r="D21" i="18" s="1"/>
  <c r="M21" i="18" s="1"/>
  <c r="J20" i="18"/>
  <c r="H20" i="18"/>
  <c r="F20" i="18"/>
  <c r="D20" i="18"/>
  <c r="M20" i="18" s="1"/>
  <c r="J19" i="18"/>
  <c r="H19" i="18"/>
  <c r="F19" i="18"/>
  <c r="D19" i="18"/>
  <c r="M19" i="18" s="1"/>
  <c r="M18" i="18"/>
  <c r="J18" i="18"/>
  <c r="H18" i="18"/>
  <c r="F18" i="18"/>
  <c r="D18" i="18"/>
  <c r="J17" i="18"/>
  <c r="H17" i="18"/>
  <c r="F17" i="18"/>
  <c r="D17" i="18"/>
  <c r="J16" i="18"/>
  <c r="H16" i="18"/>
  <c r="F16" i="18"/>
  <c r="D16" i="18"/>
  <c r="M16" i="18" s="1"/>
  <c r="J15" i="18"/>
  <c r="H15" i="18"/>
  <c r="F15" i="18"/>
  <c r="D15" i="18"/>
  <c r="M15" i="18" s="1"/>
  <c r="J14" i="18"/>
  <c r="H14" i="18"/>
  <c r="F14" i="18"/>
  <c r="D14" i="18" s="1"/>
  <c r="M14" i="18" s="1"/>
  <c r="J13" i="18"/>
  <c r="H13" i="18"/>
  <c r="F13" i="18"/>
  <c r="D13" i="18"/>
  <c r="M13" i="18" s="1"/>
  <c r="J12" i="18"/>
  <c r="H12" i="18"/>
  <c r="F12" i="18"/>
  <c r="D12" i="18"/>
  <c r="M12" i="18" s="1"/>
  <c r="J11" i="18"/>
  <c r="H11" i="18"/>
  <c r="F11" i="18"/>
  <c r="D11" i="18"/>
  <c r="M11" i="18" s="1"/>
  <c r="J10" i="18"/>
  <c r="H10" i="18"/>
  <c r="F10" i="18"/>
  <c r="D10" i="18"/>
  <c r="M10" i="18" s="1"/>
  <c r="J9" i="18"/>
  <c r="H9" i="18"/>
  <c r="F9" i="18"/>
  <c r="D9" i="18"/>
  <c r="M9" i="18" s="1"/>
  <c r="J8" i="18"/>
  <c r="H8" i="18"/>
  <c r="F8" i="18"/>
  <c r="D8" i="18" s="1"/>
  <c r="M8" i="18" s="1"/>
  <c r="J7" i="18"/>
  <c r="H7" i="18"/>
  <c r="F7" i="18"/>
  <c r="D7" i="18"/>
  <c r="M7" i="18" s="1"/>
  <c r="J6" i="18"/>
  <c r="H6" i="18"/>
  <c r="F6" i="18"/>
  <c r="D6" i="18"/>
  <c r="M6" i="18" s="1"/>
  <c r="J5" i="18"/>
  <c r="H5" i="18"/>
  <c r="F5" i="18"/>
  <c r="D5" i="18"/>
  <c r="M5" i="18" s="1"/>
  <c r="J4" i="18"/>
  <c r="H4" i="18"/>
  <c r="F4" i="18"/>
  <c r="D4" i="18"/>
  <c r="M4" i="18" s="1"/>
  <c r="H3" i="18"/>
  <c r="H23" i="18" s="1"/>
  <c r="F3" i="18"/>
  <c r="F23" i="18" s="1"/>
  <c r="D3" i="18"/>
  <c r="J3" i="18" s="1"/>
  <c r="J23" i="18" s="1"/>
  <c r="C13" i="19" l="1"/>
  <c r="M3" i="18"/>
  <c r="M23" i="18" s="1"/>
  <c r="G29" i="18"/>
  <c r="D23" i="18"/>
  <c r="G27" i="18" s="1"/>
  <c r="G30" i="18" s="1"/>
  <c r="F30" i="18"/>
  <c r="O29" i="16"/>
  <c r="O27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O25" i="16"/>
  <c r="O24" i="16"/>
  <c r="L22" i="16"/>
  <c r="L31" i="16" s="1"/>
  <c r="K22" i="16"/>
  <c r="K31" i="16" s="1"/>
  <c r="N21" i="16"/>
  <c r="M21" i="16"/>
  <c r="L21" i="16"/>
  <c r="N22" i="16" s="1"/>
  <c r="N28" i="16" s="1"/>
  <c r="K21" i="16"/>
  <c r="M22" i="16" s="1"/>
  <c r="M31" i="16" s="1"/>
  <c r="J21" i="16"/>
  <c r="I21" i="16"/>
  <c r="H21" i="16"/>
  <c r="J22" i="16" s="1"/>
  <c r="J31" i="16" s="1"/>
  <c r="G21" i="16"/>
  <c r="I22" i="16" s="1"/>
  <c r="I31" i="16" s="1"/>
  <c r="F21" i="16"/>
  <c r="H22" i="16" s="1"/>
  <c r="E21" i="16"/>
  <c r="G22" i="16" s="1"/>
  <c r="D21" i="16"/>
  <c r="F22" i="16" s="1"/>
  <c r="C21" i="16"/>
  <c r="E22" i="16" s="1"/>
  <c r="O20" i="16"/>
  <c r="O21" i="16" s="1"/>
  <c r="D16" i="16"/>
  <c r="C16" i="16"/>
  <c r="O14" i="16"/>
  <c r="O12" i="16"/>
  <c r="N11" i="16"/>
  <c r="M11" i="16"/>
  <c r="L11" i="16"/>
  <c r="K11" i="16"/>
  <c r="J11" i="16"/>
  <c r="I11" i="16"/>
  <c r="H11" i="16"/>
  <c r="G11" i="16"/>
  <c r="F11" i="16"/>
  <c r="E11" i="16"/>
  <c r="D11" i="16"/>
  <c r="D15" i="16" s="1"/>
  <c r="D17" i="16" s="1"/>
  <c r="C11" i="16"/>
  <c r="C15" i="16" s="1"/>
  <c r="C17" i="16" s="1"/>
  <c r="O10" i="16"/>
  <c r="O9" i="16"/>
  <c r="N6" i="16"/>
  <c r="D22" i="16" s="1"/>
  <c r="M6" i="16"/>
  <c r="C22" i="16" s="1"/>
  <c r="L6" i="16"/>
  <c r="N7" i="16" s="1"/>
  <c r="K6" i="16"/>
  <c r="M7" i="16" s="1"/>
  <c r="J6" i="16"/>
  <c r="L7" i="16" s="1"/>
  <c r="I6" i="16"/>
  <c r="K7" i="16" s="1"/>
  <c r="H6" i="16"/>
  <c r="J7" i="16" s="1"/>
  <c r="G6" i="16"/>
  <c r="I7" i="16" s="1"/>
  <c r="F6" i="16"/>
  <c r="H7" i="16" s="1"/>
  <c r="E6" i="16"/>
  <c r="G7" i="16" s="1"/>
  <c r="D6" i="16"/>
  <c r="F7" i="16" s="1"/>
  <c r="C6" i="16"/>
  <c r="E7" i="16" s="1"/>
  <c r="O5" i="16"/>
  <c r="O6" i="16" s="1"/>
  <c r="O11" i="16" l="1"/>
  <c r="E13" i="16"/>
  <c r="E16" i="16"/>
  <c r="F13" i="16"/>
  <c r="F15" i="16" s="1"/>
  <c r="F16" i="16"/>
  <c r="G13" i="16"/>
  <c r="G15" i="16" s="1"/>
  <c r="G16" i="16"/>
  <c r="H13" i="16"/>
  <c r="H15" i="16" s="1"/>
  <c r="H16" i="16"/>
  <c r="N31" i="16"/>
  <c r="D13" i="19"/>
  <c r="E13" i="19"/>
  <c r="K27" i="18"/>
  <c r="F28" i="18" s="1"/>
  <c r="M24" i="18"/>
  <c r="K24" i="18"/>
  <c r="L27" i="18"/>
  <c r="F29" i="18" s="1"/>
  <c r="K13" i="16"/>
  <c r="K16" i="16"/>
  <c r="K15" i="16"/>
  <c r="K17" i="16" s="1"/>
  <c r="D30" i="16"/>
  <c r="D32" i="16" s="1"/>
  <c r="I13" i="16"/>
  <c r="I15" i="16" s="1"/>
  <c r="I17" i="16" s="1"/>
  <c r="I16" i="16"/>
  <c r="J13" i="16"/>
  <c r="J15" i="16" s="1"/>
  <c r="J17" i="16" s="1"/>
  <c r="J16" i="16"/>
  <c r="L13" i="16"/>
  <c r="L15" i="16" s="1"/>
  <c r="L16" i="16"/>
  <c r="L17" i="16"/>
  <c r="I30" i="16"/>
  <c r="I32" i="16" s="1"/>
  <c r="M13" i="16"/>
  <c r="M15" i="16" s="1"/>
  <c r="M17" i="16" s="1"/>
  <c r="M16" i="16"/>
  <c r="N16" i="16"/>
  <c r="N13" i="16"/>
  <c r="N15" i="16" s="1"/>
  <c r="N17" i="16" s="1"/>
  <c r="O22" i="16"/>
  <c r="C28" i="16"/>
  <c r="C31" i="16"/>
  <c r="D28" i="16"/>
  <c r="N30" i="16"/>
  <c r="N32" i="16" s="1"/>
  <c r="E15" i="16"/>
  <c r="E28" i="16"/>
  <c r="E30" i="16" s="1"/>
  <c r="E32" i="16" s="1"/>
  <c r="E31" i="16"/>
  <c r="F28" i="16"/>
  <c r="F30" i="16" s="1"/>
  <c r="F32" i="16" s="1"/>
  <c r="F31" i="16"/>
  <c r="G28" i="16"/>
  <c r="G30" i="16" s="1"/>
  <c r="G32" i="16" s="1"/>
  <c r="G31" i="16"/>
  <c r="H28" i="16"/>
  <c r="H30" i="16" s="1"/>
  <c r="H32" i="16" s="1"/>
  <c r="H31" i="16"/>
  <c r="O7" i="16"/>
  <c r="F17" i="16"/>
  <c r="G17" i="16"/>
  <c r="H17" i="16"/>
  <c r="O26" i="16"/>
  <c r="I28" i="16"/>
  <c r="J28" i="16"/>
  <c r="J30" i="16" s="1"/>
  <c r="J32" i="16" s="1"/>
  <c r="K28" i="16"/>
  <c r="K30" i="16" s="1"/>
  <c r="K32" i="16" s="1"/>
  <c r="L28" i="16"/>
  <c r="L30" i="16" s="1"/>
  <c r="L32" i="16" s="1"/>
  <c r="M28" i="16"/>
  <c r="M30" i="16" s="1"/>
  <c r="M32" i="16" s="1"/>
  <c r="O13" i="16" l="1"/>
  <c r="O15" i="16"/>
  <c r="O28" i="16"/>
  <c r="P22" i="16"/>
  <c r="O31" i="16"/>
  <c r="C30" i="16"/>
  <c r="E17" i="16"/>
  <c r="O17" i="16" s="1"/>
  <c r="P17" i="16" s="1"/>
  <c r="O16" i="16"/>
  <c r="P7" i="16"/>
  <c r="O30" i="16" l="1"/>
  <c r="C32" i="16"/>
  <c r="P28" i="16"/>
  <c r="P11" i="16"/>
  <c r="P9" i="16"/>
  <c r="P10" i="16"/>
  <c r="P12" i="16"/>
  <c r="P14" i="16"/>
  <c r="P13" i="16"/>
  <c r="P15" i="16" l="1"/>
  <c r="P25" i="16"/>
  <c r="P27" i="16"/>
  <c r="P24" i="16"/>
  <c r="P29" i="16"/>
  <c r="P26" i="16"/>
  <c r="O32" i="16"/>
  <c r="P32" i="16" s="1"/>
  <c r="P30" i="16" l="1"/>
  <c r="B24" i="9" l="1"/>
  <c r="B23" i="9"/>
  <c r="B25" i="9" s="1"/>
  <c r="B10" i="9"/>
  <c r="B12" i="9" l="1"/>
  <c r="B13" i="9"/>
  <c r="B14" i="9" s="1"/>
  <c r="B19" i="9" l="1"/>
  <c r="B18" i="9"/>
  <c r="B17" i="9"/>
  <c r="B21" i="9" s="1"/>
  <c r="B26" i="9" s="1"/>
  <c r="B27" i="9" s="1"/>
  <c r="B30" i="9" s="1"/>
  <c r="F48" i="6" l="1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B19" i="6"/>
  <c r="F18" i="6"/>
  <c r="F17" i="6"/>
  <c r="B17" i="6"/>
  <c r="F16" i="6"/>
  <c r="B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B28" i="4" l="1"/>
  <c r="B22" i="4"/>
  <c r="B24" i="4" s="1"/>
  <c r="B16" i="4"/>
  <c r="B29" i="4" l="1"/>
  <c r="B2" i="6"/>
</calcChain>
</file>

<file path=xl/sharedStrings.xml><?xml version="1.0" encoding="utf-8"?>
<sst xmlns="http://schemas.openxmlformats.org/spreadsheetml/2006/main" count="492" uniqueCount="347">
  <si>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</si>
  <si>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</si>
  <si>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</si>
  <si>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</si>
  <si>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</si>
  <si>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</si>
  <si>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</si>
  <si>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</si>
  <si>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</si>
  <si>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</si>
  <si>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</si>
  <si>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</si>
  <si>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AMOUNT</t>
  </si>
  <si>
    <t>Gross Profit</t>
  </si>
  <si>
    <t>OPERATING EXPENSES</t>
  </si>
  <si>
    <t>Total Operating Expenses</t>
  </si>
  <si>
    <t>Operating Income</t>
  </si>
  <si>
    <t>Net Income</t>
  </si>
  <si>
    <t>Precision Healthcare Technology Income Projections 2024-25</t>
  </si>
  <si>
    <t>CATEGORY - Encounters</t>
  </si>
  <si>
    <t>ACCOUNT</t>
  </si>
  <si>
    <t>STATUS</t>
  </si>
  <si>
    <t># LIVES</t>
  </si>
  <si>
    <t>#</t>
  </si>
  <si>
    <t>REGION</t>
  </si>
  <si>
    <t>Med Alliance</t>
  </si>
  <si>
    <t>New York</t>
  </si>
  <si>
    <t>Urban Health</t>
  </si>
  <si>
    <t>Pending</t>
  </si>
  <si>
    <t>Southern Georgia Health</t>
  </si>
  <si>
    <t>Georgia</t>
  </si>
  <si>
    <t>NOTES</t>
  </si>
  <si>
    <t>National</t>
  </si>
  <si>
    <t>Riverview Health</t>
  </si>
  <si>
    <t>Indiana</t>
  </si>
  <si>
    <t>Leon Health</t>
  </si>
  <si>
    <t>Southern New England</t>
  </si>
  <si>
    <t>SONE Healthcare</t>
  </si>
  <si>
    <t>Tyron Medical Partners</t>
  </si>
  <si>
    <t>Medvision Quickcap</t>
  </si>
  <si>
    <t>Launching</t>
  </si>
  <si>
    <t>North Carolina</t>
  </si>
  <si>
    <t>STATUS - 2/15/24</t>
  </si>
  <si>
    <t>$80/Year</t>
  </si>
  <si>
    <t>Revenue</t>
  </si>
  <si>
    <t>TOTALS -&gt;</t>
  </si>
  <si>
    <t>Discount by 60% -&gt;</t>
  </si>
  <si>
    <t>LIVES</t>
  </si>
  <si>
    <t>ASSETS</t>
  </si>
  <si>
    <t>LIABILITIES</t>
  </si>
  <si>
    <t>"ACCOUNT" column has hyperlinks to the organization's website</t>
  </si>
  <si>
    <r>
      <t>Prepared by: Precision Healthcare Technology</t>
    </r>
    <r>
      <rPr>
        <b/>
        <sz val="12"/>
        <color theme="1"/>
        <rFont val="Arial"/>
        <family val="2"/>
        <scheme val="minor"/>
      </rPr>
      <t xml:space="preserve"> </t>
    </r>
  </si>
  <si>
    <r>
      <t xml:space="preserve">Prepared on: </t>
    </r>
    <r>
      <rPr>
        <b/>
        <sz val="12"/>
        <color theme="1"/>
        <rFont val="Arial"/>
        <family val="2"/>
        <scheme val="minor"/>
      </rPr>
      <t>February 5, 2024</t>
    </r>
  </si>
  <si>
    <t>DESCRIPTION</t>
  </si>
  <si>
    <t>YEAR 1</t>
  </si>
  <si>
    <t>Current Assets</t>
  </si>
  <si>
    <t>Total Current Assets</t>
  </si>
  <si>
    <t>Current Liabilities</t>
  </si>
  <si>
    <t>Total Current Liabilities</t>
  </si>
  <si>
    <t>TOTAL LIABILITIES</t>
  </si>
  <si>
    <t>SHAREHOLDER’S EQUITY</t>
  </si>
  <si>
    <t>TOTAL LIABILITIES &amp; SHAREHOLDER’S EQUITY</t>
  </si>
  <si>
    <t xml:space="preserve">Cash </t>
  </si>
  <si>
    <t>Accounts Receivable</t>
  </si>
  <si>
    <t>Prepaid Expenses</t>
  </si>
  <si>
    <t>Technology IP</t>
  </si>
  <si>
    <t>Accounts Payable</t>
  </si>
  <si>
    <t>Salaries Payable</t>
  </si>
  <si>
    <t>Notes Payable</t>
  </si>
  <si>
    <t xml:space="preserve">Long-Term Debt </t>
  </si>
  <si>
    <t>Equity InvestmentCapital</t>
  </si>
  <si>
    <t>Goodwill/Contacts/Sales Network/Propriatary Business Practices</t>
  </si>
  <si>
    <t xml:space="preserve">                     STARTUP BALANCE SHEET</t>
  </si>
  <si>
    <t>TOTAL</t>
  </si>
  <si>
    <t>Low Risk</t>
  </si>
  <si>
    <t xml:space="preserve">     Moderate Risk</t>
  </si>
  <si>
    <t>High Risk</t>
  </si>
  <si>
    <t>PHT</t>
  </si>
  <si>
    <t>Client</t>
  </si>
  <si>
    <t>Location</t>
  </si>
  <si>
    <t>Encounters</t>
  </si>
  <si>
    <t>%</t>
  </si>
  <si>
    <t>PE Billed</t>
  </si>
  <si>
    <t>Value</t>
  </si>
  <si>
    <t>Invoice</t>
  </si>
  <si>
    <t>PHT Value</t>
  </si>
  <si>
    <t>PHT Bill to Invoice</t>
  </si>
  <si>
    <t>PHT Charge = $20</t>
  </si>
  <si>
    <t>2-Average Expected Collect = $42.31</t>
  </si>
  <si>
    <t>1-Billed - 99241 = $28, 99242 = $38 &amp; 99243 = $48</t>
  </si>
  <si>
    <t>2-High risk drives medical necessity for an office visit and a follow-up visit = $180 Total</t>
  </si>
  <si>
    <t>1-Moderate risk drives medical necessity for a virtual or office visit = $90</t>
  </si>
  <si>
    <t>Actual Partial Bill Run - Detail on Next Tab</t>
  </si>
  <si>
    <t>Encounters = 100</t>
  </si>
  <si>
    <t>$60 - $72 Paid</t>
  </si>
  <si>
    <t>24 - 24%</t>
  </si>
  <si>
    <t>$40 - $59 Paid</t>
  </si>
  <si>
    <t>51 - 51%</t>
  </si>
  <si>
    <t>$25 - $39 Paid</t>
  </si>
  <si>
    <t>25 - 25%</t>
  </si>
  <si>
    <t>100 - 100%</t>
  </si>
  <si>
    <t>Different Payment Amounts</t>
  </si>
  <si>
    <t>Highest Payment</t>
  </si>
  <si>
    <t>Lowest Payment</t>
  </si>
  <si>
    <t>Average Payment</t>
  </si>
  <si>
    <t>Patient Engagement Paid</t>
  </si>
  <si>
    <t>High Risk Paid - 99423 (50) - Needs office visit + follow-up</t>
  </si>
  <si>
    <t>Moderate Risk - 99424 (50) - Needs 1 virtual/office visit</t>
  </si>
  <si>
    <t>Gross Revenue to Practice</t>
  </si>
  <si>
    <t>Precision Cost</t>
  </si>
  <si>
    <t>Net to Practice</t>
  </si>
  <si>
    <t>Value/Patient</t>
  </si>
  <si>
    <t>Cost/Patient</t>
  </si>
  <si>
    <t>Net Profit/Patient</t>
  </si>
  <si>
    <t xml:space="preserve">             How We Are Paid</t>
  </si>
  <si>
    <r>
      <rPr>
        <sz val="12"/>
        <color rgb="FFC00000"/>
        <rFont val="Arial"/>
        <family val="2"/>
        <scheme val="minor"/>
      </rPr>
      <t>1-</t>
    </r>
    <r>
      <rPr>
        <sz val="12"/>
        <color theme="1"/>
        <rFont val="Arial"/>
        <family val="2"/>
        <scheme val="minor"/>
      </rPr>
      <t>Precision is not paid from insurance claims payments.</t>
    </r>
  </si>
  <si>
    <r>
      <rPr>
        <sz val="12"/>
        <color rgb="FFC00000"/>
        <rFont val="Arial"/>
        <family val="2"/>
        <scheme val="minor"/>
      </rPr>
      <t>2-</t>
    </r>
    <r>
      <rPr>
        <sz val="12"/>
        <color theme="1"/>
        <rFont val="Arial"/>
        <family val="2"/>
        <scheme val="minor"/>
      </rPr>
      <t>Our compliant flat rate is $20 per patient response.</t>
    </r>
  </si>
  <si>
    <r>
      <rPr>
        <sz val="12"/>
        <color rgb="FFC00000"/>
        <rFont val="Arial"/>
        <family val="2"/>
        <scheme val="minor"/>
      </rPr>
      <t>3-</t>
    </r>
    <r>
      <rPr>
        <sz val="12"/>
        <color theme="1"/>
        <rFont val="Arial"/>
        <family val="2"/>
        <scheme val="minor"/>
      </rPr>
      <t>We provide daily, weekly or monthly superbills</t>
    </r>
  </si>
  <si>
    <t>to expedite your ability to be paid from insurance.</t>
  </si>
  <si>
    <t>We also guide and assist with claims adjudications.</t>
  </si>
  <si>
    <r>
      <rPr>
        <sz val="12"/>
        <color rgb="FFC00000"/>
        <rFont val="Arial"/>
        <family val="2"/>
        <scheme val="minor"/>
      </rPr>
      <t>4-</t>
    </r>
    <r>
      <rPr>
        <sz val="12"/>
        <color theme="1"/>
        <rFont val="Arial"/>
        <family val="2"/>
        <scheme val="minor"/>
      </rPr>
      <t>We don't invoice you for  60 days to allow you</t>
    </r>
  </si>
  <si>
    <t>bill and collect for our assessments and visits driven</t>
  </si>
  <si>
    <t>to your office via our schedule facilitation.</t>
  </si>
  <si>
    <r>
      <rPr>
        <sz val="12"/>
        <color rgb="FFC00000"/>
        <rFont val="Arial"/>
        <family val="2"/>
        <scheme val="minor"/>
      </rPr>
      <t>5-</t>
    </r>
    <r>
      <rPr>
        <sz val="12"/>
        <color theme="1"/>
        <rFont val="Arial"/>
        <family val="2"/>
        <scheme val="minor"/>
      </rPr>
      <t>The assessments themselves are not billable,</t>
    </r>
  </si>
  <si>
    <t>only the encounters where they are contained.</t>
  </si>
  <si>
    <r>
      <rPr>
        <sz val="12"/>
        <color rgb="FFC00000"/>
        <rFont val="Arial"/>
        <family val="2"/>
        <scheme val="minor"/>
      </rPr>
      <t>6-</t>
    </r>
    <r>
      <rPr>
        <sz val="12"/>
        <color theme="1"/>
        <rFont val="Arial"/>
        <family val="2"/>
        <scheme val="minor"/>
      </rPr>
      <t>Follow up visits are driven by medical necessity and we</t>
    </r>
  </si>
  <si>
    <t>do not share in that revenue. A Moderate Risk Patient</t>
  </si>
  <si>
    <t>requires a virtual or live visit.  A High Risk Patient requires an</t>
  </si>
  <si>
    <t>office visit and a follow up.</t>
  </si>
  <si>
    <r>
      <rPr>
        <sz val="12"/>
        <color rgb="FFC00000"/>
        <rFont val="Arial"/>
        <family val="2"/>
        <scheme val="minor"/>
      </rPr>
      <t>7-</t>
    </r>
    <r>
      <rPr>
        <sz val="12"/>
        <rFont val="Arial"/>
        <family val="2"/>
        <scheme val="minor"/>
      </rPr>
      <t>No charge for ACO/MA programs registered with us.</t>
    </r>
  </si>
  <si>
    <t>We charge only $2 for those patients not registered.</t>
  </si>
  <si>
    <r>
      <t>8-</t>
    </r>
    <r>
      <rPr>
        <sz val="12"/>
        <rFont val="Arial"/>
        <family val="2"/>
        <scheme val="minor"/>
      </rPr>
      <t xml:space="preserve">Providers are required to take these actions to be </t>
    </r>
  </si>
  <si>
    <t>compliant.  Now you get paid to do so.</t>
  </si>
  <si>
    <r>
      <rPr>
        <sz val="12"/>
        <color rgb="FFC00000"/>
        <rFont val="Arial"/>
        <family val="2"/>
        <scheme val="minor"/>
      </rPr>
      <t>9-</t>
    </r>
    <r>
      <rPr>
        <sz val="12"/>
        <rFont val="Arial"/>
        <family val="2"/>
        <scheme val="minor"/>
      </rPr>
      <t>We conservativly quote $12,100 in revenue to the</t>
    </r>
  </si>
  <si>
    <t>practice for each 100 patient responses for a cost of $2,000</t>
  </si>
  <si>
    <r>
      <t>10-</t>
    </r>
    <r>
      <rPr>
        <sz val="12"/>
        <rFont val="Arial"/>
        <family val="2"/>
        <scheme val="minor"/>
      </rPr>
      <t>To learn more go to</t>
    </r>
  </si>
  <si>
    <t>Precision Healthcare Technology here</t>
  </si>
  <si>
    <t>To see how you're viewed in the eyes of payers and signup</t>
  </si>
  <si>
    <t>go here to PVBM Health</t>
  </si>
  <si>
    <t xml:space="preserve">  Different Payment Amounts</t>
  </si>
  <si>
    <t xml:space="preserve">       100 of a 606 Claim Run</t>
  </si>
  <si>
    <t>*30% will engage monthly as per chronic care management guidelines.</t>
  </si>
  <si>
    <t>Precision Healthcare Technology</t>
  </si>
  <si>
    <t>Total Number of Providers in the Group</t>
  </si>
  <si>
    <t>Total Number of Patients in the Group</t>
  </si>
  <si>
    <t>Family Practice/ Walk In</t>
  </si>
  <si>
    <t>Southeast</t>
  </si>
  <si>
    <t>Family Practice</t>
  </si>
  <si>
    <t>Midwest</t>
  </si>
  <si>
    <t>Northeast</t>
  </si>
  <si>
    <t>Family Practice/IPA Lead</t>
  </si>
  <si>
    <t>Same amount of work but a fraction of the compliance &amp; revenue.</t>
  </si>
  <si>
    <t>Medical necessity dictates you engage &amp; provide services for the entire patient population.</t>
  </si>
  <si>
    <t>Precision Healthcare Technologies</t>
  </si>
  <si>
    <t>Income Statement</t>
  </si>
  <si>
    <t>As of September 30th 2023</t>
  </si>
  <si>
    <t>Total</t>
  </si>
  <si>
    <t>Income</t>
  </si>
  <si>
    <t>Electronic Patient Engagement Revenue</t>
  </si>
  <si>
    <t>Advertising Revenue</t>
  </si>
  <si>
    <t>Total Income</t>
  </si>
  <si>
    <t>Cost of Goods Sold</t>
  </si>
  <si>
    <t xml:space="preserve">   Total Cost of Goods Sold</t>
  </si>
  <si>
    <t>Total Cost of Goods Sold</t>
  </si>
  <si>
    <t>Expenses</t>
  </si>
  <si>
    <t>Patient Engagement Expenses</t>
  </si>
  <si>
    <t xml:space="preserve">     Sales Commissions &amp; Fees</t>
  </si>
  <si>
    <t xml:space="preserve">     Technology Costs</t>
  </si>
  <si>
    <t xml:space="preserve">     Operations &amp; Support Costs</t>
  </si>
  <si>
    <t xml:space="preserve">     Research &amp; Development Costs</t>
  </si>
  <si>
    <t>Total Patient Engagement Expenses</t>
  </si>
  <si>
    <t xml:space="preserve">Advertising Expenses  </t>
  </si>
  <si>
    <t>Total Advertising Expenses</t>
  </si>
  <si>
    <t xml:space="preserve">Total Expenses </t>
  </si>
  <si>
    <t>Net Operating Income</t>
  </si>
  <si>
    <t>Other Income</t>
  </si>
  <si>
    <t>Total Other Income</t>
  </si>
  <si>
    <t>Thursday, Oct 19, 2023 08:32:27 PM GMT-7 - Accrual Basis</t>
  </si>
  <si>
    <t xml:space="preserve">Footnotes to create: </t>
  </si>
  <si>
    <t>Sales Commision to Sales reps 30% of the Patient Engagement Revenue</t>
  </si>
  <si>
    <t>Technology Costs related to tech support and development 15%</t>
  </si>
  <si>
    <t>Operations support 18%</t>
  </si>
  <si>
    <t>127500 Patients Engaged</t>
  </si>
  <si>
    <t>We may be able to lower some of the operation support costs</t>
  </si>
  <si>
    <t>On the advertising line we have Operations support costs of 20% and a tech support fee would be added in the amount of 7%</t>
  </si>
  <si>
    <t>I am not including any ancillary sales that would include projects related to Chronic Care Management or Remote Patient Monitoring or other referral business that would add to the revenue.</t>
  </si>
  <si>
    <t>We are not including any research projects to find patients for specific opportunities not yet identified.</t>
  </si>
  <si>
    <t>Contracted partner opportunity with Doximity and other Healthcare Data Aggregators and about to add ProcareRX, OptimizeRX along with a current advertising partner Populus Health Tech for Pharma Advertising (We have a deal with Populus but their inventory is not broad enough for us yet)</t>
  </si>
  <si>
    <t>Family Practice/ACO Lead</t>
  </si>
  <si>
    <t>Payments Due in 60 Days</t>
  </si>
  <si>
    <t>Monthly Sales</t>
  </si>
  <si>
    <t>Total Revenue - CASH</t>
  </si>
  <si>
    <t xml:space="preserve">Technology </t>
  </si>
  <si>
    <t>Management</t>
  </si>
  <si>
    <t>Corporate/Support Staff</t>
  </si>
  <si>
    <t>Marketing</t>
  </si>
  <si>
    <t>Sales/Account Mgmt</t>
  </si>
  <si>
    <t>Legal/Accounting</t>
  </si>
  <si>
    <t>PROFIT</t>
  </si>
  <si>
    <t xml:space="preserve"> </t>
  </si>
  <si>
    <t>Cash on Hand After Loan</t>
  </si>
  <si>
    <t>Active</t>
  </si>
  <si>
    <t>Denver</t>
  </si>
  <si>
    <t>NC</t>
  </si>
  <si>
    <t>Phoenix</t>
  </si>
  <si>
    <t>Michigan</t>
  </si>
  <si>
    <t>New Hampshire</t>
  </si>
  <si>
    <t>Arizona</t>
  </si>
  <si>
    <t>Paused to Resume</t>
  </si>
  <si>
    <t>Mental Health</t>
  </si>
  <si>
    <t>Pilot for Big Project</t>
  </si>
  <si>
    <t>Q1 2024 Pilots/Betas</t>
  </si>
  <si>
    <t>Patient Engagement Beta/Pilot</t>
  </si>
  <si>
    <t>Assumptions to Projections</t>
  </si>
  <si>
    <t>Number of billable patient responses per month.</t>
  </si>
  <si>
    <t>We are paid $20 per patient encounter, earned instantly upon patient response.</t>
  </si>
  <si>
    <t>Total Revenue - CASH FLOW</t>
  </si>
  <si>
    <t>Monthly cash flow - Accounts Receivable due in 60 days</t>
  </si>
  <si>
    <t>Though our payment is not paid based on insurance collections, we do assist in the clients timely filing of claims and any denials.</t>
  </si>
  <si>
    <t>Servers, development, maintenance, support, and integrations with outside systems</t>
  </si>
  <si>
    <t>Strategic and execution of programs, products and services.</t>
  </si>
  <si>
    <t>As we continue to scale, more functions will become automated thus shifting people to different jobs.</t>
  </si>
  <si>
    <t>Doximity and other strategic partners who market as partners rather than being paid as reps.</t>
  </si>
  <si>
    <t>Includes presentation, contracting, onboarding, and implementation through payment follow up.</t>
  </si>
  <si>
    <t>Strategic, operations, compliance, agreements, and filings.</t>
  </si>
  <si>
    <t>Profit should settle in at around 48% or more depending on revenue silo and partner agreement type.</t>
  </si>
  <si>
    <t>Assuming a loan of $1.25 million</t>
  </si>
  <si>
    <t>Assumptions to Beta/Pilot</t>
  </si>
  <si>
    <r>
      <rPr>
        <b/>
        <sz val="12"/>
        <color rgb="FFC00000"/>
        <rFont val="Arial"/>
        <family val="2"/>
        <scheme val="minor"/>
      </rPr>
      <t>1-</t>
    </r>
    <r>
      <rPr>
        <sz val="12"/>
        <color theme="1"/>
        <rFont val="Arial"/>
        <family val="2"/>
        <scheme val="minor"/>
      </rPr>
      <t>On average providers only have valid contact information on 48.63% of their patients, which means they are primarily seeing sick patients.</t>
    </r>
  </si>
  <si>
    <r>
      <rPr>
        <b/>
        <sz val="12"/>
        <color rgb="FFC00000"/>
        <rFont val="Arial"/>
        <family val="2"/>
        <scheme val="minor"/>
      </rPr>
      <t>2-</t>
    </r>
    <r>
      <rPr>
        <sz val="12"/>
        <color theme="1"/>
        <rFont val="Arial"/>
        <family val="2"/>
        <scheme val="minor"/>
      </rPr>
      <t>Value based care and patient engagement seeks to address the overall health of the patient population ahead of them being ill.</t>
    </r>
  </si>
  <si>
    <r>
      <rPr>
        <b/>
        <sz val="12"/>
        <color rgb="FFC00000"/>
        <rFont val="Arial"/>
        <family val="2"/>
        <scheme val="minor"/>
      </rPr>
      <t>3-</t>
    </r>
    <r>
      <rPr>
        <sz val="12"/>
        <color theme="1"/>
        <rFont val="Arial"/>
        <family val="2"/>
        <scheme val="minor"/>
      </rPr>
      <t>At 48.63% providers are only seeing about 4% of their population per month so their patient engagement efforts will always fall short.</t>
    </r>
  </si>
  <si>
    <r>
      <rPr>
        <b/>
        <sz val="12"/>
        <color rgb="FFC00000"/>
        <rFont val="Arial"/>
        <family val="2"/>
        <scheme val="minor"/>
      </rPr>
      <t>4-</t>
    </r>
    <r>
      <rPr>
        <sz val="12"/>
        <color theme="1"/>
        <rFont val="Arial"/>
        <family val="2"/>
        <scheme val="minor"/>
      </rPr>
      <t>Precision constantly updates contact information &amp; gets it back to the provider, &amp; also gives access to see how that benefits their RAF score.</t>
    </r>
  </si>
  <si>
    <r>
      <rPr>
        <b/>
        <sz val="12"/>
        <color rgb="FFC00000"/>
        <rFont val="Arial"/>
        <family val="2"/>
        <scheme val="minor"/>
      </rPr>
      <t>5-</t>
    </r>
    <r>
      <rPr>
        <sz val="12"/>
        <color theme="1"/>
        <rFont val="Arial"/>
        <family val="2"/>
        <scheme val="minor"/>
      </rPr>
      <t>Risk Assessment Factor (RAF) Score is a public credit report that shows how risky the patients and treatment protocols are to the payers</t>
    </r>
  </si>
  <si>
    <t>*Medical necessity requires two visits per year to keep prescriptions current.</t>
  </si>
  <si>
    <t>*O1 - 2024 Results = 20 Accounts Underway</t>
  </si>
  <si>
    <t>*These accounts represent only one engagement and we expect four per year.</t>
  </si>
  <si>
    <t>*Completed encounters range from 16 t0 661 patients as a fair representation of varying practice sizes within a group.</t>
  </si>
  <si>
    <t>*3,644 Total Completed Encounters in this Test Stage</t>
  </si>
  <si>
    <t>VALUE CALCULATIONS</t>
  </si>
  <si>
    <t>OTHER ASSUMPTIONS</t>
  </si>
  <si>
    <t>CONCLUSION</t>
  </si>
  <si>
    <t>We already ran a series of Beta &amp; Pilot Programs so that the organization doesn’t have to.</t>
  </si>
  <si>
    <t>Engagement -&gt;</t>
  </si>
  <si>
    <t xml:space="preserve">  </t>
  </si>
  <si>
    <t>3,946 Total Completed Encounters in this Test Stage</t>
  </si>
  <si>
    <t>$78,920 in Sales</t>
  </si>
  <si>
    <t>Hosptial - Ohio</t>
  </si>
  <si>
    <t>$525,2408 in Value Delivered</t>
  </si>
  <si>
    <t>12.48% Cost to Value</t>
  </si>
  <si>
    <t xml:space="preserve">        Extrapolated Value</t>
  </si>
  <si>
    <t>Patients</t>
  </si>
  <si>
    <t>Average</t>
  </si>
  <si>
    <t>Claim</t>
  </si>
  <si>
    <t>Respond</t>
  </si>
  <si>
    <t>Claims</t>
  </si>
  <si>
    <t>Subset</t>
  </si>
  <si>
    <t>Cost to Value</t>
  </si>
  <si>
    <t>Beta-Pilot</t>
  </si>
  <si>
    <t>VALUE - &gt;</t>
  </si>
  <si>
    <t>Projections</t>
  </si>
  <si>
    <t>Details - Timeframe/Delays</t>
  </si>
  <si>
    <t>Pre Staging</t>
  </si>
  <si>
    <t>Project Staging Priorities</t>
  </si>
  <si>
    <t>Under Process review</t>
  </si>
  <si>
    <t>Under Process Review</t>
  </si>
  <si>
    <t>Imminent</t>
  </si>
  <si>
    <t>Aegis &amp; Provider Network Solutions</t>
  </si>
  <si>
    <t>Precision Final Scalable Model Iterations</t>
  </si>
  <si>
    <t>Adjusted A/R</t>
  </si>
  <si>
    <t>Q4 - 2023</t>
  </si>
  <si>
    <t>Convert Full Service Model to Current Model</t>
  </si>
  <si>
    <t>20% for ACO/Medicare Advantage</t>
  </si>
  <si>
    <t>Accounts</t>
  </si>
  <si>
    <t>Billed</t>
  </si>
  <si>
    <t>Collected</t>
  </si>
  <si>
    <t>A/R</t>
  </si>
  <si>
    <t>Q1 - 2024</t>
  </si>
  <si>
    <t>Beta/Pilot - Test to Scale - Subset for 1.3 million patients to fully onboard</t>
  </si>
  <si>
    <t>Net</t>
  </si>
  <si>
    <t>Q2 - 2024</t>
  </si>
  <si>
    <t>Model Upgrades &amp; Refinements</t>
  </si>
  <si>
    <t>Q3- 2024</t>
  </si>
  <si>
    <t>Current Scalable Model</t>
  </si>
  <si>
    <t>Current A/R - 0-60</t>
  </si>
  <si>
    <t>Holzer</t>
  </si>
  <si>
    <t>Launching &amp;</t>
  </si>
  <si>
    <t>Projected</t>
  </si>
  <si>
    <t>Service</t>
  </si>
  <si>
    <t>Pipeline</t>
  </si>
  <si>
    <t>Type</t>
  </si>
  <si>
    <t>Quarterly</t>
  </si>
  <si>
    <t>Patient Engagement/Care Coordination - 35,000 patients</t>
  </si>
  <si>
    <t>Cereskills</t>
  </si>
  <si>
    <t>Monthly</t>
  </si>
  <si>
    <t>Enrollment - Medicare Cognitive Loss Reduction</t>
  </si>
  <si>
    <t>Chartspan</t>
  </si>
  <si>
    <t>Enrollment - Medicare Chronic Care Management</t>
  </si>
  <si>
    <t>Sun Coast Medical</t>
  </si>
  <si>
    <t>PE/CC for 8,000 patients</t>
  </si>
  <si>
    <t>UNC - Seniors</t>
  </si>
  <si>
    <t>PE/CC for 35,000 patients</t>
  </si>
  <si>
    <t>UNC - All Patients</t>
  </si>
  <si>
    <t>PE/CC for 2 million patients</t>
  </si>
  <si>
    <t>Beta/Pilot - Full</t>
  </si>
  <si>
    <t>PE/CC for 1.3 million patients</t>
  </si>
  <si>
    <t>Working via 3rd Party</t>
  </si>
  <si>
    <t>Return on Investment &amp; Total Value Calculator</t>
  </si>
  <si>
    <t>Input Data - Patients Counts &amp; Risk Stratification</t>
  </si>
  <si>
    <t>Enter</t>
  </si>
  <si>
    <t>Your Total</t>
  </si>
  <si>
    <t>&lt;&lt;--Patients</t>
  </si>
  <si>
    <t>Patients with Valid Contact Information</t>
  </si>
  <si>
    <t>Number of Patients with Valid Contact Information</t>
  </si>
  <si>
    <t>Expected Percentage of Patient Response Rate</t>
  </si>
  <si>
    <t>Actual Number of Patient Responses</t>
  </si>
  <si>
    <t>Start %</t>
  </si>
  <si>
    <t>1 Year %</t>
  </si>
  <si>
    <t>Risk Stratification Breakdown</t>
  </si>
  <si>
    <t>Below</t>
  </si>
  <si>
    <t>Number of Green or Low Risk Patients - Typical Start - 14.33%</t>
  </si>
  <si>
    <t>Number of Yellow or Moderate Risk Patients - Typical Start - 29.61%</t>
  </si>
  <si>
    <t>Number of Red or High Risk Patients - Typical Start - 56.06%</t>
  </si>
  <si>
    <t>Follow Up</t>
  </si>
  <si>
    <t>Patient Engagement Claim &amp; Follow Up</t>
  </si>
  <si>
    <t>Visits Needed</t>
  </si>
  <si>
    <t>CPT</t>
  </si>
  <si>
    <t>E-Visit-99421 - Low Risk</t>
  </si>
  <si>
    <t>E-Visit-99422 - Moderate - Requires Virtual or Office Visit</t>
  </si>
  <si>
    <t>E-Visit-99423 - High Risk - Requires Live Visit Plus a Follow Up</t>
  </si>
  <si>
    <t>Paid Claims</t>
  </si>
  <si>
    <t>&lt;- TOTAL</t>
  </si>
  <si>
    <t>Blended</t>
  </si>
  <si>
    <t>Expected PHT Cost for This Period - -&gt;&gt;</t>
  </si>
  <si>
    <t>Care Coordination / Mandated Ancillaries - 30%</t>
  </si>
  <si>
    <t>TOTAL Revenue</t>
  </si>
  <si>
    <t>Net Value</t>
  </si>
  <si>
    <t>Individual Patient Medical Necessity Updates With Each Encounter</t>
  </si>
  <si>
    <t>Total Gross Revenue</t>
  </si>
  <si>
    <t>Cost to Benefit</t>
  </si>
  <si>
    <t>Total Net Revenue</t>
  </si>
  <si>
    <t>Frequency of Services</t>
  </si>
  <si>
    <t>Primary Patient Engagement - Quarterly</t>
  </si>
  <si>
    <t>Care Coordination and Ancillaries - 30% Need Monthly</t>
  </si>
  <si>
    <t>Patient Engagement Claim &amp; Follow Up - Annually</t>
  </si>
  <si>
    <t>Follow Up Visits Needed</t>
  </si>
  <si>
    <t>Care Coordination for Mandated/Other Ancillaries - 30%</t>
  </si>
  <si>
    <t>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</si>
</sst>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[$$-409]#,##0.00"/>
    <numFmt numFmtId="167" formatCode="m/d/yy;@"/>
  </numFmts>
  <fonts count="10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Poppins"/>
    </font>
    <font>
      <b/>
      <sz val="22"/>
      <color rgb="FFFFFFFF"/>
      <name val="Poppins"/>
    </font>
    <font>
      <b/>
      <sz val="10"/>
      <color rgb="FFFFFFFF"/>
      <name val="Poppins"/>
    </font>
    <font>
      <sz val="10"/>
      <color rgb="FFFFFFFF"/>
      <name val="Poppins"/>
    </font>
    <font>
      <b/>
      <sz val="10"/>
      <color rgb="FF000000"/>
      <name val="Poppins"/>
    </font>
    <font>
      <b/>
      <sz val="10"/>
      <color rgb="FFCC0000"/>
      <name val="Poppins"/>
    </font>
    <font>
      <b/>
      <sz val="10"/>
      <color rgb="FF1155CC"/>
      <name val="Poppins"/>
    </font>
    <font>
      <u/>
      <sz val="10"/>
      <color theme="10"/>
      <name val="Arial"/>
      <family val="2"/>
      <scheme val="minor"/>
    </font>
    <font>
      <b/>
      <sz val="13"/>
      <color rgb="FF000000"/>
      <name val="Calibri"/>
      <family val="2"/>
    </font>
    <font>
      <u/>
      <sz val="13"/>
      <color theme="10"/>
      <name val="Arial"/>
      <family val="2"/>
      <scheme val="minor"/>
    </font>
    <font>
      <sz val="13"/>
      <color rgb="FF000000"/>
      <name val="Calibri"/>
      <family val="2"/>
    </font>
    <font>
      <u/>
      <sz val="13"/>
      <color theme="10"/>
      <name val="Calibri"/>
      <family val="2"/>
    </font>
    <font>
      <b/>
      <sz val="13"/>
      <color theme="0"/>
      <name val="Calibri"/>
      <family val="2"/>
    </font>
    <font>
      <sz val="13"/>
      <color rgb="FFFF0000"/>
      <name val="Calibri"/>
      <family val="2"/>
    </font>
    <font>
      <b/>
      <sz val="13"/>
      <name val="Calibri"/>
      <family val="2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24"/>
      <color rgb="FF399AB5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rgb="FF399AB5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color rgb="FFC00000"/>
      <name val="Arial"/>
      <family val="2"/>
      <scheme val="minor"/>
    </font>
    <font>
      <sz val="13"/>
      <color rgb="FFFF0000"/>
      <name val="Arial"/>
      <family val="2"/>
      <scheme val="minor"/>
    </font>
    <font>
      <sz val="12"/>
      <color rgb="FFC00000"/>
      <name val="Arial"/>
      <family val="2"/>
      <scheme val="minor"/>
    </font>
    <font>
      <sz val="12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4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ptos"/>
      <family val="2"/>
    </font>
    <font>
      <sz val="11"/>
      <color rgb="FFC00000"/>
      <name val="Aptos"/>
      <family val="2"/>
    </font>
    <font>
      <sz val="11"/>
      <color rgb="FFC00000"/>
      <name val="Calibri"/>
      <family val="2"/>
    </font>
    <font>
      <b/>
      <sz val="10"/>
      <color rgb="FFC00000"/>
      <name val="Poppins"/>
    </font>
    <font>
      <b/>
      <sz val="10"/>
      <color rgb="FFC00000"/>
      <name val="Arial"/>
      <family val="2"/>
      <scheme val="minor"/>
    </font>
    <font>
      <b/>
      <sz val="10"/>
      <color theme="9" tint="-0.249977111117893"/>
      <name val="Poppins"/>
    </font>
    <font>
      <sz val="10"/>
      <color rgb="FF242424"/>
      <name val="Poppins"/>
    </font>
    <font>
      <b/>
      <sz val="10"/>
      <color theme="0"/>
      <name val="Arial"/>
      <family val="2"/>
      <scheme val="minor"/>
    </font>
    <font>
      <b/>
      <sz val="10"/>
      <color rgb="FF00B05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FF0000"/>
      <name val="Poppins"/>
    </font>
    <font>
      <sz val="11"/>
      <color rgb="FF000000"/>
      <name val="Poppins"/>
    </font>
    <font>
      <b/>
      <sz val="11"/>
      <color rgb="FF000000"/>
      <name val="Poppins"/>
    </font>
    <font>
      <b/>
      <sz val="11"/>
      <color theme="9" tint="-0.249977111117893"/>
      <name val="Poppins"/>
    </font>
    <font>
      <sz val="11"/>
      <color rgb="FF242424"/>
      <name val="Poppins"/>
    </font>
    <font>
      <sz val="12"/>
      <color rgb="FF000000"/>
      <name val="Arial"/>
      <family val="2"/>
      <scheme val="minor"/>
    </font>
    <font>
      <sz val="12"/>
      <color rgb="FF000000"/>
      <name val="Poppins"/>
    </font>
    <font>
      <sz val="12"/>
      <color rgb="FFFF0000"/>
      <name val="Arial"/>
      <family val="2"/>
      <scheme val="minor"/>
    </font>
    <font>
      <sz val="12"/>
      <color rgb="FF0070C0"/>
      <name val="Arial"/>
      <family val="2"/>
      <scheme val="minor"/>
    </font>
    <font>
      <b/>
      <sz val="12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70C0"/>
      <name val="Arial"/>
      <family val="2"/>
      <scheme val="minor"/>
    </font>
    <font>
      <sz val="11"/>
      <color rgb="FF00B050"/>
      <name val="Arial"/>
      <family val="2"/>
      <scheme val="minor"/>
    </font>
    <font>
      <sz val="8"/>
      <name val="Arial"/>
      <scheme val="minor"/>
    </font>
    <font>
      <sz val="16"/>
      <color theme="1"/>
      <name val="Calibri Light"/>
      <family val="2"/>
    </font>
    <font>
      <sz val="14"/>
      <color theme="1"/>
      <name val="Calibri Light"/>
      <family val="2"/>
    </font>
    <font>
      <b/>
      <sz val="14"/>
      <color theme="1"/>
      <name val="Calibri Light"/>
      <family val="2"/>
    </font>
    <font>
      <b/>
      <sz val="14"/>
      <color rgb="FF00B050"/>
      <name val="Calibri Light"/>
      <family val="2"/>
    </font>
    <font>
      <b/>
      <sz val="14"/>
      <color rgb="FFC00000"/>
      <name val="Calibri Light"/>
      <family val="2"/>
    </font>
    <font>
      <b/>
      <sz val="14"/>
      <color theme="0"/>
      <name val="Calibri Light"/>
      <family val="2"/>
    </font>
    <font>
      <sz val="10"/>
      <color theme="0"/>
      <name val="Arial"/>
      <family val="2"/>
      <scheme val="maj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ajor"/>
    </font>
    <font>
      <b/>
      <sz val="10"/>
      <color theme="0"/>
      <name val="Arial"/>
      <family val="2"/>
      <scheme val="major"/>
    </font>
    <font>
      <b/>
      <sz val="10"/>
      <color rgb="FFFF0000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name val="Arial"/>
      <family val="2"/>
      <scheme val="major"/>
    </font>
    <font>
      <b/>
      <sz val="10"/>
      <color rgb="FF0070C0"/>
      <name val="Arial"/>
      <family val="2"/>
      <scheme val="major"/>
    </font>
    <font>
      <b/>
      <sz val="10"/>
      <color theme="4"/>
      <name val="Arial"/>
      <family val="2"/>
      <scheme val="major"/>
    </font>
    <font>
      <b/>
      <sz val="10"/>
      <color theme="9"/>
      <name val="Arial"/>
      <family val="2"/>
      <scheme val="major"/>
    </font>
    <font>
      <sz val="10"/>
      <color rgb="FFC00000"/>
      <name val="Arial"/>
      <family val="2"/>
      <scheme val="major"/>
    </font>
    <font>
      <sz val="10"/>
      <color rgb="FFC00000"/>
      <name val="Arial"/>
      <family val="2"/>
      <scheme val="minor"/>
    </font>
    <font>
      <b/>
      <sz val="10"/>
      <color rgb="FFC00000"/>
      <name val="Arial"/>
      <family val="2"/>
      <scheme val="major"/>
    </font>
    <font>
      <sz val="10"/>
      <color rgb="FF0070C0"/>
      <name val="Arial"/>
      <family val="2"/>
      <scheme val="major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34F5C"/>
        <bgColor rgb="FF134F5C"/>
      </patternFill>
    </fill>
    <fill>
      <patternFill patternType="solid">
        <fgColor rgb="FFA2C4C9"/>
        <bgColor rgb="FFA2C4C9"/>
      </patternFill>
    </fill>
    <fill>
      <patternFill patternType="solid">
        <fgColor rgb="FFD0E0E3"/>
        <bgColor rgb="FFD0E0E3"/>
      </patternFill>
    </fill>
    <fill>
      <patternFill patternType="solid">
        <fgColor rgb="FFF3F3F3"/>
        <bgColor rgb="FFF3F3F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9AB5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50">
    <border>
      <left/>
      <right/>
      <top/>
      <bottom/>
      <diagonal/>
    </border>
    <border>
      <left style="thin">
        <color rgb="FF45818E"/>
      </left>
      <right style="thin">
        <color rgb="FF45818E"/>
      </right>
      <top style="thin">
        <color rgb="FF45818E"/>
      </top>
      <bottom style="thin">
        <color rgb="FF45818E"/>
      </bottom>
      <diagonal/>
    </border>
    <border>
      <left/>
      <right/>
      <top style="thin">
        <color rgb="FF45818E"/>
      </top>
      <bottom style="thin">
        <color rgb="FF45818E"/>
      </bottom>
      <diagonal/>
    </border>
    <border>
      <left style="thin">
        <color rgb="FF45818E"/>
      </left>
      <right style="thin">
        <color rgb="FF45818E"/>
      </right>
      <top/>
      <bottom style="thin">
        <color rgb="FF45818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45818E"/>
      </right>
      <top/>
      <bottom style="thin">
        <color rgb="FF45818E"/>
      </bottom>
      <diagonal/>
    </border>
    <border>
      <left/>
      <right style="thin">
        <color rgb="FF45818E"/>
      </right>
      <top style="thin">
        <color rgb="FF45818E"/>
      </top>
      <bottom style="thin">
        <color rgb="FF45818E"/>
      </bottom>
      <diagonal/>
    </border>
    <border>
      <left/>
      <right style="thin">
        <color rgb="FF45818E"/>
      </right>
      <top style="thin">
        <color rgb="FF45818E"/>
      </top>
      <bottom/>
      <diagonal/>
    </border>
    <border>
      <left style="thin">
        <color rgb="FF45818E"/>
      </left>
      <right style="thin">
        <color rgb="FF45818E"/>
      </right>
      <top style="thin">
        <color rgb="FF45818E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19" fillId="0" borderId="0" applyNumberForma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43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6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76">
    <xf numFmtId="0" fontId="0" fillId="0" borderId="0" xfId="0"/>
    <xf numFmtId="0" fontId="22" fillId="0" borderId="0" xfId="0" applyFont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3" fillId="8" borderId="4" xfId="1" applyFont="1" applyFill="1" applyBorder="1" applyAlignment="1">
      <alignment vertical="center"/>
    </xf>
    <xf numFmtId="0" fontId="22" fillId="8" borderId="4" xfId="0" applyFont="1" applyFill="1" applyBorder="1" applyAlignment="1">
      <alignment vertical="center"/>
    </xf>
    <xf numFmtId="3" fontId="22" fillId="8" borderId="4" xfId="0" applyNumberFormat="1" applyFont="1" applyFill="1" applyBorder="1" applyAlignment="1">
      <alignment vertical="center"/>
    </xf>
    <xf numFmtId="0" fontId="21" fillId="8" borderId="4" xfId="1" applyFont="1" applyFill="1" applyBorder="1" applyAlignment="1">
      <alignment vertical="center"/>
    </xf>
    <xf numFmtId="0" fontId="24" fillId="9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3" fontId="20" fillId="0" borderId="0" xfId="0" applyNumberFormat="1" applyFont="1" applyAlignment="1">
      <alignment horizontal="left" vertical="center"/>
    </xf>
    <xf numFmtId="3" fontId="20" fillId="0" borderId="0" xfId="0" applyNumberFormat="1" applyFont="1" applyAlignment="1">
      <alignment vertical="center"/>
    </xf>
    <xf numFmtId="165" fontId="20" fillId="0" borderId="0" xfId="0" applyNumberFormat="1" applyFont="1" applyAlignment="1">
      <alignment vertical="center"/>
    </xf>
    <xf numFmtId="3" fontId="20" fillId="11" borderId="5" xfId="0" applyNumberFormat="1" applyFont="1" applyFill="1" applyBorder="1" applyAlignment="1">
      <alignment horizontal="center" vertical="center"/>
    </xf>
    <xf numFmtId="3" fontId="20" fillId="11" borderId="6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3" fontId="25" fillId="0" borderId="0" xfId="0" applyNumberFormat="1" applyFont="1" applyAlignment="1">
      <alignment horizontal="left" vertical="center"/>
    </xf>
    <xf numFmtId="3" fontId="25" fillId="0" borderId="0" xfId="0" applyNumberFormat="1" applyFont="1" applyAlignment="1">
      <alignment vertical="center"/>
    </xf>
    <xf numFmtId="165" fontId="25" fillId="0" borderId="0" xfId="0" applyNumberFormat="1" applyFont="1" applyAlignment="1">
      <alignment horizontal="center" vertical="center"/>
    </xf>
    <xf numFmtId="0" fontId="24" fillId="10" borderId="7" xfId="0" applyFont="1" applyFill="1" applyBorder="1" applyAlignment="1">
      <alignment horizontal="right" vertical="center"/>
    </xf>
    <xf numFmtId="0" fontId="26" fillId="11" borderId="5" xfId="0" applyFont="1" applyFill="1" applyBorder="1" applyAlignment="1">
      <alignment horizontal="center" vertical="center"/>
    </xf>
    <xf numFmtId="9" fontId="26" fillId="11" borderId="8" xfId="0" applyNumberFormat="1" applyFont="1" applyFill="1" applyBorder="1" applyAlignment="1">
      <alignment horizontal="center" vertical="center"/>
    </xf>
    <xf numFmtId="0" fontId="10" fillId="0" borderId="0" xfId="3"/>
    <xf numFmtId="0" fontId="28" fillId="0" borderId="0" xfId="3" applyFont="1" applyAlignment="1">
      <alignment horizontal="left" vertical="center" indent="1"/>
    </xf>
    <xf numFmtId="0" fontId="30" fillId="12" borderId="9" xfId="3" applyFont="1" applyFill="1" applyBorder="1" applyAlignment="1">
      <alignment horizontal="left" vertical="center" wrapText="1" indent="1"/>
    </xf>
    <xf numFmtId="0" fontId="30" fillId="12" borderId="9" xfId="3" applyFont="1" applyFill="1" applyBorder="1" applyAlignment="1">
      <alignment horizontal="center" vertical="center" wrapText="1"/>
    </xf>
    <xf numFmtId="0" fontId="32" fillId="0" borderId="9" xfId="3" applyFont="1" applyBorder="1" applyAlignment="1">
      <alignment horizontal="left" vertical="center" wrapText="1" indent="1"/>
    </xf>
    <xf numFmtId="0" fontId="32" fillId="0" borderId="9" xfId="3" applyFont="1" applyBorder="1" applyAlignment="1">
      <alignment vertical="center" wrapText="1"/>
    </xf>
    <xf numFmtId="0" fontId="33" fillId="0" borderId="9" xfId="3" applyFont="1" applyBorder="1" applyAlignment="1">
      <alignment horizontal="left" vertical="center" wrapText="1" indent="1"/>
    </xf>
    <xf numFmtId="166" fontId="33" fillId="13" borderId="9" xfId="3" applyNumberFormat="1" applyFont="1" applyFill="1" applyBorder="1" applyAlignment="1">
      <alignment horizontal="center" vertical="center" wrapText="1"/>
    </xf>
    <xf numFmtId="166" fontId="32" fillId="13" borderId="9" xfId="3" applyNumberFormat="1" applyFont="1" applyFill="1" applyBorder="1" applyAlignment="1">
      <alignment horizontal="center" vertical="center" wrapText="1"/>
    </xf>
    <xf numFmtId="0" fontId="27" fillId="11" borderId="5" xfId="5" applyFont="1" applyFill="1" applyBorder="1" applyAlignment="1">
      <alignment horizontal="center" vertical="center"/>
    </xf>
    <xf numFmtId="0" fontId="8" fillId="0" borderId="0" xfId="5" applyAlignment="1">
      <alignment vertical="center"/>
    </xf>
    <xf numFmtId="0" fontId="38" fillId="0" borderId="0" xfId="5" applyFont="1" applyAlignment="1">
      <alignment vertical="center"/>
    </xf>
    <xf numFmtId="164" fontId="8" fillId="0" borderId="0" xfId="5" applyNumberFormat="1" applyAlignment="1">
      <alignment vertical="center"/>
    </xf>
    <xf numFmtId="164" fontId="8" fillId="0" borderId="0" xfId="5" applyNumberFormat="1"/>
    <xf numFmtId="0" fontId="38" fillId="0" borderId="4" xfId="5" applyFont="1" applyBorder="1" applyAlignment="1">
      <alignment horizontal="center" vertical="center"/>
    </xf>
    <xf numFmtId="0" fontId="37" fillId="0" borderId="4" xfId="5" applyFont="1" applyBorder="1" applyAlignment="1">
      <alignment horizontal="center" vertical="center"/>
    </xf>
    <xf numFmtId="0" fontId="8" fillId="7" borderId="7" xfId="5" applyFill="1" applyBorder="1" applyAlignment="1">
      <alignment horizontal="left" vertical="center"/>
    </xf>
    <xf numFmtId="0" fontId="8" fillId="7" borderId="12" xfId="5" applyFill="1" applyBorder="1" applyAlignment="1">
      <alignment vertical="center"/>
    </xf>
    <xf numFmtId="164" fontId="8" fillId="7" borderId="12" xfId="5" applyNumberFormat="1" applyFill="1" applyBorder="1" applyAlignment="1">
      <alignment vertical="center"/>
    </xf>
    <xf numFmtId="0" fontId="8" fillId="7" borderId="13" xfId="5" applyFill="1" applyBorder="1" applyAlignment="1">
      <alignment vertical="center"/>
    </xf>
    <xf numFmtId="0" fontId="8" fillId="0" borderId="4" xfId="5" applyBorder="1" applyAlignment="1">
      <alignment horizontal="center" vertical="center"/>
    </xf>
    <xf numFmtId="0" fontId="8" fillId="18" borderId="4" xfId="5" applyFill="1" applyBorder="1" applyAlignment="1">
      <alignment horizontal="center" vertical="center"/>
    </xf>
    <xf numFmtId="164" fontId="8" fillId="0" borderId="4" xfId="5" applyNumberFormat="1" applyBorder="1" applyAlignment="1">
      <alignment vertical="center"/>
    </xf>
    <xf numFmtId="0" fontId="37" fillId="0" borderId="4" xfId="5" applyFont="1" applyBorder="1" applyAlignment="1">
      <alignment vertical="center"/>
    </xf>
    <xf numFmtId="0" fontId="34" fillId="7" borderId="4" xfId="5" applyFont="1" applyFill="1" applyBorder="1" applyAlignment="1">
      <alignment vertical="center"/>
    </xf>
    <xf numFmtId="0" fontId="8" fillId="7" borderId="4" xfId="5" applyFill="1" applyBorder="1" applyAlignment="1">
      <alignment horizontal="center" vertical="center"/>
    </xf>
    <xf numFmtId="0" fontId="8" fillId="17" borderId="4" xfId="5" applyFill="1" applyBorder="1" applyAlignment="1">
      <alignment vertical="center"/>
    </xf>
    <xf numFmtId="164" fontId="8" fillId="17" borderId="7" xfId="5" applyNumberFormat="1" applyFill="1" applyBorder="1" applyAlignment="1">
      <alignment horizontal="center" vertical="center"/>
    </xf>
    <xf numFmtId="0" fontId="8" fillId="0" borderId="4" xfId="5" applyBorder="1" applyAlignment="1">
      <alignment vertical="center"/>
    </xf>
    <xf numFmtId="164" fontId="8" fillId="0" borderId="7" xfId="5" applyNumberFormat="1" applyBorder="1" applyAlignment="1">
      <alignment horizontal="center" vertical="center"/>
    </xf>
    <xf numFmtId="0" fontId="8" fillId="16" borderId="4" xfId="5" applyFill="1" applyBorder="1" applyAlignment="1">
      <alignment vertical="center"/>
    </xf>
    <xf numFmtId="164" fontId="8" fillId="16" borderId="7" xfId="5" applyNumberFormat="1" applyFill="1" applyBorder="1" applyAlignment="1">
      <alignment horizontal="center" vertical="center"/>
    </xf>
    <xf numFmtId="0" fontId="36" fillId="7" borderId="0" xfId="5" applyFont="1" applyFill="1" applyAlignment="1">
      <alignment horizontal="center" vertical="center"/>
    </xf>
    <xf numFmtId="164" fontId="8" fillId="7" borderId="0" xfId="5" applyNumberFormat="1" applyFill="1" applyAlignment="1">
      <alignment horizontal="center" vertical="center"/>
    </xf>
    <xf numFmtId="0" fontId="39" fillId="17" borderId="4" xfId="5" applyFont="1" applyFill="1" applyBorder="1" applyAlignment="1">
      <alignment vertical="center"/>
    </xf>
    <xf numFmtId="164" fontId="39" fillId="17" borderId="7" xfId="5" applyNumberFormat="1" applyFont="1" applyFill="1" applyBorder="1" applyAlignment="1">
      <alignment horizontal="center" vertical="center"/>
    </xf>
    <xf numFmtId="0" fontId="39" fillId="7" borderId="4" xfId="5" applyFont="1" applyFill="1" applyBorder="1" applyAlignment="1">
      <alignment vertical="center"/>
    </xf>
    <xf numFmtId="164" fontId="39" fillId="7" borderId="7" xfId="5" applyNumberFormat="1" applyFont="1" applyFill="1" applyBorder="1" applyAlignment="1">
      <alignment horizontal="center" vertical="center"/>
    </xf>
    <xf numFmtId="0" fontId="40" fillId="0" borderId="7" xfId="5" applyFont="1" applyBorder="1" applyAlignment="1">
      <alignment horizontal="center" vertical="center"/>
    </xf>
    <xf numFmtId="0" fontId="8" fillId="0" borderId="13" xfId="5" applyBorder="1" applyAlignment="1">
      <alignment vertical="center"/>
    </xf>
    <xf numFmtId="0" fontId="28" fillId="18" borderId="5" xfId="5" applyFont="1" applyFill="1" applyBorder="1" applyAlignment="1">
      <alignment vertical="center"/>
    </xf>
    <xf numFmtId="0" fontId="8" fillId="18" borderId="14" xfId="5" applyFill="1" applyBorder="1" applyAlignment="1">
      <alignment vertical="center"/>
    </xf>
    <xf numFmtId="0" fontId="28" fillId="0" borderId="7" xfId="5" applyFont="1" applyBorder="1" applyAlignment="1">
      <alignment vertical="center"/>
    </xf>
    <xf numFmtId="0" fontId="8" fillId="18" borderId="13" xfId="5" applyFill="1" applyBorder="1" applyAlignment="1">
      <alignment horizontal="center" vertical="center"/>
    </xf>
    <xf numFmtId="0" fontId="28" fillId="18" borderId="19" xfId="5" applyFont="1" applyFill="1" applyBorder="1" applyAlignment="1">
      <alignment vertical="center"/>
    </xf>
    <xf numFmtId="0" fontId="8" fillId="18" borderId="20" xfId="5" applyFill="1" applyBorder="1" applyAlignment="1">
      <alignment vertical="center"/>
    </xf>
    <xf numFmtId="0" fontId="28" fillId="18" borderId="17" xfId="5" applyFont="1" applyFill="1" applyBorder="1" applyAlignment="1">
      <alignment vertical="center"/>
    </xf>
    <xf numFmtId="0" fontId="8" fillId="18" borderId="16" xfId="5" applyFill="1" applyBorder="1" applyAlignment="1">
      <alignment vertical="center"/>
    </xf>
    <xf numFmtId="0" fontId="28" fillId="0" borderId="18" xfId="5" applyFont="1" applyBorder="1" applyAlignment="1">
      <alignment vertical="center"/>
    </xf>
    <xf numFmtId="0" fontId="8" fillId="0" borderId="14" xfId="5" applyBorder="1" applyAlignment="1">
      <alignment vertical="center"/>
    </xf>
    <xf numFmtId="0" fontId="28" fillId="0" borderId="19" xfId="5" applyFont="1" applyBorder="1" applyAlignment="1">
      <alignment vertical="center"/>
    </xf>
    <xf numFmtId="0" fontId="8" fillId="0" borderId="20" xfId="5" applyBorder="1" applyAlignment="1">
      <alignment vertical="center"/>
    </xf>
    <xf numFmtId="0" fontId="28" fillId="0" borderId="17" xfId="5" applyFont="1" applyBorder="1" applyAlignment="1">
      <alignment vertical="center"/>
    </xf>
    <xf numFmtId="0" fontId="8" fillId="0" borderId="16" xfId="5" applyBorder="1" applyAlignment="1">
      <alignment vertical="center"/>
    </xf>
    <xf numFmtId="0" fontId="28" fillId="18" borderId="18" xfId="5" applyFont="1" applyFill="1" applyBorder="1" applyAlignment="1">
      <alignment vertical="center"/>
    </xf>
    <xf numFmtId="0" fontId="8" fillId="0" borderId="19" xfId="5" applyBorder="1" applyAlignment="1">
      <alignment vertical="center"/>
    </xf>
    <xf numFmtId="0" fontId="41" fillId="0" borderId="19" xfId="5" applyFont="1" applyBorder="1" applyAlignment="1">
      <alignment vertical="center"/>
    </xf>
    <xf numFmtId="0" fontId="42" fillId="0" borderId="19" xfId="5" applyFont="1" applyBorder="1" applyAlignment="1">
      <alignment vertical="center"/>
    </xf>
    <xf numFmtId="0" fontId="8" fillId="18" borderId="19" xfId="5" applyFill="1" applyBorder="1" applyAlignment="1">
      <alignment vertical="center"/>
    </xf>
    <xf numFmtId="0" fontId="41" fillId="0" borderId="18" xfId="5" applyFont="1" applyBorder="1" applyAlignment="1">
      <alignment vertical="center"/>
    </xf>
    <xf numFmtId="0" fontId="43" fillId="0" borderId="19" xfId="6" applyBorder="1" applyAlignment="1">
      <alignment vertical="center"/>
    </xf>
    <xf numFmtId="0" fontId="42" fillId="0" borderId="18" xfId="5" applyFont="1" applyBorder="1" applyAlignment="1">
      <alignment vertical="center"/>
    </xf>
    <xf numFmtId="0" fontId="43" fillId="0" borderId="17" xfId="6" applyBorder="1" applyAlignment="1">
      <alignment vertical="center"/>
    </xf>
    <xf numFmtId="0" fontId="8" fillId="0" borderId="0" xfId="5"/>
    <xf numFmtId="0" fontId="46" fillId="19" borderId="0" xfId="9" applyFont="1" applyFill="1"/>
    <xf numFmtId="0" fontId="5" fillId="0" borderId="0" xfId="9"/>
    <xf numFmtId="0" fontId="48" fillId="19" borderId="0" xfId="9" applyFont="1" applyFill="1"/>
    <xf numFmtId="0" fontId="49" fillId="19" borderId="0" xfId="9" applyFont="1" applyFill="1" applyAlignment="1">
      <alignment wrapText="1"/>
    </xf>
    <xf numFmtId="0" fontId="50" fillId="19" borderId="21" xfId="9" applyFont="1" applyFill="1" applyBorder="1" applyAlignment="1">
      <alignment horizontal="center" wrapText="1"/>
    </xf>
    <xf numFmtId="0" fontId="50" fillId="19" borderId="0" xfId="9" applyFont="1" applyFill="1" applyAlignment="1">
      <alignment horizontal="left" wrapText="1"/>
    </xf>
    <xf numFmtId="0" fontId="51" fillId="19" borderId="0" xfId="9" applyFont="1" applyFill="1" applyAlignment="1">
      <alignment wrapText="1"/>
    </xf>
    <xf numFmtId="8" fontId="50" fillId="19" borderId="0" xfId="9" applyNumberFormat="1" applyFont="1" applyFill="1" applyAlignment="1">
      <alignment wrapText="1"/>
    </xf>
    <xf numFmtId="8" fontId="51" fillId="19" borderId="21" xfId="9" applyNumberFormat="1" applyFont="1" applyFill="1" applyBorder="1" applyAlignment="1">
      <alignment wrapText="1"/>
    </xf>
    <xf numFmtId="8" fontId="50" fillId="19" borderId="0" xfId="9" applyNumberFormat="1" applyFont="1" applyFill="1" applyAlignment="1">
      <alignment horizontal="right" wrapText="1"/>
    </xf>
    <xf numFmtId="4" fontId="51" fillId="19" borderId="0" xfId="9" applyNumberFormat="1" applyFont="1" applyFill="1" applyAlignment="1">
      <alignment horizontal="right" wrapText="1"/>
    </xf>
    <xf numFmtId="8" fontId="50" fillId="19" borderId="21" xfId="9" applyNumberFormat="1" applyFont="1" applyFill="1" applyBorder="1" applyAlignment="1">
      <alignment horizontal="right" wrapText="1"/>
    </xf>
    <xf numFmtId="8" fontId="51" fillId="19" borderId="0" xfId="9" applyNumberFormat="1" applyFont="1" applyFill="1" applyAlignment="1">
      <alignment wrapText="1"/>
    </xf>
    <xf numFmtId="4" fontId="51" fillId="19" borderId="21" xfId="9" applyNumberFormat="1" applyFont="1" applyFill="1" applyBorder="1" applyAlignment="1">
      <alignment horizontal="right" wrapText="1"/>
    </xf>
    <xf numFmtId="4" fontId="50" fillId="19" borderId="0" xfId="9" applyNumberFormat="1" applyFont="1" applyFill="1" applyAlignment="1">
      <alignment horizontal="right" wrapText="1"/>
    </xf>
    <xf numFmtId="8" fontId="50" fillId="19" borderId="22" xfId="9" applyNumberFormat="1" applyFont="1" applyFill="1" applyBorder="1" applyAlignment="1">
      <alignment horizontal="right" wrapText="1"/>
    </xf>
    <xf numFmtId="0" fontId="52" fillId="19" borderId="0" xfId="9" applyFont="1" applyFill="1" applyAlignment="1">
      <alignment horizontal="left" wrapText="1"/>
    </xf>
    <xf numFmtId="0" fontId="53" fillId="19" borderId="0" xfId="9" applyFont="1" applyFill="1" applyAlignment="1">
      <alignment wrapText="1"/>
    </xf>
    <xf numFmtId="0" fontId="54" fillId="19" borderId="0" xfId="9" applyFont="1" applyFill="1"/>
    <xf numFmtId="0" fontId="55" fillId="19" borderId="0" xfId="9" applyFont="1" applyFill="1"/>
    <xf numFmtId="0" fontId="56" fillId="19" borderId="0" xfId="9" applyFont="1" applyFill="1"/>
    <xf numFmtId="0" fontId="57" fillId="19" borderId="0" xfId="9" applyFont="1" applyFill="1"/>
    <xf numFmtId="0" fontId="12" fillId="2" borderId="0" xfId="10" applyFont="1" applyFill="1" applyAlignment="1">
      <alignment horizontal="center" vertical="center"/>
    </xf>
    <xf numFmtId="0" fontId="64" fillId="0" borderId="0" xfId="10" applyAlignment="1">
      <alignment horizontal="center" vertical="center"/>
    </xf>
    <xf numFmtId="0" fontId="64" fillId="0" borderId="0" xfId="10"/>
    <xf numFmtId="0" fontId="14" fillId="3" borderId="0" xfId="10" applyFont="1" applyFill="1" applyAlignment="1">
      <alignment horizontal="center" vertical="center"/>
    </xf>
    <xf numFmtId="0" fontId="15" fillId="3" borderId="0" xfId="10" applyFont="1" applyFill="1" applyAlignment="1">
      <alignment horizontal="center" vertical="center"/>
    </xf>
    <xf numFmtId="0" fontId="16" fillId="4" borderId="4" xfId="10" applyFont="1" applyFill="1" applyBorder="1" applyAlignment="1">
      <alignment horizontal="center" vertical="center"/>
    </xf>
    <xf numFmtId="3" fontId="12" fillId="2" borderId="13" xfId="10" applyNumberFormat="1" applyFont="1" applyFill="1" applyBorder="1" applyAlignment="1">
      <alignment horizontal="center" vertical="center"/>
    </xf>
    <xf numFmtId="3" fontId="12" fillId="2" borderId="4" xfId="10" applyNumberFormat="1" applyFont="1" applyFill="1" applyBorder="1" applyAlignment="1">
      <alignment horizontal="center" vertical="center"/>
    </xf>
    <xf numFmtId="10" fontId="64" fillId="0" borderId="0" xfId="10" applyNumberFormat="1" applyAlignment="1">
      <alignment horizontal="center" vertical="center"/>
    </xf>
    <xf numFmtId="0" fontId="16" fillId="4" borderId="0" xfId="10" applyFont="1" applyFill="1" applyAlignment="1">
      <alignment horizontal="center" vertical="center"/>
    </xf>
    <xf numFmtId="165" fontId="16" fillId="2" borderId="4" xfId="10" applyNumberFormat="1" applyFont="1" applyFill="1" applyBorder="1" applyAlignment="1">
      <alignment horizontal="center" vertical="center"/>
    </xf>
    <xf numFmtId="0" fontId="60" fillId="5" borderId="4" xfId="10" applyFont="1" applyFill="1" applyBorder="1" applyAlignment="1">
      <alignment horizontal="center" vertical="center"/>
    </xf>
    <xf numFmtId="164" fontId="60" fillId="2" borderId="23" xfId="10" applyNumberFormat="1" applyFont="1" applyFill="1" applyBorder="1" applyAlignment="1">
      <alignment horizontal="center" vertical="center"/>
    </xf>
    <xf numFmtId="164" fontId="60" fillId="2" borderId="3" xfId="10" applyNumberFormat="1" applyFont="1" applyFill="1" applyBorder="1" applyAlignment="1">
      <alignment horizontal="center" vertical="center"/>
    </xf>
    <xf numFmtId="164" fontId="60" fillId="6" borderId="3" xfId="10" applyNumberFormat="1" applyFont="1" applyFill="1" applyBorder="1" applyAlignment="1">
      <alignment horizontal="center" vertical="center"/>
    </xf>
    <xf numFmtId="10" fontId="60" fillId="0" borderId="0" xfId="10" applyNumberFormat="1" applyFont="1" applyAlignment="1">
      <alignment horizontal="center" vertical="center"/>
    </xf>
    <xf numFmtId="164" fontId="12" fillId="2" borderId="2" xfId="10" applyNumberFormat="1" applyFont="1" applyFill="1" applyBorder="1" applyAlignment="1">
      <alignment horizontal="center" vertical="center"/>
    </xf>
    <xf numFmtId="0" fontId="61" fillId="0" borderId="4" xfId="10" applyFont="1" applyBorder="1" applyAlignment="1">
      <alignment vertical="center" wrapText="1"/>
    </xf>
    <xf numFmtId="164" fontId="12" fillId="2" borderId="24" xfId="10" applyNumberFormat="1" applyFont="1" applyFill="1" applyBorder="1" applyAlignment="1">
      <alignment horizontal="center" vertical="center"/>
    </xf>
    <xf numFmtId="164" fontId="12" fillId="2" borderId="1" xfId="10" applyNumberFormat="1" applyFont="1" applyFill="1" applyBorder="1" applyAlignment="1">
      <alignment horizontal="center" vertical="center"/>
    </xf>
    <xf numFmtId="164" fontId="12" fillId="6" borderId="1" xfId="10" applyNumberFormat="1" applyFont="1" applyFill="1" applyBorder="1" applyAlignment="1">
      <alignment horizontal="center" vertical="center"/>
    </xf>
    <xf numFmtId="0" fontId="61" fillId="0" borderId="5" xfId="10" applyFont="1" applyBorder="1" applyAlignment="1">
      <alignment vertical="center" wrapText="1"/>
    </xf>
    <xf numFmtId="164" fontId="12" fillId="2" borderId="25" xfId="10" applyNumberFormat="1" applyFont="1" applyFill="1" applyBorder="1" applyAlignment="1">
      <alignment horizontal="center" vertical="center"/>
    </xf>
    <xf numFmtId="164" fontId="12" fillId="2" borderId="26" xfId="10" applyNumberFormat="1" applyFont="1" applyFill="1" applyBorder="1" applyAlignment="1">
      <alignment horizontal="center" vertical="center"/>
    </xf>
    <xf numFmtId="164" fontId="12" fillId="6" borderId="26" xfId="10" applyNumberFormat="1" applyFont="1" applyFill="1" applyBorder="1" applyAlignment="1">
      <alignment horizontal="center" vertical="center"/>
    </xf>
    <xf numFmtId="0" fontId="16" fillId="5" borderId="4" xfId="10" applyFont="1" applyFill="1" applyBorder="1" applyAlignment="1">
      <alignment horizontal="left" vertical="center"/>
    </xf>
    <xf numFmtId="164" fontId="17" fillId="6" borderId="4" xfId="10" applyNumberFormat="1" applyFont="1" applyFill="1" applyBorder="1" applyAlignment="1">
      <alignment horizontal="center" vertical="center"/>
    </xf>
    <xf numFmtId="164" fontId="12" fillId="2" borderId="4" xfId="10" applyNumberFormat="1" applyFont="1" applyFill="1" applyBorder="1" applyAlignment="1">
      <alignment horizontal="center" vertical="center"/>
    </xf>
    <xf numFmtId="10" fontId="62" fillId="20" borderId="13" xfId="10" applyNumberFormat="1" applyFont="1" applyFill="1" applyBorder="1" applyAlignment="1">
      <alignment horizontal="center" vertical="center"/>
    </xf>
    <xf numFmtId="164" fontId="18" fillId="6" borderId="4" xfId="10" applyNumberFormat="1" applyFont="1" applyFill="1" applyBorder="1" applyAlignment="1">
      <alignment horizontal="center" vertical="center"/>
    </xf>
    <xf numFmtId="10" fontId="63" fillId="0" borderId="13" xfId="10" applyNumberFormat="1" applyFont="1" applyBorder="1" applyAlignment="1">
      <alignment horizontal="center" vertical="center"/>
    </xf>
    <xf numFmtId="164" fontId="12" fillId="2" borderId="0" xfId="10" applyNumberFormat="1" applyFont="1" applyFill="1" applyAlignment="1">
      <alignment horizontal="center" vertical="center"/>
    </xf>
    <xf numFmtId="3" fontId="12" fillId="2" borderId="0" xfId="10" applyNumberFormat="1" applyFont="1" applyFill="1" applyAlignment="1">
      <alignment horizontal="center" vertical="center"/>
    </xf>
    <xf numFmtId="0" fontId="60" fillId="5" borderId="0" xfId="10" applyFont="1" applyFill="1" applyAlignment="1">
      <alignment horizontal="center" vertical="center"/>
    </xf>
    <xf numFmtId="0" fontId="16" fillId="5" borderId="0" xfId="10" applyFont="1" applyFill="1" applyAlignment="1">
      <alignment horizontal="left" vertical="center"/>
    </xf>
    <xf numFmtId="164" fontId="17" fillId="6" borderId="3" xfId="10" applyNumberFormat="1" applyFont="1" applyFill="1" applyBorder="1" applyAlignment="1">
      <alignment horizontal="center" vertical="center"/>
    </xf>
    <xf numFmtId="10" fontId="62" fillId="20" borderId="4" xfId="10" applyNumberFormat="1" applyFont="1" applyFill="1" applyBorder="1" applyAlignment="1">
      <alignment horizontal="center" vertical="center"/>
    </xf>
    <xf numFmtId="164" fontId="18" fillId="6" borderId="1" xfId="10" applyNumberFormat="1" applyFont="1" applyFill="1" applyBorder="1" applyAlignment="1">
      <alignment horizontal="center" vertical="center"/>
    </xf>
    <xf numFmtId="10" fontId="63" fillId="0" borderId="4" xfId="10" applyNumberFormat="1" applyFont="1" applyBorder="1" applyAlignment="1">
      <alignment horizontal="center" vertical="center"/>
    </xf>
    <xf numFmtId="0" fontId="65" fillId="0" borderId="0" xfId="10" applyFont="1" applyAlignment="1">
      <alignment horizontal="center" vertical="center"/>
    </xf>
    <xf numFmtId="0" fontId="66" fillId="0" borderId="0" xfId="10" applyFont="1" applyAlignment="1">
      <alignment vertical="center"/>
    </xf>
    <xf numFmtId="0" fontId="67" fillId="4" borderId="4" xfId="10" applyFont="1" applyFill="1" applyBorder="1" applyAlignment="1">
      <alignment horizontal="center" vertical="center"/>
    </xf>
    <xf numFmtId="0" fontId="67" fillId="4" borderId="0" xfId="10" applyFont="1" applyFill="1" applyAlignment="1">
      <alignment horizontal="center" vertical="center"/>
    </xf>
    <xf numFmtId="0" fontId="68" fillId="5" borderId="4" xfId="10" applyFont="1" applyFill="1" applyBorder="1" applyAlignment="1">
      <alignment horizontal="center" vertical="center"/>
    </xf>
    <xf numFmtId="0" fontId="69" fillId="0" borderId="4" xfId="10" applyFont="1" applyBorder="1" applyAlignment="1">
      <alignment vertical="center" wrapText="1"/>
    </xf>
    <xf numFmtId="0" fontId="69" fillId="0" borderId="5" xfId="10" applyFont="1" applyBorder="1" applyAlignment="1">
      <alignment vertical="center" wrapText="1"/>
    </xf>
    <xf numFmtId="0" fontId="67" fillId="5" borderId="4" xfId="10" applyFont="1" applyFill="1" applyBorder="1" applyAlignment="1">
      <alignment horizontal="left" vertical="center"/>
    </xf>
    <xf numFmtId="0" fontId="70" fillId="0" borderId="0" xfId="10" applyFont="1" applyAlignment="1">
      <alignment vertical="center"/>
    </xf>
    <xf numFmtId="0" fontId="70" fillId="0" borderId="0" xfId="10" applyFont="1"/>
    <xf numFmtId="0" fontId="71" fillId="0" borderId="0" xfId="10" applyFont="1" applyAlignment="1">
      <alignment vertical="center"/>
    </xf>
    <xf numFmtId="0" fontId="28" fillId="0" borderId="0" xfId="12" applyFont="1" applyAlignment="1">
      <alignment horizontal="left" vertical="center"/>
    </xf>
    <xf numFmtId="0" fontId="28" fillId="0" borderId="0" xfId="11" applyFont="1" applyAlignment="1">
      <alignment horizontal="center" vertical="center"/>
    </xf>
    <xf numFmtId="0" fontId="27" fillId="11" borderId="4" xfId="12" applyFont="1" applyFill="1" applyBorder="1" applyAlignment="1">
      <alignment horizontal="center" vertical="center"/>
    </xf>
    <xf numFmtId="0" fontId="28" fillId="0" borderId="0" xfId="12" applyFont="1" applyAlignment="1">
      <alignment horizontal="center" vertical="center"/>
    </xf>
    <xf numFmtId="0" fontId="72" fillId="0" borderId="0" xfId="8" applyFont="1" applyAlignment="1">
      <alignment horizontal="left" vertical="center"/>
    </xf>
    <xf numFmtId="0" fontId="28" fillId="0" borderId="0" xfId="8" applyFont="1" applyAlignment="1">
      <alignment horizontal="left" vertical="center"/>
    </xf>
    <xf numFmtId="0" fontId="73" fillId="0" borderId="0" xfId="8" applyFont="1" applyAlignment="1">
      <alignment horizontal="left" vertical="center"/>
    </xf>
    <xf numFmtId="0" fontId="73" fillId="0" borderId="0" xfId="12" applyFont="1" applyAlignment="1">
      <alignment horizontal="left" vertical="center"/>
    </xf>
    <xf numFmtId="0" fontId="74" fillId="11" borderId="4" xfId="12" applyFont="1" applyFill="1" applyBorder="1" applyAlignment="1">
      <alignment horizontal="left" vertical="center"/>
    </xf>
    <xf numFmtId="165" fontId="35" fillId="0" borderId="4" xfId="12" applyNumberFormat="1" applyFont="1" applyBorder="1" applyAlignment="1">
      <alignment horizontal="center" vertical="center"/>
    </xf>
    <xf numFmtId="0" fontId="2" fillId="0" borderId="0" xfId="16" applyAlignment="1">
      <alignment horizontal="center" vertical="center"/>
    </xf>
    <xf numFmtId="0" fontId="35" fillId="0" borderId="0" xfId="16" applyFont="1" applyAlignment="1">
      <alignment horizontal="left" vertical="center"/>
    </xf>
    <xf numFmtId="0" fontId="34" fillId="14" borderId="5" xfId="16" applyFont="1" applyFill="1" applyBorder="1" applyAlignment="1">
      <alignment horizontal="center" vertical="center"/>
    </xf>
    <xf numFmtId="0" fontId="36" fillId="14" borderId="7" xfId="16" applyFont="1" applyFill="1" applyBorder="1" applyAlignment="1">
      <alignment horizontal="left" vertical="center"/>
    </xf>
    <xf numFmtId="0" fontId="34" fillId="14" borderId="12" xfId="16" applyFont="1" applyFill="1" applyBorder="1" applyAlignment="1">
      <alignment horizontal="center" vertical="center"/>
    </xf>
    <xf numFmtId="0" fontId="36" fillId="14" borderId="13" xfId="16" applyFont="1" applyFill="1" applyBorder="1" applyAlignment="1">
      <alignment horizontal="center" vertical="center"/>
    </xf>
    <xf numFmtId="0" fontId="34" fillId="14" borderId="7" xfId="16" applyFont="1" applyFill="1" applyBorder="1" applyAlignment="1">
      <alignment horizontal="center" vertical="center"/>
    </xf>
    <xf numFmtId="0" fontId="34" fillId="14" borderId="4" xfId="16" applyFont="1" applyFill="1" applyBorder="1" applyAlignment="1">
      <alignment horizontal="center" vertical="center"/>
    </xf>
    <xf numFmtId="0" fontId="34" fillId="15" borderId="5" xfId="16" applyFont="1" applyFill="1" applyBorder="1" applyAlignment="1">
      <alignment horizontal="center" vertical="center"/>
    </xf>
    <xf numFmtId="0" fontId="34" fillId="16" borderId="14" xfId="16" applyFont="1" applyFill="1" applyBorder="1" applyAlignment="1">
      <alignment horizontal="center" vertical="center"/>
    </xf>
    <xf numFmtId="0" fontId="2" fillId="16" borderId="14" xfId="16" applyFill="1" applyBorder="1" applyAlignment="1">
      <alignment horizontal="center" vertical="center"/>
    </xf>
    <xf numFmtId="0" fontId="34" fillId="7" borderId="4" xfId="16" applyFont="1" applyFill="1" applyBorder="1" applyAlignment="1">
      <alignment horizontal="center" vertical="center"/>
    </xf>
    <xf numFmtId="0" fontId="34" fillId="17" borderId="4" xfId="16" applyFont="1" applyFill="1" applyBorder="1" applyAlignment="1">
      <alignment horizontal="center" vertical="center"/>
    </xf>
    <xf numFmtId="0" fontId="34" fillId="17" borderId="7" xfId="16" applyFont="1" applyFill="1" applyBorder="1" applyAlignment="1">
      <alignment horizontal="center" vertical="center"/>
    </xf>
    <xf numFmtId="0" fontId="34" fillId="14" borderId="8" xfId="16" applyFont="1" applyFill="1" applyBorder="1" applyAlignment="1">
      <alignment horizontal="center" vertical="center"/>
    </xf>
    <xf numFmtId="0" fontId="36" fillId="14" borderId="15" xfId="16" applyFont="1" applyFill="1" applyBorder="1" applyAlignment="1">
      <alignment horizontal="center" vertical="center"/>
    </xf>
    <xf numFmtId="0" fontId="36" fillId="14" borderId="16" xfId="16" applyFont="1" applyFill="1" applyBorder="1" applyAlignment="1">
      <alignment horizontal="center" vertical="center"/>
    </xf>
    <xf numFmtId="0" fontId="36" fillId="14" borderId="17" xfId="16" applyFont="1" applyFill="1" applyBorder="1" applyAlignment="1">
      <alignment horizontal="center" vertical="center"/>
    </xf>
    <xf numFmtId="0" fontId="34" fillId="14" borderId="17" xfId="16" applyFont="1" applyFill="1" applyBorder="1" applyAlignment="1">
      <alignment horizontal="center" vertical="center"/>
    </xf>
    <xf numFmtId="0" fontId="34" fillId="15" borderId="8" xfId="16" applyFont="1" applyFill="1" applyBorder="1" applyAlignment="1">
      <alignment horizontal="center" vertical="center"/>
    </xf>
    <xf numFmtId="0" fontId="34" fillId="16" borderId="16" xfId="16" applyFont="1" applyFill="1" applyBorder="1" applyAlignment="1">
      <alignment horizontal="center" vertical="center"/>
    </xf>
    <xf numFmtId="0" fontId="2" fillId="7" borderId="4" xfId="16" applyFill="1" applyBorder="1" applyAlignment="1">
      <alignment horizontal="center" vertical="center"/>
    </xf>
    <xf numFmtId="0" fontId="0" fillId="0" borderId="4" xfId="17" applyFont="1" applyBorder="1" applyAlignment="1">
      <alignment horizontal="left" vertical="center"/>
    </xf>
    <xf numFmtId="0" fontId="2" fillId="0" borderId="4" xfId="16" applyBorder="1" applyAlignment="1">
      <alignment horizontal="center" vertical="center"/>
    </xf>
    <xf numFmtId="3" fontId="2" fillId="0" borderId="8" xfId="16" applyNumberFormat="1" applyBorder="1" applyAlignment="1">
      <alignment horizontal="center" vertical="center"/>
    </xf>
    <xf numFmtId="10" fontId="2" fillId="14" borderId="8" xfId="16" applyNumberFormat="1" applyFill="1" applyBorder="1" applyAlignment="1">
      <alignment horizontal="center" vertical="center"/>
    </xf>
    <xf numFmtId="165" fontId="2" fillId="0" borderId="8" xfId="16" applyNumberFormat="1" applyBorder="1" applyAlignment="1">
      <alignment horizontal="center" vertical="center"/>
    </xf>
    <xf numFmtId="0" fontId="2" fillId="0" borderId="0" xfId="16" applyAlignment="1">
      <alignment horizontal="left" vertical="center"/>
    </xf>
    <xf numFmtId="3" fontId="2" fillId="0" borderId="4" xfId="16" applyNumberFormat="1" applyBorder="1" applyAlignment="1">
      <alignment horizontal="center" vertical="center"/>
    </xf>
    <xf numFmtId="10" fontId="2" fillId="14" borderId="4" xfId="16" applyNumberFormat="1" applyFill="1" applyBorder="1" applyAlignment="1">
      <alignment horizontal="center" vertical="center"/>
    </xf>
    <xf numFmtId="165" fontId="2" fillId="0" borderId="4" xfId="16" applyNumberFormat="1" applyBorder="1" applyAlignment="1">
      <alignment horizontal="center" vertical="center"/>
    </xf>
    <xf numFmtId="14" fontId="2" fillId="0" borderId="4" xfId="16" applyNumberFormat="1" applyBorder="1" applyAlignment="1">
      <alignment horizontal="center" vertical="center"/>
    </xf>
    <xf numFmtId="0" fontId="0" fillId="16" borderId="4" xfId="17" applyFont="1" applyFill="1" applyBorder="1" applyAlignment="1">
      <alignment horizontal="left" vertical="center"/>
    </xf>
    <xf numFmtId="0" fontId="2" fillId="16" borderId="4" xfId="16" applyFill="1" applyBorder="1" applyAlignment="1">
      <alignment horizontal="center" vertical="center"/>
    </xf>
    <xf numFmtId="3" fontId="2" fillId="16" borderId="8" xfId="16" applyNumberFormat="1" applyFill="1" applyBorder="1" applyAlignment="1">
      <alignment horizontal="center" vertical="center"/>
    </xf>
    <xf numFmtId="3" fontId="2" fillId="16" borderId="4" xfId="16" applyNumberFormat="1" applyFill="1" applyBorder="1" applyAlignment="1">
      <alignment horizontal="center" vertical="center"/>
    </xf>
    <xf numFmtId="10" fontId="2" fillId="16" borderId="4" xfId="16" applyNumberFormat="1" applyFill="1" applyBorder="1" applyAlignment="1">
      <alignment horizontal="center" vertical="center"/>
    </xf>
    <xf numFmtId="165" fontId="2" fillId="16" borderId="4" xfId="16" applyNumberFormat="1" applyFill="1" applyBorder="1" applyAlignment="1">
      <alignment horizontal="center" vertical="center"/>
    </xf>
    <xf numFmtId="165" fontId="2" fillId="16" borderId="8" xfId="16" applyNumberFormat="1" applyFill="1" applyBorder="1" applyAlignment="1">
      <alignment horizontal="center" vertical="center"/>
    </xf>
    <xf numFmtId="0" fontId="2" fillId="16" borderId="4" xfId="16" applyFill="1" applyBorder="1" applyAlignment="1">
      <alignment horizontal="left" vertical="center"/>
    </xf>
    <xf numFmtId="0" fontId="38" fillId="0" borderId="0" xfId="16" applyFont="1" applyAlignment="1">
      <alignment horizontal="center" vertical="center"/>
    </xf>
    <xf numFmtId="3" fontId="2" fillId="0" borderId="0" xfId="16" applyNumberFormat="1" applyAlignment="1">
      <alignment horizontal="center" vertical="center"/>
    </xf>
    <xf numFmtId="165" fontId="2" fillId="0" borderId="0" xfId="16" applyNumberFormat="1" applyAlignment="1">
      <alignment horizontal="center" vertical="center"/>
    </xf>
    <xf numFmtId="165" fontId="36" fillId="0" borderId="4" xfId="16" applyNumberFormat="1" applyFont="1" applyBorder="1" applyAlignment="1">
      <alignment horizontal="center" vertical="center"/>
    </xf>
    <xf numFmtId="0" fontId="2" fillId="8" borderId="4" xfId="18" applyFill="1" applyBorder="1" applyAlignment="1">
      <alignment horizontal="center" vertical="center"/>
    </xf>
    <xf numFmtId="10" fontId="36" fillId="0" borderId="4" xfId="16" applyNumberFormat="1" applyFont="1" applyBorder="1" applyAlignment="1">
      <alignment horizontal="center" vertical="center"/>
    </xf>
    <xf numFmtId="0" fontId="36" fillId="0" borderId="4" xfId="16" applyFont="1" applyBorder="1" applyAlignment="1">
      <alignment horizontal="center" vertical="center"/>
    </xf>
    <xf numFmtId="0" fontId="2" fillId="16" borderId="4" xfId="18" applyFill="1" applyBorder="1" applyAlignment="1">
      <alignment horizontal="center" vertical="center"/>
    </xf>
    <xf numFmtId="0" fontId="75" fillId="9" borderId="7" xfId="16" applyFont="1" applyFill="1" applyBorder="1" applyAlignment="1">
      <alignment horizontal="left" vertical="center"/>
    </xf>
    <xf numFmtId="0" fontId="76" fillId="9" borderId="13" xfId="16" applyFont="1" applyFill="1" applyBorder="1" applyAlignment="1">
      <alignment horizontal="center" vertical="center"/>
    </xf>
    <xf numFmtId="0" fontId="75" fillId="10" borderId="5" xfId="16" applyFont="1" applyFill="1" applyBorder="1" applyAlignment="1">
      <alignment horizontal="center" vertical="center"/>
    </xf>
    <xf numFmtId="0" fontId="36" fillId="0" borderId="0" xfId="16" applyFont="1" applyAlignment="1">
      <alignment horizontal="center" vertical="center"/>
    </xf>
    <xf numFmtId="0" fontId="36" fillId="0" borderId="0" xfId="16" applyFont="1" applyAlignment="1">
      <alignment horizontal="right" vertical="center"/>
    </xf>
    <xf numFmtId="0" fontId="2" fillId="0" borderId="0" xfId="18" applyAlignment="1">
      <alignment horizontal="left" vertical="center"/>
    </xf>
    <xf numFmtId="0" fontId="77" fillId="0" borderId="4" xfId="16" applyFont="1" applyBorder="1" applyAlignment="1">
      <alignment horizontal="center" vertical="center"/>
    </xf>
    <xf numFmtId="3" fontId="77" fillId="0" borderId="4" xfId="16" applyNumberFormat="1" applyFont="1" applyBorder="1" applyAlignment="1">
      <alignment horizontal="center" vertical="center"/>
    </xf>
    <xf numFmtId="0" fontId="75" fillId="10" borderId="8" xfId="16" applyFont="1" applyFill="1" applyBorder="1" applyAlignment="1">
      <alignment horizontal="left" vertical="center"/>
    </xf>
    <xf numFmtId="0" fontId="75" fillId="9" borderId="0" xfId="16" applyFont="1" applyFill="1" applyAlignment="1">
      <alignment horizontal="center" vertical="center"/>
    </xf>
    <xf numFmtId="165" fontId="36" fillId="0" borderId="0" xfId="18" applyNumberFormat="1" applyFont="1" applyAlignment="1">
      <alignment horizontal="center" vertical="center"/>
    </xf>
    <xf numFmtId="0" fontId="0" fillId="0" borderId="0" xfId="16" applyFont="1" applyAlignment="1">
      <alignment horizontal="center" vertical="center"/>
    </xf>
    <xf numFmtId="164" fontId="34" fillId="0" borderId="0" xfId="16" applyNumberFormat="1" applyFont="1" applyAlignment="1">
      <alignment horizontal="center" vertical="center"/>
    </xf>
    <xf numFmtId="0" fontId="34" fillId="11" borderId="4" xfId="18" applyFont="1" applyFill="1" applyBorder="1" applyAlignment="1">
      <alignment horizontal="center" vertical="center"/>
    </xf>
    <xf numFmtId="0" fontId="78" fillId="0" borderId="4" xfId="16" applyFont="1" applyBorder="1" applyAlignment="1">
      <alignment horizontal="center" vertical="center"/>
    </xf>
    <xf numFmtId="165" fontId="78" fillId="0" borderId="4" xfId="16" applyNumberFormat="1" applyFont="1" applyBorder="1" applyAlignment="1">
      <alignment horizontal="center" vertical="center"/>
    </xf>
    <xf numFmtId="0" fontId="0" fillId="0" borderId="4" xfId="16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13" fillId="3" borderId="0" xfId="10" applyFont="1" applyFill="1" applyAlignment="1">
      <alignment horizontal="center" vertical="center"/>
    </xf>
    <xf numFmtId="0" fontId="64" fillId="0" borderId="0" xfId="10"/>
    <xf numFmtId="0" fontId="58" fillId="2" borderId="0" xfId="10" applyFont="1" applyFill="1" applyAlignment="1">
      <alignment horizontal="center" vertical="center"/>
    </xf>
    <xf numFmtId="0" fontId="59" fillId="0" borderId="0" xfId="10" applyFont="1"/>
    <xf numFmtId="0" fontId="27" fillId="0" borderId="0" xfId="3" applyFont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31" fillId="0" borderId="10" xfId="3" applyFont="1" applyBorder="1" applyAlignment="1">
      <alignment horizontal="center" vertical="center" wrapText="1"/>
    </xf>
    <xf numFmtId="0" fontId="31" fillId="0" borderId="11" xfId="3" applyFont="1" applyBorder="1" applyAlignment="1">
      <alignment horizontal="center" vertical="center" wrapText="1"/>
    </xf>
    <xf numFmtId="0" fontId="44" fillId="19" borderId="0" xfId="9" applyFont="1" applyFill="1" applyAlignment="1">
      <alignment horizontal="center"/>
    </xf>
    <xf numFmtId="0" fontId="45" fillId="0" borderId="0" xfId="9" applyFont="1"/>
    <xf numFmtId="0" fontId="47" fillId="19" borderId="0" xfId="9" applyFont="1" applyFill="1" applyAlignment="1">
      <alignment horizontal="center"/>
    </xf>
    <xf numFmtId="0" fontId="53" fillId="19" borderId="0" xfId="9" applyFont="1" applyFill="1" applyAlignment="1">
      <alignment horizontal="center"/>
    </xf>
    <xf numFmtId="0" fontId="80" fillId="11" borderId="7" xfId="19" applyFont="1" applyFill="1" applyBorder="1" applyAlignment="1">
      <alignment vertical="center"/>
    </xf>
    <xf numFmtId="0" fontId="81" fillId="11" borderId="12" xfId="19" applyFont="1" applyFill="1" applyBorder="1" applyAlignment="1">
      <alignment vertical="center"/>
    </xf>
    <xf numFmtId="0" fontId="81" fillId="11" borderId="13" xfId="19" applyFont="1" applyFill="1" applyBorder="1" applyAlignment="1">
      <alignment vertical="center"/>
    </xf>
    <xf numFmtId="0" fontId="81" fillId="7" borderId="7" xfId="19" applyFont="1" applyFill="1" applyBorder="1" applyAlignment="1">
      <alignment vertical="center"/>
    </xf>
    <xf numFmtId="0" fontId="82" fillId="7" borderId="4" xfId="19" applyFont="1" applyFill="1" applyBorder="1" applyAlignment="1">
      <alignment horizontal="center" vertical="center"/>
    </xf>
    <xf numFmtId="0" fontId="81" fillId="7" borderId="13" xfId="19" applyFont="1" applyFill="1" applyBorder="1" applyAlignment="1">
      <alignment vertical="center"/>
    </xf>
    <xf numFmtId="0" fontId="81" fillId="0" borderId="0" xfId="19" applyFont="1" applyAlignment="1">
      <alignment vertical="center"/>
    </xf>
    <xf numFmtId="0" fontId="82" fillId="16" borderId="8" xfId="19" applyFont="1" applyFill="1" applyBorder="1" applyAlignment="1">
      <alignment horizontal="center" vertical="center"/>
    </xf>
    <xf numFmtId="0" fontId="83" fillId="0" borderId="0" xfId="19" applyFont="1" applyAlignment="1">
      <alignment vertical="center"/>
    </xf>
    <xf numFmtId="9" fontId="84" fillId="0" borderId="0" xfId="19" applyNumberFormat="1" applyFont="1" applyAlignment="1">
      <alignment horizontal="left" vertical="center"/>
    </xf>
    <xf numFmtId="0" fontId="81" fillId="0" borderId="0" xfId="19" applyFont="1" applyAlignment="1">
      <alignment horizontal="center" vertical="center"/>
    </xf>
    <xf numFmtId="165" fontId="81" fillId="0" borderId="0" xfId="19" applyNumberFormat="1" applyFont="1" applyAlignment="1">
      <alignment horizontal="center" vertical="center"/>
    </xf>
    <xf numFmtId="0" fontId="82" fillId="16" borderId="4" xfId="19" applyFont="1" applyFill="1" applyBorder="1" applyAlignment="1">
      <alignment horizontal="center" vertical="center"/>
    </xf>
    <xf numFmtId="0" fontId="85" fillId="10" borderId="4" xfId="19" applyFont="1" applyFill="1" applyBorder="1" applyAlignment="1">
      <alignment horizontal="center" vertical="center"/>
    </xf>
    <xf numFmtId="0" fontId="84" fillId="0" borderId="0" xfId="19" applyFont="1" applyAlignment="1">
      <alignment vertical="center"/>
    </xf>
    <xf numFmtId="167" fontId="81" fillId="0" borderId="4" xfId="19" applyNumberFormat="1" applyFont="1" applyBorder="1" applyAlignment="1">
      <alignment horizontal="center" vertical="center"/>
    </xf>
    <xf numFmtId="164" fontId="81" fillId="0" borderId="4" xfId="19" applyNumberFormat="1" applyFont="1" applyBorder="1" applyAlignment="1">
      <alignment vertical="center"/>
    </xf>
    <xf numFmtId="165" fontId="81" fillId="0" borderId="4" xfId="19" applyNumberFormat="1" applyFont="1" applyBorder="1" applyAlignment="1">
      <alignment horizontal="center" vertical="center"/>
    </xf>
    <xf numFmtId="165" fontId="84" fillId="0" borderId="4" xfId="19" applyNumberFormat="1" applyFont="1" applyBorder="1" applyAlignment="1">
      <alignment vertical="center"/>
    </xf>
    <xf numFmtId="165" fontId="84" fillId="0" borderId="4" xfId="19" applyNumberFormat="1" applyFont="1" applyBorder="1" applyAlignment="1">
      <alignment horizontal="center" vertical="center"/>
    </xf>
    <xf numFmtId="0" fontId="85" fillId="21" borderId="5" xfId="19" applyFont="1" applyFill="1" applyBorder="1" applyAlignment="1">
      <alignment horizontal="center" vertical="center"/>
    </xf>
    <xf numFmtId="0" fontId="82" fillId="7" borderId="6" xfId="19" applyFont="1" applyFill="1" applyBorder="1" applyAlignment="1">
      <alignment horizontal="center" vertical="center"/>
    </xf>
    <xf numFmtId="165" fontId="81" fillId="0" borderId="0" xfId="19" applyNumberFormat="1" applyFont="1" applyAlignment="1">
      <alignment vertical="center"/>
    </xf>
    <xf numFmtId="0" fontId="85" fillId="21" borderId="8" xfId="19" applyFont="1" applyFill="1" applyBorder="1" applyAlignment="1">
      <alignment horizontal="center" vertical="center"/>
    </xf>
    <xf numFmtId="0" fontId="81" fillId="0" borderId="8" xfId="19" applyFont="1" applyBorder="1" applyAlignment="1">
      <alignment vertical="center"/>
    </xf>
    <xf numFmtId="0" fontId="81" fillId="0" borderId="4" xfId="19" applyFont="1" applyBorder="1" applyAlignment="1">
      <alignment horizontal="center" vertical="center"/>
    </xf>
    <xf numFmtId="0" fontId="81" fillId="0" borderId="4" xfId="19" applyFont="1" applyBorder="1" applyAlignment="1">
      <alignment vertical="center"/>
    </xf>
    <xf numFmtId="0" fontId="81" fillId="0" borderId="7" xfId="19" applyFont="1" applyBorder="1" applyAlignment="1">
      <alignment vertical="center"/>
    </xf>
    <xf numFmtId="0" fontId="81" fillId="0" borderId="12" xfId="19" applyFont="1" applyBorder="1" applyAlignment="1">
      <alignment vertical="center"/>
    </xf>
    <xf numFmtId="0" fontId="81" fillId="0" borderId="13" xfId="19" applyFont="1" applyBorder="1" applyAlignment="1">
      <alignment vertical="center"/>
    </xf>
    <xf numFmtId="165" fontId="81" fillId="0" borderId="4" xfId="19" applyNumberFormat="1" applyFont="1" applyBorder="1" applyAlignment="1">
      <alignment vertical="center"/>
    </xf>
    <xf numFmtId="6" fontId="81" fillId="0" borderId="4" xfId="19" applyNumberFormat="1" applyFont="1" applyBorder="1" applyAlignment="1">
      <alignment vertical="center"/>
    </xf>
    <xf numFmtId="167" fontId="81" fillId="0" borderId="0" xfId="19" applyNumberFormat="1" applyFont="1" applyAlignment="1">
      <alignment horizontal="center" vertical="center"/>
    </xf>
    <xf numFmtId="0" fontId="86" fillId="21" borderId="5" xfId="19" applyFont="1" applyFill="1" applyBorder="1" applyAlignment="1">
      <alignment horizontal="center" vertical="center"/>
    </xf>
    <xf numFmtId="0" fontId="87" fillId="0" borderId="0" xfId="19" applyFont="1"/>
    <xf numFmtId="0" fontId="88" fillId="0" borderId="8" xfId="19" applyFont="1" applyBorder="1" applyAlignment="1">
      <alignment horizontal="center" vertical="center"/>
    </xf>
    <xf numFmtId="0" fontId="89" fillId="10" borderId="0" xfId="19" applyFont="1" applyFill="1" applyAlignment="1">
      <alignment horizontal="center" vertical="center"/>
    </xf>
    <xf numFmtId="0" fontId="59" fillId="11" borderId="27" xfId="19" applyFont="1" applyFill="1" applyBorder="1" applyAlignment="1">
      <alignment horizontal="center" vertical="center"/>
    </xf>
    <xf numFmtId="0" fontId="88" fillId="7" borderId="4" xfId="20" applyFont="1" applyFill="1" applyBorder="1" applyAlignment="1">
      <alignment vertical="center" wrapText="1"/>
    </xf>
    <xf numFmtId="0" fontId="88" fillId="7" borderId="7" xfId="20" applyFont="1" applyFill="1" applyBorder="1" applyAlignment="1">
      <alignment horizontal="center" vertical="center" wrapText="1"/>
    </xf>
    <xf numFmtId="0" fontId="59" fillId="11" borderId="28" xfId="20" applyFont="1" applyFill="1" applyBorder="1" applyAlignment="1">
      <alignment horizontal="center" vertical="center" wrapText="1"/>
    </xf>
    <xf numFmtId="3" fontId="88" fillId="11" borderId="7" xfId="20" applyNumberFormat="1" applyFont="1" applyFill="1" applyBorder="1" applyAlignment="1">
      <alignment horizontal="center" vertical="center" wrapText="1"/>
    </xf>
    <xf numFmtId="0" fontId="59" fillId="11" borderId="4" xfId="20" applyFont="1" applyFill="1" applyBorder="1" applyAlignment="1">
      <alignment horizontal="center" vertical="center" wrapText="1"/>
    </xf>
    <xf numFmtId="0" fontId="88" fillId="17" borderId="4" xfId="20" applyFont="1" applyFill="1" applyBorder="1" applyAlignment="1">
      <alignment vertical="center" wrapText="1"/>
    </xf>
    <xf numFmtId="3" fontId="88" fillId="17" borderId="4" xfId="20" applyNumberFormat="1" applyFont="1" applyFill="1" applyBorder="1" applyAlignment="1">
      <alignment horizontal="center" vertical="center" wrapText="1"/>
    </xf>
    <xf numFmtId="0" fontId="88" fillId="0" borderId="0" xfId="20" applyFont="1" applyAlignment="1">
      <alignment wrapText="1"/>
    </xf>
    <xf numFmtId="3" fontId="88" fillId="11" borderId="4" xfId="20" applyNumberFormat="1" applyFont="1" applyFill="1" applyBorder="1" applyAlignment="1">
      <alignment horizontal="center" vertical="center" wrapText="1"/>
    </xf>
    <xf numFmtId="0" fontId="88" fillId="17" borderId="4" xfId="20" applyFont="1" applyFill="1" applyBorder="1" applyAlignment="1">
      <alignment horizontal="center" vertical="center" wrapText="1"/>
    </xf>
    <xf numFmtId="0" fontId="88" fillId="0" borderId="0" xfId="20" applyFont="1" applyAlignment="1">
      <alignment horizontal="center" vertical="center" wrapText="1"/>
    </xf>
    <xf numFmtId="0" fontId="90" fillId="16" borderId="29" xfId="20" applyFont="1" applyFill="1" applyBorder="1" applyAlignment="1">
      <alignment horizontal="center" vertical="center" wrapText="1"/>
    </xf>
    <xf numFmtId="0" fontId="90" fillId="16" borderId="30" xfId="20" applyFont="1" applyFill="1" applyBorder="1" applyAlignment="1">
      <alignment horizontal="center" vertical="center" wrapText="1"/>
    </xf>
    <xf numFmtId="0" fontId="87" fillId="0" borderId="0" xfId="19" applyFont="1" applyAlignment="1">
      <alignment vertical="center"/>
    </xf>
    <xf numFmtId="0" fontId="91" fillId="11" borderId="5" xfId="20" applyFont="1" applyFill="1" applyBorder="1" applyAlignment="1">
      <alignment horizontal="center" vertical="center" wrapText="1"/>
    </xf>
    <xf numFmtId="0" fontId="59" fillId="0" borderId="31" xfId="19" applyFont="1" applyBorder="1" applyAlignment="1">
      <alignment horizontal="center"/>
    </xf>
    <xf numFmtId="0" fontId="59" fillId="0" borderId="32" xfId="19" applyFont="1" applyBorder="1" applyAlignment="1">
      <alignment horizontal="center"/>
    </xf>
    <xf numFmtId="4" fontId="88" fillId="7" borderId="7" xfId="20" applyNumberFormat="1" applyFont="1" applyFill="1" applyBorder="1" applyAlignment="1">
      <alignment horizontal="center" vertical="center" wrapText="1"/>
    </xf>
    <xf numFmtId="10" fontId="88" fillId="7" borderId="33" xfId="20" applyNumberFormat="1" applyFont="1" applyFill="1" applyBorder="1" applyAlignment="1">
      <alignment horizontal="center" vertical="center" wrapText="1"/>
    </xf>
    <xf numFmtId="10" fontId="88" fillId="7" borderId="34" xfId="20" applyNumberFormat="1" applyFont="1" applyFill="1" applyBorder="1" applyAlignment="1">
      <alignment horizontal="center" vertical="center" wrapText="1"/>
    </xf>
    <xf numFmtId="0" fontId="88" fillId="8" borderId="4" xfId="20" applyFont="1" applyFill="1" applyBorder="1" applyAlignment="1">
      <alignment vertical="center" wrapText="1"/>
    </xf>
    <xf numFmtId="4" fontId="88" fillId="8" borderId="7" xfId="20" applyNumberFormat="1" applyFont="1" applyFill="1" applyBorder="1" applyAlignment="1">
      <alignment horizontal="center" vertical="center" wrapText="1"/>
    </xf>
    <xf numFmtId="10" fontId="88" fillId="8" borderId="33" xfId="20" applyNumberFormat="1" applyFont="1" applyFill="1" applyBorder="1" applyAlignment="1">
      <alignment horizontal="center" vertical="center" wrapText="1"/>
    </xf>
    <xf numFmtId="10" fontId="88" fillId="8" borderId="34" xfId="20" applyNumberFormat="1" applyFont="1" applyFill="1" applyBorder="1" applyAlignment="1">
      <alignment horizontal="center" vertical="center" wrapText="1"/>
    </xf>
    <xf numFmtId="0" fontId="88" fillId="15" borderId="4" xfId="20" applyFont="1" applyFill="1" applyBorder="1" applyAlignment="1">
      <alignment vertical="center" wrapText="1"/>
    </xf>
    <xf numFmtId="4" fontId="88" fillId="15" borderId="7" xfId="20" applyNumberFormat="1" applyFont="1" applyFill="1" applyBorder="1" applyAlignment="1">
      <alignment horizontal="center" vertical="center" wrapText="1"/>
    </xf>
    <xf numFmtId="10" fontId="88" fillId="15" borderId="35" xfId="20" applyNumberFormat="1" applyFont="1" applyFill="1" applyBorder="1" applyAlignment="1">
      <alignment horizontal="center" vertical="center" wrapText="1"/>
    </xf>
    <xf numFmtId="10" fontId="88" fillId="15" borderId="36" xfId="20" applyNumberFormat="1" applyFont="1" applyFill="1" applyBorder="1" applyAlignment="1">
      <alignment horizontal="center" vertical="center" wrapText="1"/>
    </xf>
    <xf numFmtId="0" fontId="88" fillId="0" borderId="0" xfId="20" applyFont="1" applyAlignment="1">
      <alignment vertical="center" wrapText="1"/>
    </xf>
    <xf numFmtId="4" fontId="88" fillId="0" borderId="0" xfId="20" applyNumberFormat="1" applyFont="1" applyAlignment="1">
      <alignment horizontal="center" vertical="center" wrapText="1"/>
    </xf>
    <xf numFmtId="10" fontId="88" fillId="0" borderId="0" xfId="20" applyNumberFormat="1" applyFont="1" applyAlignment="1">
      <alignment horizontal="center" vertical="center" wrapText="1"/>
    </xf>
    <xf numFmtId="0" fontId="91" fillId="16" borderId="7" xfId="19" applyFont="1" applyFill="1" applyBorder="1" applyAlignment="1">
      <alignment horizontal="center" vertical="center"/>
    </xf>
    <xf numFmtId="0" fontId="92" fillId="17" borderId="4" xfId="19" applyFont="1" applyFill="1" applyBorder="1" applyAlignment="1">
      <alignment horizontal="center"/>
    </xf>
    <xf numFmtId="0" fontId="91" fillId="7" borderId="4" xfId="19" applyFont="1" applyFill="1" applyBorder="1" applyAlignment="1">
      <alignment horizontal="center" vertical="center"/>
    </xf>
    <xf numFmtId="0" fontId="91" fillId="7" borderId="4" xfId="19" applyFont="1" applyFill="1" applyBorder="1" applyAlignment="1">
      <alignment vertical="center"/>
    </xf>
    <xf numFmtId="0" fontId="91" fillId="16" borderId="12" xfId="19" applyFont="1" applyFill="1" applyBorder="1" applyAlignment="1">
      <alignment vertical="center"/>
    </xf>
    <xf numFmtId="0" fontId="91" fillId="16" borderId="13" xfId="19" applyFont="1" applyFill="1" applyBorder="1" applyAlignment="1">
      <alignment vertical="center"/>
    </xf>
    <xf numFmtId="0" fontId="87" fillId="17" borderId="4" xfId="19" applyFont="1" applyFill="1" applyBorder="1" applyAlignment="1">
      <alignment horizontal="center" vertical="center"/>
    </xf>
    <xf numFmtId="0" fontId="88" fillId="16" borderId="4" xfId="19" applyFont="1" applyFill="1" applyBorder="1" applyAlignment="1">
      <alignment vertical="center"/>
    </xf>
    <xf numFmtId="4" fontId="88" fillId="16" borderId="4" xfId="19" applyNumberFormat="1" applyFont="1" applyFill="1" applyBorder="1" applyAlignment="1">
      <alignment horizontal="center" vertical="center"/>
    </xf>
    <xf numFmtId="165" fontId="88" fillId="16" borderId="4" xfId="19" applyNumberFormat="1" applyFont="1" applyFill="1" applyBorder="1" applyAlignment="1">
      <alignment horizontal="center" vertical="center"/>
    </xf>
    <xf numFmtId="4" fontId="88" fillId="0" borderId="4" xfId="19" applyNumberFormat="1" applyFont="1" applyBorder="1" applyAlignment="1">
      <alignment horizontal="center" vertical="center"/>
    </xf>
    <xf numFmtId="165" fontId="88" fillId="0" borderId="4" xfId="19" applyNumberFormat="1" applyFont="1" applyBorder="1" applyAlignment="1">
      <alignment horizontal="center" vertical="center"/>
    </xf>
    <xf numFmtId="0" fontId="87" fillId="0" borderId="4" xfId="19" applyFont="1" applyBorder="1" applyAlignment="1">
      <alignment horizontal="center" vertical="center"/>
    </xf>
    <xf numFmtId="0" fontId="88" fillId="7" borderId="4" xfId="19" applyFont="1" applyFill="1" applyBorder="1" applyAlignment="1">
      <alignment vertical="center"/>
    </xf>
    <xf numFmtId="4" fontId="88" fillId="7" borderId="4" xfId="19" applyNumberFormat="1" applyFont="1" applyFill="1" applyBorder="1" applyAlignment="1">
      <alignment horizontal="center" vertical="center"/>
    </xf>
    <xf numFmtId="165" fontId="88" fillId="7" borderId="4" xfId="19" applyNumberFormat="1" applyFont="1" applyFill="1" applyBorder="1" applyAlignment="1">
      <alignment horizontal="center" vertical="center"/>
    </xf>
    <xf numFmtId="0" fontId="88" fillId="15" borderId="4" xfId="19" applyFont="1" applyFill="1" applyBorder="1" applyAlignment="1">
      <alignment vertical="center"/>
    </xf>
    <xf numFmtId="4" fontId="88" fillId="15" borderId="4" xfId="19" applyNumberFormat="1" applyFont="1" applyFill="1" applyBorder="1" applyAlignment="1">
      <alignment horizontal="center" vertical="center"/>
    </xf>
    <xf numFmtId="165" fontId="88" fillId="15" borderId="4" xfId="19" applyNumberFormat="1" applyFont="1" applyFill="1" applyBorder="1" applyAlignment="1">
      <alignment horizontal="center" vertical="center"/>
    </xf>
    <xf numFmtId="165" fontId="88" fillId="0" borderId="5" xfId="19" applyNumberFormat="1" applyFont="1" applyBorder="1" applyAlignment="1">
      <alignment horizontal="center" vertical="center"/>
    </xf>
    <xf numFmtId="0" fontId="93" fillId="0" borderId="4" xfId="19" applyFont="1" applyBorder="1" applyAlignment="1">
      <alignment horizontal="center" vertical="center"/>
    </xf>
    <xf numFmtId="3" fontId="93" fillId="0" borderId="4" xfId="19" applyNumberFormat="1" applyFont="1" applyBorder="1" applyAlignment="1">
      <alignment horizontal="center" vertical="center"/>
    </xf>
    <xf numFmtId="0" fontId="94" fillId="0" borderId="5" xfId="19" applyFont="1" applyBorder="1" applyAlignment="1">
      <alignment horizontal="center" vertical="center"/>
    </xf>
    <xf numFmtId="165" fontId="93" fillId="0" borderId="5" xfId="19" applyNumberFormat="1" applyFont="1" applyBorder="1" applyAlignment="1">
      <alignment horizontal="center" vertical="center"/>
    </xf>
    <xf numFmtId="4" fontId="88" fillId="0" borderId="0" xfId="19" applyNumberFormat="1" applyFont="1" applyAlignment="1">
      <alignment horizontal="center" vertical="center"/>
    </xf>
    <xf numFmtId="165" fontId="88" fillId="0" borderId="0" xfId="19" applyNumberFormat="1" applyFont="1" applyAlignment="1">
      <alignment horizontal="center" vertical="center"/>
    </xf>
    <xf numFmtId="165" fontId="95" fillId="0" borderId="37" xfId="19" applyNumberFormat="1" applyFont="1" applyBorder="1" applyAlignment="1">
      <alignment horizontal="center" vertical="center"/>
    </xf>
    <xf numFmtId="0" fontId="95" fillId="0" borderId="0" xfId="19" applyFont="1" applyAlignment="1">
      <alignment horizontal="center" vertical="center"/>
    </xf>
    <xf numFmtId="0" fontId="88" fillId="0" borderId="0" xfId="19" applyFont="1" applyAlignment="1">
      <alignment vertical="center"/>
    </xf>
    <xf numFmtId="0" fontId="88" fillId="0" borderId="0" xfId="19" applyFont="1" applyAlignment="1">
      <alignment horizontal="center" vertical="center"/>
    </xf>
    <xf numFmtId="0" fontId="96" fillId="0" borderId="18" xfId="19" applyFont="1" applyBorder="1" applyAlignment="1">
      <alignment vertical="center"/>
    </xf>
    <xf numFmtId="0" fontId="87" fillId="0" borderId="38" xfId="19" applyFont="1" applyBorder="1"/>
    <xf numFmtId="0" fontId="97" fillId="0" borderId="38" xfId="19" applyFont="1" applyBorder="1"/>
    <xf numFmtId="0" fontId="96" fillId="0" borderId="12" xfId="19" applyFont="1" applyBorder="1" applyAlignment="1">
      <alignment vertical="center"/>
    </xf>
    <xf numFmtId="165" fontId="96" fillId="0" borderId="39" xfId="19" applyNumberFormat="1" applyFont="1" applyBorder="1" applyAlignment="1">
      <alignment vertical="center"/>
    </xf>
    <xf numFmtId="0" fontId="89" fillId="10" borderId="4" xfId="19" applyFont="1" applyFill="1" applyBorder="1" applyAlignment="1">
      <alignment horizontal="center" vertical="center"/>
    </xf>
    <xf numFmtId="6" fontId="88" fillId="0" borderId="4" xfId="19" applyNumberFormat="1" applyFont="1" applyBorder="1" applyAlignment="1">
      <alignment horizontal="center" vertical="center"/>
    </xf>
    <xf numFmtId="0" fontId="89" fillId="10" borderId="40" xfId="19" applyFont="1" applyFill="1" applyBorder="1" applyAlignment="1">
      <alignment vertical="center"/>
    </xf>
    <xf numFmtId="0" fontId="89" fillId="10" borderId="41" xfId="19" applyFont="1" applyFill="1" applyBorder="1" applyAlignment="1">
      <alignment horizontal="center" vertical="center"/>
    </xf>
    <xf numFmtId="0" fontId="89" fillId="10" borderId="42" xfId="19" applyFont="1" applyFill="1" applyBorder="1" applyAlignment="1">
      <alignment vertical="center"/>
    </xf>
    <xf numFmtId="165" fontId="98" fillId="0" borderId="39" xfId="19" applyNumberFormat="1" applyFont="1" applyBorder="1" applyAlignment="1">
      <alignment vertical="center"/>
    </xf>
    <xf numFmtId="0" fontId="59" fillId="0" borderId="0" xfId="19" applyFont="1"/>
    <xf numFmtId="0" fontId="88" fillId="0" borderId="4" xfId="19" applyFont="1" applyBorder="1" applyAlignment="1">
      <alignment vertical="center"/>
    </xf>
    <xf numFmtId="0" fontId="88" fillId="0" borderId="4" xfId="19" applyFont="1" applyBorder="1" applyAlignment="1">
      <alignment horizontal="center"/>
    </xf>
    <xf numFmtId="6" fontId="99" fillId="0" borderId="14" xfId="19" applyNumberFormat="1" applyFont="1" applyBorder="1" applyAlignment="1">
      <alignment vertical="center"/>
    </xf>
    <xf numFmtId="0" fontId="99" fillId="0" borderId="7" xfId="19" applyFont="1" applyBorder="1" applyAlignment="1">
      <alignment vertical="center"/>
    </xf>
    <xf numFmtId="0" fontId="99" fillId="0" borderId="43" xfId="19" applyFont="1" applyBorder="1" applyAlignment="1">
      <alignment vertical="center"/>
    </xf>
    <xf numFmtId="10" fontId="98" fillId="0" borderId="44" xfId="19" applyNumberFormat="1" applyFont="1" applyBorder="1" applyAlignment="1">
      <alignment horizontal="center" vertical="center"/>
    </xf>
    <xf numFmtId="165" fontId="99" fillId="0" borderId="33" xfId="19" applyNumberFormat="1" applyFont="1" applyBorder="1" applyAlignment="1">
      <alignment vertical="center"/>
    </xf>
    <xf numFmtId="0" fontId="99" fillId="0" borderId="4" xfId="19" applyFont="1" applyBorder="1" applyAlignment="1">
      <alignment vertical="center"/>
    </xf>
    <xf numFmtId="165" fontId="99" fillId="0" borderId="45" xfId="19" applyNumberFormat="1" applyFont="1" applyBorder="1" applyAlignment="1">
      <alignment vertical="center"/>
    </xf>
    <xf numFmtId="0" fontId="99" fillId="0" borderId="46" xfId="19" applyFont="1" applyBorder="1" applyAlignment="1">
      <alignment vertical="center"/>
    </xf>
    <xf numFmtId="0" fontId="99" fillId="0" borderId="47" xfId="19" applyFont="1" applyBorder="1" applyAlignment="1">
      <alignment vertical="center"/>
    </xf>
    <xf numFmtId="0" fontId="89" fillId="9" borderId="4" xfId="19" applyFont="1" applyFill="1" applyBorder="1" applyAlignment="1">
      <alignment horizontal="center" vertical="center"/>
    </xf>
    <xf numFmtId="0" fontId="91" fillId="16" borderId="7" xfId="19" applyFont="1" applyFill="1" applyBorder="1" applyAlignment="1">
      <alignment vertical="center"/>
    </xf>
    <xf numFmtId="4" fontId="93" fillId="0" borderId="4" xfId="19" applyNumberFormat="1" applyFont="1" applyBorder="1" applyAlignment="1">
      <alignment horizontal="center" vertical="center"/>
    </xf>
    <xf numFmtId="6" fontId="88" fillId="0" borderId="0" xfId="19" applyNumberFormat="1" applyFont="1" applyAlignment="1">
      <alignment horizontal="center" vertical="center"/>
    </xf>
    <xf numFmtId="0" fontId="89" fillId="10" borderId="48" xfId="19" applyFont="1" applyFill="1" applyBorder="1" applyAlignment="1">
      <alignment vertical="center"/>
    </xf>
    <xf numFmtId="3" fontId="88" fillId="0" borderId="0" xfId="19" applyNumberFormat="1" applyFont="1" applyAlignment="1">
      <alignment horizontal="center"/>
    </xf>
    <xf numFmtId="6" fontId="99" fillId="0" borderId="49" xfId="19" applyNumberFormat="1" applyFont="1" applyBorder="1" applyAlignment="1">
      <alignment vertical="center"/>
    </xf>
  </cellXfs>
  <cellStyles count="21">
    <cellStyle name="Hyperlink" xfId="1" builtinId="8"/>
    <cellStyle name="Hyperlink 2" xfId="6" xr:uid="{4C37F896-5731-4499-BDD8-4DE4C78941DE}"/>
    <cellStyle name="Normal" xfId="0" builtinId="0"/>
    <cellStyle name="Normal 2" xfId="2" xr:uid="{EF2A440D-44B6-486E-8D64-BDD994C74FA8}"/>
    <cellStyle name="Normal 2 2" xfId="10" xr:uid="{AA43F35F-8A2D-4E50-B1A8-463FEC6E411A}"/>
    <cellStyle name="Normal 3" xfId="3" xr:uid="{898C213C-F477-4109-B157-9C7B825219AD}"/>
    <cellStyle name="Normal 4" xfId="4" xr:uid="{B931625C-1A10-4C62-8E31-9D60DEECCB3B}"/>
    <cellStyle name="Normal 4 2" xfId="8" xr:uid="{19266B5D-6DCF-4462-B668-1466989E3D3F}"/>
    <cellStyle name="Normal 4 2 2" xfId="14" xr:uid="{40B4BA35-D98A-4E9C-95C0-87B18B8E3A4B}"/>
    <cellStyle name="Normal 4 2 3" xfId="17" xr:uid="{A85E54DA-8022-4042-934E-8DFBD3585BF0}"/>
    <cellStyle name="Normal 4 3" xfId="12" xr:uid="{8FEB4889-D9E0-40A6-86D2-46F0975047BB}"/>
    <cellStyle name="Normal 4 3 2" xfId="15" xr:uid="{9B774731-3AD5-44F2-98C2-1E127A907211}"/>
    <cellStyle name="Normal 4 3 3" xfId="18" xr:uid="{BA252D6B-4B4A-4B4F-8991-FD0EA57A7825}"/>
    <cellStyle name="Normal 5" xfId="5" xr:uid="{C7825EF6-01ED-4ED9-8D13-795F907198B9}"/>
    <cellStyle name="Normal 6" xfId="7" xr:uid="{A629FD69-6401-4DF1-8887-FC91CF21FBA0}"/>
    <cellStyle name="Normal 6 2" xfId="20" xr:uid="{683B066A-20A9-4DD2-9D0F-E11AD938D449}"/>
    <cellStyle name="Normal 7" xfId="9" xr:uid="{D3454932-111A-4C75-AC33-9E6484D08088}"/>
    <cellStyle name="Normal 8" xfId="11" xr:uid="{1E4CF66D-BC26-4789-BEFC-EB3603746B80}"/>
    <cellStyle name="Normal 8 2" xfId="13" xr:uid="{8B1BD73A-77F7-4634-877B-2A8354BB22BF}"/>
    <cellStyle name="Normal 8 3" xfId="16" xr:uid="{C96212D5-6E08-4433-831D-3C234FB7B211}"/>
    <cellStyle name="Normal 9" xfId="19" xr:uid="{8740CFBC-0461-4750-BC9D-E98B00627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0</xdr:rowOff>
    </xdr:from>
    <xdr:to>
      <xdr:col>0</xdr:col>
      <xdr:colOff>2254250</xdr:colOff>
      <xdr:row>5</xdr:row>
      <xdr:rowOff>36324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30AF61F0-3722-49AA-A5A5-3A1EF46E0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0"/>
          <a:ext cx="2133600" cy="1350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dvision-solutions.com/" TargetMode="External"/><Relationship Id="rId3" Type="http://schemas.openxmlformats.org/officeDocument/2006/relationships/hyperlink" Target="https://www.sghs.org/" TargetMode="External"/><Relationship Id="rId7" Type="http://schemas.openxmlformats.org/officeDocument/2006/relationships/hyperlink" Target="https://www.tryonmed.com/" TargetMode="External"/><Relationship Id="rId2" Type="http://schemas.openxmlformats.org/officeDocument/2006/relationships/hyperlink" Target="https://www.urbanhealthplan.org/" TargetMode="External"/><Relationship Id="rId1" Type="http://schemas.openxmlformats.org/officeDocument/2006/relationships/hyperlink" Target="https://www.medalliancenyc.com/" TargetMode="External"/><Relationship Id="rId6" Type="http://schemas.openxmlformats.org/officeDocument/2006/relationships/hyperlink" Target="https://sonehealthcare.com/" TargetMode="External"/><Relationship Id="rId5" Type="http://schemas.openxmlformats.org/officeDocument/2006/relationships/hyperlink" Target="https://www.leonhealth.com/" TargetMode="External"/><Relationship Id="rId4" Type="http://schemas.openxmlformats.org/officeDocument/2006/relationships/hyperlink" Target="https://riverview.org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pvbmhealth.com/" TargetMode="External"/><Relationship Id="rId1" Type="http://schemas.openxmlformats.org/officeDocument/2006/relationships/hyperlink" Target="https://pvbmtech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C3CA-C923-49B1-B01C-F8E1847C5280}">
  <dimension ref="A1:J27"/>
  <sheetViews>
    <sheetView tabSelected="1" workbookViewId="0">
      <selection activeCell="K14" sqref="K14"/>
    </sheetView>
  </sheetViews>
  <sheetFormatPr defaultRowHeight="18.5" x14ac:dyDescent="0.25"/>
  <cols>
    <col min="1" max="1" width="20.08984375" style="253" bestFit="1" customWidth="1"/>
    <col min="2" max="2" width="11.7265625" style="253" bestFit="1" customWidth="1"/>
    <col min="3" max="4" width="12.453125" style="253" bestFit="1" customWidth="1"/>
    <col min="5" max="5" width="10.81640625" style="253" bestFit="1" customWidth="1"/>
    <col min="6" max="6" width="11.26953125" style="253" bestFit="1" customWidth="1"/>
    <col min="7" max="7" width="15.7265625" style="253" bestFit="1" customWidth="1"/>
    <col min="8" max="16384" width="8.7265625" style="253"/>
  </cols>
  <sheetData>
    <row r="1" spans="1:10" ht="21" x14ac:dyDescent="0.25">
      <c r="A1" s="247" t="s">
        <v>267</v>
      </c>
      <c r="B1" s="248"/>
      <c r="C1" s="248"/>
      <c r="D1" s="248"/>
      <c r="E1" s="249"/>
      <c r="F1" s="250"/>
      <c r="G1" s="251" t="s">
        <v>268</v>
      </c>
      <c r="H1" s="252"/>
    </row>
    <row r="2" spans="1:10" x14ac:dyDescent="0.25">
      <c r="A2" s="254" t="s">
        <v>269</v>
      </c>
      <c r="B2" s="255" t="s">
        <v>270</v>
      </c>
      <c r="G2" s="256" t="s">
        <v>271</v>
      </c>
    </row>
    <row r="3" spans="1:10" x14ac:dyDescent="0.25">
      <c r="A3" s="257"/>
      <c r="B3" s="251" t="s">
        <v>272</v>
      </c>
      <c r="C3" s="251" t="s">
        <v>44</v>
      </c>
      <c r="D3" s="251" t="s">
        <v>273</v>
      </c>
      <c r="E3" s="251" t="s">
        <v>274</v>
      </c>
      <c r="F3" s="251" t="s">
        <v>275</v>
      </c>
      <c r="G3" s="251" t="s">
        <v>268</v>
      </c>
    </row>
    <row r="4" spans="1:10" x14ac:dyDescent="0.25">
      <c r="A4" s="257"/>
      <c r="B4" s="257">
        <v>2</v>
      </c>
      <c r="C4" s="258">
        <v>44000</v>
      </c>
      <c r="D4" s="258">
        <v>44000</v>
      </c>
      <c r="E4" s="258">
        <v>44000</v>
      </c>
      <c r="F4" s="258">
        <v>0</v>
      </c>
      <c r="G4" s="258">
        <v>0</v>
      </c>
    </row>
    <row r="5" spans="1:10" x14ac:dyDescent="0.25">
      <c r="A5" s="259" t="s">
        <v>276</v>
      </c>
      <c r="B5" s="255" t="s">
        <v>277</v>
      </c>
    </row>
    <row r="6" spans="1:10" x14ac:dyDescent="0.25">
      <c r="A6" s="257"/>
      <c r="B6" s="251" t="s">
        <v>272</v>
      </c>
      <c r="C6" s="251" t="s">
        <v>44</v>
      </c>
      <c r="D6" s="251" t="s">
        <v>273</v>
      </c>
      <c r="E6" s="251" t="s">
        <v>274</v>
      </c>
      <c r="F6" s="251" t="s">
        <v>275</v>
      </c>
      <c r="G6" s="251" t="s">
        <v>268</v>
      </c>
      <c r="H6" s="257" t="s">
        <v>278</v>
      </c>
    </row>
    <row r="7" spans="1:10" x14ac:dyDescent="0.25">
      <c r="A7" s="257"/>
      <c r="B7" s="257">
        <v>20</v>
      </c>
      <c r="C7" s="258">
        <v>78920</v>
      </c>
      <c r="D7" s="258">
        <v>78920</v>
      </c>
      <c r="E7" s="258">
        <v>11380</v>
      </c>
      <c r="F7" s="258">
        <v>0</v>
      </c>
      <c r="G7" s="258">
        <f>D7*0.8</f>
        <v>63136</v>
      </c>
    </row>
    <row r="8" spans="1:10" x14ac:dyDescent="0.25">
      <c r="A8" s="260" t="s">
        <v>279</v>
      </c>
      <c r="B8" s="261" t="s">
        <v>280</v>
      </c>
    </row>
    <row r="9" spans="1:10" x14ac:dyDescent="0.25">
      <c r="A9" s="257"/>
      <c r="B9" s="251" t="s">
        <v>272</v>
      </c>
      <c r="C9" s="251" t="s">
        <v>44</v>
      </c>
      <c r="D9" s="251" t="s">
        <v>273</v>
      </c>
      <c r="E9" s="251" t="s">
        <v>274</v>
      </c>
      <c r="F9" s="251" t="s">
        <v>275</v>
      </c>
      <c r="G9" s="251" t="s">
        <v>268</v>
      </c>
    </row>
    <row r="10" spans="1:10" x14ac:dyDescent="0.25">
      <c r="A10" s="257"/>
      <c r="B10" s="257">
        <v>0</v>
      </c>
      <c r="C10" s="258">
        <v>0</v>
      </c>
      <c r="D10" s="258">
        <v>0</v>
      </c>
      <c r="E10" s="258">
        <v>0</v>
      </c>
      <c r="F10" s="258">
        <f>D7-E7</f>
        <v>67540</v>
      </c>
      <c r="G10" s="258">
        <f>F10*0.8</f>
        <v>54032</v>
      </c>
    </row>
    <row r="11" spans="1:10" x14ac:dyDescent="0.25">
      <c r="A11" s="259" t="s">
        <v>281</v>
      </c>
      <c r="B11" s="255" t="s">
        <v>282</v>
      </c>
    </row>
    <row r="12" spans="1:10" x14ac:dyDescent="0.25">
      <c r="B12" s="251" t="s">
        <v>272</v>
      </c>
      <c r="C12" s="251" t="s">
        <v>44</v>
      </c>
      <c r="D12" s="251" t="s">
        <v>273</v>
      </c>
      <c r="E12" s="251" t="s">
        <v>274</v>
      </c>
      <c r="F12" s="251" t="s">
        <v>275</v>
      </c>
      <c r="G12" s="251" t="s">
        <v>268</v>
      </c>
      <c r="H12" s="261" t="s">
        <v>283</v>
      </c>
    </row>
    <row r="13" spans="1:10" x14ac:dyDescent="0.25">
      <c r="A13" s="253" t="s">
        <v>284</v>
      </c>
      <c r="B13" s="262">
        <v>45505</v>
      </c>
      <c r="C13" s="263">
        <f>3150*20</f>
        <v>63000</v>
      </c>
      <c r="D13" s="263">
        <f>C13</f>
        <v>63000</v>
      </c>
      <c r="E13" s="264">
        <v>0</v>
      </c>
      <c r="F13" s="265">
        <f>SUM(F10,C13)</f>
        <v>130540</v>
      </c>
      <c r="G13" s="266">
        <f>F13*0.8</f>
        <v>104432</v>
      </c>
    </row>
    <row r="14" spans="1:10" x14ac:dyDescent="0.25">
      <c r="A14" s="267" t="s">
        <v>285</v>
      </c>
      <c r="C14" s="268" t="s">
        <v>286</v>
      </c>
      <c r="E14" s="268" t="s">
        <v>287</v>
      </c>
      <c r="F14" s="269"/>
    </row>
    <row r="15" spans="1:10" x14ac:dyDescent="0.25">
      <c r="A15" s="270" t="s">
        <v>288</v>
      </c>
      <c r="C15" s="268" t="s">
        <v>44</v>
      </c>
      <c r="E15" s="268" t="s">
        <v>289</v>
      </c>
    </row>
    <row r="16" spans="1:10" x14ac:dyDescent="0.25">
      <c r="A16" s="271" t="s">
        <v>284</v>
      </c>
      <c r="B16" s="272" t="s">
        <v>201</v>
      </c>
      <c r="C16" s="264">
        <v>210000</v>
      </c>
      <c r="D16" s="273" t="s">
        <v>290</v>
      </c>
      <c r="E16" s="274" t="s">
        <v>291</v>
      </c>
      <c r="F16" s="275"/>
      <c r="G16" s="275"/>
      <c r="H16" s="275"/>
      <c r="I16" s="275"/>
      <c r="J16" s="276"/>
    </row>
    <row r="17" spans="1:10" x14ac:dyDescent="0.25">
      <c r="A17" s="273" t="s">
        <v>292</v>
      </c>
      <c r="B17" s="262" t="s">
        <v>201</v>
      </c>
      <c r="C17" s="264">
        <v>110000</v>
      </c>
      <c r="D17" s="273" t="s">
        <v>293</v>
      </c>
      <c r="E17" s="274" t="s">
        <v>294</v>
      </c>
      <c r="F17" s="275"/>
      <c r="G17" s="275"/>
      <c r="H17" s="275"/>
      <c r="I17" s="275"/>
      <c r="J17" s="276"/>
    </row>
    <row r="18" spans="1:10" x14ac:dyDescent="0.25">
      <c r="A18" s="273" t="s">
        <v>295</v>
      </c>
      <c r="B18" s="262">
        <v>45519</v>
      </c>
      <c r="C18" s="264">
        <v>50000</v>
      </c>
      <c r="D18" s="273" t="s">
        <v>293</v>
      </c>
      <c r="E18" s="274" t="s">
        <v>296</v>
      </c>
      <c r="F18" s="275"/>
      <c r="G18" s="275"/>
      <c r="H18" s="275"/>
      <c r="I18" s="275"/>
      <c r="J18" s="276"/>
    </row>
    <row r="19" spans="1:10" x14ac:dyDescent="0.25">
      <c r="A19" s="273" t="s">
        <v>297</v>
      </c>
      <c r="B19" s="262">
        <v>45519</v>
      </c>
      <c r="C19" s="264">
        <v>48000</v>
      </c>
      <c r="D19" s="273" t="s">
        <v>290</v>
      </c>
      <c r="E19" s="274" t="s">
        <v>298</v>
      </c>
      <c r="F19" s="275"/>
      <c r="G19" s="275"/>
      <c r="H19" s="275"/>
      <c r="I19" s="275"/>
      <c r="J19" s="276"/>
    </row>
    <row r="20" spans="1:10" x14ac:dyDescent="0.25">
      <c r="A20" s="273" t="s">
        <v>299</v>
      </c>
      <c r="B20" s="262">
        <v>45566</v>
      </c>
      <c r="C20" s="264">
        <v>480000</v>
      </c>
      <c r="D20" s="273" t="s">
        <v>290</v>
      </c>
      <c r="E20" s="274" t="s">
        <v>300</v>
      </c>
      <c r="F20" s="275"/>
      <c r="G20" s="275"/>
      <c r="H20" s="275"/>
      <c r="I20" s="275"/>
      <c r="J20" s="276"/>
    </row>
    <row r="21" spans="1:10" x14ac:dyDescent="0.25">
      <c r="A21" s="273" t="s">
        <v>301</v>
      </c>
      <c r="B21" s="262">
        <v>45658</v>
      </c>
      <c r="C21" s="277">
        <v>6000000</v>
      </c>
      <c r="D21" s="273" t="s">
        <v>290</v>
      </c>
      <c r="E21" s="274" t="s">
        <v>302</v>
      </c>
      <c r="F21" s="275"/>
      <c r="G21" s="275"/>
      <c r="H21" s="275"/>
      <c r="I21" s="275"/>
      <c r="J21" s="276"/>
    </row>
    <row r="22" spans="1:10" x14ac:dyDescent="0.25">
      <c r="A22" s="273" t="s">
        <v>303</v>
      </c>
      <c r="B22" s="272" t="s">
        <v>28</v>
      </c>
      <c r="C22" s="278">
        <v>780000</v>
      </c>
      <c r="D22" s="273" t="s">
        <v>290</v>
      </c>
      <c r="E22" s="274" t="s">
        <v>304</v>
      </c>
      <c r="F22" s="275"/>
      <c r="G22" s="275"/>
      <c r="H22" s="275"/>
      <c r="I22" s="275"/>
      <c r="J22" s="276"/>
    </row>
    <row r="23" spans="1:10" x14ac:dyDescent="0.25">
      <c r="C23" s="269">
        <f>SUM(C16:C22)</f>
        <v>7678000</v>
      </c>
    </row>
    <row r="24" spans="1:10" x14ac:dyDescent="0.25">
      <c r="B24" s="279"/>
    </row>
    <row r="27" spans="1:10" x14ac:dyDescent="0.25">
      <c r="B27" s="27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4771-4BFB-4835-817A-B3B5A7E43CA2}">
  <dimension ref="A1:F15"/>
  <sheetViews>
    <sheetView workbookViewId="0">
      <selection activeCell="F5" sqref="F5"/>
    </sheetView>
  </sheetViews>
  <sheetFormatPr defaultColWidth="8.7265625" defaultRowHeight="17" x14ac:dyDescent="0.25"/>
  <cols>
    <col min="1" max="1" width="3.54296875" style="3" bestFit="1" customWidth="1"/>
    <col min="2" max="2" width="28.1796875" style="1" bestFit="1" customWidth="1"/>
    <col min="3" max="3" width="23.54296875" style="1" bestFit="1" customWidth="1"/>
    <col min="4" max="4" width="11.7265625" style="1" bestFit="1" customWidth="1"/>
    <col min="5" max="5" width="15.453125" style="1" bestFit="1" customWidth="1"/>
    <col min="6" max="6" width="36.08984375" style="1" bestFit="1" customWidth="1"/>
    <col min="7" max="16384" width="8.7265625" style="1"/>
  </cols>
  <sheetData>
    <row r="1" spans="1:6" x14ac:dyDescent="0.25">
      <c r="A1" s="2" t="s">
        <v>23</v>
      </c>
      <c r="B1" s="2" t="s">
        <v>20</v>
      </c>
      <c r="C1" s="2" t="s">
        <v>24</v>
      </c>
      <c r="D1" s="2" t="s">
        <v>21</v>
      </c>
      <c r="E1" s="2" t="s">
        <v>22</v>
      </c>
      <c r="F1" s="2" t="s">
        <v>260</v>
      </c>
    </row>
    <row r="2" spans="1:6" x14ac:dyDescent="0.25">
      <c r="A2" s="2">
        <v>1</v>
      </c>
      <c r="B2" s="5" t="s">
        <v>25</v>
      </c>
      <c r="C2" s="6" t="s">
        <v>26</v>
      </c>
      <c r="D2" s="6" t="s">
        <v>261</v>
      </c>
      <c r="E2" s="7">
        <v>409000</v>
      </c>
      <c r="F2" s="234" t="s">
        <v>262</v>
      </c>
    </row>
    <row r="3" spans="1:6" x14ac:dyDescent="0.25">
      <c r="A3" s="2">
        <v>2</v>
      </c>
      <c r="B3" s="5" t="s">
        <v>27</v>
      </c>
      <c r="C3" s="6" t="s">
        <v>26</v>
      </c>
      <c r="D3" s="6" t="s">
        <v>28</v>
      </c>
      <c r="E3" s="7">
        <v>600000</v>
      </c>
      <c r="F3" s="234" t="s">
        <v>262</v>
      </c>
    </row>
    <row r="4" spans="1:6" x14ac:dyDescent="0.25">
      <c r="A4" s="2">
        <v>3</v>
      </c>
      <c r="B4" s="5" t="s">
        <v>29</v>
      </c>
      <c r="C4" s="6" t="s">
        <v>30</v>
      </c>
      <c r="D4" s="6" t="s">
        <v>28</v>
      </c>
      <c r="E4" s="7">
        <v>200000</v>
      </c>
      <c r="F4" s="234" t="s">
        <v>305</v>
      </c>
    </row>
    <row r="5" spans="1:6" x14ac:dyDescent="0.25">
      <c r="A5" s="2">
        <v>4</v>
      </c>
      <c r="B5" s="5" t="s">
        <v>33</v>
      </c>
      <c r="C5" s="6" t="s">
        <v>34</v>
      </c>
      <c r="D5" s="6" t="s">
        <v>28</v>
      </c>
      <c r="E5" s="7">
        <v>80000</v>
      </c>
      <c r="F5" s="234" t="s">
        <v>263</v>
      </c>
    </row>
    <row r="6" spans="1:6" x14ac:dyDescent="0.25">
      <c r="A6" s="2">
        <v>5</v>
      </c>
      <c r="B6" s="5" t="s">
        <v>35</v>
      </c>
      <c r="C6" s="6" t="s">
        <v>32</v>
      </c>
      <c r="D6" s="6" t="s">
        <v>28</v>
      </c>
      <c r="E6" s="7">
        <v>200000</v>
      </c>
      <c r="F6" s="234" t="s">
        <v>264</v>
      </c>
    </row>
    <row r="7" spans="1:6" x14ac:dyDescent="0.25">
      <c r="A7" s="2">
        <v>6</v>
      </c>
      <c r="B7" s="8" t="s">
        <v>37</v>
      </c>
      <c r="C7" s="6" t="s">
        <v>36</v>
      </c>
      <c r="D7" s="6" t="s">
        <v>28</v>
      </c>
      <c r="E7" s="7">
        <v>120000</v>
      </c>
      <c r="F7" s="234" t="s">
        <v>265</v>
      </c>
    </row>
    <row r="8" spans="1:6" x14ac:dyDescent="0.25">
      <c r="A8" s="2">
        <v>7</v>
      </c>
      <c r="B8" s="5" t="s">
        <v>38</v>
      </c>
      <c r="C8" s="6" t="s">
        <v>41</v>
      </c>
      <c r="D8" s="6" t="s">
        <v>28</v>
      </c>
      <c r="E8" s="7">
        <v>40000</v>
      </c>
      <c r="F8" s="234" t="s">
        <v>265</v>
      </c>
    </row>
    <row r="9" spans="1:6" x14ac:dyDescent="0.25">
      <c r="A9" s="2">
        <v>8</v>
      </c>
      <c r="B9" s="8" t="s">
        <v>39</v>
      </c>
      <c r="C9" s="6" t="s">
        <v>32</v>
      </c>
      <c r="D9" s="6" t="s">
        <v>40</v>
      </c>
      <c r="E9" s="7">
        <v>100000</v>
      </c>
      <c r="F9" s="234" t="s">
        <v>266</v>
      </c>
    </row>
    <row r="10" spans="1:6" x14ac:dyDescent="0.25">
      <c r="D10" s="21" t="s">
        <v>47</v>
      </c>
      <c r="E10" s="14" t="s">
        <v>44</v>
      </c>
    </row>
    <row r="11" spans="1:6" x14ac:dyDescent="0.25">
      <c r="B11" s="9" t="s">
        <v>42</v>
      </c>
      <c r="C11" s="20" t="s">
        <v>242</v>
      </c>
      <c r="D11" s="22">
        <v>0.3</v>
      </c>
      <c r="E11" s="15" t="s">
        <v>43</v>
      </c>
    </row>
    <row r="12" spans="1:6" x14ac:dyDescent="0.25">
      <c r="B12" s="10" t="s">
        <v>45</v>
      </c>
      <c r="C12" s="11">
        <f>SUM(E2:E9)</f>
        <v>1749000</v>
      </c>
      <c r="D12" s="12">
        <f>SUM(E2:E9)*0.3</f>
        <v>524700</v>
      </c>
      <c r="E12" s="13">
        <f>D12*80</f>
        <v>41976000</v>
      </c>
    </row>
    <row r="13" spans="1:6" x14ac:dyDescent="0.25">
      <c r="B13" s="16" t="s">
        <v>46</v>
      </c>
      <c r="C13" s="17">
        <f>C12*0.4</f>
        <v>699600</v>
      </c>
      <c r="D13" s="18">
        <f t="shared" ref="D13:E13" si="0">D12*0.4</f>
        <v>209880</v>
      </c>
      <c r="E13" s="19">
        <f t="shared" si="0"/>
        <v>16790400</v>
      </c>
    </row>
    <row r="14" spans="1:6" x14ac:dyDescent="0.25">
      <c r="E14" s="4"/>
    </row>
    <row r="15" spans="1:6" x14ac:dyDescent="0.25">
      <c r="B15" s="1" t="s">
        <v>50</v>
      </c>
    </row>
  </sheetData>
  <hyperlinks>
    <hyperlink ref="B2" r:id="rId1" xr:uid="{940DFEFE-8DD8-44C3-9386-8F60F191DE09}"/>
    <hyperlink ref="B3" r:id="rId2" xr:uid="{E3F24DC5-0121-4C70-866B-66C1A768983D}"/>
    <hyperlink ref="B4" r:id="rId3" xr:uid="{399EDF4B-2D61-4413-87AF-20CECBB1E9A8}"/>
    <hyperlink ref="B5" r:id="rId4" xr:uid="{24FDAE50-7695-4BF9-864B-ED02B128D2C5}"/>
    <hyperlink ref="B6" r:id="rId5" xr:uid="{E48AEAB3-16BC-41A4-BF77-7A37E2D6E9E9}"/>
    <hyperlink ref="B7" r:id="rId6" xr:uid="{F0318F13-3C89-4233-AFCB-82F2249EDD49}"/>
    <hyperlink ref="B8" r:id="rId7" xr:uid="{0306B0AC-93C5-463E-B680-8FBB89919990}"/>
    <hyperlink ref="B9" r:id="rId8" xr:uid="{A38CB404-C9FC-4E74-A30F-CB8EA9A38A45}"/>
  </hyperlinks>
  <pageMargins left="0.25" right="0.25" top="0.75" bottom="0.75" header="0.3" footer="0.3"/>
  <pageSetup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2CC8-BF66-476C-B534-7704DB4EFB17}">
  <dimension ref="A1:B16"/>
  <sheetViews>
    <sheetView workbookViewId="0">
      <selection activeCell="A5" sqref="A5"/>
    </sheetView>
  </sheetViews>
  <sheetFormatPr defaultRowHeight="15.5" x14ac:dyDescent="0.35"/>
  <cols>
    <col min="1" max="1" width="46.08984375" style="111" customWidth="1"/>
    <col min="2" max="2" width="46.08984375" style="157" customWidth="1"/>
    <col min="3" max="16384" width="8.7265625" style="111"/>
  </cols>
  <sheetData>
    <row r="1" spans="1:2" ht="23" x14ac:dyDescent="0.25">
      <c r="A1" s="148" t="s">
        <v>213</v>
      </c>
      <c r="B1" s="149"/>
    </row>
    <row r="2" spans="1:2" ht="21.5" x14ac:dyDescent="0.25">
      <c r="A2" s="150" t="s">
        <v>19</v>
      </c>
      <c r="B2" s="149" t="s">
        <v>214</v>
      </c>
    </row>
    <row r="3" spans="1:2" ht="21.5" x14ac:dyDescent="0.25">
      <c r="A3" s="151" t="s">
        <v>190</v>
      </c>
      <c r="B3" s="149" t="s">
        <v>215</v>
      </c>
    </row>
    <row r="4" spans="1:2" ht="21.5" x14ac:dyDescent="0.25">
      <c r="A4" s="152" t="s">
        <v>216</v>
      </c>
      <c r="B4" s="149" t="s">
        <v>217</v>
      </c>
    </row>
    <row r="5" spans="1:2" ht="21.5" x14ac:dyDescent="0.25">
      <c r="A5" s="151" t="s">
        <v>14</v>
      </c>
      <c r="B5" s="149" t="s">
        <v>218</v>
      </c>
    </row>
    <row r="6" spans="1:2" ht="21.5" x14ac:dyDescent="0.25">
      <c r="A6" s="153" t="s">
        <v>192</v>
      </c>
      <c r="B6" s="149" t="s">
        <v>219</v>
      </c>
    </row>
    <row r="7" spans="1:2" ht="21.5" x14ac:dyDescent="0.25">
      <c r="A7" s="153" t="s">
        <v>193</v>
      </c>
      <c r="B7" s="149" t="s">
        <v>220</v>
      </c>
    </row>
    <row r="8" spans="1:2" ht="21.5" x14ac:dyDescent="0.25">
      <c r="A8" s="153" t="s">
        <v>194</v>
      </c>
      <c r="B8" s="149" t="s">
        <v>221</v>
      </c>
    </row>
    <row r="9" spans="1:2" ht="21.5" x14ac:dyDescent="0.25">
      <c r="A9" s="153" t="s">
        <v>195</v>
      </c>
      <c r="B9" s="149" t="s">
        <v>222</v>
      </c>
    </row>
    <row r="10" spans="1:2" ht="21.5" x14ac:dyDescent="0.25">
      <c r="A10" s="153" t="s">
        <v>196</v>
      </c>
      <c r="B10" s="149" t="s">
        <v>223</v>
      </c>
    </row>
    <row r="11" spans="1:2" ht="21.5" x14ac:dyDescent="0.25">
      <c r="A11" s="154" t="s">
        <v>197</v>
      </c>
      <c r="B11" s="149" t="s">
        <v>224</v>
      </c>
    </row>
    <row r="12" spans="1:2" ht="21.5" x14ac:dyDescent="0.25">
      <c r="A12" s="155" t="s">
        <v>15</v>
      </c>
      <c r="B12" s="149"/>
    </row>
    <row r="13" spans="1:2" ht="21.5" x14ac:dyDescent="0.25">
      <c r="A13" s="155" t="s">
        <v>16</v>
      </c>
      <c r="B13" s="149"/>
    </row>
    <row r="14" spans="1:2" ht="21.5" x14ac:dyDescent="0.25">
      <c r="A14" s="155" t="s">
        <v>17</v>
      </c>
      <c r="B14" s="149" t="s">
        <v>225</v>
      </c>
    </row>
    <row r="15" spans="1:2" ht="21.5" x14ac:dyDescent="0.25">
      <c r="A15" s="155" t="s">
        <v>200</v>
      </c>
      <c r="B15" s="149" t="s">
        <v>226</v>
      </c>
    </row>
    <row r="16" spans="1:2" x14ac:dyDescent="0.25">
      <c r="B16" s="15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1AAF-002A-4DDA-BDB1-B99181B1274B}">
  <sheetPr>
    <outlinePr summaryBelow="0" summaryRight="0"/>
  </sheetPr>
  <dimension ref="B1:P32"/>
  <sheetViews>
    <sheetView showGridLines="0" workbookViewId="0">
      <selection activeCell="F34" sqref="F34"/>
    </sheetView>
  </sheetViews>
  <sheetFormatPr defaultColWidth="12.6328125" defaultRowHeight="15.75" customHeight="1" x14ac:dyDescent="0.25"/>
  <cols>
    <col min="1" max="1" width="3.54296875" style="111" customWidth="1"/>
    <col min="2" max="2" width="25.36328125" style="111" bestFit="1" customWidth="1"/>
    <col min="3" max="3" width="14.08984375" style="111" bestFit="1" customWidth="1"/>
    <col min="4" max="4" width="14.26953125" style="111" bestFit="1" customWidth="1"/>
    <col min="5" max="5" width="14.54296875" style="111" bestFit="1" customWidth="1"/>
    <col min="6" max="6" width="14.26953125" style="111" bestFit="1" customWidth="1"/>
    <col min="7" max="7" width="14.36328125" style="111" bestFit="1" customWidth="1"/>
    <col min="8" max="8" width="14.08984375" style="111" bestFit="1" customWidth="1"/>
    <col min="9" max="9" width="14.1796875" style="111" bestFit="1" customWidth="1"/>
    <col min="10" max="10" width="14.54296875" style="111" bestFit="1" customWidth="1"/>
    <col min="11" max="11" width="14.08984375" style="111" bestFit="1" customWidth="1"/>
    <col min="12" max="12" width="14.54296875" style="111" bestFit="1" customWidth="1"/>
    <col min="13" max="13" width="14.453125" style="111" bestFit="1" customWidth="1"/>
    <col min="14" max="14" width="14.90625" style="111" bestFit="1" customWidth="1"/>
    <col min="15" max="15" width="15.54296875" style="111" bestFit="1" customWidth="1"/>
    <col min="16" max="16" width="8" style="110" bestFit="1" customWidth="1"/>
    <col min="17" max="16384" width="12.6328125" style="111"/>
  </cols>
  <sheetData>
    <row r="1" spans="2:16" ht="20" x14ac:dyDescent="0.25"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2:16" ht="39.75" customHeight="1" x14ac:dyDescent="0.25">
      <c r="B2" s="235" t="s">
        <v>18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</row>
    <row r="3" spans="2:16" ht="20" x14ac:dyDescent="0.3">
      <c r="B3" s="237" t="s">
        <v>189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</row>
    <row r="4" spans="2:16" ht="27" customHeight="1" x14ac:dyDescent="0.25">
      <c r="B4" s="112">
        <v>2024</v>
      </c>
      <c r="C4" s="113" t="s">
        <v>8</v>
      </c>
      <c r="D4" s="113" t="s">
        <v>9</v>
      </c>
      <c r="E4" s="113" t="s">
        <v>10</v>
      </c>
      <c r="F4" s="113" t="s">
        <v>11</v>
      </c>
      <c r="G4" s="113" t="s">
        <v>0</v>
      </c>
      <c r="H4" s="113" t="s">
        <v>1</v>
      </c>
      <c r="I4" s="113" t="s">
        <v>2</v>
      </c>
      <c r="J4" s="113" t="s">
        <v>3</v>
      </c>
      <c r="K4" s="113" t="s">
        <v>4</v>
      </c>
      <c r="L4" s="113" t="s">
        <v>5</v>
      </c>
      <c r="M4" s="113" t="s">
        <v>6</v>
      </c>
      <c r="N4" s="113" t="s">
        <v>7</v>
      </c>
      <c r="O4" s="113" t="s">
        <v>12</v>
      </c>
    </row>
    <row r="5" spans="2:16" ht="20" x14ac:dyDescent="0.25">
      <c r="B5" s="114" t="s">
        <v>19</v>
      </c>
      <c r="C5" s="115">
        <v>500</v>
      </c>
      <c r="D5" s="116">
        <v>7000</v>
      </c>
      <c r="E5" s="116">
        <v>11000</v>
      </c>
      <c r="F5" s="116">
        <v>12500</v>
      </c>
      <c r="G5" s="116">
        <v>15500</v>
      </c>
      <c r="H5" s="116">
        <v>52000</v>
      </c>
      <c r="I5" s="116">
        <v>58000</v>
      </c>
      <c r="J5" s="116">
        <v>62000</v>
      </c>
      <c r="K5" s="116">
        <v>71000</v>
      </c>
      <c r="L5" s="116">
        <v>75000</v>
      </c>
      <c r="M5" s="116">
        <v>87000</v>
      </c>
      <c r="N5" s="116">
        <v>92500</v>
      </c>
      <c r="O5" s="116">
        <f>SUM(C5:N5)</f>
        <v>544000</v>
      </c>
      <c r="P5" s="117"/>
    </row>
    <row r="6" spans="2:16" ht="20" x14ac:dyDescent="0.25">
      <c r="B6" s="118" t="s">
        <v>190</v>
      </c>
      <c r="C6" s="119">
        <f>C5*20</f>
        <v>10000</v>
      </c>
      <c r="D6" s="119">
        <f t="shared" ref="D6:O6" si="0">D5*20</f>
        <v>140000</v>
      </c>
      <c r="E6" s="119">
        <f t="shared" si="0"/>
        <v>220000</v>
      </c>
      <c r="F6" s="119">
        <f t="shared" si="0"/>
        <v>250000</v>
      </c>
      <c r="G6" s="119">
        <f t="shared" si="0"/>
        <v>310000</v>
      </c>
      <c r="H6" s="119">
        <f t="shared" si="0"/>
        <v>1040000</v>
      </c>
      <c r="I6" s="119">
        <f t="shared" si="0"/>
        <v>1160000</v>
      </c>
      <c r="J6" s="119">
        <f t="shared" si="0"/>
        <v>1240000</v>
      </c>
      <c r="K6" s="119">
        <f t="shared" si="0"/>
        <v>1420000</v>
      </c>
      <c r="L6" s="119">
        <f t="shared" si="0"/>
        <v>1500000</v>
      </c>
      <c r="M6" s="119">
        <f t="shared" si="0"/>
        <v>1740000</v>
      </c>
      <c r="N6" s="119">
        <f t="shared" si="0"/>
        <v>1850000</v>
      </c>
      <c r="O6" s="119">
        <f t="shared" si="0"/>
        <v>10880000</v>
      </c>
      <c r="P6" s="117"/>
    </row>
    <row r="7" spans="2:16" ht="20" x14ac:dyDescent="0.25">
      <c r="B7" s="120" t="s">
        <v>191</v>
      </c>
      <c r="C7" s="121">
        <v>0</v>
      </c>
      <c r="D7" s="122">
        <v>0</v>
      </c>
      <c r="E7" s="122">
        <f t="shared" ref="E7:N7" si="1">C6</f>
        <v>10000</v>
      </c>
      <c r="F7" s="122">
        <f t="shared" si="1"/>
        <v>140000</v>
      </c>
      <c r="G7" s="122">
        <f t="shared" si="1"/>
        <v>220000</v>
      </c>
      <c r="H7" s="122">
        <f t="shared" si="1"/>
        <v>250000</v>
      </c>
      <c r="I7" s="122">
        <f t="shared" si="1"/>
        <v>310000</v>
      </c>
      <c r="J7" s="122">
        <f t="shared" si="1"/>
        <v>1040000</v>
      </c>
      <c r="K7" s="122">
        <f t="shared" si="1"/>
        <v>1160000</v>
      </c>
      <c r="L7" s="122">
        <f t="shared" si="1"/>
        <v>1240000</v>
      </c>
      <c r="M7" s="122">
        <f t="shared" si="1"/>
        <v>1420000</v>
      </c>
      <c r="N7" s="122">
        <f t="shared" si="1"/>
        <v>1500000</v>
      </c>
      <c r="O7" s="123">
        <f t="shared" ref="O7" si="2">SUM(C7:N7)</f>
        <v>7290000</v>
      </c>
      <c r="P7" s="124">
        <f>O7/O6</f>
        <v>0.67003676470588236</v>
      </c>
    </row>
    <row r="8" spans="2:16" ht="20" x14ac:dyDescent="0.25">
      <c r="B8" s="118" t="s">
        <v>14</v>
      </c>
      <c r="C8" s="125"/>
      <c r="D8" s="125"/>
      <c r="E8" s="125"/>
      <c r="F8" s="125"/>
      <c r="G8" s="125"/>
      <c r="H8" s="125"/>
      <c r="I8" s="125" t="s">
        <v>199</v>
      </c>
      <c r="J8" s="125"/>
      <c r="K8" s="125"/>
      <c r="L8" s="125"/>
      <c r="M8" s="125"/>
      <c r="N8" s="125"/>
      <c r="O8" s="125"/>
      <c r="P8" s="117"/>
    </row>
    <row r="9" spans="2:16" ht="20" x14ac:dyDescent="0.25">
      <c r="B9" s="126" t="s">
        <v>192</v>
      </c>
      <c r="C9" s="127">
        <v>50000</v>
      </c>
      <c r="D9" s="128">
        <v>50000</v>
      </c>
      <c r="E9" s="128">
        <v>55000</v>
      </c>
      <c r="F9" s="128">
        <v>55000</v>
      </c>
      <c r="G9" s="128">
        <v>60000</v>
      </c>
      <c r="H9" s="128">
        <v>60000</v>
      </c>
      <c r="I9" s="128">
        <v>65000</v>
      </c>
      <c r="J9" s="128">
        <v>65000</v>
      </c>
      <c r="K9" s="128">
        <v>70000</v>
      </c>
      <c r="L9" s="128">
        <v>70000</v>
      </c>
      <c r="M9" s="128">
        <v>75000</v>
      </c>
      <c r="N9" s="128">
        <v>75000</v>
      </c>
      <c r="O9" s="129">
        <f t="shared" ref="O9" si="3">SUM(C9:N9)</f>
        <v>750000</v>
      </c>
      <c r="P9" s="117">
        <f>O9/O15</f>
        <v>0.11083197872026009</v>
      </c>
    </row>
    <row r="10" spans="2:16" ht="20" x14ac:dyDescent="0.25">
      <c r="B10" s="126" t="s">
        <v>193</v>
      </c>
      <c r="C10" s="127">
        <v>25000</v>
      </c>
      <c r="D10" s="128">
        <v>25000</v>
      </c>
      <c r="E10" s="128">
        <v>30000</v>
      </c>
      <c r="F10" s="128">
        <v>30000</v>
      </c>
      <c r="G10" s="128">
        <v>35000</v>
      </c>
      <c r="H10" s="128">
        <v>35000</v>
      </c>
      <c r="I10" s="128">
        <v>40000</v>
      </c>
      <c r="J10" s="128">
        <v>40000</v>
      </c>
      <c r="K10" s="128">
        <v>45000</v>
      </c>
      <c r="L10" s="128">
        <v>45000</v>
      </c>
      <c r="M10" s="128">
        <v>50000</v>
      </c>
      <c r="N10" s="128">
        <v>50000</v>
      </c>
      <c r="O10" s="129">
        <f>SUM(C10:N10)</f>
        <v>450000</v>
      </c>
      <c r="P10" s="117">
        <f>O10/O15</f>
        <v>6.6499187232156046E-2</v>
      </c>
    </row>
    <row r="11" spans="2:16" ht="20" x14ac:dyDescent="0.25">
      <c r="B11" s="126" t="s">
        <v>194</v>
      </c>
      <c r="C11" s="127">
        <f>C5*5</f>
        <v>2500</v>
      </c>
      <c r="D11" s="128">
        <f t="shared" ref="D11:N11" si="4">D5*5</f>
        <v>35000</v>
      </c>
      <c r="E11" s="128">
        <f t="shared" si="4"/>
        <v>55000</v>
      </c>
      <c r="F11" s="128">
        <f t="shared" si="4"/>
        <v>62500</v>
      </c>
      <c r="G11" s="128">
        <f t="shared" si="4"/>
        <v>77500</v>
      </c>
      <c r="H11" s="128">
        <f t="shared" si="4"/>
        <v>260000</v>
      </c>
      <c r="I11" s="128">
        <f t="shared" si="4"/>
        <v>290000</v>
      </c>
      <c r="J11" s="128">
        <f t="shared" si="4"/>
        <v>310000</v>
      </c>
      <c r="K11" s="128">
        <f t="shared" si="4"/>
        <v>355000</v>
      </c>
      <c r="L11" s="128">
        <f t="shared" si="4"/>
        <v>375000</v>
      </c>
      <c r="M11" s="128">
        <f t="shared" si="4"/>
        <v>435000</v>
      </c>
      <c r="N11" s="128">
        <f t="shared" si="4"/>
        <v>462500</v>
      </c>
      <c r="O11" s="129">
        <f t="shared" ref="O11:O15" si="5">SUM(C11:N11)</f>
        <v>2720000</v>
      </c>
      <c r="P11" s="117">
        <f>O11/O15</f>
        <v>0.4019506428254766</v>
      </c>
    </row>
    <row r="12" spans="2:16" ht="20" x14ac:dyDescent="0.25">
      <c r="B12" s="126" t="s">
        <v>195</v>
      </c>
      <c r="C12" s="127">
        <v>80000</v>
      </c>
      <c r="D12" s="128">
        <v>20000</v>
      </c>
      <c r="E12" s="128">
        <v>25000</v>
      </c>
      <c r="F12" s="128">
        <v>25000</v>
      </c>
      <c r="G12" s="128">
        <v>30000</v>
      </c>
      <c r="H12" s="128">
        <v>90000</v>
      </c>
      <c r="I12" s="128">
        <v>35000</v>
      </c>
      <c r="J12" s="128">
        <v>35000</v>
      </c>
      <c r="K12" s="128">
        <v>40000</v>
      </c>
      <c r="L12" s="128">
        <v>40000</v>
      </c>
      <c r="M12" s="128">
        <v>45000</v>
      </c>
      <c r="N12" s="128">
        <v>45000</v>
      </c>
      <c r="O12" s="129">
        <f t="shared" si="5"/>
        <v>510000</v>
      </c>
      <c r="P12" s="117">
        <f>O12/O15</f>
        <v>7.5365745529776859E-2</v>
      </c>
    </row>
    <row r="13" spans="2:16" ht="20" x14ac:dyDescent="0.25">
      <c r="B13" s="126" t="s">
        <v>196</v>
      </c>
      <c r="C13" s="127">
        <v>0</v>
      </c>
      <c r="D13" s="128">
        <v>0</v>
      </c>
      <c r="E13" s="128">
        <f>E7*0.3</f>
        <v>3000</v>
      </c>
      <c r="F13" s="128">
        <f t="shared" ref="F13:N13" si="6">F7*0.3</f>
        <v>42000</v>
      </c>
      <c r="G13" s="128">
        <f t="shared" si="6"/>
        <v>66000</v>
      </c>
      <c r="H13" s="128">
        <f t="shared" si="6"/>
        <v>75000</v>
      </c>
      <c r="I13" s="128">
        <f t="shared" si="6"/>
        <v>93000</v>
      </c>
      <c r="J13" s="128">
        <f t="shared" si="6"/>
        <v>312000</v>
      </c>
      <c r="K13" s="128">
        <f t="shared" si="6"/>
        <v>348000</v>
      </c>
      <c r="L13" s="128">
        <f t="shared" si="6"/>
        <v>372000</v>
      </c>
      <c r="M13" s="128">
        <f t="shared" si="6"/>
        <v>426000</v>
      </c>
      <c r="N13" s="128">
        <f t="shared" si="6"/>
        <v>450000</v>
      </c>
      <c r="O13" s="128">
        <f>SUM(C13:N13)</f>
        <v>2187000</v>
      </c>
      <c r="P13" s="117">
        <f>O13/O15</f>
        <v>0.32318604994827843</v>
      </c>
    </row>
    <row r="14" spans="2:16" ht="20" x14ac:dyDescent="0.25">
      <c r="B14" s="130" t="s">
        <v>197</v>
      </c>
      <c r="C14" s="131">
        <v>10000</v>
      </c>
      <c r="D14" s="132">
        <v>10000</v>
      </c>
      <c r="E14" s="132">
        <v>10000</v>
      </c>
      <c r="F14" s="132">
        <v>10000</v>
      </c>
      <c r="G14" s="132">
        <v>10000</v>
      </c>
      <c r="H14" s="132">
        <v>10000</v>
      </c>
      <c r="I14" s="132">
        <v>15000</v>
      </c>
      <c r="J14" s="132">
        <v>15000</v>
      </c>
      <c r="K14" s="132">
        <v>15000</v>
      </c>
      <c r="L14" s="132">
        <v>15000</v>
      </c>
      <c r="M14" s="132">
        <v>15000</v>
      </c>
      <c r="N14" s="132">
        <v>15000</v>
      </c>
      <c r="O14" s="133">
        <f t="shared" si="5"/>
        <v>150000</v>
      </c>
      <c r="P14" s="117">
        <f>O14/O15</f>
        <v>2.2166395744052016E-2</v>
      </c>
    </row>
    <row r="15" spans="2:16" ht="20" x14ac:dyDescent="0.25">
      <c r="B15" s="134" t="s">
        <v>15</v>
      </c>
      <c r="C15" s="135">
        <f t="shared" ref="C15:N15" si="7">SUM(C9:C14)</f>
        <v>167500</v>
      </c>
      <c r="D15" s="135">
        <f t="shared" si="7"/>
        <v>140000</v>
      </c>
      <c r="E15" s="135">
        <f t="shared" si="7"/>
        <v>178000</v>
      </c>
      <c r="F15" s="135">
        <f t="shared" si="7"/>
        <v>224500</v>
      </c>
      <c r="G15" s="135">
        <f t="shared" si="7"/>
        <v>278500</v>
      </c>
      <c r="H15" s="135">
        <f t="shared" si="7"/>
        <v>530000</v>
      </c>
      <c r="I15" s="135">
        <f t="shared" si="7"/>
        <v>538000</v>
      </c>
      <c r="J15" s="135">
        <f t="shared" si="7"/>
        <v>777000</v>
      </c>
      <c r="K15" s="135">
        <f t="shared" si="7"/>
        <v>873000</v>
      </c>
      <c r="L15" s="135">
        <f t="shared" si="7"/>
        <v>917000</v>
      </c>
      <c r="M15" s="135">
        <f t="shared" si="7"/>
        <v>1046000</v>
      </c>
      <c r="N15" s="135">
        <f t="shared" si="7"/>
        <v>1097500</v>
      </c>
      <c r="O15" s="135">
        <f t="shared" si="5"/>
        <v>6767000</v>
      </c>
      <c r="P15" s="117">
        <f>SUM(P9:P14)</f>
        <v>0.99999999999999989</v>
      </c>
    </row>
    <row r="16" spans="2:16" ht="20" x14ac:dyDescent="0.25">
      <c r="B16" s="134" t="s">
        <v>16</v>
      </c>
      <c r="C16" s="136">
        <f>C7</f>
        <v>0</v>
      </c>
      <c r="D16" s="136">
        <f t="shared" ref="D16:O16" si="8">D7</f>
        <v>0</v>
      </c>
      <c r="E16" s="136">
        <f t="shared" si="8"/>
        <v>10000</v>
      </c>
      <c r="F16" s="136">
        <f t="shared" si="8"/>
        <v>140000</v>
      </c>
      <c r="G16" s="136">
        <f t="shared" si="8"/>
        <v>220000</v>
      </c>
      <c r="H16" s="136">
        <f t="shared" si="8"/>
        <v>250000</v>
      </c>
      <c r="I16" s="136">
        <f t="shared" si="8"/>
        <v>310000</v>
      </c>
      <c r="J16" s="136">
        <f t="shared" si="8"/>
        <v>1040000</v>
      </c>
      <c r="K16" s="136">
        <f t="shared" si="8"/>
        <v>1160000</v>
      </c>
      <c r="L16" s="136">
        <f t="shared" si="8"/>
        <v>1240000</v>
      </c>
      <c r="M16" s="136">
        <f t="shared" si="8"/>
        <v>1420000</v>
      </c>
      <c r="N16" s="136">
        <f t="shared" si="8"/>
        <v>1500000</v>
      </c>
      <c r="O16" s="136">
        <f t="shared" si="8"/>
        <v>7290000</v>
      </c>
      <c r="P16" s="137" t="s">
        <v>198</v>
      </c>
    </row>
    <row r="17" spans="2:16" ht="20" x14ac:dyDescent="0.25">
      <c r="B17" s="134" t="s">
        <v>17</v>
      </c>
      <c r="C17" s="138">
        <f>C7-C15</f>
        <v>-167500</v>
      </c>
      <c r="D17" s="138">
        <f t="shared" ref="D17:N17" si="9">D7-D15</f>
        <v>-140000</v>
      </c>
      <c r="E17" s="138">
        <f t="shared" si="9"/>
        <v>-168000</v>
      </c>
      <c r="F17" s="138">
        <f t="shared" si="9"/>
        <v>-84500</v>
      </c>
      <c r="G17" s="138">
        <f t="shared" si="9"/>
        <v>-58500</v>
      </c>
      <c r="H17" s="138">
        <f t="shared" si="9"/>
        <v>-280000</v>
      </c>
      <c r="I17" s="138">
        <f t="shared" si="9"/>
        <v>-228000</v>
      </c>
      <c r="J17" s="138">
        <f t="shared" si="9"/>
        <v>263000</v>
      </c>
      <c r="K17" s="138">
        <f t="shared" si="9"/>
        <v>287000</v>
      </c>
      <c r="L17" s="138">
        <f t="shared" si="9"/>
        <v>323000</v>
      </c>
      <c r="M17" s="138">
        <f t="shared" si="9"/>
        <v>374000</v>
      </c>
      <c r="N17" s="138">
        <f t="shared" si="9"/>
        <v>402500</v>
      </c>
      <c r="O17" s="138">
        <f>SUM(C17:N17)</f>
        <v>523000</v>
      </c>
      <c r="P17" s="139">
        <f>O17/O15</f>
        <v>7.7286833160928034E-2</v>
      </c>
    </row>
    <row r="18" spans="2:16" ht="20" x14ac:dyDescent="0.25">
      <c r="B18" s="10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17"/>
    </row>
    <row r="19" spans="2:16" ht="20" x14ac:dyDescent="0.25">
      <c r="B19" s="112">
        <v>2025</v>
      </c>
      <c r="C19" s="113" t="s">
        <v>8</v>
      </c>
      <c r="D19" s="113" t="s">
        <v>9</v>
      </c>
      <c r="E19" s="113" t="s">
        <v>10</v>
      </c>
      <c r="F19" s="113" t="s">
        <v>11</v>
      </c>
      <c r="G19" s="113" t="s">
        <v>0</v>
      </c>
      <c r="H19" s="113" t="s">
        <v>1</v>
      </c>
      <c r="I19" s="113" t="s">
        <v>2</v>
      </c>
      <c r="J19" s="113" t="s">
        <v>3</v>
      </c>
      <c r="K19" s="113" t="s">
        <v>4</v>
      </c>
      <c r="L19" s="113" t="s">
        <v>5</v>
      </c>
      <c r="M19" s="113" t="s">
        <v>6</v>
      </c>
      <c r="N19" s="113" t="s">
        <v>7</v>
      </c>
      <c r="O19" s="113" t="s">
        <v>12</v>
      </c>
      <c r="P19" s="117"/>
    </row>
    <row r="20" spans="2:16" ht="20" x14ac:dyDescent="0.25">
      <c r="B20" s="118" t="s">
        <v>19</v>
      </c>
      <c r="C20" s="141">
        <v>100000</v>
      </c>
      <c r="D20" s="141">
        <v>110000</v>
      </c>
      <c r="E20" s="141">
        <v>121000</v>
      </c>
      <c r="F20" s="141">
        <v>131333.33333333299</v>
      </c>
      <c r="G20" s="141">
        <v>141833.33333333299</v>
      </c>
      <c r="H20" s="141">
        <v>152333.33333333299</v>
      </c>
      <c r="I20" s="141">
        <v>162833.33333333299</v>
      </c>
      <c r="J20" s="141">
        <v>173333.33333333299</v>
      </c>
      <c r="K20" s="141">
        <v>183833.33333333299</v>
      </c>
      <c r="L20" s="141">
        <v>194333.33333333299</v>
      </c>
      <c r="M20" s="141">
        <v>204833.33333333299</v>
      </c>
      <c r="N20" s="141">
        <v>215333.33333333299</v>
      </c>
      <c r="O20" s="141">
        <f>SUM(C20:N20)</f>
        <v>1890999.9999999972</v>
      </c>
      <c r="P20" s="117"/>
    </row>
    <row r="21" spans="2:16" ht="15.75" customHeight="1" x14ac:dyDescent="0.25">
      <c r="B21" s="118" t="s">
        <v>190</v>
      </c>
      <c r="C21" s="119">
        <f>C20*20</f>
        <v>2000000</v>
      </c>
      <c r="D21" s="119">
        <f t="shared" ref="D21:O21" si="10">D20*20</f>
        <v>2200000</v>
      </c>
      <c r="E21" s="119">
        <f t="shared" si="10"/>
        <v>2420000</v>
      </c>
      <c r="F21" s="119">
        <f t="shared" si="10"/>
        <v>2626666.66666666</v>
      </c>
      <c r="G21" s="119">
        <f t="shared" si="10"/>
        <v>2836666.66666666</v>
      </c>
      <c r="H21" s="119">
        <f t="shared" si="10"/>
        <v>3046666.66666666</v>
      </c>
      <c r="I21" s="119">
        <f t="shared" si="10"/>
        <v>3256666.66666666</v>
      </c>
      <c r="J21" s="119">
        <f t="shared" si="10"/>
        <v>3466666.66666666</v>
      </c>
      <c r="K21" s="119">
        <f t="shared" si="10"/>
        <v>3676666.66666666</v>
      </c>
      <c r="L21" s="119">
        <f t="shared" si="10"/>
        <v>3886666.66666666</v>
      </c>
      <c r="M21" s="119">
        <f t="shared" si="10"/>
        <v>4096666.66666666</v>
      </c>
      <c r="N21" s="119">
        <f t="shared" si="10"/>
        <v>4306666.6666666595</v>
      </c>
      <c r="O21" s="119">
        <f t="shared" si="10"/>
        <v>37819999.99999994</v>
      </c>
      <c r="P21" s="117"/>
    </row>
    <row r="22" spans="2:16" ht="15.75" customHeight="1" x14ac:dyDescent="0.25">
      <c r="B22" s="142" t="s">
        <v>191</v>
      </c>
      <c r="C22" s="122">
        <f>M6</f>
        <v>1740000</v>
      </c>
      <c r="D22" s="122">
        <f>N6</f>
        <v>1850000</v>
      </c>
      <c r="E22" s="122">
        <f t="shared" ref="E22:N22" si="11">C21</f>
        <v>2000000</v>
      </c>
      <c r="F22" s="122">
        <f t="shared" si="11"/>
        <v>2200000</v>
      </c>
      <c r="G22" s="122">
        <f t="shared" si="11"/>
        <v>2420000</v>
      </c>
      <c r="H22" s="122">
        <f t="shared" si="11"/>
        <v>2626666.66666666</v>
      </c>
      <c r="I22" s="122">
        <f t="shared" si="11"/>
        <v>2836666.66666666</v>
      </c>
      <c r="J22" s="122">
        <f t="shared" si="11"/>
        <v>3046666.66666666</v>
      </c>
      <c r="K22" s="122">
        <f t="shared" si="11"/>
        <v>3256666.66666666</v>
      </c>
      <c r="L22" s="122">
        <f t="shared" si="11"/>
        <v>3466666.66666666</v>
      </c>
      <c r="M22" s="122">
        <f t="shared" si="11"/>
        <v>3676666.66666666</v>
      </c>
      <c r="N22" s="122">
        <f t="shared" si="11"/>
        <v>3886666.66666666</v>
      </c>
      <c r="O22" s="123">
        <f t="shared" ref="O22" si="12">SUM(C22:N22)</f>
        <v>33006666.666666623</v>
      </c>
      <c r="P22" s="124">
        <f>O22/O21</f>
        <v>0.87273047770139278</v>
      </c>
    </row>
    <row r="23" spans="2:16" ht="15.75" customHeight="1" x14ac:dyDescent="0.25">
      <c r="B23" s="118" t="s">
        <v>14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17"/>
    </row>
    <row r="24" spans="2:16" ht="15.75" customHeight="1" x14ac:dyDescent="0.25">
      <c r="B24" s="126" t="s">
        <v>192</v>
      </c>
      <c r="C24" s="127">
        <v>80000</v>
      </c>
      <c r="D24" s="128">
        <v>80000</v>
      </c>
      <c r="E24" s="128">
        <v>85000</v>
      </c>
      <c r="F24" s="128">
        <v>85000</v>
      </c>
      <c r="G24" s="128">
        <v>90000</v>
      </c>
      <c r="H24" s="128">
        <v>90000</v>
      </c>
      <c r="I24" s="128">
        <v>95000</v>
      </c>
      <c r="J24" s="128">
        <v>95000</v>
      </c>
      <c r="K24" s="128">
        <v>100000</v>
      </c>
      <c r="L24" s="128">
        <v>100000</v>
      </c>
      <c r="M24" s="128">
        <v>105000</v>
      </c>
      <c r="N24" s="128">
        <v>105000</v>
      </c>
      <c r="O24" s="129">
        <f t="shared" ref="O24" si="13">SUM(C24:N24)</f>
        <v>1110000</v>
      </c>
      <c r="P24" s="117">
        <f>O24/O30</f>
        <v>5.0142295704024994E-2</v>
      </c>
    </row>
    <row r="25" spans="2:16" ht="15.75" customHeight="1" x14ac:dyDescent="0.25">
      <c r="B25" s="126" t="s">
        <v>193</v>
      </c>
      <c r="C25" s="127">
        <v>55000</v>
      </c>
      <c r="D25" s="128">
        <v>55000</v>
      </c>
      <c r="E25" s="128">
        <v>60000</v>
      </c>
      <c r="F25" s="128">
        <v>60000</v>
      </c>
      <c r="G25" s="128">
        <v>65000</v>
      </c>
      <c r="H25" s="128">
        <v>65000</v>
      </c>
      <c r="I25" s="128">
        <v>70000</v>
      </c>
      <c r="J25" s="128">
        <v>70000</v>
      </c>
      <c r="K25" s="128">
        <v>75000</v>
      </c>
      <c r="L25" s="128">
        <v>75000</v>
      </c>
      <c r="M25" s="128">
        <v>80000</v>
      </c>
      <c r="N25" s="128">
        <v>80000</v>
      </c>
      <c r="O25" s="129">
        <f>SUM(C25:N25)</f>
        <v>810000</v>
      </c>
      <c r="P25" s="117">
        <f>O25/O30</f>
        <v>3.6590323892126346E-2</v>
      </c>
    </row>
    <row r="26" spans="2:16" ht="15.75" customHeight="1" x14ac:dyDescent="0.25">
      <c r="B26" s="126" t="s">
        <v>194</v>
      </c>
      <c r="C26" s="127">
        <f>C20*5</f>
        <v>500000</v>
      </c>
      <c r="D26" s="128">
        <f t="shared" ref="D26:N26" si="14">D20*5</f>
        <v>550000</v>
      </c>
      <c r="E26" s="128">
        <f t="shared" si="14"/>
        <v>605000</v>
      </c>
      <c r="F26" s="128">
        <f t="shared" si="14"/>
        <v>656666.666666665</v>
      </c>
      <c r="G26" s="128">
        <f t="shared" si="14"/>
        <v>709166.666666665</v>
      </c>
      <c r="H26" s="128">
        <f t="shared" si="14"/>
        <v>761666.666666665</v>
      </c>
      <c r="I26" s="128">
        <f t="shared" si="14"/>
        <v>814166.666666665</v>
      </c>
      <c r="J26" s="128">
        <f t="shared" si="14"/>
        <v>866666.666666665</v>
      </c>
      <c r="K26" s="128">
        <f t="shared" si="14"/>
        <v>919166.666666665</v>
      </c>
      <c r="L26" s="128">
        <f t="shared" si="14"/>
        <v>971666.666666665</v>
      </c>
      <c r="M26" s="128">
        <f t="shared" si="14"/>
        <v>1024166.666666665</v>
      </c>
      <c r="N26" s="128">
        <f t="shared" si="14"/>
        <v>1076666.6666666649</v>
      </c>
      <c r="O26" s="129">
        <f t="shared" ref="O26:O27" si="15">SUM(C26:N26)</f>
        <v>9454999.9999999851</v>
      </c>
      <c r="P26" s="117">
        <f>O26/O30</f>
        <v>0.42711297827167172</v>
      </c>
    </row>
    <row r="27" spans="2:16" ht="15.75" customHeight="1" x14ac:dyDescent="0.25">
      <c r="B27" s="126" t="s">
        <v>195</v>
      </c>
      <c r="C27" s="127">
        <v>120000</v>
      </c>
      <c r="D27" s="128">
        <v>20000</v>
      </c>
      <c r="E27" s="128">
        <v>25000</v>
      </c>
      <c r="F27" s="128">
        <v>25000</v>
      </c>
      <c r="G27" s="128">
        <v>30000</v>
      </c>
      <c r="H27" s="128">
        <v>130000</v>
      </c>
      <c r="I27" s="128">
        <v>35000</v>
      </c>
      <c r="J27" s="128">
        <v>35000</v>
      </c>
      <c r="K27" s="128">
        <v>40000</v>
      </c>
      <c r="L27" s="128">
        <v>40000</v>
      </c>
      <c r="M27" s="128">
        <v>45000</v>
      </c>
      <c r="N27" s="128">
        <v>45000</v>
      </c>
      <c r="O27" s="129">
        <f t="shared" si="15"/>
        <v>590000</v>
      </c>
      <c r="P27" s="117">
        <f>O27/O30</f>
        <v>2.6652211230067339E-2</v>
      </c>
    </row>
    <row r="28" spans="2:16" ht="15.75" customHeight="1" x14ac:dyDescent="0.25">
      <c r="B28" s="126" t="s">
        <v>196</v>
      </c>
      <c r="C28" s="127">
        <f>C22*0.3</f>
        <v>522000</v>
      </c>
      <c r="D28" s="128">
        <f t="shared" ref="D28:N28" si="16">D22*0.3</f>
        <v>555000</v>
      </c>
      <c r="E28" s="128">
        <f t="shared" si="16"/>
        <v>600000</v>
      </c>
      <c r="F28" s="128">
        <f t="shared" si="16"/>
        <v>660000</v>
      </c>
      <c r="G28" s="128">
        <f t="shared" si="16"/>
        <v>726000</v>
      </c>
      <c r="H28" s="128">
        <f t="shared" si="16"/>
        <v>787999.99999999802</v>
      </c>
      <c r="I28" s="128">
        <f t="shared" si="16"/>
        <v>850999.99999999802</v>
      </c>
      <c r="J28" s="128">
        <f t="shared" si="16"/>
        <v>913999.99999999802</v>
      </c>
      <c r="K28" s="128">
        <f t="shared" si="16"/>
        <v>976999.9999999979</v>
      </c>
      <c r="L28" s="128">
        <f t="shared" si="16"/>
        <v>1039999.9999999979</v>
      </c>
      <c r="M28" s="128">
        <f t="shared" si="16"/>
        <v>1102999.9999999979</v>
      </c>
      <c r="N28" s="128">
        <f t="shared" si="16"/>
        <v>1165999.9999999979</v>
      </c>
      <c r="O28" s="128">
        <f>SUM(C28:N28)</f>
        <v>9901999.999999987</v>
      </c>
      <c r="P28" s="117">
        <f>O28/O30</f>
        <v>0.44730541627140075</v>
      </c>
    </row>
    <row r="29" spans="2:16" ht="15.75" customHeight="1" x14ac:dyDescent="0.25">
      <c r="B29" s="126" t="s">
        <v>197</v>
      </c>
      <c r="C29" s="127">
        <v>20000</v>
      </c>
      <c r="D29" s="128">
        <v>20000</v>
      </c>
      <c r="E29" s="128">
        <v>20000</v>
      </c>
      <c r="F29" s="128">
        <v>20000</v>
      </c>
      <c r="G29" s="128">
        <v>20000</v>
      </c>
      <c r="H29" s="128">
        <v>20000</v>
      </c>
      <c r="I29" s="128">
        <v>25000</v>
      </c>
      <c r="J29" s="128">
        <v>25000</v>
      </c>
      <c r="K29" s="128">
        <v>25000</v>
      </c>
      <c r="L29" s="128">
        <v>25000</v>
      </c>
      <c r="M29" s="128">
        <v>25000</v>
      </c>
      <c r="N29" s="128">
        <v>25000</v>
      </c>
      <c r="O29" s="129">
        <f t="shared" ref="O29:O30" si="17">SUM(C29:N29)</f>
        <v>270000</v>
      </c>
      <c r="P29" s="117">
        <f>O29/O30</f>
        <v>1.2196774630708783E-2</v>
      </c>
    </row>
    <row r="30" spans="2:16" ht="15.75" customHeight="1" x14ac:dyDescent="0.25">
      <c r="B30" s="143" t="s">
        <v>15</v>
      </c>
      <c r="C30" s="144">
        <f t="shared" ref="C30:N30" si="18">SUM(C24:C29)</f>
        <v>1297000</v>
      </c>
      <c r="D30" s="144">
        <f t="shared" si="18"/>
        <v>1280000</v>
      </c>
      <c r="E30" s="144">
        <f t="shared" si="18"/>
        <v>1395000</v>
      </c>
      <c r="F30" s="144">
        <f t="shared" si="18"/>
        <v>1506666.6666666651</v>
      </c>
      <c r="G30" s="144">
        <f t="shared" si="18"/>
        <v>1640166.6666666651</v>
      </c>
      <c r="H30" s="144">
        <f t="shared" si="18"/>
        <v>1854666.666666663</v>
      </c>
      <c r="I30" s="144">
        <f t="shared" si="18"/>
        <v>1890166.666666663</v>
      </c>
      <c r="J30" s="144">
        <f t="shared" si="18"/>
        <v>2005666.6666666633</v>
      </c>
      <c r="K30" s="144">
        <f t="shared" si="18"/>
        <v>2136166.6666666633</v>
      </c>
      <c r="L30" s="144">
        <f t="shared" si="18"/>
        <v>2251666.6666666633</v>
      </c>
      <c r="M30" s="144">
        <f t="shared" si="18"/>
        <v>2382166.6666666633</v>
      </c>
      <c r="N30" s="144">
        <f t="shared" si="18"/>
        <v>2497666.6666666628</v>
      </c>
      <c r="O30" s="144">
        <f t="shared" si="17"/>
        <v>22136999.999999974</v>
      </c>
      <c r="P30" s="117">
        <f>SUM(P24:P29)</f>
        <v>0.99999999999999989</v>
      </c>
    </row>
    <row r="31" spans="2:16" ht="15.75" customHeight="1" x14ac:dyDescent="0.25">
      <c r="B31" s="143" t="s">
        <v>16</v>
      </c>
      <c r="C31" s="128">
        <f>C22</f>
        <v>1740000</v>
      </c>
      <c r="D31" s="128" t="s">
        <v>243</v>
      </c>
      <c r="E31" s="128">
        <f t="shared" ref="E31:O31" si="19">E22</f>
        <v>2000000</v>
      </c>
      <c r="F31" s="128">
        <f t="shared" si="19"/>
        <v>2200000</v>
      </c>
      <c r="G31" s="128">
        <f t="shared" si="19"/>
        <v>2420000</v>
      </c>
      <c r="H31" s="128">
        <f t="shared" si="19"/>
        <v>2626666.66666666</v>
      </c>
      <c r="I31" s="128">
        <f t="shared" si="19"/>
        <v>2836666.66666666</v>
      </c>
      <c r="J31" s="128">
        <f t="shared" si="19"/>
        <v>3046666.66666666</v>
      </c>
      <c r="K31" s="128">
        <f t="shared" si="19"/>
        <v>3256666.66666666</v>
      </c>
      <c r="L31" s="128">
        <f t="shared" si="19"/>
        <v>3466666.66666666</v>
      </c>
      <c r="M31" s="128">
        <f t="shared" si="19"/>
        <v>3676666.66666666</v>
      </c>
      <c r="N31" s="128">
        <f t="shared" si="19"/>
        <v>3886666.66666666</v>
      </c>
      <c r="O31" s="128">
        <f t="shared" si="19"/>
        <v>33006666.666666623</v>
      </c>
      <c r="P31" s="145" t="s">
        <v>198</v>
      </c>
    </row>
    <row r="32" spans="2:16" ht="15.75" customHeight="1" x14ac:dyDescent="0.25">
      <c r="B32" s="143" t="s">
        <v>17</v>
      </c>
      <c r="C32" s="146">
        <f>C22-C30</f>
        <v>443000</v>
      </c>
      <c r="D32" s="146">
        <f t="shared" ref="D32:O32" si="20">D22-D30</f>
        <v>570000</v>
      </c>
      <c r="E32" s="146">
        <f t="shared" si="20"/>
        <v>605000</v>
      </c>
      <c r="F32" s="146">
        <f t="shared" si="20"/>
        <v>693333.33333333489</v>
      </c>
      <c r="G32" s="146">
        <f t="shared" si="20"/>
        <v>779833.33333333489</v>
      </c>
      <c r="H32" s="146">
        <f t="shared" si="20"/>
        <v>771999.99999999697</v>
      </c>
      <c r="I32" s="146">
        <f t="shared" si="20"/>
        <v>946499.99999999697</v>
      </c>
      <c r="J32" s="146">
        <f t="shared" si="20"/>
        <v>1040999.9999999967</v>
      </c>
      <c r="K32" s="146">
        <f t="shared" si="20"/>
        <v>1120499.9999999967</v>
      </c>
      <c r="L32" s="146">
        <f t="shared" si="20"/>
        <v>1214999.9999999967</v>
      </c>
      <c r="M32" s="146">
        <f t="shared" si="20"/>
        <v>1294499.9999999967</v>
      </c>
      <c r="N32" s="146">
        <f t="shared" si="20"/>
        <v>1388999.9999999972</v>
      </c>
      <c r="O32" s="146">
        <f t="shared" si="20"/>
        <v>10869666.666666649</v>
      </c>
      <c r="P32" s="147">
        <f>O32/O30</f>
        <v>0.49101805423800254</v>
      </c>
    </row>
  </sheetData>
  <mergeCells count="2">
    <mergeCell ref="B2:O2"/>
    <mergeCell ref="B3:O3"/>
  </mergeCells>
  <phoneticPr fontId="79" type="noConversion"/>
  <pageMargins left="0.25" right="0.25" top="0.25" bottom="0.2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68C6-7CC2-449B-B362-F2D3DA66F013}">
  <dimension ref="A1:F27"/>
  <sheetViews>
    <sheetView workbookViewId="0">
      <selection activeCell="A11" sqref="A11"/>
    </sheetView>
  </sheetViews>
  <sheetFormatPr defaultRowHeight="15.5" x14ac:dyDescent="0.35"/>
  <cols>
    <col min="1" max="2" width="46.08984375" style="157" customWidth="1"/>
    <col min="3" max="16384" width="8.7265625" style="157"/>
  </cols>
  <sheetData>
    <row r="1" spans="1:6" ht="23" x14ac:dyDescent="0.35">
      <c r="A1" s="148" t="s">
        <v>227</v>
      </c>
      <c r="B1" s="158"/>
    </row>
    <row r="2" spans="1:6" x14ac:dyDescent="0.35">
      <c r="A2" s="167" t="s">
        <v>234</v>
      </c>
      <c r="E2" s="160"/>
      <c r="F2" s="160"/>
    </row>
    <row r="3" spans="1:6" x14ac:dyDescent="0.35">
      <c r="A3" s="165" t="s">
        <v>235</v>
      </c>
      <c r="E3" s="160"/>
      <c r="F3" s="160"/>
    </row>
    <row r="4" spans="1:6" x14ac:dyDescent="0.35">
      <c r="A4" s="165" t="s">
        <v>233</v>
      </c>
      <c r="E4" s="160"/>
      <c r="F4" s="160"/>
    </row>
    <row r="5" spans="1:6" x14ac:dyDescent="0.35">
      <c r="A5" s="165" t="s">
        <v>141</v>
      </c>
      <c r="E5" s="160"/>
      <c r="F5" s="160"/>
    </row>
    <row r="6" spans="1:6" x14ac:dyDescent="0.35">
      <c r="A6" s="165" t="s">
        <v>236</v>
      </c>
      <c r="E6" s="160"/>
      <c r="F6" s="160"/>
    </row>
    <row r="7" spans="1:6" x14ac:dyDescent="0.35">
      <c r="A7" s="166" t="s">
        <v>237</v>
      </c>
      <c r="B7" s="160"/>
      <c r="C7" s="160"/>
      <c r="D7" s="160"/>
      <c r="E7" s="160"/>
      <c r="F7" s="160"/>
    </row>
    <row r="8" spans="1:6" x14ac:dyDescent="0.35">
      <c r="A8" s="168" t="s">
        <v>245</v>
      </c>
      <c r="B8" s="160"/>
      <c r="C8" s="160"/>
      <c r="D8" s="160"/>
      <c r="E8" s="160"/>
      <c r="F8" s="160"/>
    </row>
    <row r="9" spans="1:6" x14ac:dyDescent="0.35">
      <c r="A9" s="168" t="s">
        <v>247</v>
      </c>
      <c r="B9" s="160"/>
      <c r="C9" s="160"/>
      <c r="D9" s="160"/>
      <c r="E9" s="160"/>
      <c r="F9" s="160"/>
    </row>
    <row r="10" spans="1:6" x14ac:dyDescent="0.35">
      <c r="A10" s="168" t="s">
        <v>248</v>
      </c>
      <c r="B10" s="160"/>
      <c r="C10" s="160"/>
      <c r="D10" s="160"/>
      <c r="E10" s="160"/>
      <c r="F10" s="160"/>
    </row>
    <row r="11" spans="1:6" x14ac:dyDescent="0.35">
      <c r="A11" s="161" t="s">
        <v>31</v>
      </c>
      <c r="B11" s="160"/>
      <c r="C11" s="160"/>
      <c r="D11" s="160"/>
      <c r="E11" s="160"/>
      <c r="F11" s="160"/>
    </row>
    <row r="12" spans="1:6" x14ac:dyDescent="0.35">
      <c r="A12" s="159" t="s">
        <v>89</v>
      </c>
      <c r="B12" s="160"/>
      <c r="C12" s="160"/>
      <c r="D12" s="160"/>
      <c r="E12" s="160"/>
      <c r="F12" s="160"/>
    </row>
    <row r="13" spans="1:6" x14ac:dyDescent="0.35">
      <c r="A13" s="159" t="s">
        <v>88</v>
      </c>
      <c r="B13" s="160"/>
      <c r="C13" s="160"/>
      <c r="D13" s="160"/>
      <c r="E13" s="160"/>
      <c r="F13" s="160"/>
    </row>
    <row r="14" spans="1:6" x14ac:dyDescent="0.35">
      <c r="A14" s="162" t="s">
        <v>87</v>
      </c>
      <c r="B14" s="160"/>
      <c r="C14" s="160"/>
      <c r="D14" s="160"/>
      <c r="E14" s="160"/>
      <c r="F14" s="160"/>
    </row>
    <row r="15" spans="1:6" x14ac:dyDescent="0.35">
      <c r="A15" s="161" t="s">
        <v>238</v>
      </c>
      <c r="B15" s="160"/>
      <c r="C15" s="160"/>
      <c r="D15" s="160"/>
      <c r="E15" s="160"/>
      <c r="F15" s="160"/>
    </row>
    <row r="16" spans="1:6" x14ac:dyDescent="0.35">
      <c r="A16" s="159" t="s">
        <v>91</v>
      </c>
      <c r="B16" s="160"/>
      <c r="C16" s="160"/>
      <c r="D16" s="160"/>
      <c r="E16" s="160"/>
      <c r="F16" s="160"/>
    </row>
    <row r="17" spans="1:6" x14ac:dyDescent="0.35">
      <c r="A17" s="159" t="s">
        <v>90</v>
      </c>
      <c r="B17" s="160"/>
      <c r="C17" s="160"/>
      <c r="D17" s="160"/>
      <c r="E17" s="160"/>
      <c r="F17" s="160"/>
    </row>
    <row r="18" spans="1:6" x14ac:dyDescent="0.35">
      <c r="A18" s="161" t="s">
        <v>239</v>
      </c>
      <c r="B18" s="160"/>
      <c r="C18" s="160"/>
      <c r="D18" s="160"/>
      <c r="E18" s="160"/>
      <c r="F18" s="160"/>
    </row>
    <row r="19" spans="1:6" x14ac:dyDescent="0.35">
      <c r="A19" s="164" t="s">
        <v>228</v>
      </c>
      <c r="B19" s="160"/>
      <c r="C19" s="160"/>
      <c r="D19" s="160"/>
      <c r="E19" s="160"/>
      <c r="F19" s="160"/>
    </row>
    <row r="20" spans="1:6" x14ac:dyDescent="0.35">
      <c r="A20" s="164" t="s">
        <v>229</v>
      </c>
      <c r="B20" s="160"/>
      <c r="C20" s="160"/>
      <c r="D20" s="160"/>
      <c r="E20" s="160"/>
      <c r="F20" s="160"/>
    </row>
    <row r="21" spans="1:6" x14ac:dyDescent="0.35">
      <c r="A21" s="164" t="s">
        <v>230</v>
      </c>
      <c r="B21" s="160"/>
      <c r="C21" s="160"/>
      <c r="D21" s="160"/>
    </row>
    <row r="22" spans="1:6" x14ac:dyDescent="0.35">
      <c r="A22" s="164" t="s">
        <v>231</v>
      </c>
      <c r="B22" s="160"/>
      <c r="C22" s="160"/>
      <c r="D22" s="160"/>
    </row>
    <row r="23" spans="1:6" x14ac:dyDescent="0.35">
      <c r="A23" s="164" t="s">
        <v>232</v>
      </c>
      <c r="B23" s="160"/>
      <c r="C23" s="160"/>
      <c r="D23" s="160"/>
    </row>
    <row r="24" spans="1:6" x14ac:dyDescent="0.35">
      <c r="A24" s="161" t="s">
        <v>240</v>
      </c>
      <c r="B24" s="160"/>
      <c r="C24" s="160"/>
      <c r="D24" s="160"/>
    </row>
    <row r="25" spans="1:6" x14ac:dyDescent="0.35">
      <c r="A25" s="163" t="s">
        <v>241</v>
      </c>
      <c r="B25" s="160"/>
      <c r="C25" s="160"/>
      <c r="D25" s="160"/>
    </row>
    <row r="26" spans="1:6" x14ac:dyDescent="0.35">
      <c r="A26" s="163" t="s">
        <v>151</v>
      </c>
      <c r="B26" s="160"/>
      <c r="C26" s="160"/>
      <c r="D26" s="160"/>
    </row>
    <row r="27" spans="1:6" x14ac:dyDescent="0.35">
      <c r="A27" s="163" t="s">
        <v>152</v>
      </c>
      <c r="B27" s="160"/>
      <c r="C27" s="160"/>
      <c r="D27" s="160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792C-20B9-4B9F-874E-C833F970BA64}">
  <dimension ref="A1:N32"/>
  <sheetViews>
    <sheetView workbookViewId="0">
      <selection activeCell="I29" sqref="I29"/>
    </sheetView>
  </sheetViews>
  <sheetFormatPr defaultRowHeight="14" x14ac:dyDescent="0.25"/>
  <cols>
    <col min="1" max="1" width="2.81640625" style="169" bestFit="1" customWidth="1"/>
    <col min="2" max="2" width="22.1796875" style="169" bestFit="1" customWidth="1"/>
    <col min="3" max="3" width="13.6328125" style="169" bestFit="1" customWidth="1"/>
    <col min="4" max="4" width="10.26953125" style="169" bestFit="1" customWidth="1"/>
    <col min="5" max="5" width="7.81640625" style="169" bestFit="1" customWidth="1"/>
    <col min="6" max="6" width="11.7265625" style="169" bestFit="1" customWidth="1"/>
    <col min="7" max="7" width="9" style="169" bestFit="1" customWidth="1"/>
    <col min="8" max="8" width="8.6328125" style="169" bestFit="1" customWidth="1"/>
    <col min="9" max="9" width="6.26953125" style="169" bestFit="1" customWidth="1"/>
    <col min="10" max="10" width="7.54296875" style="169" bestFit="1" customWidth="1"/>
    <col min="11" max="11" width="9.1796875" style="169" bestFit="1" customWidth="1"/>
    <col min="12" max="12" width="10.7265625" style="169" bestFit="1" customWidth="1"/>
    <col min="13" max="13" width="7.90625" style="169" bestFit="1" customWidth="1"/>
    <col min="14" max="16384" width="8.7265625" style="169"/>
  </cols>
  <sheetData>
    <row r="1" spans="1:14" ht="15.5" x14ac:dyDescent="0.25">
      <c r="B1" s="170" t="s">
        <v>212</v>
      </c>
      <c r="D1" s="171" t="s">
        <v>73</v>
      </c>
      <c r="E1" s="172" t="s">
        <v>74</v>
      </c>
      <c r="F1" s="173"/>
      <c r="G1" s="174" t="s">
        <v>75</v>
      </c>
      <c r="H1" s="175"/>
      <c r="I1" s="172" t="s">
        <v>76</v>
      </c>
      <c r="J1" s="176"/>
      <c r="K1" s="177" t="s">
        <v>73</v>
      </c>
      <c r="L1" s="178" t="s">
        <v>73</v>
      </c>
      <c r="M1" s="179" t="s">
        <v>77</v>
      </c>
    </row>
    <row r="2" spans="1:14" x14ac:dyDescent="0.25">
      <c r="A2" s="180" t="s">
        <v>23</v>
      </c>
      <c r="B2" s="181" t="s">
        <v>78</v>
      </c>
      <c r="C2" s="182" t="s">
        <v>79</v>
      </c>
      <c r="D2" s="183" t="s">
        <v>80</v>
      </c>
      <c r="E2" s="184">
        <v>99421</v>
      </c>
      <c r="F2" s="176" t="s">
        <v>81</v>
      </c>
      <c r="G2" s="185">
        <v>99422</v>
      </c>
      <c r="H2" s="176" t="s">
        <v>81</v>
      </c>
      <c r="I2" s="186">
        <v>99433</v>
      </c>
      <c r="J2" s="187" t="s">
        <v>81</v>
      </c>
      <c r="K2" s="188" t="s">
        <v>82</v>
      </c>
      <c r="L2" s="189" t="s">
        <v>83</v>
      </c>
      <c r="M2" s="189" t="s">
        <v>84</v>
      </c>
    </row>
    <row r="3" spans="1:14" x14ac:dyDescent="0.25">
      <c r="A3" s="190">
        <v>1</v>
      </c>
      <c r="B3" s="191" t="s">
        <v>145</v>
      </c>
      <c r="C3" s="192" t="s">
        <v>202</v>
      </c>
      <c r="D3" s="193">
        <f t="shared" ref="D3:D22" si="0">SUM(E3:I3)</f>
        <v>187.14973262032086</v>
      </c>
      <c r="E3" s="193">
        <v>5</v>
      </c>
      <c r="F3" s="194">
        <f>E3/187</f>
        <v>2.6737967914438502E-2</v>
      </c>
      <c r="G3" s="193">
        <v>23</v>
      </c>
      <c r="H3" s="194">
        <f>G3/187</f>
        <v>0.12299465240641712</v>
      </c>
      <c r="I3" s="193">
        <v>159</v>
      </c>
      <c r="J3" s="194">
        <f>I3/D3</f>
        <v>0.84958710746635424</v>
      </c>
      <c r="K3" s="195">
        <v>8646</v>
      </c>
      <c r="L3" s="195">
        <v>39320</v>
      </c>
      <c r="M3" s="195">
        <f>D3*20</f>
        <v>3742.9946524064171</v>
      </c>
      <c r="N3" s="196"/>
    </row>
    <row r="4" spans="1:14" x14ac:dyDescent="0.25">
      <c r="A4" s="190">
        <v>2</v>
      </c>
      <c r="B4" s="191" t="s">
        <v>188</v>
      </c>
      <c r="C4" s="192" t="s">
        <v>203</v>
      </c>
      <c r="D4" s="193">
        <f t="shared" si="0"/>
        <v>437.2745995423341</v>
      </c>
      <c r="E4" s="197">
        <v>7</v>
      </c>
      <c r="F4" s="198">
        <f>E4/437</f>
        <v>1.6018306636155607E-2</v>
      </c>
      <c r="G4" s="197">
        <v>113</v>
      </c>
      <c r="H4" s="198">
        <f>G4/437</f>
        <v>0.2585812356979405</v>
      </c>
      <c r="I4" s="197">
        <v>317</v>
      </c>
      <c r="J4" s="198">
        <f>I4/437</f>
        <v>0.72540045766590389</v>
      </c>
      <c r="K4" s="199">
        <v>19706</v>
      </c>
      <c r="L4" s="199">
        <v>86204</v>
      </c>
      <c r="M4" s="195">
        <f t="shared" ref="M4:M21" si="1">D4*20</f>
        <v>8745.4919908466818</v>
      </c>
      <c r="N4" s="196"/>
    </row>
    <row r="5" spans="1:14" x14ac:dyDescent="0.25">
      <c r="A5" s="190">
        <v>3</v>
      </c>
      <c r="B5" s="191" t="s">
        <v>147</v>
      </c>
      <c r="C5" s="200" t="s">
        <v>204</v>
      </c>
      <c r="D5" s="193">
        <f t="shared" si="0"/>
        <v>44.295454545454547</v>
      </c>
      <c r="E5" s="197">
        <v>2</v>
      </c>
      <c r="F5" s="198">
        <f>E5/44</f>
        <v>4.5454545454545456E-2</v>
      </c>
      <c r="G5" s="197">
        <v>11</v>
      </c>
      <c r="H5" s="198">
        <f>G5/44</f>
        <v>0.25</v>
      </c>
      <c r="I5" s="197">
        <v>31</v>
      </c>
      <c r="J5" s="198">
        <f>I5/44</f>
        <v>0.70454545454545459</v>
      </c>
      <c r="K5" s="199">
        <v>1962</v>
      </c>
      <c r="L5" s="199">
        <v>8200</v>
      </c>
      <c r="M5" s="195">
        <f t="shared" si="1"/>
        <v>885.90909090909099</v>
      </c>
      <c r="N5" s="196"/>
    </row>
    <row r="6" spans="1:14" x14ac:dyDescent="0.25">
      <c r="A6" s="190">
        <v>4</v>
      </c>
      <c r="B6" s="201" t="s">
        <v>147</v>
      </c>
      <c r="C6" s="202" t="s">
        <v>205</v>
      </c>
      <c r="D6" s="203">
        <f t="shared" si="0"/>
        <v>166.35542168674698</v>
      </c>
      <c r="E6" s="204">
        <v>10</v>
      </c>
      <c r="F6" s="205">
        <f>E6/166</f>
        <v>6.0240963855421686E-2</v>
      </c>
      <c r="G6" s="204">
        <v>49</v>
      </c>
      <c r="H6" s="205">
        <f>49/166</f>
        <v>0.29518072289156627</v>
      </c>
      <c r="I6" s="204">
        <v>107</v>
      </c>
      <c r="J6" s="205">
        <f>I6/166</f>
        <v>0.64457831325301207</v>
      </c>
      <c r="K6" s="206">
        <v>7278</v>
      </c>
      <c r="L6" s="206">
        <v>30948</v>
      </c>
      <c r="M6" s="207">
        <f t="shared" si="1"/>
        <v>3327.1084337349394</v>
      </c>
      <c r="N6" s="196"/>
    </row>
    <row r="7" spans="1:14" x14ac:dyDescent="0.25">
      <c r="A7" s="190">
        <v>5</v>
      </c>
      <c r="B7" s="201" t="s">
        <v>145</v>
      </c>
      <c r="C7" s="202" t="s">
        <v>206</v>
      </c>
      <c r="D7" s="203">
        <f t="shared" si="0"/>
        <v>218.37155963302752</v>
      </c>
      <c r="E7" s="204">
        <v>9</v>
      </c>
      <c r="F7" s="205">
        <f>E7/218</f>
        <v>4.1284403669724773E-2</v>
      </c>
      <c r="G7" s="204">
        <v>72</v>
      </c>
      <c r="H7" s="205">
        <f>G7/218</f>
        <v>0.33027522935779818</v>
      </c>
      <c r="I7" s="204">
        <v>137</v>
      </c>
      <c r="J7" s="205">
        <f>I7/218</f>
        <v>0.62844036697247707</v>
      </c>
      <c r="K7" s="206">
        <v>9564</v>
      </c>
      <c r="L7" s="206">
        <v>40704</v>
      </c>
      <c r="M7" s="207">
        <f t="shared" si="1"/>
        <v>4367.4311926605506</v>
      </c>
      <c r="N7" s="196"/>
    </row>
    <row r="8" spans="1:14" x14ac:dyDescent="0.25">
      <c r="A8" s="190">
        <v>6</v>
      </c>
      <c r="B8" s="201" t="s">
        <v>145</v>
      </c>
      <c r="C8" s="202" t="s">
        <v>206</v>
      </c>
      <c r="D8" s="203">
        <f t="shared" si="0"/>
        <v>660.52798789712551</v>
      </c>
      <c r="E8" s="204">
        <v>15</v>
      </c>
      <c r="F8" s="205">
        <f>E8/661</f>
        <v>2.2692889561270801E-2</v>
      </c>
      <c r="G8" s="204">
        <v>334</v>
      </c>
      <c r="H8" s="205">
        <f>G8/661</f>
        <v>0.50529500756429657</v>
      </c>
      <c r="I8" s="204">
        <v>311</v>
      </c>
      <c r="J8" s="205">
        <f>I8/661</f>
        <v>0.47049924357034795</v>
      </c>
      <c r="K8" s="206">
        <v>28040</v>
      </c>
      <c r="L8" s="206">
        <v>114080</v>
      </c>
      <c r="M8" s="207">
        <f t="shared" si="1"/>
        <v>13210.55975794251</v>
      </c>
      <c r="N8" s="196"/>
    </row>
    <row r="9" spans="1:14" x14ac:dyDescent="0.25">
      <c r="A9" s="190">
        <v>7</v>
      </c>
      <c r="B9" s="191" t="s">
        <v>147</v>
      </c>
      <c r="C9" s="192" t="s">
        <v>26</v>
      </c>
      <c r="D9" s="193">
        <f t="shared" si="0"/>
        <v>24.5</v>
      </c>
      <c r="E9" s="197">
        <v>2</v>
      </c>
      <c r="F9" s="198">
        <f>E9/24</f>
        <v>8.3333333333333329E-2</v>
      </c>
      <c r="G9" s="197">
        <v>10</v>
      </c>
      <c r="H9" s="198">
        <f>G9/24</f>
        <v>0.41666666666666669</v>
      </c>
      <c r="I9" s="197">
        <v>12</v>
      </c>
      <c r="J9" s="198">
        <f>I9/24</f>
        <v>0.5</v>
      </c>
      <c r="K9" s="199">
        <v>1012</v>
      </c>
      <c r="L9" s="199">
        <v>4072</v>
      </c>
      <c r="M9" s="195">
        <f t="shared" si="1"/>
        <v>490</v>
      </c>
      <c r="N9" s="196"/>
    </row>
    <row r="10" spans="1:14" x14ac:dyDescent="0.25">
      <c r="A10" s="190">
        <v>8</v>
      </c>
      <c r="B10" s="191" t="s">
        <v>147</v>
      </c>
      <c r="C10" s="192" t="s">
        <v>26</v>
      </c>
      <c r="D10" s="193">
        <f t="shared" si="0"/>
        <v>51.313725490196077</v>
      </c>
      <c r="E10" s="197">
        <v>0</v>
      </c>
      <c r="F10" s="198">
        <f>E10/51</f>
        <v>0</v>
      </c>
      <c r="G10" s="197">
        <v>16</v>
      </c>
      <c r="H10" s="198">
        <f>G10/51</f>
        <v>0.31372549019607843</v>
      </c>
      <c r="I10" s="197">
        <v>35</v>
      </c>
      <c r="J10" s="198">
        <f>I10/51</f>
        <v>0.68627450980392157</v>
      </c>
      <c r="K10" s="199">
        <v>2288</v>
      </c>
      <c r="L10" s="199">
        <v>10028</v>
      </c>
      <c r="M10" s="195">
        <f t="shared" si="1"/>
        <v>1026.2745098039215</v>
      </c>
      <c r="N10" s="196"/>
    </row>
    <row r="11" spans="1:14" x14ac:dyDescent="0.25">
      <c r="A11" s="190">
        <v>9</v>
      </c>
      <c r="B11" s="201" t="s">
        <v>150</v>
      </c>
      <c r="C11" s="202" t="s">
        <v>205</v>
      </c>
      <c r="D11" s="203">
        <f t="shared" si="0"/>
        <v>237.87815126050421</v>
      </c>
      <c r="E11" s="204">
        <v>24</v>
      </c>
      <c r="F11" s="205">
        <f>E11/238</f>
        <v>0.10084033613445378</v>
      </c>
      <c r="G11" s="204">
        <v>185</v>
      </c>
      <c r="H11" s="205">
        <f>G11/238</f>
        <v>0.77731092436974791</v>
      </c>
      <c r="I11" s="204">
        <v>28</v>
      </c>
      <c r="J11" s="205">
        <f>I11/238</f>
        <v>0.11764705882352941</v>
      </c>
      <c r="K11" s="206">
        <v>9046</v>
      </c>
      <c r="L11" s="206">
        <v>31280</v>
      </c>
      <c r="M11" s="207">
        <f t="shared" si="1"/>
        <v>4757.5630252100846</v>
      </c>
      <c r="N11" s="196"/>
    </row>
    <row r="12" spans="1:14" x14ac:dyDescent="0.25">
      <c r="A12" s="190">
        <v>10</v>
      </c>
      <c r="B12" s="191" t="s">
        <v>147</v>
      </c>
      <c r="C12" s="192" t="s">
        <v>207</v>
      </c>
      <c r="D12" s="193">
        <f t="shared" si="0"/>
        <v>17.823529411764703</v>
      </c>
      <c r="E12" s="197">
        <v>3</v>
      </c>
      <c r="F12" s="198">
        <f>E12/17</f>
        <v>0.17647058823529413</v>
      </c>
      <c r="G12" s="197">
        <v>11</v>
      </c>
      <c r="H12" s="198">
        <f>G12/17</f>
        <v>0.6470588235294118</v>
      </c>
      <c r="I12" s="197">
        <v>3</v>
      </c>
      <c r="J12" s="198">
        <f>I12/17</f>
        <v>0.17647058823529413</v>
      </c>
      <c r="K12" s="199">
        <v>340</v>
      </c>
      <c r="L12" s="199">
        <v>2176</v>
      </c>
      <c r="M12" s="195">
        <f t="shared" si="1"/>
        <v>356.47058823529403</v>
      </c>
      <c r="N12" s="196"/>
    </row>
    <row r="13" spans="1:14" x14ac:dyDescent="0.25">
      <c r="A13" s="190">
        <v>11</v>
      </c>
      <c r="B13" s="201" t="s">
        <v>150</v>
      </c>
      <c r="C13" s="202" t="s">
        <v>26</v>
      </c>
      <c r="D13" s="203">
        <f t="shared" si="0"/>
        <v>355.61235955056179</v>
      </c>
      <c r="E13" s="204">
        <v>50</v>
      </c>
      <c r="F13" s="205">
        <f>E13/356</f>
        <v>0.1404494382022472</v>
      </c>
      <c r="G13" s="204">
        <v>168</v>
      </c>
      <c r="H13" s="205">
        <f>168/356</f>
        <v>0.47191011235955055</v>
      </c>
      <c r="I13" s="204">
        <v>137</v>
      </c>
      <c r="J13" s="205">
        <f>137/356</f>
        <v>0.3848314606741573</v>
      </c>
      <c r="K13" s="206">
        <v>14360</v>
      </c>
      <c r="L13" s="206">
        <v>54140</v>
      </c>
      <c r="M13" s="207">
        <f t="shared" si="1"/>
        <v>7112.2471910112363</v>
      </c>
      <c r="N13" s="196"/>
    </row>
    <row r="14" spans="1:14" x14ac:dyDescent="0.25">
      <c r="A14" s="190">
        <v>12</v>
      </c>
      <c r="B14" s="191" t="s">
        <v>147</v>
      </c>
      <c r="C14" s="192" t="s">
        <v>26</v>
      </c>
      <c r="D14" s="193">
        <f t="shared" si="0"/>
        <v>48.791666666666664</v>
      </c>
      <c r="E14" s="197">
        <v>3</v>
      </c>
      <c r="F14" s="198">
        <f>E14/48</f>
        <v>6.25E-2</v>
      </c>
      <c r="G14" s="197">
        <v>35</v>
      </c>
      <c r="H14" s="198">
        <f>G14/48</f>
        <v>0.72916666666666663</v>
      </c>
      <c r="I14" s="197">
        <v>10</v>
      </c>
      <c r="J14" s="198">
        <f>I14/48</f>
        <v>0.20833333333333334</v>
      </c>
      <c r="K14" s="199">
        <v>1894</v>
      </c>
      <c r="L14" s="199">
        <v>6844</v>
      </c>
      <c r="M14" s="195">
        <f t="shared" si="1"/>
        <v>975.83333333333326</v>
      </c>
      <c r="N14" s="196"/>
    </row>
    <row r="15" spans="1:14" x14ac:dyDescent="0.25">
      <c r="A15" s="190">
        <v>13</v>
      </c>
      <c r="B15" s="191" t="s">
        <v>147</v>
      </c>
      <c r="C15" s="192" t="s">
        <v>26</v>
      </c>
      <c r="D15" s="193">
        <f t="shared" si="0"/>
        <v>15.533333333333333</v>
      </c>
      <c r="E15" s="197">
        <v>0</v>
      </c>
      <c r="F15" s="198">
        <f>E15/15</f>
        <v>0</v>
      </c>
      <c r="G15" s="197">
        <v>8</v>
      </c>
      <c r="H15" s="198">
        <f>G15/15</f>
        <v>0.53333333333333333</v>
      </c>
      <c r="I15" s="197">
        <v>7</v>
      </c>
      <c r="J15" s="198">
        <f>I15/15</f>
        <v>0.46666666666666667</v>
      </c>
      <c r="K15" s="199">
        <v>640</v>
      </c>
      <c r="L15" s="199">
        <v>2620</v>
      </c>
      <c r="M15" s="195">
        <f t="shared" si="1"/>
        <v>310.66666666666669</v>
      </c>
      <c r="N15" s="196"/>
    </row>
    <row r="16" spans="1:14" x14ac:dyDescent="0.25">
      <c r="A16" s="190">
        <v>14</v>
      </c>
      <c r="B16" s="201" t="s">
        <v>145</v>
      </c>
      <c r="C16" s="202" t="s">
        <v>26</v>
      </c>
      <c r="D16" s="203">
        <f t="shared" si="0"/>
        <v>105.91262135922329</v>
      </c>
      <c r="E16" s="204">
        <v>5</v>
      </c>
      <c r="F16" s="205">
        <f>E16/103</f>
        <v>4.8543689320388349E-2</v>
      </c>
      <c r="G16" s="204">
        <v>89</v>
      </c>
      <c r="H16" s="205">
        <f>G16/103</f>
        <v>0.86407766990291257</v>
      </c>
      <c r="I16" s="204">
        <v>11</v>
      </c>
      <c r="J16" s="205">
        <f>I16/103</f>
        <v>0.10679611650485436</v>
      </c>
      <c r="K16" s="206">
        <v>4050</v>
      </c>
      <c r="L16" s="206">
        <v>14040</v>
      </c>
      <c r="M16" s="207">
        <f>D16*20</f>
        <v>2118.2524271844659</v>
      </c>
      <c r="N16" s="196"/>
    </row>
    <row r="17" spans="1:14" x14ac:dyDescent="0.25">
      <c r="A17" s="190">
        <v>15</v>
      </c>
      <c r="B17" s="201" t="s">
        <v>147</v>
      </c>
      <c r="C17" s="202" t="s">
        <v>26</v>
      </c>
      <c r="D17" s="203">
        <f t="shared" si="0"/>
        <v>41.928571428571431</v>
      </c>
      <c r="E17" s="204">
        <v>5</v>
      </c>
      <c r="F17" s="205">
        <f>E17/42</f>
        <v>0.11904761904761904</v>
      </c>
      <c r="G17" s="204">
        <v>34</v>
      </c>
      <c r="H17" s="205">
        <f>G17/42</f>
        <v>0.80952380952380953</v>
      </c>
      <c r="I17" s="204">
        <v>2</v>
      </c>
      <c r="J17" s="205">
        <f>I17/42</f>
        <v>4.7619047619047616E-2</v>
      </c>
      <c r="K17" s="206">
        <v>1110</v>
      </c>
      <c r="L17" s="206">
        <v>5176</v>
      </c>
      <c r="M17" s="207">
        <v>840</v>
      </c>
      <c r="N17" s="196"/>
    </row>
    <row r="18" spans="1:14" x14ac:dyDescent="0.25">
      <c r="A18" s="190">
        <v>16</v>
      </c>
      <c r="B18" s="201" t="s">
        <v>147</v>
      </c>
      <c r="C18" s="202" t="s">
        <v>26</v>
      </c>
      <c r="D18" s="203">
        <f t="shared" si="0"/>
        <v>113.13186813186813</v>
      </c>
      <c r="E18" s="204">
        <v>7</v>
      </c>
      <c r="F18" s="205">
        <f>E18/91</f>
        <v>7.6923076923076927E-2</v>
      </c>
      <c r="G18" s="204">
        <v>96</v>
      </c>
      <c r="H18" s="205">
        <f>G18/91</f>
        <v>1.054945054945055</v>
      </c>
      <c r="I18" s="204">
        <v>9</v>
      </c>
      <c r="J18" s="205">
        <f>I18/91</f>
        <v>9.8901098901098897E-2</v>
      </c>
      <c r="K18" s="206">
        <v>4276</v>
      </c>
      <c r="L18" s="206">
        <v>14536</v>
      </c>
      <c r="M18" s="207">
        <f>113*20</f>
        <v>2260</v>
      </c>
      <c r="N18" s="196"/>
    </row>
    <row r="19" spans="1:14" x14ac:dyDescent="0.25">
      <c r="A19" s="190">
        <v>17</v>
      </c>
      <c r="B19" s="208" t="s">
        <v>209</v>
      </c>
      <c r="C19" s="202" t="s">
        <v>149</v>
      </c>
      <c r="D19" s="203">
        <f t="shared" si="0"/>
        <v>52.867924528301891</v>
      </c>
      <c r="E19" s="204">
        <v>6</v>
      </c>
      <c r="F19" s="205">
        <f>E19/53</f>
        <v>0.11320754716981132</v>
      </c>
      <c r="G19" s="204">
        <v>40</v>
      </c>
      <c r="H19" s="205">
        <f>G19/53</f>
        <v>0.75471698113207553</v>
      </c>
      <c r="I19" s="204">
        <v>6</v>
      </c>
      <c r="J19" s="205">
        <f>I19/53</f>
        <v>0.11320754716981132</v>
      </c>
      <c r="K19" s="206">
        <v>1976</v>
      </c>
      <c r="L19" s="206">
        <v>6656</v>
      </c>
      <c r="M19" s="207">
        <f>D19*20</f>
        <v>1057.3584905660377</v>
      </c>
      <c r="N19" s="196"/>
    </row>
    <row r="20" spans="1:14" x14ac:dyDescent="0.25">
      <c r="A20" s="190">
        <v>18</v>
      </c>
      <c r="B20" s="208" t="s">
        <v>210</v>
      </c>
      <c r="C20" s="202" t="s">
        <v>148</v>
      </c>
      <c r="D20" s="203">
        <f t="shared" si="0"/>
        <v>129.96923076923076</v>
      </c>
      <c r="E20" s="204">
        <v>34</v>
      </c>
      <c r="F20" s="205">
        <f>E20/130</f>
        <v>0.26153846153846155</v>
      </c>
      <c r="G20" s="204">
        <v>92</v>
      </c>
      <c r="H20" s="205">
        <f>G20/130</f>
        <v>0.70769230769230773</v>
      </c>
      <c r="I20" s="204">
        <v>3</v>
      </c>
      <c r="J20" s="205">
        <f>I20/130</f>
        <v>2.3076923076923078E-2</v>
      </c>
      <c r="K20" s="206">
        <v>4630</v>
      </c>
      <c r="L20" s="206">
        <v>13540</v>
      </c>
      <c r="M20" s="207">
        <f t="shared" si="1"/>
        <v>2599.3846153846152</v>
      </c>
      <c r="N20" s="196"/>
    </row>
    <row r="21" spans="1:14" x14ac:dyDescent="0.25">
      <c r="A21" s="190">
        <v>19</v>
      </c>
      <c r="B21" s="208" t="s">
        <v>210</v>
      </c>
      <c r="C21" s="202" t="s">
        <v>146</v>
      </c>
      <c r="D21" s="203">
        <f t="shared" si="0"/>
        <v>293.97952218430038</v>
      </c>
      <c r="E21" s="204">
        <v>75</v>
      </c>
      <c r="F21" s="205">
        <f>E21/293</f>
        <v>0.25597269624573377</v>
      </c>
      <c r="G21" s="204">
        <v>212</v>
      </c>
      <c r="H21" s="205">
        <f>G21/293</f>
        <v>0.7235494880546075</v>
      </c>
      <c r="I21" s="204">
        <v>6</v>
      </c>
      <c r="J21" s="205">
        <f>I21/293</f>
        <v>2.0477815699658702E-2</v>
      </c>
      <c r="K21" s="206">
        <v>10444</v>
      </c>
      <c r="L21" s="206">
        <v>30604</v>
      </c>
      <c r="M21" s="207">
        <f t="shared" si="1"/>
        <v>5879.5904436860073</v>
      </c>
      <c r="N21" s="196" t="s">
        <v>243</v>
      </c>
    </row>
    <row r="22" spans="1:14" x14ac:dyDescent="0.25">
      <c r="A22" s="190">
        <v>20</v>
      </c>
      <c r="B22" s="208" t="s">
        <v>246</v>
      </c>
      <c r="C22" s="202" t="s">
        <v>148</v>
      </c>
      <c r="D22" s="203">
        <f t="shared" si="0"/>
        <v>74.851351351351354</v>
      </c>
      <c r="E22" s="204">
        <v>5</v>
      </c>
      <c r="F22" s="205">
        <f>E22/74</f>
        <v>6.7567567567567571E-2</v>
      </c>
      <c r="G22" s="204">
        <v>58</v>
      </c>
      <c r="H22" s="205">
        <f>G22/74</f>
        <v>0.78378378378378377</v>
      </c>
      <c r="I22" s="204">
        <v>11</v>
      </c>
      <c r="J22" s="205">
        <f>I22/74</f>
        <v>0.14864864864864866</v>
      </c>
      <c r="K22" s="206">
        <v>2872</v>
      </c>
      <c r="L22" s="206">
        <v>10072</v>
      </c>
      <c r="M22" s="207">
        <f>75*20</f>
        <v>1500</v>
      </c>
      <c r="N22" s="196"/>
    </row>
    <row r="23" spans="1:14" x14ac:dyDescent="0.25">
      <c r="B23" s="209" t="s">
        <v>211</v>
      </c>
      <c r="D23" s="210">
        <f>SUM(D3:D22)</f>
        <v>3278.0686113908832</v>
      </c>
      <c r="E23" s="210">
        <f>SUM(E3:E22)</f>
        <v>267</v>
      </c>
      <c r="F23" s="198">
        <f>SUM(F3:F22)/20</f>
        <v>8.5941171540477188E-2</v>
      </c>
      <c r="G23" s="210">
        <f>SUM(G3:G22)</f>
        <v>1656</v>
      </c>
      <c r="H23" s="198">
        <f>SUM(H3:H22)/20</f>
        <v>0.56748939800370124</v>
      </c>
      <c r="I23" s="210">
        <f>SUM(I3:I22)</f>
        <v>1342</v>
      </c>
      <c r="J23" s="198">
        <f>SUM(J3:J22)/20</f>
        <v>0.3561000879315247</v>
      </c>
      <c r="K23" s="211">
        <f>SUM(K3:K22)</f>
        <v>134134</v>
      </c>
      <c r="L23" s="212">
        <f>SUM(L3:L22)</f>
        <v>525240</v>
      </c>
      <c r="M23" s="199">
        <f>SUM(M3:M22)</f>
        <v>65563.136409581857</v>
      </c>
      <c r="N23" s="196"/>
    </row>
    <row r="24" spans="1:14" x14ac:dyDescent="0.25">
      <c r="B24" s="213" t="s">
        <v>208</v>
      </c>
      <c r="K24" s="214">
        <f>M23/K23</f>
        <v>0.48878834903590335</v>
      </c>
      <c r="L24" s="215" t="s">
        <v>85</v>
      </c>
      <c r="M24" s="214">
        <f>M23/L23</f>
        <v>0.12482510168605182</v>
      </c>
      <c r="N24" s="196"/>
    </row>
    <row r="25" spans="1:14" x14ac:dyDescent="0.25">
      <c r="B25" s="216" t="s">
        <v>201</v>
      </c>
      <c r="E25" s="217" t="s">
        <v>249</v>
      </c>
      <c r="F25" s="218"/>
      <c r="G25" s="219" t="s">
        <v>255</v>
      </c>
      <c r="K25" s="220" t="s">
        <v>86</v>
      </c>
      <c r="M25" s="221" t="s">
        <v>256</v>
      </c>
      <c r="N25" s="196"/>
    </row>
    <row r="26" spans="1:14" x14ac:dyDescent="0.25">
      <c r="B26" s="222" t="s">
        <v>244</v>
      </c>
      <c r="E26" s="223" t="s">
        <v>250</v>
      </c>
      <c r="F26" s="224">
        <v>1300000</v>
      </c>
      <c r="G26" s="225" t="s">
        <v>257</v>
      </c>
      <c r="J26" s="226" t="s">
        <v>251</v>
      </c>
      <c r="K26" s="226" t="s">
        <v>252</v>
      </c>
      <c r="L26" s="226" t="s">
        <v>83</v>
      </c>
      <c r="N26" s="196"/>
    </row>
    <row r="27" spans="1:14" x14ac:dyDescent="0.25">
      <c r="B27" s="227">
        <f>3946*20</f>
        <v>78920</v>
      </c>
      <c r="E27" s="223" t="s">
        <v>253</v>
      </c>
      <c r="F27" s="224">
        <f>F26*0.3</f>
        <v>390000</v>
      </c>
      <c r="G27" s="224">
        <f>D23</f>
        <v>3278.0686113908832</v>
      </c>
      <c r="J27" s="228"/>
      <c r="K27" s="229">
        <f>K23/D23</f>
        <v>40.918606625224662</v>
      </c>
      <c r="L27" s="229">
        <f>L23/D23</f>
        <v>160.22849496647385</v>
      </c>
    </row>
    <row r="28" spans="1:14" x14ac:dyDescent="0.25">
      <c r="B28" s="230" t="s">
        <v>31</v>
      </c>
      <c r="E28" s="231" t="s">
        <v>254</v>
      </c>
      <c r="F28" s="232">
        <f>F27*K27</f>
        <v>15958256.583837619</v>
      </c>
      <c r="G28" s="232">
        <f>K23</f>
        <v>134134</v>
      </c>
    </row>
    <row r="29" spans="1:14" x14ac:dyDescent="0.25">
      <c r="B29" s="222" t="s">
        <v>89</v>
      </c>
      <c r="E29" s="231" t="s">
        <v>83</v>
      </c>
      <c r="F29" s="232">
        <f>F27*L27</f>
        <v>62489113.036924802</v>
      </c>
      <c r="G29" s="232">
        <f>L23</f>
        <v>525240</v>
      </c>
    </row>
    <row r="30" spans="1:14" x14ac:dyDescent="0.25">
      <c r="B30" s="222" t="s">
        <v>88</v>
      </c>
      <c r="E30" s="233" t="s">
        <v>77</v>
      </c>
      <c r="F30" s="199">
        <f>F27*20</f>
        <v>7800000</v>
      </c>
      <c r="G30" s="199">
        <f>G27*20</f>
        <v>65561.372227817657</v>
      </c>
    </row>
    <row r="31" spans="1:14" x14ac:dyDescent="0.25">
      <c r="B31" s="230" t="s">
        <v>258</v>
      </c>
      <c r="C31" s="222" t="s">
        <v>91</v>
      </c>
    </row>
    <row r="32" spans="1:14" x14ac:dyDescent="0.25">
      <c r="B32" s="230" t="s">
        <v>259</v>
      </c>
      <c r="C32" s="222" t="s">
        <v>90</v>
      </c>
    </row>
  </sheetData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241D-8BB1-40D4-9553-09D21EC721DD}">
  <dimension ref="A1:H37"/>
  <sheetViews>
    <sheetView showGridLines="0" zoomScale="150" zoomScaleNormal="150" workbookViewId="0">
      <selection activeCell="F32" sqref="F32"/>
    </sheetView>
  </sheetViews>
  <sheetFormatPr defaultRowHeight="12.5" x14ac:dyDescent="0.25"/>
  <cols>
    <col min="1" max="1" width="61.26953125" style="281" customWidth="1"/>
    <col min="2" max="2" width="11.1796875" style="281" customWidth="1"/>
    <col min="3" max="3" width="14.26953125" style="281" bestFit="1" customWidth="1"/>
    <col min="4" max="5" width="12" style="281" bestFit="1" customWidth="1"/>
    <col min="6" max="6" width="9" style="281" bestFit="1" customWidth="1"/>
    <col min="7" max="7" width="9.90625" style="281" bestFit="1" customWidth="1"/>
    <col min="8" max="16384" width="8.7265625" style="281"/>
  </cols>
  <sheetData>
    <row r="1" spans="1:8" x14ac:dyDescent="0.25">
      <c r="A1" s="280" t="s">
        <v>142</v>
      </c>
    </row>
    <row r="2" spans="1:8" ht="13" thickBot="1" x14ac:dyDescent="0.3">
      <c r="A2" s="282" t="s">
        <v>306</v>
      </c>
    </row>
    <row r="3" spans="1:8" ht="13" x14ac:dyDescent="0.25">
      <c r="A3" s="283" t="s">
        <v>307</v>
      </c>
      <c r="C3" s="284" t="s">
        <v>308</v>
      </c>
    </row>
    <row r="4" spans="1:8" ht="13" x14ac:dyDescent="0.25">
      <c r="A4" s="285" t="s">
        <v>143</v>
      </c>
      <c r="B4" s="286">
        <v>3</v>
      </c>
      <c r="C4" s="287" t="s">
        <v>309</v>
      </c>
    </row>
    <row r="5" spans="1:8" ht="13" x14ac:dyDescent="0.25">
      <c r="A5" s="285" t="s">
        <v>144</v>
      </c>
      <c r="B5" s="288">
        <v>8000</v>
      </c>
      <c r="C5" s="289" t="s">
        <v>310</v>
      </c>
    </row>
    <row r="6" spans="1:8" x14ac:dyDescent="0.25">
      <c r="A6" s="290" t="s">
        <v>311</v>
      </c>
      <c r="B6" s="291">
        <v>75</v>
      </c>
      <c r="C6" s="292"/>
    </row>
    <row r="7" spans="1:8" x14ac:dyDescent="0.25">
      <c r="A7" s="290" t="s">
        <v>312</v>
      </c>
      <c r="B7" s="293">
        <f>B5*(B6/100)</f>
        <v>6000</v>
      </c>
      <c r="C7" s="292"/>
    </row>
    <row r="8" spans="1:8" ht="13" thickBot="1" x14ac:dyDescent="0.3">
      <c r="A8" s="290" t="s">
        <v>313</v>
      </c>
      <c r="B8" s="294">
        <v>40</v>
      </c>
      <c r="C8" s="295"/>
    </row>
    <row r="9" spans="1:8" ht="13" x14ac:dyDescent="0.25">
      <c r="A9" s="290" t="s">
        <v>314</v>
      </c>
      <c r="B9" s="288">
        <f>B7*(B8/100)</f>
        <v>2400</v>
      </c>
      <c r="C9" s="296" t="s">
        <v>315</v>
      </c>
      <c r="D9" s="297" t="s">
        <v>316</v>
      </c>
      <c r="F9" s="298"/>
    </row>
    <row r="10" spans="1:8" ht="13" x14ac:dyDescent="0.3">
      <c r="A10" s="299" t="s">
        <v>317</v>
      </c>
      <c r="C10" s="300" t="s">
        <v>318</v>
      </c>
      <c r="D10" s="301" t="s">
        <v>318</v>
      </c>
    </row>
    <row r="11" spans="1:8" x14ac:dyDescent="0.25">
      <c r="A11" s="285" t="s">
        <v>319</v>
      </c>
      <c r="B11" s="302">
        <f>B9*0.1433</f>
        <v>343.92</v>
      </c>
      <c r="C11" s="303">
        <v>0.14330000000000001</v>
      </c>
      <c r="D11" s="304">
        <v>8.6199999999999999E-2</v>
      </c>
    </row>
    <row r="12" spans="1:8" x14ac:dyDescent="0.25">
      <c r="A12" s="305" t="s">
        <v>320</v>
      </c>
      <c r="B12" s="306">
        <f>B9*0.2961</f>
        <v>710.64</v>
      </c>
      <c r="C12" s="307">
        <v>0.29609999999999997</v>
      </c>
      <c r="D12" s="308">
        <v>0.55769999999999997</v>
      </c>
    </row>
    <row r="13" spans="1:8" ht="13" thickBot="1" x14ac:dyDescent="0.3">
      <c r="A13" s="309" t="s">
        <v>321</v>
      </c>
      <c r="B13" s="310">
        <f>B9*0.5606</f>
        <v>1345.44</v>
      </c>
      <c r="C13" s="311">
        <v>0.56059999999999999</v>
      </c>
      <c r="D13" s="312">
        <v>0.35610000000000003</v>
      </c>
    </row>
    <row r="14" spans="1:8" ht="13" x14ac:dyDescent="0.25">
      <c r="A14" s="313"/>
      <c r="B14" s="314">
        <f>SUM(B11:B13)</f>
        <v>2400</v>
      </c>
      <c r="C14" s="315">
        <f>SUM(C11:C13)</f>
        <v>1</v>
      </c>
      <c r="D14" s="315">
        <f>SUM(D11:D13)</f>
        <v>1</v>
      </c>
      <c r="E14" s="316" t="s">
        <v>322</v>
      </c>
    </row>
    <row r="15" spans="1:8" ht="13" x14ac:dyDescent="0.3">
      <c r="A15" s="283" t="s">
        <v>323</v>
      </c>
      <c r="B15" s="317" t="s">
        <v>23</v>
      </c>
      <c r="C15" s="318" t="s">
        <v>273</v>
      </c>
      <c r="D15" s="319" t="s">
        <v>73</v>
      </c>
      <c r="E15" s="316" t="s">
        <v>324</v>
      </c>
      <c r="F15" s="320"/>
      <c r="G15" s="321"/>
      <c r="H15" s="322" t="s">
        <v>325</v>
      </c>
    </row>
    <row r="16" spans="1:8" x14ac:dyDescent="0.25">
      <c r="A16" s="323" t="s">
        <v>326</v>
      </c>
      <c r="B16" s="324">
        <f>B9*C11</f>
        <v>343.92</v>
      </c>
      <c r="C16" s="325">
        <v>28</v>
      </c>
      <c r="D16" s="325">
        <f>C16*B16</f>
        <v>9629.76</v>
      </c>
      <c r="E16" s="326">
        <v>0</v>
      </c>
      <c r="F16" s="327">
        <f>E16*90</f>
        <v>0</v>
      </c>
      <c r="G16" s="327">
        <f>D16+F16</f>
        <v>9629.76</v>
      </c>
      <c r="H16" s="328">
        <v>99421</v>
      </c>
    </row>
    <row r="17" spans="1:8" x14ac:dyDescent="0.25">
      <c r="A17" s="329" t="s">
        <v>327</v>
      </c>
      <c r="B17" s="330">
        <f>B9*C12</f>
        <v>710.64</v>
      </c>
      <c r="C17" s="331">
        <v>38</v>
      </c>
      <c r="D17" s="331">
        <f t="shared" ref="D17:D18" si="0">C17*B17</f>
        <v>27004.32</v>
      </c>
      <c r="E17" s="326">
        <f>B17*1</f>
        <v>710.64</v>
      </c>
      <c r="F17" s="327">
        <f>E17*90</f>
        <v>63957.599999999999</v>
      </c>
      <c r="G17" s="327">
        <f t="shared" ref="G17:G18" si="1">D17+F17</f>
        <v>90961.919999999998</v>
      </c>
      <c r="H17" s="328">
        <v>99422</v>
      </c>
    </row>
    <row r="18" spans="1:8" ht="13" thickBot="1" x14ac:dyDescent="0.3">
      <c r="A18" s="332" t="s">
        <v>328</v>
      </c>
      <c r="B18" s="333">
        <f>B14*C13</f>
        <v>1345.44</v>
      </c>
      <c r="C18" s="334">
        <v>48</v>
      </c>
      <c r="D18" s="334">
        <f t="shared" si="0"/>
        <v>64581.120000000003</v>
      </c>
      <c r="E18" s="326">
        <f>B18*2</f>
        <v>2690.88</v>
      </c>
      <c r="F18" s="327">
        <f>E18*90</f>
        <v>242179.20000000001</v>
      </c>
      <c r="G18" s="335">
        <f t="shared" si="1"/>
        <v>306760.32000000001</v>
      </c>
      <c r="H18" s="328">
        <v>99423</v>
      </c>
    </row>
    <row r="19" spans="1:8" ht="13" x14ac:dyDescent="0.25">
      <c r="A19" s="336" t="s">
        <v>73</v>
      </c>
      <c r="B19" s="337">
        <f>SUM(B16:B18)</f>
        <v>2400</v>
      </c>
      <c r="C19" s="338" t="s">
        <v>329</v>
      </c>
      <c r="D19" s="339">
        <f>SUM(D16:D18)</f>
        <v>101215.20000000001</v>
      </c>
      <c r="E19" s="340">
        <f>SUM(E16:E18)</f>
        <v>3401.52</v>
      </c>
      <c r="F19" s="341">
        <f>SUM(F16:F18)</f>
        <v>306136.8</v>
      </c>
      <c r="G19" s="342">
        <f>SUM(G16:G18)</f>
        <v>407352</v>
      </c>
      <c r="H19" s="343" t="s">
        <v>330</v>
      </c>
    </row>
    <row r="20" spans="1:8" ht="13.5" thickBot="1" x14ac:dyDescent="0.3">
      <c r="A20" s="344"/>
      <c r="B20" s="345" t="s">
        <v>331</v>
      </c>
      <c r="C20" s="346" t="s">
        <v>332</v>
      </c>
      <c r="D20" s="347"/>
      <c r="E20" s="348"/>
      <c r="F20" s="349"/>
      <c r="G20" s="350">
        <f>B19*20</f>
        <v>48000</v>
      </c>
      <c r="H20" s="343" t="s">
        <v>83</v>
      </c>
    </row>
    <row r="21" spans="1:8" ht="13" x14ac:dyDescent="0.3">
      <c r="A21" s="351" t="s">
        <v>333</v>
      </c>
      <c r="B21" s="352">
        <v>40</v>
      </c>
      <c r="C21" s="353"/>
      <c r="D21" s="354" t="s">
        <v>334</v>
      </c>
      <c r="E21" s="355"/>
      <c r="F21" s="344"/>
      <c r="G21" s="356">
        <f>G19-G20</f>
        <v>359352</v>
      </c>
      <c r="H21" s="357" t="s">
        <v>335</v>
      </c>
    </row>
    <row r="22" spans="1:8" ht="13.5" thickBot="1" x14ac:dyDescent="0.3">
      <c r="A22" s="358" t="s">
        <v>336</v>
      </c>
      <c r="B22" s="359">
        <f>B19*0.3</f>
        <v>720</v>
      </c>
      <c r="C22" s="360">
        <f>B21*B22</f>
        <v>28800</v>
      </c>
      <c r="D22" s="361" t="s">
        <v>293</v>
      </c>
      <c r="E22" s="362"/>
      <c r="F22" s="344"/>
      <c r="G22" s="363">
        <f>G20/G19</f>
        <v>0.11783420727037058</v>
      </c>
    </row>
    <row r="23" spans="1:8" ht="13" x14ac:dyDescent="0.3">
      <c r="A23" s="344"/>
      <c r="B23" s="344"/>
      <c r="C23" s="364">
        <f>G19+C22</f>
        <v>436152</v>
      </c>
      <c r="D23" s="365" t="s">
        <v>337</v>
      </c>
      <c r="E23" s="362"/>
      <c r="F23" s="344"/>
      <c r="G23" s="357" t="s">
        <v>338</v>
      </c>
    </row>
    <row r="24" spans="1:8" ht="13" thickBot="1" x14ac:dyDescent="0.3">
      <c r="A24" s="298"/>
      <c r="C24" s="366">
        <f>C23-G20</f>
        <v>388152</v>
      </c>
      <c r="D24" s="367" t="s">
        <v>339</v>
      </c>
      <c r="E24" s="368"/>
    </row>
    <row r="25" spans="1:8" ht="13" x14ac:dyDescent="0.25">
      <c r="A25" s="369" t="s">
        <v>340</v>
      </c>
      <c r="B25" s="344"/>
      <c r="F25" s="344"/>
      <c r="G25" s="344"/>
    </row>
    <row r="26" spans="1:8" x14ac:dyDescent="0.25">
      <c r="A26" s="358" t="s">
        <v>341</v>
      </c>
    </row>
    <row r="27" spans="1:8" x14ac:dyDescent="0.25">
      <c r="A27" s="358" t="s">
        <v>342</v>
      </c>
    </row>
    <row r="28" spans="1:8" ht="13" x14ac:dyDescent="0.3">
      <c r="A28" s="283" t="s">
        <v>343</v>
      </c>
      <c r="B28" s="317" t="s">
        <v>23</v>
      </c>
      <c r="C28" s="318" t="s">
        <v>273</v>
      </c>
      <c r="D28" s="319" t="s">
        <v>73</v>
      </c>
      <c r="E28" s="370" t="s">
        <v>344</v>
      </c>
      <c r="F28" s="320"/>
      <c r="G28" s="321"/>
    </row>
    <row r="29" spans="1:8" x14ac:dyDescent="0.25">
      <c r="A29" s="323" t="s">
        <v>326</v>
      </c>
      <c r="B29" s="324">
        <f>B16*4</f>
        <v>1375.68</v>
      </c>
      <c r="C29" s="325">
        <v>28</v>
      </c>
      <c r="D29" s="325">
        <f>C29*B29</f>
        <v>38519.040000000001</v>
      </c>
      <c r="E29" s="326">
        <v>0</v>
      </c>
      <c r="F29" s="327">
        <f>E29*90</f>
        <v>0</v>
      </c>
      <c r="G29" s="327">
        <f>D29+F29</f>
        <v>38519.040000000001</v>
      </c>
    </row>
    <row r="30" spans="1:8" x14ac:dyDescent="0.25">
      <c r="A30" s="329" t="s">
        <v>327</v>
      </c>
      <c r="B30" s="330">
        <f>B17*4</f>
        <v>2842.56</v>
      </c>
      <c r="C30" s="331">
        <v>38</v>
      </c>
      <c r="D30" s="331">
        <f t="shared" ref="D30:D31" si="2">C30*B30</f>
        <v>108017.28</v>
      </c>
      <c r="E30" s="326">
        <f>B30*1</f>
        <v>2842.56</v>
      </c>
      <c r="F30" s="327">
        <f>E30*90</f>
        <v>255830.39999999999</v>
      </c>
      <c r="G30" s="327">
        <f t="shared" ref="G30:G31" si="3">D30+F30</f>
        <v>363847.67999999999</v>
      </c>
    </row>
    <row r="31" spans="1:8" ht="13" thickBot="1" x14ac:dyDescent="0.3">
      <c r="A31" s="332" t="s">
        <v>328</v>
      </c>
      <c r="B31" s="333">
        <f>B18*4</f>
        <v>5381.76</v>
      </c>
      <c r="C31" s="334">
        <v>48</v>
      </c>
      <c r="D31" s="334">
        <f t="shared" si="2"/>
        <v>258324.48000000001</v>
      </c>
      <c r="E31" s="326">
        <f>B31*2</f>
        <v>10763.52</v>
      </c>
      <c r="F31" s="327">
        <f>E31*90</f>
        <v>968716.80000000005</v>
      </c>
      <c r="G31" s="335">
        <f t="shared" si="3"/>
        <v>1227041.28</v>
      </c>
    </row>
    <row r="32" spans="1:8" ht="13" x14ac:dyDescent="0.25">
      <c r="A32" s="336" t="s">
        <v>73</v>
      </c>
      <c r="B32" s="371">
        <f>SUM(B29:B31)</f>
        <v>9600</v>
      </c>
      <c r="C32" s="338" t="s">
        <v>329</v>
      </c>
      <c r="D32" s="339">
        <f>SUM(D29:D31)</f>
        <v>404860.80000000005</v>
      </c>
      <c r="E32" s="340">
        <f>SUM(E29:E31)</f>
        <v>13606.08</v>
      </c>
      <c r="F32" s="341">
        <f>SUM(F29:F31)</f>
        <v>1224547.2</v>
      </c>
      <c r="G32" s="342">
        <f>SUM(G29:G31)</f>
        <v>1629408</v>
      </c>
      <c r="H32" s="343" t="s">
        <v>330</v>
      </c>
    </row>
    <row r="33" spans="1:8" ht="13.5" thickBot="1" x14ac:dyDescent="0.3">
      <c r="A33" s="344"/>
      <c r="B33" s="345" t="s">
        <v>331</v>
      </c>
      <c r="C33" s="346" t="s">
        <v>332</v>
      </c>
      <c r="D33" s="347"/>
      <c r="E33" s="348"/>
      <c r="F33" s="349"/>
      <c r="G33" s="350">
        <f>B32*20</f>
        <v>192000</v>
      </c>
      <c r="H33" s="343" t="s">
        <v>83</v>
      </c>
    </row>
    <row r="34" spans="1:8" ht="13" x14ac:dyDescent="0.3">
      <c r="A34" s="351" t="s">
        <v>345</v>
      </c>
      <c r="B34" s="372">
        <v>40</v>
      </c>
      <c r="C34" s="373"/>
      <c r="D34" s="354" t="s">
        <v>334</v>
      </c>
      <c r="E34" s="355"/>
      <c r="F34" s="344"/>
      <c r="G34" s="356">
        <f>G32-G33</f>
        <v>1437408</v>
      </c>
      <c r="H34" s="357" t="s">
        <v>335</v>
      </c>
    </row>
    <row r="35" spans="1:8" ht="13.5" thickBot="1" x14ac:dyDescent="0.3">
      <c r="A35" s="344" t="s">
        <v>336</v>
      </c>
      <c r="B35" s="374">
        <f>B32*0.3</f>
        <v>2880</v>
      </c>
      <c r="C35" s="375">
        <f>B34*B35</f>
        <v>115200</v>
      </c>
      <c r="D35" s="361" t="s">
        <v>346</v>
      </c>
      <c r="E35" s="362"/>
      <c r="F35" s="344"/>
      <c r="G35" s="363">
        <f>G33/G32</f>
        <v>0.11783420727037058</v>
      </c>
    </row>
    <row r="36" spans="1:8" ht="13" x14ac:dyDescent="0.3">
      <c r="C36" s="364">
        <f>G32+C35</f>
        <v>1744608</v>
      </c>
      <c r="D36" s="365" t="s">
        <v>337</v>
      </c>
      <c r="E36" s="362"/>
      <c r="G36" s="357" t="s">
        <v>338</v>
      </c>
    </row>
    <row r="37" spans="1:8" ht="13" thickBot="1" x14ac:dyDescent="0.3">
      <c r="C37" s="366">
        <f>C36-G33</f>
        <v>1552608</v>
      </c>
      <c r="D37" s="367" t="s">
        <v>339</v>
      </c>
      <c r="E37" s="368"/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8B19-7962-409F-B211-94F726F933B5}">
  <dimension ref="A1:G48"/>
  <sheetViews>
    <sheetView workbookViewId="0">
      <selection activeCell="H45" sqref="H45"/>
    </sheetView>
  </sheetViews>
  <sheetFormatPr defaultColWidth="8.7265625" defaultRowHeight="14" x14ac:dyDescent="0.3"/>
  <cols>
    <col min="1" max="1" width="52.81640625" style="33" bestFit="1" customWidth="1"/>
    <col min="2" max="2" width="10.81640625" style="33" bestFit="1" customWidth="1"/>
    <col min="3" max="3" width="6.54296875" style="86" customWidth="1"/>
    <col min="4" max="4" width="7.453125" style="86" bestFit="1" customWidth="1"/>
    <col min="5" max="5" width="4.54296875" style="36" customWidth="1"/>
    <col min="6" max="6" width="9.54296875" style="86" bestFit="1" customWidth="1"/>
    <col min="7" max="7" width="8.7265625" style="36"/>
    <col min="8" max="16384" width="8.7265625" style="86"/>
  </cols>
  <sheetData>
    <row r="1" spans="1:6" ht="15.5" x14ac:dyDescent="0.3">
      <c r="A1" s="32" t="s">
        <v>92</v>
      </c>
      <c r="C1" s="34" t="s">
        <v>140</v>
      </c>
      <c r="D1" s="33"/>
      <c r="E1" s="35"/>
      <c r="F1" s="33"/>
    </row>
    <row r="2" spans="1:6" x14ac:dyDescent="0.3">
      <c r="A2" s="37" t="s">
        <v>93</v>
      </c>
      <c r="B2" s="38">
        <f ca="1">SUM(B1:B4)</f>
        <v>100</v>
      </c>
      <c r="C2" s="39" t="s">
        <v>139</v>
      </c>
      <c r="D2" s="40"/>
      <c r="E2" s="41"/>
      <c r="F2" s="42"/>
    </row>
    <row r="3" spans="1:6" x14ac:dyDescent="0.3">
      <c r="A3" s="43" t="s">
        <v>94</v>
      </c>
      <c r="B3" s="43" t="s">
        <v>95</v>
      </c>
      <c r="C3" s="44">
        <v>1</v>
      </c>
      <c r="D3" s="45">
        <v>72</v>
      </c>
      <c r="E3" s="44">
        <v>3</v>
      </c>
      <c r="F3" s="45">
        <f t="shared" ref="F3:F11" si="0">D3*E3</f>
        <v>216</v>
      </c>
    </row>
    <row r="4" spans="1:6" x14ac:dyDescent="0.3">
      <c r="A4" s="43" t="s">
        <v>96</v>
      </c>
      <c r="B4" s="43" t="s">
        <v>97</v>
      </c>
      <c r="C4" s="44">
        <v>2</v>
      </c>
      <c r="D4" s="45">
        <v>66.47</v>
      </c>
      <c r="E4" s="44">
        <v>10</v>
      </c>
      <c r="F4" s="45">
        <f t="shared" si="0"/>
        <v>664.7</v>
      </c>
    </row>
    <row r="5" spans="1:6" x14ac:dyDescent="0.3">
      <c r="A5" s="43" t="s">
        <v>98</v>
      </c>
      <c r="B5" s="43" t="s">
        <v>99</v>
      </c>
      <c r="C5" s="44">
        <v>3</v>
      </c>
      <c r="D5" s="45">
        <v>65.06</v>
      </c>
      <c r="E5" s="44">
        <v>7</v>
      </c>
      <c r="F5" s="45">
        <f t="shared" si="0"/>
        <v>455.42</v>
      </c>
    </row>
    <row r="6" spans="1:6" x14ac:dyDescent="0.3">
      <c r="B6" s="46" t="s">
        <v>100</v>
      </c>
      <c r="C6" s="44">
        <v>4</v>
      </c>
      <c r="D6" s="45">
        <v>61.58</v>
      </c>
      <c r="E6" s="44">
        <v>2</v>
      </c>
      <c r="F6" s="45">
        <f t="shared" si="0"/>
        <v>123.16</v>
      </c>
    </row>
    <row r="7" spans="1:6" x14ac:dyDescent="0.3">
      <c r="A7" s="47" t="s">
        <v>101</v>
      </c>
      <c r="B7" s="48">
        <v>45</v>
      </c>
      <c r="C7" s="44">
        <v>5</v>
      </c>
      <c r="D7" s="45">
        <v>61.47</v>
      </c>
      <c r="E7" s="44">
        <v>1</v>
      </c>
      <c r="F7" s="45">
        <f t="shared" si="0"/>
        <v>61.47</v>
      </c>
    </row>
    <row r="8" spans="1:6" x14ac:dyDescent="0.3">
      <c r="A8" s="49" t="s">
        <v>102</v>
      </c>
      <c r="B8" s="50">
        <v>72</v>
      </c>
      <c r="C8" s="44">
        <v>6</v>
      </c>
      <c r="D8" s="45">
        <v>61.2</v>
      </c>
      <c r="E8" s="44">
        <v>1</v>
      </c>
      <c r="F8" s="45">
        <f t="shared" si="0"/>
        <v>61.2</v>
      </c>
    </row>
    <row r="9" spans="1:6" x14ac:dyDescent="0.3">
      <c r="A9" s="49" t="s">
        <v>103</v>
      </c>
      <c r="B9" s="50">
        <v>25.83</v>
      </c>
      <c r="C9" s="44">
        <v>7</v>
      </c>
      <c r="D9" s="45">
        <v>59.82</v>
      </c>
      <c r="E9" s="44">
        <v>1</v>
      </c>
      <c r="F9" s="45">
        <f t="shared" si="0"/>
        <v>59.82</v>
      </c>
    </row>
    <row r="10" spans="1:6" x14ac:dyDescent="0.3">
      <c r="A10" s="49" t="s">
        <v>104</v>
      </c>
      <c r="B10" s="50">
        <v>46.8</v>
      </c>
      <c r="C10" s="44">
        <v>8</v>
      </c>
      <c r="D10" s="45">
        <v>59.45</v>
      </c>
      <c r="E10" s="44">
        <v>1</v>
      </c>
      <c r="F10" s="45">
        <f t="shared" si="0"/>
        <v>59.45</v>
      </c>
    </row>
    <row r="11" spans="1:6" x14ac:dyDescent="0.3">
      <c r="A11" s="51" t="s">
        <v>105</v>
      </c>
      <c r="B11" s="52">
        <v>4680.1000000000004</v>
      </c>
      <c r="C11" s="44">
        <v>9</v>
      </c>
      <c r="D11" s="45">
        <v>56.47</v>
      </c>
      <c r="E11" s="44">
        <v>1</v>
      </c>
      <c r="F11" s="45">
        <f t="shared" si="0"/>
        <v>56.47</v>
      </c>
    </row>
    <row r="12" spans="1:6" x14ac:dyDescent="0.3">
      <c r="A12" s="53" t="s">
        <v>106</v>
      </c>
      <c r="B12" s="54">
        <v>9000</v>
      </c>
      <c r="C12" s="44">
        <v>10</v>
      </c>
      <c r="D12" s="45">
        <v>53.18</v>
      </c>
      <c r="E12" s="44">
        <v>1</v>
      </c>
      <c r="F12" s="45">
        <f>D12*E12</f>
        <v>53.18</v>
      </c>
    </row>
    <row r="13" spans="1:6" x14ac:dyDescent="0.3">
      <c r="A13" s="53" t="s">
        <v>107</v>
      </c>
      <c r="B13" s="54">
        <v>4500</v>
      </c>
      <c r="C13" s="44">
        <v>11</v>
      </c>
      <c r="D13" s="45">
        <v>52.34</v>
      </c>
      <c r="E13" s="44">
        <v>1</v>
      </c>
      <c r="F13" s="45">
        <f t="shared" ref="F13:F47" si="1">D13*E13</f>
        <v>52.34</v>
      </c>
    </row>
    <row r="14" spans="1:6" x14ac:dyDescent="0.3">
      <c r="A14" s="55" t="s">
        <v>108</v>
      </c>
      <c r="B14" s="56">
        <v>18180.099999999999</v>
      </c>
      <c r="C14" s="44">
        <v>12</v>
      </c>
      <c r="D14" s="45">
        <v>52</v>
      </c>
      <c r="E14" s="44">
        <v>1</v>
      </c>
      <c r="F14" s="45">
        <f t="shared" si="1"/>
        <v>52</v>
      </c>
    </row>
    <row r="15" spans="1:6" x14ac:dyDescent="0.3">
      <c r="A15" s="51" t="s">
        <v>109</v>
      </c>
      <c r="B15" s="52">
        <v>2000</v>
      </c>
      <c r="C15" s="44">
        <v>13</v>
      </c>
      <c r="D15" s="45">
        <v>51.58</v>
      </c>
      <c r="E15" s="44">
        <v>1</v>
      </c>
      <c r="F15" s="45">
        <f t="shared" si="1"/>
        <v>51.58</v>
      </c>
    </row>
    <row r="16" spans="1:6" x14ac:dyDescent="0.3">
      <c r="A16" s="57" t="s">
        <v>110</v>
      </c>
      <c r="B16" s="58">
        <f>B14-B15</f>
        <v>16180.099999999999</v>
      </c>
      <c r="C16" s="44">
        <v>14</v>
      </c>
      <c r="D16" s="45">
        <v>51.47</v>
      </c>
      <c r="E16" s="44">
        <v>1</v>
      </c>
      <c r="F16" s="45">
        <f t="shared" si="1"/>
        <v>51.47</v>
      </c>
    </row>
    <row r="17" spans="1:6" x14ac:dyDescent="0.3">
      <c r="A17" s="49" t="s">
        <v>111</v>
      </c>
      <c r="B17" s="50">
        <f>B14/100</f>
        <v>181.80099999999999</v>
      </c>
      <c r="C17" s="44">
        <v>15</v>
      </c>
      <c r="D17" s="45">
        <v>49.26</v>
      </c>
      <c r="E17" s="44">
        <v>1</v>
      </c>
      <c r="F17" s="45">
        <f t="shared" si="1"/>
        <v>49.26</v>
      </c>
    </row>
    <row r="18" spans="1:6" x14ac:dyDescent="0.3">
      <c r="A18" s="51" t="s">
        <v>112</v>
      </c>
      <c r="B18" s="52">
        <v>20</v>
      </c>
      <c r="C18" s="44">
        <v>16</v>
      </c>
      <c r="D18" s="45">
        <v>47.56</v>
      </c>
      <c r="E18" s="44">
        <v>3</v>
      </c>
      <c r="F18" s="45">
        <f t="shared" si="1"/>
        <v>142.68</v>
      </c>
    </row>
    <row r="19" spans="1:6" x14ac:dyDescent="0.3">
      <c r="A19" s="59" t="s">
        <v>113</v>
      </c>
      <c r="B19" s="60">
        <f>B17-B18</f>
        <v>161.80099999999999</v>
      </c>
      <c r="C19" s="44">
        <v>17</v>
      </c>
      <c r="D19" s="45">
        <v>47</v>
      </c>
      <c r="E19" s="44">
        <v>3</v>
      </c>
      <c r="F19" s="45">
        <f t="shared" si="1"/>
        <v>141</v>
      </c>
    </row>
    <row r="20" spans="1:6" x14ac:dyDescent="0.3">
      <c r="C20" s="44">
        <v>18</v>
      </c>
      <c r="D20" s="45">
        <v>46.61</v>
      </c>
      <c r="E20" s="44">
        <v>2</v>
      </c>
      <c r="F20" s="45">
        <f t="shared" si="1"/>
        <v>93.22</v>
      </c>
    </row>
    <row r="21" spans="1:6" ht="16.5" x14ac:dyDescent="0.3">
      <c r="A21" s="61" t="s">
        <v>114</v>
      </c>
      <c r="B21" s="62"/>
      <c r="C21" s="44">
        <v>19</v>
      </c>
      <c r="D21" s="45">
        <v>46.47</v>
      </c>
      <c r="E21" s="44">
        <v>2</v>
      </c>
      <c r="F21" s="45">
        <f t="shared" si="1"/>
        <v>92.94</v>
      </c>
    </row>
    <row r="22" spans="1:6" ht="15.5" x14ac:dyDescent="0.3">
      <c r="A22" s="63" t="s">
        <v>115</v>
      </c>
      <c r="B22" s="64"/>
      <c r="C22" s="44">
        <v>20</v>
      </c>
      <c r="D22" s="45">
        <v>45</v>
      </c>
      <c r="E22" s="44">
        <v>5</v>
      </c>
      <c r="F22" s="45">
        <f t="shared" si="1"/>
        <v>225</v>
      </c>
    </row>
    <row r="23" spans="1:6" ht="15.5" x14ac:dyDescent="0.3">
      <c r="A23" s="65" t="s">
        <v>116</v>
      </c>
      <c r="B23" s="62"/>
      <c r="C23" s="66">
        <v>21</v>
      </c>
      <c r="D23" s="45">
        <v>42.01</v>
      </c>
      <c r="E23" s="44">
        <v>2</v>
      </c>
      <c r="F23" s="45">
        <f t="shared" si="1"/>
        <v>84.02</v>
      </c>
    </row>
    <row r="24" spans="1:6" ht="15.5" x14ac:dyDescent="0.3">
      <c r="A24" s="67" t="s">
        <v>117</v>
      </c>
      <c r="B24" s="68"/>
      <c r="C24" s="44">
        <v>22</v>
      </c>
      <c r="D24" s="45">
        <v>42</v>
      </c>
      <c r="E24" s="44">
        <v>2</v>
      </c>
      <c r="F24" s="45">
        <f t="shared" si="1"/>
        <v>84</v>
      </c>
    </row>
    <row r="25" spans="1:6" ht="15.5" x14ac:dyDescent="0.3">
      <c r="A25" s="67" t="s">
        <v>118</v>
      </c>
      <c r="B25" s="68"/>
      <c r="C25" s="44">
        <v>23</v>
      </c>
      <c r="D25" s="45">
        <v>41.47</v>
      </c>
      <c r="E25" s="44">
        <v>1</v>
      </c>
      <c r="F25" s="45">
        <f t="shared" si="1"/>
        <v>41.47</v>
      </c>
    </row>
    <row r="26" spans="1:6" ht="15.5" x14ac:dyDescent="0.3">
      <c r="A26" s="69" t="s">
        <v>119</v>
      </c>
      <c r="B26" s="70"/>
      <c r="C26" s="44">
        <v>24</v>
      </c>
      <c r="D26" s="45">
        <v>40.299999999999997</v>
      </c>
      <c r="E26" s="44">
        <v>14</v>
      </c>
      <c r="F26" s="45">
        <f t="shared" si="1"/>
        <v>564.19999999999993</v>
      </c>
    </row>
    <row r="27" spans="1:6" ht="15.5" x14ac:dyDescent="0.3">
      <c r="A27" s="71" t="s">
        <v>120</v>
      </c>
      <c r="B27" s="72"/>
      <c r="C27" s="44">
        <v>25</v>
      </c>
      <c r="D27" s="45">
        <v>40.72</v>
      </c>
      <c r="E27" s="44">
        <v>7</v>
      </c>
      <c r="F27" s="45">
        <f t="shared" si="1"/>
        <v>285.03999999999996</v>
      </c>
    </row>
    <row r="28" spans="1:6" ht="15.5" x14ac:dyDescent="0.3">
      <c r="A28" s="73" t="s">
        <v>121</v>
      </c>
      <c r="B28" s="74"/>
      <c r="C28" s="44">
        <v>26</v>
      </c>
      <c r="D28" s="45">
        <v>40.5</v>
      </c>
      <c r="E28" s="44">
        <v>1</v>
      </c>
      <c r="F28" s="45">
        <f t="shared" si="1"/>
        <v>40.5</v>
      </c>
    </row>
    <row r="29" spans="1:6" ht="15.5" x14ac:dyDescent="0.3">
      <c r="A29" s="75" t="s">
        <v>122</v>
      </c>
      <c r="B29" s="76"/>
      <c r="C29" s="44">
        <v>27</v>
      </c>
      <c r="D29" s="45">
        <v>38.94</v>
      </c>
      <c r="E29" s="44">
        <v>4</v>
      </c>
      <c r="F29" s="45">
        <f t="shared" si="1"/>
        <v>155.76</v>
      </c>
    </row>
    <row r="30" spans="1:6" ht="15.5" x14ac:dyDescent="0.3">
      <c r="A30" s="77" t="s">
        <v>123</v>
      </c>
      <c r="B30" s="64"/>
      <c r="C30" s="44">
        <v>28</v>
      </c>
      <c r="D30" s="45">
        <v>37.200000000000003</v>
      </c>
      <c r="E30" s="44">
        <v>1</v>
      </c>
      <c r="F30" s="45">
        <f t="shared" si="1"/>
        <v>37.200000000000003</v>
      </c>
    </row>
    <row r="31" spans="1:6" ht="15.5" x14ac:dyDescent="0.3">
      <c r="A31" s="69" t="s">
        <v>124</v>
      </c>
      <c r="B31" s="70"/>
      <c r="C31" s="44">
        <v>29</v>
      </c>
      <c r="D31" s="45">
        <v>36.58</v>
      </c>
      <c r="E31" s="44">
        <v>1</v>
      </c>
      <c r="F31" s="45">
        <f t="shared" si="1"/>
        <v>36.58</v>
      </c>
    </row>
    <row r="32" spans="1:6" ht="15.5" x14ac:dyDescent="0.3">
      <c r="A32" s="71" t="s">
        <v>125</v>
      </c>
      <c r="B32" s="72"/>
      <c r="C32" s="44">
        <v>30</v>
      </c>
      <c r="D32" s="45">
        <v>35.83</v>
      </c>
      <c r="E32" s="44">
        <v>2</v>
      </c>
      <c r="F32" s="45">
        <f t="shared" si="1"/>
        <v>71.66</v>
      </c>
    </row>
    <row r="33" spans="1:6" ht="15.5" x14ac:dyDescent="0.3">
      <c r="A33" s="73" t="s">
        <v>126</v>
      </c>
      <c r="B33" s="74"/>
      <c r="C33" s="44">
        <v>31</v>
      </c>
      <c r="D33" s="45">
        <v>33.94</v>
      </c>
      <c r="E33" s="44">
        <v>1</v>
      </c>
      <c r="F33" s="45">
        <f t="shared" si="1"/>
        <v>33.94</v>
      </c>
    </row>
    <row r="34" spans="1:6" x14ac:dyDescent="0.3">
      <c r="A34" s="78" t="s">
        <v>127</v>
      </c>
      <c r="B34" s="74"/>
      <c r="C34" s="44">
        <v>32</v>
      </c>
      <c r="D34" s="45">
        <v>33.909999999999997</v>
      </c>
      <c r="E34" s="44">
        <v>1</v>
      </c>
      <c r="F34" s="45">
        <f t="shared" si="1"/>
        <v>33.909999999999997</v>
      </c>
    </row>
    <row r="35" spans="1:6" x14ac:dyDescent="0.3">
      <c r="A35" s="78" t="s">
        <v>128</v>
      </c>
      <c r="B35" s="74"/>
      <c r="C35" s="44">
        <v>33</v>
      </c>
      <c r="D35" s="45">
        <v>33.61</v>
      </c>
      <c r="E35" s="44">
        <v>1</v>
      </c>
      <c r="F35" s="45">
        <f t="shared" si="1"/>
        <v>33.61</v>
      </c>
    </row>
    <row r="36" spans="1:6" ht="15.5" x14ac:dyDescent="0.3">
      <c r="A36" s="77" t="s">
        <v>129</v>
      </c>
      <c r="B36" s="64"/>
      <c r="C36" s="66">
        <v>34</v>
      </c>
      <c r="D36" s="45">
        <v>33.340000000000003</v>
      </c>
      <c r="E36" s="44">
        <v>1</v>
      </c>
      <c r="F36" s="45">
        <f t="shared" si="1"/>
        <v>33.340000000000003</v>
      </c>
    </row>
    <row r="37" spans="1:6" ht="15.5" x14ac:dyDescent="0.3">
      <c r="A37" s="69" t="s">
        <v>130</v>
      </c>
      <c r="B37" s="70"/>
      <c r="C37" s="66">
        <v>35</v>
      </c>
      <c r="D37" s="45">
        <v>32.58</v>
      </c>
      <c r="E37" s="44">
        <v>1</v>
      </c>
      <c r="F37" s="45">
        <f t="shared" si="1"/>
        <v>32.58</v>
      </c>
    </row>
    <row r="38" spans="1:6" ht="15.5" x14ac:dyDescent="0.3">
      <c r="A38" s="79" t="s">
        <v>131</v>
      </c>
      <c r="B38" s="74"/>
      <c r="C38" s="66">
        <v>36</v>
      </c>
      <c r="D38" s="45">
        <v>31.58</v>
      </c>
      <c r="E38" s="44">
        <v>1</v>
      </c>
      <c r="F38" s="45">
        <f t="shared" si="1"/>
        <v>31.58</v>
      </c>
    </row>
    <row r="39" spans="1:6" ht="15.5" x14ac:dyDescent="0.3">
      <c r="A39" s="80" t="s">
        <v>132</v>
      </c>
      <c r="B39" s="74"/>
      <c r="C39" s="66">
        <v>37</v>
      </c>
      <c r="D39" s="45">
        <v>31.51</v>
      </c>
      <c r="E39" s="44">
        <v>1</v>
      </c>
      <c r="F39" s="45">
        <f t="shared" si="1"/>
        <v>31.51</v>
      </c>
    </row>
    <row r="40" spans="1:6" ht="15.5" x14ac:dyDescent="0.3">
      <c r="A40" s="77" t="s">
        <v>133</v>
      </c>
      <c r="B40" s="64"/>
      <c r="C40" s="66">
        <v>38</v>
      </c>
      <c r="D40" s="45">
        <v>30.01</v>
      </c>
      <c r="E40" s="44">
        <v>1</v>
      </c>
      <c r="F40" s="45">
        <f t="shared" si="1"/>
        <v>30.01</v>
      </c>
    </row>
    <row r="41" spans="1:6" x14ac:dyDescent="0.3">
      <c r="A41" s="81" t="s">
        <v>134</v>
      </c>
      <c r="B41" s="68"/>
      <c r="C41" s="66">
        <v>39</v>
      </c>
      <c r="D41" s="45">
        <v>29.76</v>
      </c>
      <c r="E41" s="44">
        <v>3</v>
      </c>
      <c r="F41" s="45">
        <f t="shared" si="1"/>
        <v>89.28</v>
      </c>
    </row>
    <row r="42" spans="1:6" ht="15.5" x14ac:dyDescent="0.3">
      <c r="A42" s="82" t="s">
        <v>135</v>
      </c>
      <c r="B42" s="72"/>
      <c r="C42" s="44">
        <v>40</v>
      </c>
      <c r="D42" s="45">
        <v>29.28</v>
      </c>
      <c r="E42" s="44">
        <v>1</v>
      </c>
      <c r="F42" s="45">
        <f t="shared" si="1"/>
        <v>29.28</v>
      </c>
    </row>
    <row r="43" spans="1:6" x14ac:dyDescent="0.3">
      <c r="A43" s="83" t="s">
        <v>136</v>
      </c>
      <c r="B43" s="74"/>
      <c r="C43" s="44">
        <v>41</v>
      </c>
      <c r="D43" s="45">
        <v>29.25</v>
      </c>
      <c r="E43" s="44">
        <v>1</v>
      </c>
      <c r="F43" s="45">
        <f t="shared" si="1"/>
        <v>29.25</v>
      </c>
    </row>
    <row r="44" spans="1:6" ht="15.5" x14ac:dyDescent="0.3">
      <c r="A44" s="84" t="s">
        <v>137</v>
      </c>
      <c r="B44" s="72"/>
      <c r="C44" s="44">
        <v>42</v>
      </c>
      <c r="D44" s="45">
        <v>29.16</v>
      </c>
      <c r="E44" s="44">
        <v>1</v>
      </c>
      <c r="F44" s="45">
        <f t="shared" si="1"/>
        <v>29.16</v>
      </c>
    </row>
    <row r="45" spans="1:6" x14ac:dyDescent="0.3">
      <c r="A45" s="85" t="s">
        <v>138</v>
      </c>
      <c r="B45" s="76"/>
      <c r="C45" s="44">
        <v>43</v>
      </c>
      <c r="D45" s="45">
        <v>27.56</v>
      </c>
      <c r="E45" s="44">
        <v>1</v>
      </c>
      <c r="F45" s="45">
        <f t="shared" si="1"/>
        <v>27.56</v>
      </c>
    </row>
    <row r="46" spans="1:6" x14ac:dyDescent="0.3">
      <c r="C46" s="44">
        <v>44</v>
      </c>
      <c r="D46" s="45">
        <v>26.47</v>
      </c>
      <c r="E46" s="44">
        <v>1</v>
      </c>
      <c r="F46" s="45">
        <f t="shared" si="1"/>
        <v>26.47</v>
      </c>
    </row>
    <row r="47" spans="1:6" x14ac:dyDescent="0.3">
      <c r="C47" s="44">
        <v>45</v>
      </c>
      <c r="D47" s="45">
        <v>25.83</v>
      </c>
      <c r="E47" s="44">
        <v>1</v>
      </c>
      <c r="F47" s="45">
        <f t="shared" si="1"/>
        <v>25.83</v>
      </c>
    </row>
    <row r="48" spans="1:6" x14ac:dyDescent="0.3">
      <c r="F48" s="36">
        <f>SUM(F3:F47)</f>
        <v>4680.0999999999985</v>
      </c>
    </row>
  </sheetData>
  <hyperlinks>
    <hyperlink ref="A43" r:id="rId1" xr:uid="{E882D722-90D7-43F5-948D-D119D23BE088}"/>
    <hyperlink ref="A45" r:id="rId2" xr:uid="{9E4B4112-DAA8-442E-BEB5-D7F178EEEA2D}"/>
  </hyperlinks>
  <pageMargins left="0.5" right="0.5" top="0.5" bottom="0.5" header="0.3" footer="0.3"/>
  <pageSetup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9197-4AF6-44AD-AEBD-77D945D70A68}">
  <dimension ref="A1:B29"/>
  <sheetViews>
    <sheetView view="pageLayout" topLeftCell="A2" zoomScaleNormal="100" workbookViewId="0">
      <selection activeCell="A3" sqref="A3"/>
    </sheetView>
  </sheetViews>
  <sheetFormatPr defaultColWidth="8.7265625" defaultRowHeight="14" x14ac:dyDescent="0.3"/>
  <cols>
    <col min="1" max="1" width="74.453125" style="23" customWidth="1"/>
    <col min="2" max="2" width="26.453125" style="23" customWidth="1"/>
    <col min="3" max="3" width="13.1796875" style="23" customWidth="1"/>
    <col min="4" max="4" width="15.26953125" style="23" customWidth="1"/>
    <col min="5" max="5" width="11.1796875" style="23" customWidth="1"/>
    <col min="6" max="16384" width="8.7265625" style="23"/>
  </cols>
  <sheetData>
    <row r="1" spans="1:2" ht="21.65" customHeight="1" x14ac:dyDescent="0.3">
      <c r="A1" s="239"/>
      <c r="B1" s="239"/>
    </row>
    <row r="2" spans="1:2" ht="39.65" customHeight="1" x14ac:dyDescent="0.3">
      <c r="A2" s="240" t="s">
        <v>72</v>
      </c>
      <c r="B2" s="240"/>
    </row>
    <row r="3" spans="1:2" ht="10.75" customHeight="1" x14ac:dyDescent="0.3"/>
    <row r="4" spans="1:2" ht="10.75" customHeight="1" x14ac:dyDescent="0.3"/>
    <row r="5" spans="1:2" ht="21.65" customHeight="1" x14ac:dyDescent="0.3">
      <c r="A5" s="24" t="s">
        <v>51</v>
      </c>
    </row>
    <row r="6" spans="1:2" ht="21.65" customHeight="1" x14ac:dyDescent="0.3">
      <c r="A6" s="24" t="s">
        <v>52</v>
      </c>
    </row>
    <row r="7" spans="1:2" ht="10.75" customHeight="1" x14ac:dyDescent="0.3"/>
    <row r="8" spans="1:2" ht="10.75" customHeight="1" x14ac:dyDescent="0.3"/>
    <row r="9" spans="1:2" ht="27.25" customHeight="1" x14ac:dyDescent="0.3">
      <c r="A9" s="25" t="s">
        <v>53</v>
      </c>
      <c r="B9" s="26" t="s">
        <v>54</v>
      </c>
    </row>
    <row r="10" spans="1:2" ht="27.25" customHeight="1" x14ac:dyDescent="0.3">
      <c r="A10" s="241" t="s">
        <v>48</v>
      </c>
      <c r="B10" s="242"/>
    </row>
    <row r="11" spans="1:2" ht="27.25" customHeight="1" x14ac:dyDescent="0.3">
      <c r="A11" s="27" t="s">
        <v>55</v>
      </c>
      <c r="B11" s="28"/>
    </row>
    <row r="12" spans="1:2" ht="27.25" customHeight="1" x14ac:dyDescent="0.3">
      <c r="A12" s="29" t="s">
        <v>62</v>
      </c>
      <c r="B12" s="30">
        <v>4000</v>
      </c>
    </row>
    <row r="13" spans="1:2" ht="27.25" customHeight="1" x14ac:dyDescent="0.3">
      <c r="A13" s="29" t="s">
        <v>63</v>
      </c>
      <c r="B13" s="30">
        <v>26540</v>
      </c>
    </row>
    <row r="14" spans="1:2" ht="27.25" customHeight="1" x14ac:dyDescent="0.3">
      <c r="A14" s="29" t="s">
        <v>65</v>
      </c>
      <c r="B14" s="30">
        <v>2682356</v>
      </c>
    </row>
    <row r="15" spans="1:2" ht="27.25" customHeight="1" x14ac:dyDescent="0.3">
      <c r="A15" s="29" t="s">
        <v>64</v>
      </c>
      <c r="B15" s="30">
        <v>0</v>
      </c>
    </row>
    <row r="16" spans="1:2" ht="27.25" customHeight="1" x14ac:dyDescent="0.3">
      <c r="A16" s="27" t="s">
        <v>56</v>
      </c>
      <c r="B16" s="31">
        <f>SUM(B12:B15)</f>
        <v>2712896</v>
      </c>
    </row>
    <row r="17" spans="1:2" ht="27.25" customHeight="1" x14ac:dyDescent="0.3">
      <c r="A17" s="241" t="s">
        <v>49</v>
      </c>
      <c r="B17" s="242"/>
    </row>
    <row r="18" spans="1:2" ht="27.25" customHeight="1" x14ac:dyDescent="0.3">
      <c r="A18" s="27" t="s">
        <v>57</v>
      </c>
      <c r="B18" s="28"/>
    </row>
    <row r="19" spans="1:2" ht="27.25" customHeight="1" x14ac:dyDescent="0.3">
      <c r="A19" s="29" t="s">
        <v>66</v>
      </c>
      <c r="B19" s="30">
        <v>155000</v>
      </c>
    </row>
    <row r="20" spans="1:2" ht="27.25" customHeight="1" x14ac:dyDescent="0.3">
      <c r="A20" s="29" t="s">
        <v>67</v>
      </c>
      <c r="B20" s="30">
        <v>7896</v>
      </c>
    </row>
    <row r="21" spans="1:2" ht="27.25" customHeight="1" x14ac:dyDescent="0.3">
      <c r="A21" s="29" t="s">
        <v>68</v>
      </c>
      <c r="B21" s="30">
        <v>90000</v>
      </c>
    </row>
    <row r="22" spans="1:2" ht="27.25" customHeight="1" x14ac:dyDescent="0.3">
      <c r="A22" s="27" t="s">
        <v>58</v>
      </c>
      <c r="B22" s="31">
        <f>SUM(B19:B21)</f>
        <v>252896</v>
      </c>
    </row>
    <row r="23" spans="1:2" ht="27.25" customHeight="1" x14ac:dyDescent="0.3">
      <c r="A23" s="29" t="s">
        <v>69</v>
      </c>
      <c r="B23" s="30">
        <v>1250000</v>
      </c>
    </row>
    <row r="24" spans="1:2" ht="27.25" customHeight="1" x14ac:dyDescent="0.3">
      <c r="A24" s="27" t="s">
        <v>59</v>
      </c>
      <c r="B24" s="31">
        <f>SUM(B22:B23)</f>
        <v>1502896</v>
      </c>
    </row>
    <row r="25" spans="1:2" ht="27.25" customHeight="1" x14ac:dyDescent="0.3">
      <c r="A25" s="241" t="s">
        <v>60</v>
      </c>
      <c r="B25" s="242"/>
    </row>
    <row r="26" spans="1:2" ht="27.25" customHeight="1" x14ac:dyDescent="0.3">
      <c r="A26" s="29" t="s">
        <v>70</v>
      </c>
      <c r="B26" s="30">
        <v>1210000</v>
      </c>
    </row>
    <row r="27" spans="1:2" ht="27.25" customHeight="1" x14ac:dyDescent="0.3">
      <c r="A27" s="29" t="s">
        <v>71</v>
      </c>
      <c r="B27" s="30">
        <v>100000</v>
      </c>
    </row>
    <row r="28" spans="1:2" ht="27.25" customHeight="1" x14ac:dyDescent="0.3">
      <c r="A28" s="27" t="s">
        <v>60</v>
      </c>
      <c r="B28" s="31">
        <f>SUM(B26:B26)</f>
        <v>1210000</v>
      </c>
    </row>
    <row r="29" spans="1:2" ht="27.25" customHeight="1" x14ac:dyDescent="0.3">
      <c r="A29" s="27" t="s">
        <v>61</v>
      </c>
      <c r="B29" s="31">
        <f>SUM(B24,B28)</f>
        <v>2712896</v>
      </c>
    </row>
  </sheetData>
  <mergeCells count="5">
    <mergeCell ref="A1:B1"/>
    <mergeCell ref="A2:B2"/>
    <mergeCell ref="A10:B10"/>
    <mergeCell ref="A17:B17"/>
    <mergeCell ref="A25:B25"/>
  </mergeCells>
  <pageMargins left="0.25" right="0.25" top="0.75" bottom="0.75" header="0.3" footer="0.3"/>
  <pageSetup scale="71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B65E-BA57-43FE-8991-471F3FF5FFB0}">
  <dimension ref="A1:Z1000"/>
  <sheetViews>
    <sheetView workbookViewId="0">
      <selection sqref="A1:B1"/>
    </sheetView>
  </sheetViews>
  <sheetFormatPr defaultColWidth="14.453125" defaultRowHeight="15" customHeight="1" x14ac:dyDescent="0.3"/>
  <cols>
    <col min="1" max="1" width="38.1796875" style="88" customWidth="1"/>
    <col min="2" max="2" width="19.453125" style="88" customWidth="1"/>
    <col min="3" max="26" width="8.81640625" style="88" customWidth="1"/>
    <col min="27" max="16384" width="14.453125" style="88"/>
  </cols>
  <sheetData>
    <row r="1" spans="1:26" ht="18" x14ac:dyDescent="0.4">
      <c r="A1" s="243" t="s">
        <v>153</v>
      </c>
      <c r="B1" s="244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spans="1:26" ht="18" x14ac:dyDescent="0.4">
      <c r="A2" s="243" t="s">
        <v>154</v>
      </c>
      <c r="B2" s="244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26" ht="14.5" x14ac:dyDescent="0.35">
      <c r="A3" s="245" t="s">
        <v>155</v>
      </c>
      <c r="B3" s="244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spans="1:26" ht="14.5" x14ac:dyDescent="0.35">
      <c r="A4" s="89"/>
      <c r="B4" s="89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1:26" ht="14.5" x14ac:dyDescent="0.35">
      <c r="A5" s="90"/>
      <c r="B5" s="91" t="s">
        <v>156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6" ht="14.5" x14ac:dyDescent="0.35">
      <c r="A6" s="92" t="s">
        <v>157</v>
      </c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1:26" ht="14.5" x14ac:dyDescent="0.35">
      <c r="A7" s="92" t="s">
        <v>158</v>
      </c>
      <c r="B7" s="94">
        <v>408000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1:26" ht="14.5" x14ac:dyDescent="0.35">
      <c r="A8" s="92" t="s">
        <v>159</v>
      </c>
      <c r="B8" s="95">
        <v>3825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spans="1:26" ht="14.5" x14ac:dyDescent="0.35">
      <c r="A9" s="92"/>
      <c r="B9" s="9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spans="1:26" ht="14.5" x14ac:dyDescent="0.35">
      <c r="A10" s="92" t="s">
        <v>160</v>
      </c>
      <c r="B10" s="94">
        <f>SUM(B7:B9)</f>
        <v>411825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ht="14.5" x14ac:dyDescent="0.35">
      <c r="A11" s="92" t="s">
        <v>161</v>
      </c>
      <c r="B11" s="9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spans="1:26" ht="14.5" x14ac:dyDescent="0.35">
      <c r="A12" s="92" t="s">
        <v>162</v>
      </c>
      <c r="B12" s="98">
        <f>(0.1*B10)</f>
        <v>41182.5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spans="1:26" ht="14.5" x14ac:dyDescent="0.35">
      <c r="A13" s="92" t="s">
        <v>163</v>
      </c>
      <c r="B13" s="96">
        <f>(0.1*B10)</f>
        <v>41182.5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ht="14.5" x14ac:dyDescent="0.35">
      <c r="A14" s="92" t="s">
        <v>13</v>
      </c>
      <c r="B14" s="99">
        <f>(B10-B13)</f>
        <v>370642.5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ht="14.5" x14ac:dyDescent="0.35">
      <c r="A15" s="92" t="s">
        <v>164</v>
      </c>
      <c r="B15" s="93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ht="14.5" x14ac:dyDescent="0.35">
      <c r="A16" s="92" t="s">
        <v>165</v>
      </c>
      <c r="B16" s="9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ht="14.5" x14ac:dyDescent="0.35">
      <c r="A17" s="92" t="s">
        <v>166</v>
      </c>
      <c r="B17" s="97">
        <f>(B14*0.3)</f>
        <v>111192.75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ht="14.5" x14ac:dyDescent="0.35">
      <c r="A18" s="92" t="s">
        <v>167</v>
      </c>
      <c r="B18" s="97">
        <f>(B14*0.15)</f>
        <v>55596.375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spans="1:26" ht="14.5" x14ac:dyDescent="0.35">
      <c r="A19" s="92" t="s">
        <v>168</v>
      </c>
      <c r="B19" s="100">
        <f>(B14*0.18)</f>
        <v>66715.649999999994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ht="14.5" x14ac:dyDescent="0.35">
      <c r="A20" s="92" t="s">
        <v>169</v>
      </c>
      <c r="B20" s="96">
        <v>78128.87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ht="15.75" customHeight="1" x14ac:dyDescent="0.35">
      <c r="A21" s="92" t="s">
        <v>170</v>
      </c>
      <c r="B21" s="101">
        <f>SUM(B17:B20)</f>
        <v>311633.64500000002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ht="15.75" customHeight="1" x14ac:dyDescent="0.35">
      <c r="A22" s="92" t="s">
        <v>171</v>
      </c>
      <c r="B22" s="96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ht="15.75" customHeight="1" x14ac:dyDescent="0.35">
      <c r="A23" s="92" t="s">
        <v>167</v>
      </c>
      <c r="B23" s="98">
        <f>(B8*0.2)</f>
        <v>765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ht="15.75" customHeight="1" x14ac:dyDescent="0.35">
      <c r="A24" s="92" t="s">
        <v>168</v>
      </c>
      <c r="B24" s="102">
        <f>(B8*0.17)</f>
        <v>650.25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ht="15.75" customHeight="1" x14ac:dyDescent="0.35">
      <c r="A25" s="92" t="s">
        <v>172</v>
      </c>
      <c r="B25" s="102">
        <f>SUM(B23:B24)</f>
        <v>1415.25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ht="15.75" customHeight="1" x14ac:dyDescent="0.35">
      <c r="A26" s="92" t="s">
        <v>173</v>
      </c>
      <c r="B26" s="96">
        <f>(B21+B25)</f>
        <v>313048.89500000002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ht="15.75" customHeight="1" x14ac:dyDescent="0.35">
      <c r="A27" s="92" t="s">
        <v>174</v>
      </c>
      <c r="B27" s="99">
        <f>(B14-B26)</f>
        <v>57593.604999999981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ht="15.75" customHeight="1" x14ac:dyDescent="0.35">
      <c r="A28" s="92" t="s">
        <v>175</v>
      </c>
      <c r="B28" s="98">
        <v>0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ht="15.75" customHeight="1" x14ac:dyDescent="0.35">
      <c r="A29" s="92" t="s">
        <v>176</v>
      </c>
      <c r="B29" s="102">
        <v>0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ht="15.75" customHeight="1" x14ac:dyDescent="0.35">
      <c r="A30" s="92" t="s">
        <v>17</v>
      </c>
      <c r="B30" s="96">
        <f>(B27+B29)</f>
        <v>57593.604999999981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ht="15.75" customHeight="1" x14ac:dyDescent="0.35">
      <c r="A31" s="103"/>
      <c r="B31" s="104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ht="15.75" customHeight="1" x14ac:dyDescent="0.35">
      <c r="A32" s="89"/>
      <c r="B32" s="89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6" ht="15.75" customHeight="1" x14ac:dyDescent="0.35">
      <c r="A33" s="89"/>
      <c r="B33" s="89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6" ht="15.75" customHeight="1" x14ac:dyDescent="0.35">
      <c r="A34" s="246" t="s">
        <v>177</v>
      </c>
      <c r="B34" s="244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6" ht="15.75" customHeight="1" x14ac:dyDescent="0.35">
      <c r="A35" s="89"/>
      <c r="B35" s="89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6" ht="15.75" customHeight="1" x14ac:dyDescent="0.35">
      <c r="A36" s="89"/>
      <c r="B36" s="89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spans="1:26" ht="15.75" customHeight="1" x14ac:dyDescent="0.35">
      <c r="A37" s="105" t="s">
        <v>178</v>
      </c>
      <c r="B37" s="89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spans="1:26" ht="15.75" customHeight="1" x14ac:dyDescent="0.35">
      <c r="A38" s="106" t="s">
        <v>179</v>
      </c>
      <c r="B38" s="89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6" ht="15.75" customHeight="1" x14ac:dyDescent="0.35">
      <c r="A39" s="106" t="s">
        <v>180</v>
      </c>
      <c r="B39" s="89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6" ht="15.75" customHeight="1" x14ac:dyDescent="0.35">
      <c r="A40" s="106" t="s">
        <v>181</v>
      </c>
      <c r="B40" s="89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spans="1:26" ht="15.75" customHeight="1" x14ac:dyDescent="0.35">
      <c r="A41" s="89" t="s">
        <v>182</v>
      </c>
      <c r="B41" s="89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spans="1:26" ht="15.75" customHeight="1" x14ac:dyDescent="0.35">
      <c r="A42" s="106" t="s">
        <v>183</v>
      </c>
      <c r="B42" s="89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6" ht="15.75" customHeight="1" x14ac:dyDescent="0.35">
      <c r="A43" s="89"/>
      <c r="B43" s="89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spans="1:26" ht="15.75" customHeight="1" x14ac:dyDescent="0.35">
      <c r="A44" s="106" t="s">
        <v>184</v>
      </c>
      <c r="B44" s="89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6" ht="15.75" customHeight="1" x14ac:dyDescent="0.35">
      <c r="A45" s="89"/>
      <c r="B45" s="89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6" ht="15.75" customHeight="1" x14ac:dyDescent="0.35">
      <c r="A46" s="107" t="s">
        <v>185</v>
      </c>
      <c r="B46" s="89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6" ht="15.75" customHeight="1" x14ac:dyDescent="0.35">
      <c r="A47" s="89"/>
      <c r="B47" s="89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6" ht="15.75" customHeight="1" x14ac:dyDescent="0.35">
      <c r="A48" s="107" t="s">
        <v>186</v>
      </c>
      <c r="B48" s="89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ht="15.75" customHeight="1" x14ac:dyDescent="0.35">
      <c r="A49" s="89"/>
      <c r="B49" s="89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ht="15.75" customHeight="1" x14ac:dyDescent="0.35">
      <c r="A50" s="108" t="s">
        <v>187</v>
      </c>
      <c r="B50" s="89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ht="15.75" customHeight="1" x14ac:dyDescent="0.35">
      <c r="A51" s="89"/>
      <c r="B51" s="89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ht="15.75" customHeight="1" x14ac:dyDescent="0.3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ht="15.75" customHeight="1" x14ac:dyDescent="0.3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ht="15.75" customHeight="1" x14ac:dyDescent="0.3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ht="15.75" customHeight="1" x14ac:dyDescent="0.3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ht="15.75" customHeight="1" x14ac:dyDescent="0.3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ht="15.75" customHeight="1" x14ac:dyDescent="0.3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ht="15.75" customHeight="1" x14ac:dyDescent="0.3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ht="15.75" customHeight="1" x14ac:dyDescent="0.3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5.75" customHeight="1" x14ac:dyDescent="0.3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5.75" customHeight="1" x14ac:dyDescent="0.35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ht="15.75" customHeight="1" x14ac:dyDescent="0.35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5.75" customHeight="1" x14ac:dyDescent="0.35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5.75" customHeight="1" x14ac:dyDescent="0.35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ht="15.75" customHeight="1" x14ac:dyDescent="0.35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ht="15.75" customHeight="1" x14ac:dyDescent="0.35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ht="15.75" customHeight="1" x14ac:dyDescent="0.35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ht="15.75" customHeight="1" x14ac:dyDescent="0.35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ht="15.75" customHeight="1" x14ac:dyDescent="0.35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ht="15.75" customHeight="1" x14ac:dyDescent="0.35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ht="15.75" customHeight="1" x14ac:dyDescent="0.35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ht="15.75" customHeight="1" x14ac:dyDescent="0.35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ht="15.75" customHeight="1" x14ac:dyDescent="0.35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ht="15.75" customHeight="1" x14ac:dyDescent="0.35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spans="1:26" ht="15.75" customHeight="1" x14ac:dyDescent="0.3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ht="15.75" customHeight="1" x14ac:dyDescent="0.35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ht="15.75" customHeight="1" x14ac:dyDescent="0.35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ht="15.75" customHeight="1" x14ac:dyDescent="0.35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ht="15.75" customHeight="1" x14ac:dyDescent="0.35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ht="15.75" customHeight="1" x14ac:dyDescent="0.35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5.75" customHeight="1" x14ac:dyDescent="0.35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spans="1:26" ht="15.75" customHeight="1" x14ac:dyDescent="0.35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spans="1:26" ht="15.75" customHeight="1" x14ac:dyDescent="0.3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spans="1:26" ht="15.75" customHeight="1" x14ac:dyDescent="0.35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spans="1:26" ht="15.75" customHeight="1" x14ac:dyDescent="0.3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spans="1:26" ht="15.75" customHeight="1" x14ac:dyDescent="0.35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spans="1:26" ht="15.75" customHeight="1" x14ac:dyDescent="0.35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spans="1:26" ht="15.75" customHeight="1" x14ac:dyDescent="0.35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spans="1:26" ht="15.75" customHeight="1" x14ac:dyDescent="0.35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spans="1:26" ht="15.75" customHeight="1" x14ac:dyDescent="0.35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spans="1:26" ht="15.75" customHeight="1" x14ac:dyDescent="0.3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spans="1:26" ht="15.75" customHeight="1" x14ac:dyDescent="0.35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spans="1:26" ht="15.75" customHeight="1" x14ac:dyDescent="0.35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spans="1:26" ht="15.75" customHeight="1" x14ac:dyDescent="0.35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spans="1:26" ht="15.75" customHeight="1" x14ac:dyDescent="0.3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spans="1:26" ht="15.75" customHeight="1" x14ac:dyDescent="0.35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spans="1:26" ht="15.75" customHeight="1" x14ac:dyDescent="0.35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spans="1:26" ht="15.75" customHeight="1" x14ac:dyDescent="0.3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spans="1:26" ht="15.75" customHeight="1" x14ac:dyDescent="0.3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spans="1:26" ht="15.75" customHeight="1" x14ac:dyDescent="0.3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spans="1:26" ht="15.75" customHeight="1" x14ac:dyDescent="0.35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spans="1:26" ht="15.75" customHeight="1" x14ac:dyDescent="0.3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spans="1:26" ht="15.75" customHeight="1" x14ac:dyDescent="0.35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spans="1:26" ht="15.75" customHeight="1" x14ac:dyDescent="0.35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spans="1:26" ht="15.75" customHeight="1" x14ac:dyDescent="0.3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spans="1:26" ht="15.75" customHeight="1" x14ac:dyDescent="0.35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spans="1:26" ht="15.75" customHeight="1" x14ac:dyDescent="0.35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spans="1:26" ht="15.75" customHeight="1" x14ac:dyDescent="0.35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spans="1:26" ht="15.75" customHeight="1" x14ac:dyDescent="0.35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spans="1:26" ht="15.75" customHeight="1" x14ac:dyDescent="0.35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spans="1:26" ht="15.75" customHeight="1" x14ac:dyDescent="0.35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spans="1:26" ht="15.75" customHeight="1" x14ac:dyDescent="0.35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spans="1:26" ht="15.75" customHeight="1" x14ac:dyDescent="0.35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spans="1:26" ht="15.75" customHeight="1" x14ac:dyDescent="0.3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spans="1:26" ht="15.75" customHeight="1" x14ac:dyDescent="0.3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spans="1:26" ht="15.75" customHeight="1" x14ac:dyDescent="0.3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spans="1:26" ht="15.75" customHeight="1" x14ac:dyDescent="0.35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spans="1:26" ht="15.75" customHeight="1" x14ac:dyDescent="0.35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spans="1:26" ht="15.75" customHeight="1" x14ac:dyDescent="0.35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spans="1:26" ht="15.75" customHeight="1" x14ac:dyDescent="0.35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spans="1:26" ht="15.75" customHeight="1" x14ac:dyDescent="0.3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spans="1:26" ht="15.75" customHeight="1" x14ac:dyDescent="0.35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spans="1:26" ht="15.75" customHeight="1" x14ac:dyDescent="0.35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spans="1:26" ht="15.75" customHeight="1" x14ac:dyDescent="0.35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spans="1:26" ht="15.75" customHeight="1" x14ac:dyDescent="0.3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spans="1:26" ht="15.75" customHeight="1" x14ac:dyDescent="0.35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spans="1:26" ht="15.75" customHeight="1" x14ac:dyDescent="0.35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spans="1:26" ht="15.75" customHeight="1" x14ac:dyDescent="0.3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spans="1:26" ht="15.75" customHeight="1" x14ac:dyDescent="0.35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spans="1:26" ht="15.75" customHeight="1" x14ac:dyDescent="0.35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spans="1:26" ht="15.75" customHeight="1" x14ac:dyDescent="0.35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spans="1:26" ht="15.75" customHeight="1" x14ac:dyDescent="0.35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spans="1:26" ht="15.75" customHeight="1" x14ac:dyDescent="0.35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spans="1:26" ht="15.75" customHeight="1" x14ac:dyDescent="0.35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spans="1:26" ht="15.75" customHeight="1" x14ac:dyDescent="0.3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spans="1:26" ht="15.75" customHeight="1" x14ac:dyDescent="0.35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spans="1:26" ht="15.75" customHeight="1" x14ac:dyDescent="0.35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spans="1:26" ht="15.75" customHeight="1" x14ac:dyDescent="0.35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spans="1:26" ht="15.75" customHeight="1" x14ac:dyDescent="0.35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spans="1:26" ht="15.75" customHeight="1" x14ac:dyDescent="0.3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spans="1:26" ht="15.75" customHeight="1" x14ac:dyDescent="0.35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spans="1:26" ht="15.75" customHeight="1" x14ac:dyDescent="0.35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spans="1:26" ht="15.75" customHeight="1" x14ac:dyDescent="0.35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spans="1:26" ht="15.75" customHeight="1" x14ac:dyDescent="0.35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spans="1:26" ht="15.75" customHeight="1" x14ac:dyDescent="0.3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spans="1:26" ht="15.75" customHeight="1" x14ac:dyDescent="0.35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spans="1:26" ht="15.75" customHeight="1" x14ac:dyDescent="0.35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spans="1:26" ht="15.75" customHeight="1" x14ac:dyDescent="0.35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spans="1:26" ht="15.75" customHeight="1" x14ac:dyDescent="0.35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spans="1:26" ht="15.75" customHeight="1" x14ac:dyDescent="0.35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spans="1:26" ht="15.75" customHeight="1" x14ac:dyDescent="0.35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spans="1:26" ht="15.75" customHeight="1" x14ac:dyDescent="0.35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spans="1:26" ht="15.75" customHeight="1" x14ac:dyDescent="0.35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spans="1:26" ht="15.75" customHeight="1" x14ac:dyDescent="0.35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spans="1:26" ht="15.75" customHeight="1" x14ac:dyDescent="0.3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spans="1:26" ht="15.75" customHeight="1" x14ac:dyDescent="0.35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spans="1:26" ht="15.75" customHeight="1" x14ac:dyDescent="0.35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spans="1:26" ht="15.75" customHeight="1" x14ac:dyDescent="0.35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spans="1:26" ht="15.75" customHeight="1" x14ac:dyDescent="0.3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spans="1:26" ht="15.75" customHeight="1" x14ac:dyDescent="0.35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spans="1:26" ht="15.75" customHeight="1" x14ac:dyDescent="0.35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spans="1:26" ht="15.75" customHeight="1" x14ac:dyDescent="0.35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spans="1:26" ht="15.75" customHeight="1" x14ac:dyDescent="0.35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spans="1:26" ht="15.75" customHeight="1" x14ac:dyDescent="0.35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spans="1:26" ht="15.75" customHeight="1" x14ac:dyDescent="0.3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spans="1:26" ht="15.75" customHeight="1" x14ac:dyDescent="0.35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spans="1:26" ht="15.75" customHeight="1" x14ac:dyDescent="0.35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spans="1:26" ht="15.75" customHeight="1" x14ac:dyDescent="0.35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spans="1:26" ht="15.75" customHeight="1" x14ac:dyDescent="0.35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spans="1:26" ht="15.75" customHeight="1" x14ac:dyDescent="0.35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spans="1:26" ht="15.75" customHeight="1" x14ac:dyDescent="0.35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spans="1:26" ht="15.75" customHeight="1" x14ac:dyDescent="0.35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spans="1:26" ht="15.75" customHeight="1" x14ac:dyDescent="0.35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spans="1:26" ht="15.75" customHeight="1" x14ac:dyDescent="0.35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spans="1:26" ht="15.75" customHeight="1" x14ac:dyDescent="0.3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spans="1:26" ht="15.75" customHeight="1" x14ac:dyDescent="0.35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spans="1:26" ht="15.75" customHeight="1" x14ac:dyDescent="0.35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spans="1:26" ht="15.75" customHeight="1" x14ac:dyDescent="0.35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spans="1:26" ht="15.75" customHeight="1" x14ac:dyDescent="0.35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spans="1:26" ht="15.75" customHeight="1" x14ac:dyDescent="0.35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spans="1:26" ht="15.75" customHeight="1" x14ac:dyDescent="0.35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spans="1:26" ht="15.75" customHeight="1" x14ac:dyDescent="0.35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spans="1:26" ht="15.75" customHeight="1" x14ac:dyDescent="0.35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spans="1:26" ht="15.75" customHeight="1" x14ac:dyDescent="0.35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spans="1:26" ht="15.75" customHeight="1" x14ac:dyDescent="0.3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spans="1:26" ht="15.75" customHeight="1" x14ac:dyDescent="0.35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spans="1:26" ht="15.75" customHeight="1" x14ac:dyDescent="0.35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spans="1:26" ht="15.75" customHeight="1" x14ac:dyDescent="0.35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spans="1:26" ht="15.75" customHeight="1" x14ac:dyDescent="0.35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spans="1:26" ht="15.75" customHeight="1" x14ac:dyDescent="0.35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spans="1:26" ht="15.75" customHeight="1" x14ac:dyDescent="0.35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spans="1:26" ht="15.75" customHeight="1" x14ac:dyDescent="0.35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spans="1:26" ht="15.75" customHeight="1" x14ac:dyDescent="0.35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spans="1:26" ht="15.75" customHeight="1" x14ac:dyDescent="0.35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spans="1:26" ht="15.75" customHeight="1" x14ac:dyDescent="0.3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spans="1:26" ht="15.75" customHeight="1" x14ac:dyDescent="0.35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spans="1:26" ht="15.75" customHeight="1" x14ac:dyDescent="0.35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spans="1:26" ht="15.75" customHeight="1" x14ac:dyDescent="0.35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spans="1:26" ht="15.75" customHeight="1" x14ac:dyDescent="0.35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spans="1:26" ht="15.75" customHeight="1" x14ac:dyDescent="0.35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spans="1:26" ht="15.75" customHeight="1" x14ac:dyDescent="0.35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spans="1:26" ht="15.75" customHeight="1" x14ac:dyDescent="0.35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spans="1:26" ht="15.75" customHeight="1" x14ac:dyDescent="0.35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spans="1:26" ht="15.75" customHeight="1" x14ac:dyDescent="0.35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spans="1:26" ht="15.75" customHeight="1" x14ac:dyDescent="0.3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spans="1:26" ht="15.75" customHeight="1" x14ac:dyDescent="0.35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spans="1:26" ht="15.75" customHeight="1" x14ac:dyDescent="0.35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spans="1:26" ht="15.75" customHeight="1" x14ac:dyDescent="0.35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spans="1:26" ht="15.75" customHeight="1" x14ac:dyDescent="0.35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spans="1:26" ht="15.75" customHeight="1" x14ac:dyDescent="0.35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spans="1:26" ht="15.75" customHeight="1" x14ac:dyDescent="0.35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spans="1:26" ht="15.75" customHeight="1" x14ac:dyDescent="0.35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spans="1:26" ht="15.75" customHeight="1" x14ac:dyDescent="0.35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spans="1:26" ht="15.75" customHeight="1" x14ac:dyDescent="0.35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spans="1:26" ht="15.75" customHeight="1" x14ac:dyDescent="0.3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spans="1:26" ht="15.75" customHeight="1" x14ac:dyDescent="0.35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spans="1:26" ht="15.75" customHeight="1" x14ac:dyDescent="0.35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26" ht="15.75" customHeight="1" x14ac:dyDescent="0.35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spans="1:26" ht="15.75" customHeight="1" x14ac:dyDescent="0.35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spans="1:26" ht="15.75" customHeight="1" x14ac:dyDescent="0.35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spans="1:26" ht="15.75" customHeight="1" x14ac:dyDescent="0.35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spans="1:26" ht="15.75" customHeight="1" x14ac:dyDescent="0.35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spans="1:26" ht="15.75" customHeight="1" x14ac:dyDescent="0.35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spans="1:26" ht="15.75" customHeight="1" x14ac:dyDescent="0.35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spans="1:26" ht="15.75" customHeight="1" x14ac:dyDescent="0.3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spans="1:26" ht="15.75" customHeight="1" x14ac:dyDescent="0.35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spans="1:26" ht="15.75" customHeight="1" x14ac:dyDescent="0.35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spans="1:26" ht="15.75" customHeight="1" x14ac:dyDescent="0.35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spans="1:26" ht="15.75" customHeight="1" x14ac:dyDescent="0.35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spans="1:26" ht="15.75" customHeight="1" x14ac:dyDescent="0.35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spans="1:26" ht="15.75" customHeight="1" x14ac:dyDescent="0.35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spans="1:26" ht="15.75" customHeight="1" x14ac:dyDescent="0.35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spans="1:26" ht="15.75" customHeight="1" x14ac:dyDescent="0.35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spans="1:26" ht="15.75" customHeight="1" x14ac:dyDescent="0.35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spans="1:26" ht="15.75" customHeight="1" x14ac:dyDescent="0.3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spans="1:26" ht="15.75" customHeight="1" x14ac:dyDescent="0.35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spans="1:26" ht="15.75" customHeight="1" x14ac:dyDescent="0.35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spans="1:26" ht="15.75" customHeight="1" x14ac:dyDescent="0.35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spans="1:26" ht="15.75" customHeight="1" x14ac:dyDescent="0.35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spans="1:26" ht="15.75" customHeight="1" x14ac:dyDescent="0.35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spans="1:26" ht="15.75" customHeight="1" x14ac:dyDescent="0.35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spans="1:26" ht="15.75" customHeight="1" x14ac:dyDescent="0.35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spans="1:26" ht="15.75" customHeight="1" x14ac:dyDescent="0.35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spans="1:26" ht="15.75" customHeight="1" x14ac:dyDescent="0.35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spans="1:26" ht="15.75" customHeight="1" x14ac:dyDescent="0.3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spans="1:26" ht="15.75" customHeight="1" x14ac:dyDescent="0.35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spans="1:26" ht="15.75" customHeight="1" x14ac:dyDescent="0.35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spans="1:26" ht="15.75" customHeight="1" x14ac:dyDescent="0.35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spans="1:26" ht="15.75" customHeight="1" x14ac:dyDescent="0.35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spans="1:26" ht="15.75" customHeight="1" x14ac:dyDescent="0.35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spans="1:26" ht="15.75" customHeight="1" x14ac:dyDescent="0.35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spans="1:26" ht="15.75" customHeight="1" x14ac:dyDescent="0.35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spans="1:26" ht="15.75" customHeight="1" x14ac:dyDescent="0.35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spans="1:26" ht="15.75" customHeight="1" x14ac:dyDescent="0.35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spans="1:26" ht="15.75" customHeight="1" x14ac:dyDescent="0.3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spans="1:26" ht="15.75" customHeight="1" x14ac:dyDescent="0.35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spans="1:26" ht="15.75" customHeight="1" x14ac:dyDescent="0.35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spans="1:26" ht="15.75" customHeight="1" x14ac:dyDescent="0.35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spans="1:26" ht="15.75" customHeight="1" x14ac:dyDescent="0.35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spans="1:26" ht="15.75" customHeight="1" x14ac:dyDescent="0.35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spans="1:26" ht="15.75" customHeight="1" x14ac:dyDescent="0.35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spans="1:26" ht="15.75" customHeight="1" x14ac:dyDescent="0.35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spans="1:26" ht="15.75" customHeight="1" x14ac:dyDescent="0.35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spans="1:26" ht="15.75" customHeight="1" x14ac:dyDescent="0.35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spans="1:26" ht="15.75" customHeight="1" x14ac:dyDescent="0.3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spans="1:26" ht="15.75" customHeight="1" x14ac:dyDescent="0.35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spans="1:26" ht="15.75" customHeight="1" x14ac:dyDescent="0.35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spans="1:26" ht="15.75" customHeight="1" x14ac:dyDescent="0.35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spans="1:26" ht="15.75" customHeight="1" x14ac:dyDescent="0.35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spans="1:26" ht="15.75" customHeight="1" x14ac:dyDescent="0.35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spans="1:26" ht="15.75" customHeight="1" x14ac:dyDescent="0.35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spans="1:26" ht="15.75" customHeight="1" x14ac:dyDescent="0.35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spans="1:26" ht="15.75" customHeight="1" x14ac:dyDescent="0.3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spans="1:26" ht="15.75" customHeight="1" x14ac:dyDescent="0.3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spans="1:26" ht="15.75" customHeight="1" x14ac:dyDescent="0.3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spans="1:26" ht="15.75" customHeight="1" x14ac:dyDescent="0.3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spans="1:26" ht="15.75" customHeight="1" x14ac:dyDescent="0.3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spans="1:26" ht="15.75" customHeight="1" x14ac:dyDescent="0.3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spans="1:26" ht="15.75" customHeight="1" x14ac:dyDescent="0.3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spans="1:26" ht="15.75" customHeight="1" x14ac:dyDescent="0.3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spans="1:26" ht="15.75" customHeight="1" x14ac:dyDescent="0.3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spans="1:26" ht="15.75" customHeight="1" x14ac:dyDescent="0.3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spans="1:26" ht="15.75" customHeight="1" x14ac:dyDescent="0.3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spans="1:26" ht="15.75" customHeight="1" x14ac:dyDescent="0.3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spans="1:26" ht="15.75" customHeight="1" x14ac:dyDescent="0.3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spans="1:26" ht="15.75" customHeight="1" x14ac:dyDescent="0.3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spans="1:26" ht="15.75" customHeight="1" x14ac:dyDescent="0.35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spans="1:26" ht="15.75" customHeight="1" x14ac:dyDescent="0.35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spans="1:26" ht="15.75" customHeight="1" x14ac:dyDescent="0.35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spans="1:26" ht="15.75" customHeight="1" x14ac:dyDescent="0.3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spans="1:26" ht="15.75" customHeight="1" x14ac:dyDescent="0.35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spans="1:26" ht="15.75" customHeight="1" x14ac:dyDescent="0.3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spans="1:26" ht="15.75" customHeight="1" x14ac:dyDescent="0.35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spans="1:26" ht="15.75" customHeight="1" x14ac:dyDescent="0.35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spans="1:26" ht="15.75" customHeight="1" x14ac:dyDescent="0.3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spans="1:26" ht="15.75" customHeight="1" x14ac:dyDescent="0.35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spans="1:26" ht="15.75" customHeight="1" x14ac:dyDescent="0.35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spans="1:26" ht="15.75" customHeight="1" x14ac:dyDescent="0.35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spans="1:26" ht="15.75" customHeight="1" x14ac:dyDescent="0.35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spans="1:26" ht="15.75" customHeight="1" x14ac:dyDescent="0.35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spans="1:26" ht="15.75" customHeight="1" x14ac:dyDescent="0.3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spans="1:26" ht="15.75" customHeight="1" x14ac:dyDescent="0.35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spans="1:26" ht="15.75" customHeight="1" x14ac:dyDescent="0.3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spans="1:26" ht="15.75" customHeight="1" x14ac:dyDescent="0.3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spans="1:26" ht="15.75" customHeight="1" x14ac:dyDescent="0.3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spans="1:26" ht="15.75" customHeight="1" x14ac:dyDescent="0.35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spans="1:26" ht="15.75" customHeight="1" x14ac:dyDescent="0.35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spans="1:26" ht="15.75" customHeight="1" x14ac:dyDescent="0.35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spans="1:26" ht="15.75" customHeight="1" x14ac:dyDescent="0.35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spans="1:26" ht="15.75" customHeight="1" x14ac:dyDescent="0.35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spans="1:26" ht="15.75" customHeight="1" x14ac:dyDescent="0.3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spans="1:26" ht="15.75" customHeight="1" x14ac:dyDescent="0.35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spans="1:26" ht="15.75" customHeight="1" x14ac:dyDescent="0.35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spans="1:26" ht="15.75" customHeight="1" x14ac:dyDescent="0.35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spans="1:26" ht="15.75" customHeight="1" x14ac:dyDescent="0.3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spans="1:26" ht="15.75" customHeight="1" x14ac:dyDescent="0.35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spans="1:26" ht="15.75" customHeight="1" x14ac:dyDescent="0.35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spans="1:26" ht="15.75" customHeight="1" x14ac:dyDescent="0.35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spans="1:26" ht="15.75" customHeight="1" x14ac:dyDescent="0.35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spans="1:26" ht="15.75" customHeight="1" x14ac:dyDescent="0.35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spans="1:26" ht="15.75" customHeight="1" x14ac:dyDescent="0.35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spans="1:26" ht="15.75" customHeight="1" x14ac:dyDescent="0.35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spans="1:26" ht="15.75" customHeight="1" x14ac:dyDescent="0.35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spans="1:26" ht="15.75" customHeight="1" x14ac:dyDescent="0.35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spans="1:26" ht="15.75" customHeight="1" x14ac:dyDescent="0.3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spans="1:26" ht="15.75" customHeight="1" x14ac:dyDescent="0.35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spans="1:26" ht="15.75" customHeight="1" x14ac:dyDescent="0.35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spans="1:26" ht="15.75" customHeight="1" x14ac:dyDescent="0.35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spans="1:26" ht="15.75" customHeight="1" x14ac:dyDescent="0.35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spans="1:26" ht="15.75" customHeight="1" x14ac:dyDescent="0.3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spans="1:26" ht="15.75" customHeight="1" x14ac:dyDescent="0.35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spans="1:26" ht="15.75" customHeight="1" x14ac:dyDescent="0.35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spans="1:26" ht="15.75" customHeight="1" x14ac:dyDescent="0.3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spans="1:26" ht="15.75" customHeight="1" x14ac:dyDescent="0.35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spans="1:26" ht="15.75" customHeight="1" x14ac:dyDescent="0.3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spans="1:26" ht="15.75" customHeight="1" x14ac:dyDescent="0.35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spans="1:26" ht="15.75" customHeight="1" x14ac:dyDescent="0.35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spans="1:26" ht="15.75" customHeight="1" x14ac:dyDescent="0.35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spans="1:26" ht="15.75" customHeight="1" x14ac:dyDescent="0.35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spans="1:26" ht="15.75" customHeight="1" x14ac:dyDescent="0.35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spans="1:26" ht="15.75" customHeight="1" x14ac:dyDescent="0.35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spans="1:26" ht="15.75" customHeight="1" x14ac:dyDescent="0.35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spans="1:26" ht="15.75" customHeight="1" x14ac:dyDescent="0.35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spans="1:26" ht="15.75" customHeight="1" x14ac:dyDescent="0.35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spans="1:26" ht="15.75" customHeight="1" x14ac:dyDescent="0.3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spans="1:26" ht="15.75" customHeight="1" x14ac:dyDescent="0.35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spans="1:26" ht="15.75" customHeight="1" x14ac:dyDescent="0.35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spans="1:26" ht="15.75" customHeight="1" x14ac:dyDescent="0.35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spans="1:26" ht="15.75" customHeight="1" x14ac:dyDescent="0.3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spans="1:26" ht="15.75" customHeight="1" x14ac:dyDescent="0.35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spans="1:26" ht="15.75" customHeight="1" x14ac:dyDescent="0.35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spans="1:26" ht="15.75" customHeight="1" x14ac:dyDescent="0.35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spans="1:26" ht="15.75" customHeight="1" x14ac:dyDescent="0.35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spans="1:26" ht="15.75" customHeight="1" x14ac:dyDescent="0.35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spans="1:26" ht="15.75" customHeight="1" x14ac:dyDescent="0.3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spans="1:26" ht="15.75" customHeight="1" x14ac:dyDescent="0.35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spans="1:26" ht="15.75" customHeight="1" x14ac:dyDescent="0.35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spans="1:26" ht="15.75" customHeight="1" x14ac:dyDescent="0.35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spans="1:26" ht="15.75" customHeight="1" x14ac:dyDescent="0.35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spans="1:26" ht="15.75" customHeight="1" x14ac:dyDescent="0.35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spans="1:26" ht="15.75" customHeight="1" x14ac:dyDescent="0.35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spans="1:26" ht="15.75" customHeight="1" x14ac:dyDescent="0.35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spans="1:26" ht="15.75" customHeight="1" x14ac:dyDescent="0.35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spans="1:26" ht="15.75" customHeight="1" x14ac:dyDescent="0.35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spans="1:26" ht="15.75" customHeight="1" x14ac:dyDescent="0.3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spans="1:26" ht="15.75" customHeight="1" x14ac:dyDescent="0.35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spans="1:26" ht="15.75" customHeight="1" x14ac:dyDescent="0.35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spans="1:26" ht="15.75" customHeight="1" x14ac:dyDescent="0.35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spans="1:26" ht="15.75" customHeight="1" x14ac:dyDescent="0.35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spans="1:26" ht="15.75" customHeight="1" x14ac:dyDescent="0.35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spans="1:26" ht="15.75" customHeight="1" x14ac:dyDescent="0.35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spans="1:26" ht="15.75" customHeight="1" x14ac:dyDescent="0.35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spans="1:26" ht="15.75" customHeight="1" x14ac:dyDescent="0.35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spans="1:26" ht="15.75" customHeight="1" x14ac:dyDescent="0.35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spans="1:26" ht="15.75" customHeight="1" x14ac:dyDescent="0.3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spans="1:26" ht="15.75" customHeight="1" x14ac:dyDescent="0.35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spans="1:26" ht="15.75" customHeight="1" x14ac:dyDescent="0.35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spans="1:26" ht="15.75" customHeight="1" x14ac:dyDescent="0.35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spans="1:26" ht="15.75" customHeight="1" x14ac:dyDescent="0.35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spans="1:26" ht="15.75" customHeight="1" x14ac:dyDescent="0.35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spans="1:26" ht="15.75" customHeight="1" x14ac:dyDescent="0.35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spans="1:26" ht="15.75" customHeight="1" x14ac:dyDescent="0.35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spans="1:26" ht="15.75" customHeight="1" x14ac:dyDescent="0.35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spans="1:26" ht="15.75" customHeight="1" x14ac:dyDescent="0.35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spans="1:26" ht="15.75" customHeight="1" x14ac:dyDescent="0.3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spans="1:26" ht="15.75" customHeight="1" x14ac:dyDescent="0.35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spans="1:26" ht="15.75" customHeight="1" x14ac:dyDescent="0.35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spans="1:26" ht="15.75" customHeight="1" x14ac:dyDescent="0.35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spans="1:26" ht="15.75" customHeight="1" x14ac:dyDescent="0.35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spans="1:26" ht="15.75" customHeight="1" x14ac:dyDescent="0.35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spans="1:26" ht="15.75" customHeight="1" x14ac:dyDescent="0.35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spans="1:26" ht="15.75" customHeight="1" x14ac:dyDescent="0.35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spans="1:26" ht="15.75" customHeight="1" x14ac:dyDescent="0.35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spans="1:26" ht="15.75" customHeight="1" x14ac:dyDescent="0.35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spans="1:26" ht="15.75" customHeight="1" x14ac:dyDescent="0.35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spans="1:26" ht="15.75" customHeight="1" x14ac:dyDescent="0.35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spans="1:26" ht="15.75" customHeight="1" x14ac:dyDescent="0.35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spans="1:26" ht="15.75" customHeight="1" x14ac:dyDescent="0.35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spans="1:26" ht="15.75" customHeight="1" x14ac:dyDescent="0.35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spans="1:26" ht="15.75" customHeight="1" x14ac:dyDescent="0.35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spans="1:26" ht="15.75" customHeight="1" x14ac:dyDescent="0.35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spans="1:26" ht="15.75" customHeight="1" x14ac:dyDescent="0.35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spans="1:26" ht="15.75" customHeight="1" x14ac:dyDescent="0.35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spans="1:26" ht="15.75" customHeight="1" x14ac:dyDescent="0.35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spans="1:26" ht="15.75" customHeight="1" x14ac:dyDescent="0.35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spans="1:26" ht="15.75" customHeight="1" x14ac:dyDescent="0.35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spans="1:26" ht="15.75" customHeight="1" x14ac:dyDescent="0.35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spans="1:26" ht="15.75" customHeight="1" x14ac:dyDescent="0.35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spans="1:26" ht="15.75" customHeight="1" x14ac:dyDescent="0.35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spans="1:26" ht="15.75" customHeight="1" x14ac:dyDescent="0.35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spans="1:26" ht="15.75" customHeight="1" x14ac:dyDescent="0.35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spans="1:26" ht="15.75" customHeight="1" x14ac:dyDescent="0.35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spans="1:26" ht="15.75" customHeight="1" x14ac:dyDescent="0.35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spans="1:26" ht="15.75" customHeight="1" x14ac:dyDescent="0.35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spans="1:26" ht="15.75" customHeight="1" x14ac:dyDescent="0.35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spans="1:26" ht="15.75" customHeight="1" x14ac:dyDescent="0.35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spans="1:26" ht="15.75" customHeight="1" x14ac:dyDescent="0.35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spans="1:26" ht="15.75" customHeight="1" x14ac:dyDescent="0.35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spans="1:26" ht="15.75" customHeight="1" x14ac:dyDescent="0.35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spans="1:26" ht="15.75" customHeight="1" x14ac:dyDescent="0.35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spans="1:26" ht="15.75" customHeight="1" x14ac:dyDescent="0.35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spans="1:26" ht="15.75" customHeight="1" x14ac:dyDescent="0.3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spans="1:26" ht="15.75" customHeight="1" x14ac:dyDescent="0.3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spans="1:26" ht="15.75" customHeight="1" x14ac:dyDescent="0.35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spans="1:26" ht="15.75" customHeight="1" x14ac:dyDescent="0.35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spans="1:26" ht="15.75" customHeight="1" x14ac:dyDescent="0.35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spans="1:26" ht="15.75" customHeight="1" x14ac:dyDescent="0.35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spans="1:26" ht="15.75" customHeight="1" x14ac:dyDescent="0.35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spans="1:26" ht="15.75" customHeight="1" x14ac:dyDescent="0.35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spans="1:26" ht="15.75" customHeight="1" x14ac:dyDescent="0.35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spans="1:26" ht="15.75" customHeight="1" x14ac:dyDescent="0.35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spans="1:26" ht="15.75" customHeight="1" x14ac:dyDescent="0.35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spans="1:26" ht="15.75" customHeight="1" x14ac:dyDescent="0.35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spans="1:26" ht="15.75" customHeight="1" x14ac:dyDescent="0.35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spans="1:26" ht="15.75" customHeight="1" x14ac:dyDescent="0.35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spans="1:26" ht="15.75" customHeight="1" x14ac:dyDescent="0.35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spans="1:26" ht="15.75" customHeight="1" x14ac:dyDescent="0.35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spans="1:26" ht="15.75" customHeight="1" x14ac:dyDescent="0.35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spans="1:26" ht="15.75" customHeight="1" x14ac:dyDescent="0.35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spans="1:26" ht="15.75" customHeight="1" x14ac:dyDescent="0.35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spans="1:26" ht="15.75" customHeight="1" x14ac:dyDescent="0.35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spans="1:26" ht="15.75" customHeight="1" x14ac:dyDescent="0.35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spans="1:26" ht="15.75" customHeight="1" x14ac:dyDescent="0.35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spans="1:26" ht="15.75" customHeight="1" x14ac:dyDescent="0.35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spans="1:26" ht="15.75" customHeight="1" x14ac:dyDescent="0.35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spans="1:26" ht="15.75" customHeight="1" x14ac:dyDescent="0.35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spans="1:26" ht="15.75" customHeight="1" x14ac:dyDescent="0.35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spans="1:26" ht="15.75" customHeight="1" x14ac:dyDescent="0.35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spans="1:26" ht="15.75" customHeight="1" x14ac:dyDescent="0.35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spans="1:26" ht="15.75" customHeight="1" x14ac:dyDescent="0.35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spans="1:26" ht="15.75" customHeight="1" x14ac:dyDescent="0.35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spans="1:26" ht="15.75" customHeight="1" x14ac:dyDescent="0.35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spans="1:26" ht="15.75" customHeight="1" x14ac:dyDescent="0.35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spans="1:26" ht="15.75" customHeight="1" x14ac:dyDescent="0.35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spans="1:26" ht="15.75" customHeight="1" x14ac:dyDescent="0.35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spans="1:26" ht="15.75" customHeight="1" x14ac:dyDescent="0.35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spans="1:26" ht="15.75" customHeight="1" x14ac:dyDescent="0.35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spans="1:26" ht="15.75" customHeight="1" x14ac:dyDescent="0.35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spans="1:26" ht="15.75" customHeight="1" x14ac:dyDescent="0.35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spans="1:26" ht="15.75" customHeight="1" x14ac:dyDescent="0.35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spans="1:26" ht="15.75" customHeight="1" x14ac:dyDescent="0.35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spans="1:26" ht="15.75" customHeight="1" x14ac:dyDescent="0.35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spans="1:26" ht="15.75" customHeight="1" x14ac:dyDescent="0.35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spans="1:26" ht="15.75" customHeight="1" x14ac:dyDescent="0.35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spans="1:26" ht="15.75" customHeight="1" x14ac:dyDescent="0.35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spans="1:26" ht="15.75" customHeight="1" x14ac:dyDescent="0.35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spans="1:26" ht="15.75" customHeight="1" x14ac:dyDescent="0.35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spans="1:26" ht="15.75" customHeight="1" x14ac:dyDescent="0.35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spans="1:26" ht="15.75" customHeight="1" x14ac:dyDescent="0.35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spans="1:26" ht="15.75" customHeight="1" x14ac:dyDescent="0.35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spans="1:26" ht="15.75" customHeight="1" x14ac:dyDescent="0.35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spans="1:26" ht="15.75" customHeight="1" x14ac:dyDescent="0.35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spans="1:26" ht="15.75" customHeight="1" x14ac:dyDescent="0.35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spans="1:26" ht="15.75" customHeight="1" x14ac:dyDescent="0.35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spans="1:26" ht="15.75" customHeight="1" x14ac:dyDescent="0.35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spans="1:26" ht="15.75" customHeight="1" x14ac:dyDescent="0.35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spans="1:26" ht="15.75" customHeight="1" x14ac:dyDescent="0.35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spans="1:26" ht="15.75" customHeight="1" x14ac:dyDescent="0.35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spans="1:26" ht="15.75" customHeight="1" x14ac:dyDescent="0.35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spans="1:26" ht="15.75" customHeight="1" x14ac:dyDescent="0.35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spans="1:26" ht="15.75" customHeight="1" x14ac:dyDescent="0.35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spans="1:26" ht="15.75" customHeight="1" x14ac:dyDescent="0.35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spans="1:26" ht="15.75" customHeight="1" x14ac:dyDescent="0.35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spans="1:26" ht="15.75" customHeight="1" x14ac:dyDescent="0.35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spans="1:26" ht="15.75" customHeight="1" x14ac:dyDescent="0.35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spans="1:26" ht="15.75" customHeight="1" x14ac:dyDescent="0.35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spans="1:26" ht="15.75" customHeight="1" x14ac:dyDescent="0.35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spans="1:26" ht="15.75" customHeight="1" x14ac:dyDescent="0.35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spans="1:26" ht="15.75" customHeight="1" x14ac:dyDescent="0.35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spans="1:26" ht="15.75" customHeight="1" x14ac:dyDescent="0.35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spans="1:26" ht="15.75" customHeight="1" x14ac:dyDescent="0.35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spans="1:26" ht="15.75" customHeight="1" x14ac:dyDescent="0.35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spans="1:26" ht="15.75" customHeight="1" x14ac:dyDescent="0.35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spans="1:26" ht="15.75" customHeight="1" x14ac:dyDescent="0.35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spans="1:26" ht="15.75" customHeight="1" x14ac:dyDescent="0.35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spans="1:26" ht="15.75" customHeight="1" x14ac:dyDescent="0.35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spans="1:26" ht="15.75" customHeight="1" x14ac:dyDescent="0.35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spans="1:26" ht="15.75" customHeight="1" x14ac:dyDescent="0.35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spans="1:26" ht="15.75" customHeight="1" x14ac:dyDescent="0.35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spans="1:26" ht="15.75" customHeight="1" x14ac:dyDescent="0.35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spans="1:26" ht="15.75" customHeight="1" x14ac:dyDescent="0.35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spans="1:26" ht="15.75" customHeight="1" x14ac:dyDescent="0.35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spans="1:26" ht="15.75" customHeight="1" x14ac:dyDescent="0.35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spans="1:26" ht="15.75" customHeight="1" x14ac:dyDescent="0.35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spans="1:26" ht="15.75" customHeight="1" x14ac:dyDescent="0.35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spans="1:26" ht="15.75" customHeight="1" x14ac:dyDescent="0.35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spans="1:26" ht="15.75" customHeight="1" x14ac:dyDescent="0.35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spans="1:26" ht="15.75" customHeight="1" x14ac:dyDescent="0.35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spans="1:26" ht="15.75" customHeight="1" x14ac:dyDescent="0.35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spans="1:26" ht="15.75" customHeight="1" x14ac:dyDescent="0.35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spans="1:26" ht="15.75" customHeight="1" x14ac:dyDescent="0.35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spans="1:26" ht="15.75" customHeight="1" x14ac:dyDescent="0.35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spans="1:26" ht="15.75" customHeight="1" x14ac:dyDescent="0.35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spans="1:26" ht="15.75" customHeight="1" x14ac:dyDescent="0.35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spans="1:26" ht="15.75" customHeight="1" x14ac:dyDescent="0.35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spans="1:26" ht="15.75" customHeight="1" x14ac:dyDescent="0.35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spans="1:26" ht="15.75" customHeight="1" x14ac:dyDescent="0.35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spans="1:26" ht="15.75" customHeight="1" x14ac:dyDescent="0.35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spans="1:26" ht="15.75" customHeight="1" x14ac:dyDescent="0.35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spans="1:26" ht="15.75" customHeight="1" x14ac:dyDescent="0.35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spans="1:26" ht="15.75" customHeight="1" x14ac:dyDescent="0.35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spans="1:26" ht="15.75" customHeight="1" x14ac:dyDescent="0.35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spans="1:26" ht="15.75" customHeight="1" x14ac:dyDescent="0.35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spans="1:26" ht="15.75" customHeight="1" x14ac:dyDescent="0.35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spans="1:26" ht="15.75" customHeight="1" x14ac:dyDescent="0.35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spans="1:26" ht="15.75" customHeight="1" x14ac:dyDescent="0.35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spans="1:26" ht="15.75" customHeight="1" x14ac:dyDescent="0.35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spans="1:26" ht="15.75" customHeight="1" x14ac:dyDescent="0.35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spans="1:26" ht="15.75" customHeight="1" x14ac:dyDescent="0.35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spans="1:26" ht="15.75" customHeight="1" x14ac:dyDescent="0.35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spans="1:26" ht="15.75" customHeight="1" x14ac:dyDescent="0.35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spans="1:26" ht="15.75" customHeight="1" x14ac:dyDescent="0.35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spans="1:26" ht="15.75" customHeight="1" x14ac:dyDescent="0.35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spans="1:26" ht="15.75" customHeight="1" x14ac:dyDescent="0.35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spans="1:26" ht="15.75" customHeight="1" x14ac:dyDescent="0.35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spans="1:26" ht="15.75" customHeight="1" x14ac:dyDescent="0.35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spans="1:26" ht="15.75" customHeight="1" x14ac:dyDescent="0.35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spans="1:26" ht="15.75" customHeight="1" x14ac:dyDescent="0.35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spans="1:26" ht="15.75" customHeight="1" x14ac:dyDescent="0.35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spans="1:26" ht="15.75" customHeight="1" x14ac:dyDescent="0.35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spans="1:26" ht="15.75" customHeight="1" x14ac:dyDescent="0.35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spans="1:26" ht="15.75" customHeight="1" x14ac:dyDescent="0.35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spans="1:26" ht="15.75" customHeight="1" x14ac:dyDescent="0.35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spans="1:26" ht="15.75" customHeight="1" x14ac:dyDescent="0.35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spans="1:26" ht="15.75" customHeight="1" x14ac:dyDescent="0.35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spans="1:26" ht="15.75" customHeight="1" x14ac:dyDescent="0.35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spans="1:26" ht="15.75" customHeight="1" x14ac:dyDescent="0.35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ht="15.75" customHeight="1" x14ac:dyDescent="0.35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spans="1:26" ht="15.75" customHeight="1" x14ac:dyDescent="0.35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spans="1:26" ht="15.75" customHeight="1" x14ac:dyDescent="0.35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spans="1:26" ht="15.75" customHeight="1" x14ac:dyDescent="0.35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spans="1:26" ht="15.75" customHeight="1" x14ac:dyDescent="0.35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spans="1:26" ht="15.75" customHeight="1" x14ac:dyDescent="0.35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spans="1:26" ht="15.75" customHeight="1" x14ac:dyDescent="0.35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15.75" customHeight="1" x14ac:dyDescent="0.35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spans="1:26" ht="15.75" customHeight="1" x14ac:dyDescent="0.35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spans="1:26" ht="15.75" customHeight="1" x14ac:dyDescent="0.35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spans="1:26" ht="15.75" customHeight="1" x14ac:dyDescent="0.35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spans="1:26" ht="15.75" customHeight="1" x14ac:dyDescent="0.35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spans="1:26" ht="15.75" customHeight="1" x14ac:dyDescent="0.35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spans="1:26" ht="15.75" customHeight="1" x14ac:dyDescent="0.35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spans="1:26" ht="15.75" customHeight="1" x14ac:dyDescent="0.35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ht="15.75" customHeight="1" x14ac:dyDescent="0.35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spans="1:26" ht="15.75" customHeight="1" x14ac:dyDescent="0.35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spans="1:26" ht="15.75" customHeight="1" x14ac:dyDescent="0.35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spans="1:26" ht="15.75" customHeight="1" x14ac:dyDescent="0.35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spans="1:26" ht="15.75" customHeight="1" x14ac:dyDescent="0.35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spans="1:26" ht="15.75" customHeight="1" x14ac:dyDescent="0.35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spans="1:26" ht="15.75" customHeight="1" x14ac:dyDescent="0.35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spans="1:26" ht="15.75" customHeight="1" x14ac:dyDescent="0.35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spans="1:26" ht="15.75" customHeight="1" x14ac:dyDescent="0.35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spans="1:26" ht="15.75" customHeight="1" x14ac:dyDescent="0.35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spans="1:26" ht="15.75" customHeight="1" x14ac:dyDescent="0.35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spans="1:26" ht="15.75" customHeight="1" x14ac:dyDescent="0.35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spans="1:26" ht="15.75" customHeight="1" x14ac:dyDescent="0.35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spans="1:26" ht="15.75" customHeight="1" x14ac:dyDescent="0.35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spans="1:26" ht="15.75" customHeight="1" x14ac:dyDescent="0.35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spans="1:26" ht="15.75" customHeight="1" x14ac:dyDescent="0.35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spans="1:26" ht="15.75" customHeight="1" x14ac:dyDescent="0.35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spans="1:26" ht="15.75" customHeight="1" x14ac:dyDescent="0.35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spans="1:26" ht="15.75" customHeight="1" x14ac:dyDescent="0.35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spans="1:26" ht="15.75" customHeight="1" x14ac:dyDescent="0.35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spans="1:26" ht="15.75" customHeight="1" x14ac:dyDescent="0.35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spans="1:26" ht="15.75" customHeight="1" x14ac:dyDescent="0.35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spans="1:26" ht="15.75" customHeight="1" x14ac:dyDescent="0.35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spans="1:26" ht="15.75" customHeight="1" x14ac:dyDescent="0.35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spans="1:26" ht="15.75" customHeight="1" x14ac:dyDescent="0.35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spans="1:26" ht="15.75" customHeight="1" x14ac:dyDescent="0.35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spans="1:26" ht="15.75" customHeight="1" x14ac:dyDescent="0.35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spans="1:26" ht="15.75" customHeight="1" x14ac:dyDescent="0.35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spans="1:26" ht="15.75" customHeight="1" x14ac:dyDescent="0.35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spans="1:26" ht="15.75" customHeight="1" x14ac:dyDescent="0.35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spans="1:26" ht="15.75" customHeight="1" x14ac:dyDescent="0.35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spans="1:26" ht="15.75" customHeight="1" x14ac:dyDescent="0.35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spans="1:26" ht="15.75" customHeight="1" x14ac:dyDescent="0.35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spans="1:26" ht="15.75" customHeight="1" x14ac:dyDescent="0.35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spans="1:26" ht="15.75" customHeight="1" x14ac:dyDescent="0.35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spans="1:26" ht="15.75" customHeight="1" x14ac:dyDescent="0.35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spans="1:26" ht="15.75" customHeight="1" x14ac:dyDescent="0.35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spans="1:26" ht="15.75" customHeight="1" x14ac:dyDescent="0.35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spans="1:26" ht="15.75" customHeight="1" x14ac:dyDescent="0.35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spans="1:26" ht="15.75" customHeight="1" x14ac:dyDescent="0.35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spans="1:26" ht="15.75" customHeight="1" x14ac:dyDescent="0.35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spans="1:26" ht="15.75" customHeight="1" x14ac:dyDescent="0.35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spans="1:26" ht="15.75" customHeight="1" x14ac:dyDescent="0.35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spans="1:26" ht="15.75" customHeight="1" x14ac:dyDescent="0.35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spans="1:26" ht="15.75" customHeight="1" x14ac:dyDescent="0.35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spans="1:26" ht="15.75" customHeight="1" x14ac:dyDescent="0.35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spans="1:26" ht="15.75" customHeight="1" x14ac:dyDescent="0.35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spans="1:26" ht="15.75" customHeight="1" x14ac:dyDescent="0.35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spans="1:26" ht="15.75" customHeight="1" x14ac:dyDescent="0.35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spans="1:26" ht="15.75" customHeight="1" x14ac:dyDescent="0.35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spans="1:26" ht="15.75" customHeight="1" x14ac:dyDescent="0.35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spans="1:26" ht="15.75" customHeight="1" x14ac:dyDescent="0.35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spans="1:26" ht="15.75" customHeight="1" x14ac:dyDescent="0.35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spans="1:26" ht="15.75" customHeight="1" x14ac:dyDescent="0.35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spans="1:26" ht="15.75" customHeight="1" x14ac:dyDescent="0.35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spans="1:26" ht="15.75" customHeight="1" x14ac:dyDescent="0.35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spans="1:26" ht="15.75" customHeight="1" x14ac:dyDescent="0.35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spans="1:26" ht="15.75" customHeight="1" x14ac:dyDescent="0.35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spans="1:26" ht="15.75" customHeight="1" x14ac:dyDescent="0.35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spans="1:26" ht="15.75" customHeight="1" x14ac:dyDescent="0.35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spans="1:26" ht="15.75" customHeight="1" x14ac:dyDescent="0.35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spans="1:26" ht="15.75" customHeight="1" x14ac:dyDescent="0.35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spans="1:26" ht="15.75" customHeight="1" x14ac:dyDescent="0.35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spans="1:26" ht="15.75" customHeight="1" x14ac:dyDescent="0.35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spans="1:26" ht="15.75" customHeight="1" x14ac:dyDescent="0.35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spans="1:26" ht="15.75" customHeight="1" x14ac:dyDescent="0.35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spans="1:26" ht="15.75" customHeight="1" x14ac:dyDescent="0.35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spans="1:26" ht="15.75" customHeight="1" x14ac:dyDescent="0.35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spans="1:26" ht="15.75" customHeight="1" x14ac:dyDescent="0.35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spans="1:26" ht="15.75" customHeight="1" x14ac:dyDescent="0.35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spans="1:26" ht="15.75" customHeight="1" x14ac:dyDescent="0.35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spans="1:26" ht="15.75" customHeight="1" x14ac:dyDescent="0.35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spans="1:26" ht="15.75" customHeight="1" x14ac:dyDescent="0.35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spans="1:26" ht="15.75" customHeight="1" x14ac:dyDescent="0.35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spans="1:26" ht="15.75" customHeight="1" x14ac:dyDescent="0.35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spans="1:26" ht="15.75" customHeight="1" x14ac:dyDescent="0.35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spans="1:26" ht="15.75" customHeight="1" x14ac:dyDescent="0.35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spans="1:26" ht="15.75" customHeight="1" x14ac:dyDescent="0.35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spans="1:26" ht="15.75" customHeight="1" x14ac:dyDescent="0.35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spans="1:26" ht="15.75" customHeight="1" x14ac:dyDescent="0.35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spans="1:26" ht="15.75" customHeight="1" x14ac:dyDescent="0.35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spans="1:26" ht="15.75" customHeight="1" x14ac:dyDescent="0.35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spans="1:26" ht="15.75" customHeight="1" x14ac:dyDescent="0.35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spans="1:26" ht="15.75" customHeight="1" x14ac:dyDescent="0.35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spans="1:26" ht="15.75" customHeight="1" x14ac:dyDescent="0.35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spans="1:26" ht="15.75" customHeight="1" x14ac:dyDescent="0.35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spans="1:26" ht="15.75" customHeight="1" x14ac:dyDescent="0.35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spans="1:26" ht="15.75" customHeight="1" x14ac:dyDescent="0.35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spans="1:26" ht="15.75" customHeight="1" x14ac:dyDescent="0.35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spans="1:26" ht="15.75" customHeight="1" x14ac:dyDescent="0.35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spans="1:26" ht="15.75" customHeight="1" x14ac:dyDescent="0.35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spans="1:26" ht="15.75" customHeight="1" x14ac:dyDescent="0.35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spans="1:26" ht="15.75" customHeight="1" x14ac:dyDescent="0.35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spans="1:26" ht="15.75" customHeight="1" x14ac:dyDescent="0.35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spans="1:26" ht="15.75" customHeight="1" x14ac:dyDescent="0.35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spans="1:26" ht="15.75" customHeight="1" x14ac:dyDescent="0.35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spans="1:26" ht="15.75" customHeight="1" x14ac:dyDescent="0.35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spans="1:26" ht="15.75" customHeight="1" x14ac:dyDescent="0.35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spans="1:26" ht="15.75" customHeight="1" x14ac:dyDescent="0.35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spans="1:26" ht="15.75" customHeight="1" x14ac:dyDescent="0.35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spans="1:26" ht="15.75" customHeight="1" x14ac:dyDescent="0.35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spans="1:26" ht="15.75" customHeight="1" x14ac:dyDescent="0.35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spans="1:26" ht="15.75" customHeight="1" x14ac:dyDescent="0.35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spans="1:26" ht="15.75" customHeight="1" x14ac:dyDescent="0.35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spans="1:26" ht="15.75" customHeight="1" x14ac:dyDescent="0.35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spans="1:26" ht="15.75" customHeight="1" x14ac:dyDescent="0.35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spans="1:26" ht="15.75" customHeight="1" x14ac:dyDescent="0.35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spans="1:26" ht="15.75" customHeight="1" x14ac:dyDescent="0.35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spans="1:26" ht="15.75" customHeight="1" x14ac:dyDescent="0.35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spans="1:26" ht="15.75" customHeight="1" x14ac:dyDescent="0.35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spans="1:26" ht="15.75" customHeight="1" x14ac:dyDescent="0.35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spans="1:26" ht="15.75" customHeight="1" x14ac:dyDescent="0.35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spans="1:26" ht="15.75" customHeight="1" x14ac:dyDescent="0.35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spans="1:26" ht="15.75" customHeight="1" x14ac:dyDescent="0.35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spans="1:26" ht="15.75" customHeight="1" x14ac:dyDescent="0.35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spans="1:26" ht="15.75" customHeight="1" x14ac:dyDescent="0.35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spans="1:26" ht="15.75" customHeight="1" x14ac:dyDescent="0.35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spans="1:26" ht="15.75" customHeight="1" x14ac:dyDescent="0.35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spans="1:26" ht="15.75" customHeight="1" x14ac:dyDescent="0.35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spans="1:26" ht="15.75" customHeight="1" x14ac:dyDescent="0.35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spans="1:26" ht="15.75" customHeight="1" x14ac:dyDescent="0.35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spans="1:26" ht="15.75" customHeight="1" x14ac:dyDescent="0.35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spans="1:26" ht="15.75" customHeight="1" x14ac:dyDescent="0.35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spans="1:26" ht="15.75" customHeight="1" x14ac:dyDescent="0.35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spans="1:26" ht="15.75" customHeight="1" x14ac:dyDescent="0.35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spans="1:26" ht="15.75" customHeight="1" x14ac:dyDescent="0.35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spans="1:26" ht="15.75" customHeight="1" x14ac:dyDescent="0.35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spans="1:26" ht="15.75" customHeight="1" x14ac:dyDescent="0.35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spans="1:26" ht="15.75" customHeight="1" x14ac:dyDescent="0.35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spans="1:26" ht="15.75" customHeight="1" x14ac:dyDescent="0.35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spans="1:26" ht="15.75" customHeight="1" x14ac:dyDescent="0.35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spans="1:26" ht="15.75" customHeight="1" x14ac:dyDescent="0.35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spans="1:26" ht="15.75" customHeight="1" x14ac:dyDescent="0.35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spans="1:26" ht="15.75" customHeight="1" x14ac:dyDescent="0.35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spans="1:26" ht="15.75" customHeight="1" x14ac:dyDescent="0.35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spans="1:26" ht="15.75" customHeight="1" x14ac:dyDescent="0.35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spans="1:26" ht="15.75" customHeight="1" x14ac:dyDescent="0.35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spans="1:26" ht="15.75" customHeight="1" x14ac:dyDescent="0.35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spans="1:26" ht="15.75" customHeight="1" x14ac:dyDescent="0.35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spans="1:26" ht="15.75" customHeight="1" x14ac:dyDescent="0.35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spans="1:26" ht="15.75" customHeight="1" x14ac:dyDescent="0.35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spans="1:26" ht="15.75" customHeight="1" x14ac:dyDescent="0.35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spans="1:26" ht="15.75" customHeight="1" x14ac:dyDescent="0.35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spans="1:26" ht="15.75" customHeight="1" x14ac:dyDescent="0.35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spans="1:26" ht="15.75" customHeight="1" x14ac:dyDescent="0.35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spans="1:26" ht="15.75" customHeight="1" x14ac:dyDescent="0.35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spans="1:26" ht="15.75" customHeight="1" x14ac:dyDescent="0.35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spans="1:26" ht="15.75" customHeight="1" x14ac:dyDescent="0.35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spans="1:26" ht="15.75" customHeight="1" x14ac:dyDescent="0.35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spans="1:26" ht="15.75" customHeight="1" x14ac:dyDescent="0.35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spans="1:26" ht="15.75" customHeight="1" x14ac:dyDescent="0.35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spans="1:26" ht="15.75" customHeight="1" x14ac:dyDescent="0.35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spans="1:26" ht="15.75" customHeight="1" x14ac:dyDescent="0.35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spans="1:26" ht="15.75" customHeight="1" x14ac:dyDescent="0.35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spans="1:26" ht="15.75" customHeight="1" x14ac:dyDescent="0.35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spans="1:26" ht="15.75" customHeight="1" x14ac:dyDescent="0.35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spans="1:26" ht="15.75" customHeight="1" x14ac:dyDescent="0.35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spans="1:26" ht="15.75" customHeight="1" x14ac:dyDescent="0.35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spans="1:26" ht="15.75" customHeight="1" x14ac:dyDescent="0.35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spans="1:26" ht="15.75" customHeight="1" x14ac:dyDescent="0.35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spans="1:26" ht="15.75" customHeight="1" x14ac:dyDescent="0.35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spans="1:26" ht="15.75" customHeight="1" x14ac:dyDescent="0.35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spans="1:26" ht="15.75" customHeight="1" x14ac:dyDescent="0.35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spans="1:26" ht="15.75" customHeight="1" x14ac:dyDescent="0.35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spans="1:26" ht="15.75" customHeight="1" x14ac:dyDescent="0.35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spans="1:26" ht="15.75" customHeight="1" x14ac:dyDescent="0.35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spans="1:26" ht="15.75" customHeight="1" x14ac:dyDescent="0.35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spans="1:26" ht="15.75" customHeight="1" x14ac:dyDescent="0.35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spans="1:26" ht="15.75" customHeight="1" x14ac:dyDescent="0.35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spans="1:26" ht="15.75" customHeight="1" x14ac:dyDescent="0.35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spans="1:26" ht="15.75" customHeight="1" x14ac:dyDescent="0.35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spans="1:26" ht="15.75" customHeight="1" x14ac:dyDescent="0.35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spans="1:26" ht="15.75" customHeight="1" x14ac:dyDescent="0.35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spans="1:26" ht="15.75" customHeight="1" x14ac:dyDescent="0.35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spans="1:26" ht="15.75" customHeight="1" x14ac:dyDescent="0.35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spans="1:26" ht="15.75" customHeight="1" x14ac:dyDescent="0.35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spans="1:26" ht="15.75" customHeight="1" x14ac:dyDescent="0.35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spans="1:26" ht="15.75" customHeight="1" x14ac:dyDescent="0.35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spans="1:26" ht="15.75" customHeight="1" x14ac:dyDescent="0.35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spans="1:26" ht="15.75" customHeight="1" x14ac:dyDescent="0.35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spans="1:26" ht="15.75" customHeight="1" x14ac:dyDescent="0.35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spans="1:26" ht="15.75" customHeight="1" x14ac:dyDescent="0.35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spans="1:26" ht="15.75" customHeight="1" x14ac:dyDescent="0.35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spans="1:26" ht="15.75" customHeight="1" x14ac:dyDescent="0.35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spans="1:26" ht="15.75" customHeight="1" x14ac:dyDescent="0.35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spans="1:26" ht="15.75" customHeight="1" x14ac:dyDescent="0.35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spans="1:26" ht="15.75" customHeight="1" x14ac:dyDescent="0.35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spans="1:26" ht="15.75" customHeight="1" x14ac:dyDescent="0.35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spans="1:26" ht="15.75" customHeight="1" x14ac:dyDescent="0.35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spans="1:26" ht="15.75" customHeight="1" x14ac:dyDescent="0.35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spans="1:26" ht="15.75" customHeight="1" x14ac:dyDescent="0.35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spans="1:26" ht="15.75" customHeight="1" x14ac:dyDescent="0.35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spans="1:26" ht="15.75" customHeight="1" x14ac:dyDescent="0.35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spans="1:26" ht="15.75" customHeight="1" x14ac:dyDescent="0.35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spans="1:26" ht="15.75" customHeight="1" x14ac:dyDescent="0.35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spans="1:26" ht="15.75" customHeight="1" x14ac:dyDescent="0.35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spans="1:26" ht="15.75" customHeight="1" x14ac:dyDescent="0.35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spans="1:26" ht="15.75" customHeight="1" x14ac:dyDescent="0.35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spans="1:26" ht="15.75" customHeight="1" x14ac:dyDescent="0.35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spans="1:26" ht="15.75" customHeight="1" x14ac:dyDescent="0.35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spans="1:26" ht="15.75" customHeight="1" x14ac:dyDescent="0.35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spans="1:26" ht="15.75" customHeight="1" x14ac:dyDescent="0.35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spans="1:26" ht="15.75" customHeight="1" x14ac:dyDescent="0.35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spans="1:26" ht="15.75" customHeight="1" x14ac:dyDescent="0.35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spans="1:26" ht="15.75" customHeight="1" x14ac:dyDescent="0.35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spans="1:26" ht="15.75" customHeight="1" x14ac:dyDescent="0.35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spans="1:26" ht="15.75" customHeight="1" x14ac:dyDescent="0.35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spans="1:26" ht="15.75" customHeight="1" x14ac:dyDescent="0.35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spans="1:26" ht="15.75" customHeight="1" x14ac:dyDescent="0.35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spans="1:26" ht="15.75" customHeight="1" x14ac:dyDescent="0.35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spans="1:26" ht="15.75" customHeight="1" x14ac:dyDescent="0.35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spans="1:26" ht="15.75" customHeight="1" x14ac:dyDescent="0.35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spans="1:26" ht="15.75" customHeight="1" x14ac:dyDescent="0.35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spans="1:26" ht="15.75" customHeight="1" x14ac:dyDescent="0.35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spans="1:26" ht="15.75" customHeight="1" x14ac:dyDescent="0.35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spans="1:26" ht="15.75" customHeight="1" x14ac:dyDescent="0.35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spans="1:26" ht="15.75" customHeight="1" x14ac:dyDescent="0.35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spans="1:26" ht="15.75" customHeight="1" x14ac:dyDescent="0.35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spans="1:26" ht="15.75" customHeight="1" x14ac:dyDescent="0.35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spans="1:26" ht="15.75" customHeight="1" x14ac:dyDescent="0.35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spans="1:26" ht="15.75" customHeight="1" x14ac:dyDescent="0.35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spans="1:26" ht="15.75" customHeight="1" x14ac:dyDescent="0.35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spans="1:26" ht="15.75" customHeight="1" x14ac:dyDescent="0.35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spans="1:26" ht="15.75" customHeight="1" x14ac:dyDescent="0.35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spans="1:26" ht="15.75" customHeight="1" x14ac:dyDescent="0.35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spans="1:26" ht="15.75" customHeight="1" x14ac:dyDescent="0.35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spans="1:26" ht="15.75" customHeight="1" x14ac:dyDescent="0.35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spans="1:26" ht="15.75" customHeight="1" x14ac:dyDescent="0.35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spans="1:26" ht="15.75" customHeight="1" x14ac:dyDescent="0.35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spans="1:26" ht="15.75" customHeight="1" x14ac:dyDescent="0.35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spans="1:26" ht="15.75" customHeight="1" x14ac:dyDescent="0.35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spans="1:26" ht="15.75" customHeight="1" x14ac:dyDescent="0.35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spans="1:26" ht="15.75" customHeight="1" x14ac:dyDescent="0.35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spans="1:26" ht="15.75" customHeight="1" x14ac:dyDescent="0.35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spans="1:26" ht="15.75" customHeight="1" x14ac:dyDescent="0.35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spans="1:26" ht="15.75" customHeight="1" x14ac:dyDescent="0.35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spans="1:26" ht="15.75" customHeight="1" x14ac:dyDescent="0.35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spans="1:26" ht="15.75" customHeight="1" x14ac:dyDescent="0.35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spans="1:26" ht="15.75" customHeight="1" x14ac:dyDescent="0.35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spans="1:26" ht="15.75" customHeight="1" x14ac:dyDescent="0.35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spans="1:26" ht="15.75" customHeight="1" x14ac:dyDescent="0.35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spans="1:26" ht="15.75" customHeight="1" x14ac:dyDescent="0.35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spans="1:26" ht="15.75" customHeight="1" x14ac:dyDescent="0.35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spans="1:26" ht="15.75" customHeight="1" x14ac:dyDescent="0.35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spans="1:26" ht="15.75" customHeight="1" x14ac:dyDescent="0.35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spans="1:26" ht="15.75" customHeight="1" x14ac:dyDescent="0.35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spans="1:26" ht="15.75" customHeight="1" x14ac:dyDescent="0.35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spans="1:26" ht="15.75" customHeight="1" x14ac:dyDescent="0.35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spans="1:26" ht="15.75" customHeight="1" x14ac:dyDescent="0.35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spans="1:26" ht="15.75" customHeight="1" x14ac:dyDescent="0.35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spans="1:26" ht="15.75" customHeight="1" x14ac:dyDescent="0.35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spans="1:26" ht="15.75" customHeight="1" x14ac:dyDescent="0.35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spans="1:26" ht="15.75" customHeight="1" x14ac:dyDescent="0.35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spans="1:26" ht="15.75" customHeight="1" x14ac:dyDescent="0.35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spans="1:26" ht="15.75" customHeight="1" x14ac:dyDescent="0.35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spans="1:26" ht="15.75" customHeight="1" x14ac:dyDescent="0.35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spans="1:26" ht="15.75" customHeight="1" x14ac:dyDescent="0.35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spans="1:26" ht="15.75" customHeight="1" x14ac:dyDescent="0.35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spans="1:26" ht="15.75" customHeight="1" x14ac:dyDescent="0.35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spans="1:26" ht="15.75" customHeight="1" x14ac:dyDescent="0.35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spans="1:26" ht="15.75" customHeight="1" x14ac:dyDescent="0.35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spans="1:26" ht="15.75" customHeight="1" x14ac:dyDescent="0.35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spans="1:26" ht="15.75" customHeight="1" x14ac:dyDescent="0.35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spans="1:26" ht="15.75" customHeight="1" x14ac:dyDescent="0.35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spans="1:26" ht="15.75" customHeight="1" x14ac:dyDescent="0.35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spans="1:26" ht="15.75" customHeight="1" x14ac:dyDescent="0.35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spans="1:26" ht="15.75" customHeight="1" x14ac:dyDescent="0.35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spans="1:26" ht="15.75" customHeight="1" x14ac:dyDescent="0.35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spans="1:26" ht="15.75" customHeight="1" x14ac:dyDescent="0.35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spans="1:26" ht="15.75" customHeight="1" x14ac:dyDescent="0.35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spans="1:26" ht="15.75" customHeight="1" x14ac:dyDescent="0.35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spans="1:26" ht="15.75" customHeight="1" x14ac:dyDescent="0.35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spans="1:26" ht="15.75" customHeight="1" x14ac:dyDescent="0.35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spans="1:26" ht="15.75" customHeight="1" x14ac:dyDescent="0.35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spans="1:26" ht="15.75" customHeight="1" x14ac:dyDescent="0.35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spans="1:26" ht="15.75" customHeight="1" x14ac:dyDescent="0.35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spans="1:26" ht="15.75" customHeight="1" x14ac:dyDescent="0.35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spans="1:26" ht="15.75" customHeight="1" x14ac:dyDescent="0.35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spans="1:26" ht="15.75" customHeight="1" x14ac:dyDescent="0.35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spans="1:26" ht="15.75" customHeight="1" x14ac:dyDescent="0.35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spans="1:26" ht="15.75" customHeight="1" x14ac:dyDescent="0.35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spans="1:26" ht="15.75" customHeight="1" x14ac:dyDescent="0.35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spans="1:26" ht="15.75" customHeight="1" x14ac:dyDescent="0.35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spans="1:26" ht="15.75" customHeight="1" x14ac:dyDescent="0.35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spans="1:26" ht="15.75" customHeight="1" x14ac:dyDescent="0.35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spans="1:26" ht="15.75" customHeight="1" x14ac:dyDescent="0.35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spans="1:26" ht="15.75" customHeight="1" x14ac:dyDescent="0.35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spans="1:26" ht="15.75" customHeight="1" x14ac:dyDescent="0.35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spans="1:26" ht="15.75" customHeight="1" x14ac:dyDescent="0.35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spans="1:26" ht="15.75" customHeight="1" x14ac:dyDescent="0.35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spans="1:26" ht="15.75" customHeight="1" x14ac:dyDescent="0.35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spans="1:26" ht="15.75" customHeight="1" x14ac:dyDescent="0.35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spans="1:26" ht="15.75" customHeight="1" x14ac:dyDescent="0.35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spans="1:26" ht="15.75" customHeight="1" x14ac:dyDescent="0.35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spans="1:26" ht="15.75" customHeight="1" x14ac:dyDescent="0.35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spans="1:26" ht="15.75" customHeight="1" x14ac:dyDescent="0.35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spans="1:26" ht="15.75" customHeight="1" x14ac:dyDescent="0.35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spans="1:26" ht="15.75" customHeight="1" x14ac:dyDescent="0.35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spans="1:26" ht="15.75" customHeight="1" x14ac:dyDescent="0.35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spans="1:26" ht="15.75" customHeight="1" x14ac:dyDescent="0.35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spans="1:26" ht="15.75" customHeight="1" x14ac:dyDescent="0.35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spans="1:26" ht="15.75" customHeight="1" x14ac:dyDescent="0.35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spans="1:26" ht="15.75" customHeight="1" x14ac:dyDescent="0.35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spans="1:26" ht="15.75" customHeight="1" x14ac:dyDescent="0.35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spans="1:26" ht="15.75" customHeight="1" x14ac:dyDescent="0.35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spans="1:26" ht="15.75" customHeight="1" x14ac:dyDescent="0.35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spans="1:26" ht="15.75" customHeight="1" x14ac:dyDescent="0.35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spans="1:26" ht="15.75" customHeight="1" x14ac:dyDescent="0.35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spans="1:26" ht="15.75" customHeight="1" x14ac:dyDescent="0.35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spans="1:26" ht="15.75" customHeight="1" x14ac:dyDescent="0.35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spans="1:26" ht="15.75" customHeight="1" x14ac:dyDescent="0.35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spans="1:26" ht="15.75" customHeight="1" x14ac:dyDescent="0.35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spans="1:26" ht="15.75" customHeight="1" x14ac:dyDescent="0.35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spans="1:26" ht="15.75" customHeight="1" x14ac:dyDescent="0.35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spans="1:26" ht="15.75" customHeight="1" x14ac:dyDescent="0.35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spans="1:26" ht="15.75" customHeight="1" x14ac:dyDescent="0.35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spans="1:26" ht="15.75" customHeight="1" x14ac:dyDescent="0.35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spans="1:26" ht="15.75" customHeight="1" x14ac:dyDescent="0.35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spans="1:26" ht="15.75" customHeight="1" x14ac:dyDescent="0.35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spans="1:26" ht="15.75" customHeight="1" x14ac:dyDescent="0.35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spans="1:26" ht="15.75" customHeight="1" x14ac:dyDescent="0.35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spans="1:26" ht="15.75" customHeight="1" x14ac:dyDescent="0.35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spans="1:26" ht="15.75" customHeight="1" x14ac:dyDescent="0.35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spans="1:26" ht="15.75" customHeight="1" x14ac:dyDescent="0.35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spans="1:26" ht="15.75" customHeight="1" x14ac:dyDescent="0.35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spans="1:26" ht="15.75" customHeight="1" x14ac:dyDescent="0.35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spans="1:26" ht="15.75" customHeight="1" x14ac:dyDescent="0.35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spans="1:26" ht="15.75" customHeight="1" x14ac:dyDescent="0.35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spans="1:26" ht="15.75" customHeight="1" x14ac:dyDescent="0.35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spans="1:26" ht="15.75" customHeight="1" x14ac:dyDescent="0.35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spans="1:26" ht="15.75" customHeight="1" x14ac:dyDescent="0.35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spans="1:26" ht="15.75" customHeight="1" x14ac:dyDescent="0.35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spans="1:26" ht="15.75" customHeight="1" x14ac:dyDescent="0.35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spans="1:26" ht="15.75" customHeight="1" x14ac:dyDescent="0.35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spans="1:26" ht="15.75" customHeight="1" x14ac:dyDescent="0.35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spans="1:26" ht="15.75" customHeight="1" x14ac:dyDescent="0.35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spans="1:26" ht="15.75" customHeight="1" x14ac:dyDescent="0.35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spans="1:26" ht="15.75" customHeight="1" x14ac:dyDescent="0.35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spans="1:26" ht="15.75" customHeight="1" x14ac:dyDescent="0.35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spans="1:26" ht="15.75" customHeight="1" x14ac:dyDescent="0.35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spans="1:26" ht="15.75" customHeight="1" x14ac:dyDescent="0.35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spans="1:26" ht="15.75" customHeight="1" x14ac:dyDescent="0.35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spans="1:26" ht="15.75" customHeight="1" x14ac:dyDescent="0.35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spans="1:26" ht="15.75" customHeight="1" x14ac:dyDescent="0.35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spans="1:26" ht="15.75" customHeight="1" x14ac:dyDescent="0.35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spans="1:26" ht="15.75" customHeight="1" x14ac:dyDescent="0.35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spans="1:26" ht="15.75" customHeight="1" x14ac:dyDescent="0.35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spans="1:26" ht="15.75" customHeight="1" x14ac:dyDescent="0.35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spans="1:26" ht="15.75" customHeight="1" x14ac:dyDescent="0.35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spans="1:26" ht="15.75" customHeight="1" x14ac:dyDescent="0.35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spans="1:26" ht="15.75" customHeight="1" x14ac:dyDescent="0.35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spans="1:26" ht="15.75" customHeight="1" x14ac:dyDescent="0.35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spans="1:26" ht="15.75" customHeight="1" x14ac:dyDescent="0.35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spans="1:26" ht="15.75" customHeight="1" x14ac:dyDescent="0.35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spans="1:26" ht="15.75" customHeight="1" x14ac:dyDescent="0.35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spans="1:26" ht="15.75" customHeight="1" x14ac:dyDescent="0.35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spans="1:26" ht="15.75" customHeight="1" x14ac:dyDescent="0.35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spans="1:26" ht="15.75" customHeight="1" x14ac:dyDescent="0.35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spans="1:26" ht="15.75" customHeight="1" x14ac:dyDescent="0.35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spans="1:26" ht="15.75" customHeight="1" x14ac:dyDescent="0.35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spans="1:26" ht="15.75" customHeight="1" x14ac:dyDescent="0.35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spans="1:26" ht="15.75" customHeight="1" x14ac:dyDescent="0.35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spans="1:26" ht="15.75" customHeight="1" x14ac:dyDescent="0.35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spans="1:26" ht="15.75" customHeight="1" x14ac:dyDescent="0.35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spans="1:26" ht="15.75" customHeight="1" x14ac:dyDescent="0.35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spans="1:26" ht="15.75" customHeight="1" x14ac:dyDescent="0.35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spans="1:26" ht="15.75" customHeight="1" x14ac:dyDescent="0.35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spans="1:26" ht="15.75" customHeight="1" x14ac:dyDescent="0.35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spans="1:26" ht="15.75" customHeight="1" x14ac:dyDescent="0.35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spans="1:26" ht="15.75" customHeight="1" x14ac:dyDescent="0.35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spans="1:26" ht="15.75" customHeight="1" x14ac:dyDescent="0.35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spans="1:26" ht="15.75" customHeight="1" x14ac:dyDescent="0.35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spans="1:26" ht="15.75" customHeight="1" x14ac:dyDescent="0.35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spans="1:26" ht="15.75" customHeight="1" x14ac:dyDescent="0.35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spans="1:26" ht="15.75" customHeight="1" x14ac:dyDescent="0.35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spans="1:26" ht="15.75" customHeight="1" x14ac:dyDescent="0.35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spans="1:26" ht="15.75" customHeight="1" x14ac:dyDescent="0.35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spans="1:26" ht="15.75" customHeight="1" x14ac:dyDescent="0.35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spans="1:26" ht="15.75" customHeight="1" x14ac:dyDescent="0.35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spans="1:26" ht="15.75" customHeight="1" x14ac:dyDescent="0.35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spans="1:26" ht="15.75" customHeight="1" x14ac:dyDescent="0.35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spans="1:26" ht="15.75" customHeight="1" x14ac:dyDescent="0.35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spans="1:26" ht="15.75" customHeight="1" x14ac:dyDescent="0.35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spans="1:26" ht="15.75" customHeight="1" x14ac:dyDescent="0.35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spans="1:26" ht="15.75" customHeight="1" x14ac:dyDescent="0.35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spans="1:26" ht="15.75" customHeight="1" x14ac:dyDescent="0.35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spans="1:26" ht="15.75" customHeight="1" x14ac:dyDescent="0.35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spans="1:26" ht="15.75" customHeight="1" x14ac:dyDescent="0.35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spans="1:26" ht="15.75" customHeight="1" x14ac:dyDescent="0.35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spans="1:26" ht="15.75" customHeight="1" x14ac:dyDescent="0.35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spans="1:26" ht="15.75" customHeight="1" x14ac:dyDescent="0.35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spans="1:26" ht="15.75" customHeight="1" x14ac:dyDescent="0.35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spans="1:26" ht="15.75" customHeight="1" x14ac:dyDescent="0.35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spans="1:26" ht="15.75" customHeight="1" x14ac:dyDescent="0.35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spans="1:26" ht="15.75" customHeight="1" x14ac:dyDescent="0.35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spans="1:26" ht="15.75" customHeight="1" x14ac:dyDescent="0.35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spans="1:26" ht="15.75" customHeight="1" x14ac:dyDescent="0.35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spans="1:26" ht="15.75" customHeight="1" x14ac:dyDescent="0.35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spans="1:26" ht="15.75" customHeight="1" x14ac:dyDescent="0.35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spans="1:26" ht="15.75" customHeight="1" x14ac:dyDescent="0.35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spans="1:26" ht="15.75" customHeight="1" x14ac:dyDescent="0.35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spans="1:26" ht="15.75" customHeight="1" x14ac:dyDescent="0.35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spans="1:26" ht="15.75" customHeight="1" x14ac:dyDescent="0.35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spans="1:26" ht="15.75" customHeight="1" x14ac:dyDescent="0.35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spans="1:26" ht="15.75" customHeight="1" x14ac:dyDescent="0.35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spans="1:26" ht="15.75" customHeight="1" x14ac:dyDescent="0.35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spans="1:26" ht="15.75" customHeight="1" x14ac:dyDescent="0.35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spans="1:26" ht="15.75" customHeight="1" x14ac:dyDescent="0.35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spans="1:26" ht="15.75" customHeight="1" x14ac:dyDescent="0.35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spans="1:26" ht="15.75" customHeight="1" x14ac:dyDescent="0.35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spans="1:26" ht="15.75" customHeight="1" x14ac:dyDescent="0.35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spans="1:26" ht="15.75" customHeight="1" x14ac:dyDescent="0.35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spans="1:26" ht="15.75" customHeight="1" x14ac:dyDescent="0.35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spans="1:26" ht="15.75" customHeight="1" x14ac:dyDescent="0.35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spans="1:26" ht="15.75" customHeight="1" x14ac:dyDescent="0.35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spans="1:26" ht="15.75" customHeight="1" x14ac:dyDescent="0.35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spans="1:26" ht="15.75" customHeight="1" x14ac:dyDescent="0.35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spans="1:26" ht="15.75" customHeight="1" x14ac:dyDescent="0.35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spans="1:26" ht="15.75" customHeight="1" x14ac:dyDescent="0.35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spans="1:26" ht="15.75" customHeight="1" x14ac:dyDescent="0.35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spans="1:26" ht="15.75" customHeight="1" x14ac:dyDescent="0.35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spans="1:26" ht="15.75" customHeight="1" x14ac:dyDescent="0.35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spans="1:26" ht="15.75" customHeight="1" x14ac:dyDescent="0.35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spans="1:26" ht="15.75" customHeight="1" x14ac:dyDescent="0.35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spans="1:26" ht="15.75" customHeight="1" x14ac:dyDescent="0.35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spans="1:26" ht="15.75" customHeight="1" x14ac:dyDescent="0.35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spans="1:26" ht="15.75" customHeight="1" x14ac:dyDescent="0.35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spans="1:26" ht="15.75" customHeight="1" x14ac:dyDescent="0.35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spans="1:26" ht="15.75" customHeight="1" x14ac:dyDescent="0.35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spans="1:26" ht="15.75" customHeight="1" x14ac:dyDescent="0.35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spans="1:26" ht="15.75" customHeight="1" x14ac:dyDescent="0.35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spans="1:26" ht="15.75" customHeight="1" x14ac:dyDescent="0.35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spans="1:26" ht="15.75" customHeight="1" x14ac:dyDescent="0.35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spans="1:26" ht="15.75" customHeight="1" x14ac:dyDescent="0.35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spans="1:26" ht="15.75" customHeight="1" x14ac:dyDescent="0.35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spans="1:26" ht="15.75" customHeight="1" x14ac:dyDescent="0.35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spans="1:26" ht="15.75" customHeight="1" x14ac:dyDescent="0.35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spans="1:26" ht="15.75" customHeight="1" x14ac:dyDescent="0.35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4">
    <mergeCell ref="A1:B1"/>
    <mergeCell ref="A2:B2"/>
    <mergeCell ref="A3:B3"/>
    <mergeCell ref="A34:B3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History &amp; Current Pipeline</vt:lpstr>
      <vt:lpstr>Pending Pipeline</vt:lpstr>
      <vt:lpstr>Assumptions</vt:lpstr>
      <vt:lpstr>Projections</vt:lpstr>
      <vt:lpstr>Assumptions 2 Beta</vt:lpstr>
      <vt:lpstr>Beta-Pilot</vt:lpstr>
      <vt:lpstr>ROI Calculator</vt:lpstr>
      <vt:lpstr>Actual Bill Run Sheet</vt:lpstr>
      <vt:lpstr>Startup Balance Sheet</vt:lpstr>
      <vt:lpstr>Old Model Income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Sparks</dc:creator>
  <cp:lastModifiedBy>Doug Sparks</cp:lastModifiedBy>
  <cp:lastPrinted>2024-03-13T15:17:08Z</cp:lastPrinted>
  <dcterms:created xsi:type="dcterms:W3CDTF">2024-02-06T12:06:13Z</dcterms:created>
  <dcterms:modified xsi:type="dcterms:W3CDTF">2024-08-20T19:27:22Z</dcterms:modified>
</cp:coreProperties>
</file>