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tta\Downloads\"/>
    </mc:Choice>
  </mc:AlternateContent>
  <xr:revisionPtr revIDLastSave="0" documentId="8_{280AB629-F2CC-4EB7-A5AB-05E694F340B6}" xr6:coauthVersionLast="47" xr6:coauthVersionMax="47" xr10:uidLastSave="{00000000-0000-0000-0000-000000000000}"/>
  <bookViews>
    <workbookView xWindow="-120" yWindow="-120" windowWidth="24240" windowHeight="13020" xr2:uid="{8B4505E0-5D33-4503-A18B-B7677A50F20F}"/>
  </bookViews>
  <sheets>
    <sheet name="SUM 25" sheetId="1" r:id="rId1"/>
    <sheet name="FEB" sheetId="11" r:id="rId2"/>
    <sheet name="FEB CRCD" sheetId="12" r:id="rId3"/>
    <sheet name="JAN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J40" i="1"/>
  <c r="J10" i="1"/>
  <c r="J6" i="1"/>
  <c r="J42" i="1"/>
  <c r="J24" i="1"/>
  <c r="J23" i="1"/>
  <c r="J20" i="1"/>
  <c r="I27" i="1"/>
  <c r="I6" i="1"/>
  <c r="I42" i="1"/>
  <c r="I40" i="1"/>
  <c r="I24" i="1"/>
  <c r="I23" i="1"/>
  <c r="I20" i="1"/>
  <c r="H6" i="1"/>
  <c r="H42" i="1"/>
  <c r="H24" i="1"/>
  <c r="H23" i="1"/>
  <c r="H32" i="1"/>
  <c r="H40" i="1"/>
  <c r="H20" i="1"/>
  <c r="H10" i="1"/>
  <c r="G40" i="1"/>
  <c r="H73" i="1"/>
  <c r="G6" i="1"/>
  <c r="G42" i="1"/>
  <c r="G24" i="1"/>
  <c r="G23" i="1"/>
  <c r="G20" i="1"/>
  <c r="G28" i="1"/>
  <c r="F6" i="1"/>
  <c r="F40" i="1"/>
  <c r="F42" i="1"/>
  <c r="F24" i="1" l="1"/>
  <c r="F23" i="1"/>
  <c r="F39" i="1"/>
  <c r="F22" i="1"/>
  <c r="F20" i="1"/>
  <c r="F27" i="1"/>
  <c r="E40" i="1"/>
  <c r="E29" i="1"/>
  <c r="E6" i="1"/>
  <c r="E41" i="1"/>
  <c r="E42" i="1"/>
  <c r="E27" i="1"/>
  <c r="E24" i="1"/>
  <c r="E23" i="1"/>
  <c r="O14" i="1"/>
  <c r="O13" i="1"/>
  <c r="O12" i="1"/>
  <c r="O11" i="1"/>
  <c r="O8" i="1"/>
  <c r="E39" i="1" l="1"/>
  <c r="E20" i="1"/>
  <c r="E26" i="1" l="1"/>
  <c r="Q64" i="1"/>
  <c r="D38" i="1" l="1"/>
  <c r="D54" i="1"/>
  <c r="E54" i="1" s="1"/>
  <c r="F54" i="1" s="1"/>
  <c r="G54" i="1" s="1"/>
  <c r="H54" i="1" s="1"/>
  <c r="I54" i="1" s="1"/>
  <c r="J54" i="1" s="1"/>
  <c r="D10" i="1"/>
  <c r="D6" i="1"/>
  <c r="D27" i="1"/>
  <c r="D40" i="1"/>
  <c r="D42" i="1"/>
  <c r="D24" i="1"/>
  <c r="D23" i="1"/>
  <c r="D9" i="1"/>
  <c r="D20" i="1"/>
  <c r="D32" i="1"/>
  <c r="C38" i="1"/>
  <c r="C27" i="1"/>
  <c r="C52" i="1"/>
  <c r="D52" i="1" s="1"/>
  <c r="E52" i="1" s="1"/>
  <c r="F52" i="1" s="1"/>
  <c r="G52" i="1" s="1"/>
  <c r="H52" i="1" s="1"/>
  <c r="I52" i="1" s="1"/>
  <c r="J52" i="1" s="1"/>
  <c r="C54" i="1" l="1"/>
  <c r="C32" i="1" l="1"/>
  <c r="C6" i="1"/>
  <c r="O6" i="1" s="1"/>
  <c r="D43" i="1"/>
  <c r="C10" i="1"/>
  <c r="O10" i="1" s="1"/>
  <c r="C7" i="1"/>
  <c r="O7" i="1" s="1"/>
  <c r="C9" i="1"/>
  <c r="O9" i="1" s="1"/>
  <c r="C40" i="1"/>
  <c r="C37" i="1"/>
  <c r="C42" i="1"/>
  <c r="C23" i="1"/>
  <c r="C24" i="1"/>
  <c r="C20" i="1"/>
  <c r="N43" i="1"/>
  <c r="M43" i="1"/>
  <c r="L43" i="1"/>
  <c r="K43" i="1"/>
  <c r="J43" i="1"/>
  <c r="I43" i="1"/>
  <c r="H43" i="1"/>
  <c r="G43" i="1"/>
  <c r="F43" i="1"/>
  <c r="E43" i="1"/>
  <c r="C5" i="1"/>
  <c r="P43" i="1"/>
  <c r="C43" i="1" l="1"/>
  <c r="M17" i="12"/>
  <c r="N19" i="12"/>
  <c r="L41" i="11"/>
  <c r="G37" i="12"/>
  <c r="R6" i="1" l="1"/>
  <c r="O16" i="1"/>
  <c r="O42" i="1" l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S42" i="1"/>
  <c r="S40" i="1"/>
  <c r="S38" i="1"/>
  <c r="S24" i="1"/>
  <c r="S23" i="1"/>
  <c r="S20" i="1"/>
  <c r="N16" i="1" l="1"/>
  <c r="D16" i="1" l="1"/>
  <c r="C16" i="1" l="1"/>
  <c r="Q30" i="1"/>
  <c r="D62" i="1"/>
  <c r="F61" i="1"/>
  <c r="F60" i="1"/>
  <c r="Q42" i="1"/>
  <c r="Q41" i="1"/>
  <c r="R37" i="1"/>
  <c r="Q36" i="1"/>
  <c r="Q35" i="1"/>
  <c r="Q34" i="1"/>
  <c r="Q33" i="1"/>
  <c r="R31" i="1"/>
  <c r="Q29" i="1"/>
  <c r="Q28" i="1"/>
  <c r="Q26" i="1"/>
  <c r="R25" i="1"/>
  <c r="Q22" i="1"/>
  <c r="Q21" i="1"/>
  <c r="O19" i="1"/>
  <c r="Q19" i="1" s="1"/>
  <c r="O18" i="1"/>
  <c r="P16" i="1"/>
  <c r="L16" i="1"/>
  <c r="I16" i="1"/>
  <c r="H16" i="1"/>
  <c r="Q14" i="1"/>
  <c r="Q13" i="1"/>
  <c r="Q12" i="1"/>
  <c r="Q10" i="1"/>
  <c r="Q9" i="1"/>
  <c r="Q8" i="1"/>
  <c r="Q7" i="1"/>
  <c r="M16" i="1"/>
  <c r="K16" i="1"/>
  <c r="J16" i="1"/>
  <c r="G16" i="1"/>
  <c r="F16" i="1"/>
  <c r="E16" i="1"/>
  <c r="Q6" i="1"/>
  <c r="O43" i="1" l="1"/>
  <c r="R10" i="1"/>
  <c r="Q11" i="1"/>
  <c r="F62" i="1"/>
  <c r="Q40" i="1"/>
  <c r="R35" i="1"/>
  <c r="R22" i="1"/>
  <c r="Q25" i="1"/>
  <c r="C45" i="1"/>
  <c r="R23" i="1"/>
  <c r="Q23" i="1"/>
  <c r="R38" i="1"/>
  <c r="Q38" i="1"/>
  <c r="R39" i="1"/>
  <c r="Q39" i="1"/>
  <c r="Q24" i="1"/>
  <c r="R24" i="1"/>
  <c r="Q27" i="1"/>
  <c r="R27" i="1"/>
  <c r="R32" i="1"/>
  <c r="Q32" i="1"/>
  <c r="Q37" i="1"/>
  <c r="Q20" i="1"/>
  <c r="Q16" i="1"/>
  <c r="Q31" i="1"/>
  <c r="R43" i="1" l="1"/>
  <c r="C48" i="1"/>
  <c r="D5" i="1"/>
  <c r="D45" i="1" s="1"/>
  <c r="Q43" i="1"/>
  <c r="E5" i="1" l="1"/>
  <c r="E45" i="1" s="1"/>
  <c r="D48" i="1"/>
  <c r="F5" i="1" l="1"/>
  <c r="F45" i="1" s="1"/>
  <c r="E48" i="1"/>
  <c r="G5" i="1" l="1"/>
  <c r="G45" i="1" s="1"/>
  <c r="G48" i="1" s="1"/>
  <c r="F48" i="1"/>
  <c r="H5" i="1" l="1"/>
  <c r="H45" i="1" s="1"/>
  <c r="H48" i="1" s="1"/>
  <c r="I5" i="1" l="1"/>
  <c r="I45" i="1" s="1"/>
  <c r="I48" i="1" l="1"/>
  <c r="J5" i="1"/>
  <c r="J45" i="1" s="1"/>
  <c r="J48" i="1" l="1"/>
  <c r="K5" i="1"/>
  <c r="K45" i="1" s="1"/>
  <c r="K48" i="1" l="1"/>
  <c r="L5" i="1"/>
  <c r="L45" i="1" s="1"/>
  <c r="M5" i="1" l="1"/>
  <c r="M45" i="1" s="1"/>
  <c r="L48" i="1"/>
  <c r="N5" i="1" l="1"/>
  <c r="N45" i="1" s="1"/>
  <c r="M48" i="1"/>
  <c r="N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Brown</author>
  </authors>
  <commentList>
    <comment ref="C6" authorId="0" shapeId="0" xr:uid="{CF675A3D-884A-4E70-9949-C3AE2FD5BEF4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Liz Langer paid $900.  Zelled her back the overpayment of $360
</t>
        </r>
      </text>
    </comment>
    <comment ref="C7" authorId="0" shapeId="0" xr:uid="{F452C6B4-20AB-4EF4-9AEC-F6D4E5621EE7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825 interest charged by attorney on cerami estoppel
mens club donation
</t>
        </r>
      </text>
    </comment>
    <comment ref="D7" authorId="0" shapeId="0" xr:uid="{DF862112-5880-4735-9809-F4B50A99F2F2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125 ladies club
125 ladies club</t>
        </r>
      </text>
    </comment>
    <comment ref="F7" authorId="0" shapeId="0" xr:uid="{11B2A0BC-CC20-4CD8-B280-51874F32A68C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Chase points - used to pay for kitchen shelving</t>
        </r>
      </text>
    </comment>
    <comment ref="C9" authorId="0" shapeId="0" xr:uid="{7C629B8F-95EA-45BE-BEE6-06FD57340E81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building 8, 14, 10, 7, 6, 9, 13, 12</t>
        </r>
      </text>
    </comment>
    <comment ref="D9" authorId="0" shapeId="0" xr:uid="{66EFD6CF-9F3B-4731-AA72-FF673192E801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5, 11
</t>
        </r>
      </text>
    </comment>
    <comment ref="E9" authorId="0" shapeId="0" xr:uid="{8DA95A7A-A9FE-448D-88A0-4F6022CC6CCE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bldg 15
</t>
        </r>
      </text>
    </comment>
    <comment ref="C10" authorId="0" shapeId="0" xr:uid="{8E243F22-1C7B-41DC-896E-1DBD27C92123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5-4B
5-3b
</t>
        </r>
      </text>
    </comment>
    <comment ref="D10" authorId="0" shapeId="0" xr:uid="{E60F8D86-F235-4E14-A892-F1EA8FD6739D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13-9B
8-9A</t>
        </r>
      </text>
    </comment>
    <comment ref="E10" authorId="0" shapeId="0" xr:uid="{5A5300D6-974A-4B3F-B3CB-AD8AA184AB78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11-2B</t>
        </r>
      </text>
    </comment>
    <comment ref="G10" authorId="0" shapeId="0" xr:uid="{38E044CC-7D1B-492C-A70E-1EEE800994C0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11-8B</t>
        </r>
      </text>
    </comment>
    <comment ref="H10" authorId="0" shapeId="0" xr:uid="{41031A71-3F2E-43E5-89D5-E5C0FBFFC7B7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11-8A sale fell through, title co stopped payment on check</t>
        </r>
      </text>
    </comment>
    <comment ref="I10" authorId="0" shapeId="0" xr:uid="{7461345A-1C7C-4531-A726-07ECF584FBFA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OVA units in bldg 5</t>
        </r>
      </text>
    </comment>
    <comment ref="J10" authorId="0" shapeId="0" xr:uid="{5C4556A5-9832-4777-993E-475131C374F4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6-7B
5-4B</t>
        </r>
      </text>
    </comment>
    <comment ref="F22" authorId="0" shapeId="0" xr:uid="{C49145B3-91EE-49CA-9C7E-C177B75B0F27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pay through April 3 (one week pay) she left in March-- mother ill
2nd payment April 13-30
</t>
        </r>
      </text>
    </comment>
    <comment ref="E26" authorId="0" shapeId="0" xr:uid="{7A072F04-6B7F-4441-A6F0-716F0EDD3947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Citizens
</t>
        </r>
      </text>
    </comment>
    <comment ref="C27" authorId="0" shapeId="0" xr:uid="{3E0E34AF-B51A-4048-9FD9-B5277D407424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napkins
cleaning rags &amp; sanitizer spray bottles
antibacterial soap
propane, knives &amp; forks
garbage bags
scrubbing bubbles</t>
        </r>
      </text>
    </comment>
    <comment ref="D27" authorId="0" shapeId="0" xr:uid="{748806FC-5634-4397-AA93-53825FF52651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hand vac
paper towels for bathrooms
forks/napkins
plates
aluminum foil
aluminum foil
toilet paper
</t>
        </r>
      </text>
    </comment>
    <comment ref="E27" authorId="0" shapeId="0" xr:uid="{2EC568C6-FE01-4A28-809E-195B09F892A9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kitchen supplies
clorox wipes
cups for water cooler
paper towels
forks, knives, spoons
small plates
toilet tablets
carpet cleaner/tickets
</t>
        </r>
      </text>
    </comment>
    <comment ref="F27" authorId="0" shapeId="0" xr:uid="{4ECE5ABC-0742-49C6-86D6-4922811EEA8E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yearly fee restaurant store
trash bags
paper cups
paper towel rolls
clorox wipes</t>
        </r>
      </text>
    </comment>
    <comment ref="G27" authorId="0" shapeId="0" xr:uid="{22B49520-153A-48AB-B538-C352C0E5DE22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toilet paper and Dawn</t>
        </r>
      </text>
    </comment>
    <comment ref="I27" authorId="0" shapeId="0" xr:uid="{A6B59EEB-97AC-4096-BADA-027F921C1467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toilet paper
paper towels for rr
microfiber cloths</t>
        </r>
      </text>
    </comment>
    <comment ref="J27" authorId="0" shapeId="0" xr:uid="{823DF72F-AA70-471B-B919-3ACFA7704321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foaming hand soap</t>
        </r>
      </text>
    </comment>
    <comment ref="S27" authorId="0" shapeId="0" xr:uid="{417C7A00-054D-423F-B388-467E69A5AE5F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funk away</t>
        </r>
      </text>
    </comment>
    <comment ref="G28" authorId="0" shapeId="0" xr:uid="{89D9185A-A2B0-4B24-86D9-062C9A16456D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sod and landscape swale in front of pool
supplies to water new sod / home depot, sprinkler and hose</t>
        </r>
      </text>
    </comment>
    <comment ref="E29" authorId="0" shapeId="0" xr:uid="{D514F260-9ECC-4271-AA03-A9B6C407AD05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sun biz
pool inspection fee
</t>
        </r>
      </text>
    </comment>
    <comment ref="C30" authorId="0" shapeId="0" xr:uid="{63CECFC2-1495-4119-AD96-347A86D68377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Thank you gift for Jackie</t>
        </r>
      </text>
    </comment>
    <comment ref="C31" authorId="0" shapeId="0" xr:uid="{69421333-9746-4F28-9708-AB616749C767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modem that was purchased in December was returned
</t>
        </r>
      </text>
    </comment>
    <comment ref="I31" authorId="0" shapeId="0" xr:uid="{9D4ABC0C-0007-47E0-96AF-961D95535F98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new phone/answ mach
</t>
        </r>
      </text>
    </comment>
    <comment ref="S31" authorId="0" shapeId="0" xr:uid="{DF7759B5-335A-4AA8-9D8E-0DCFA347A074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copy paper</t>
        </r>
      </text>
    </comment>
    <comment ref="C32" authorId="0" shapeId="0" xr:uid="{EFFFFA59-5419-45E0-870D-8BDEFEB07CA1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bingo lights, certificate paper
postage
ballot stamp for new election
envelopes for new election
envelopes for new election
stamp for election
paper for election
</t>
        </r>
      </text>
    </comment>
    <comment ref="G32" authorId="0" shapeId="0" xr:uid="{EE6E80AF-2769-4285-A84C-6B91755013C5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copy paper</t>
        </r>
      </text>
    </comment>
    <comment ref="H32" authorId="0" shapeId="0" xr:uid="{11220C00-D523-46AA-8260-2F685623A187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Toner for copier
toner for copier
Go Daddy annual cost</t>
        </r>
      </text>
    </comment>
    <comment ref="J32" authorId="0" shapeId="0" xr:uid="{66997B14-2DD3-470E-BE35-113E65EFB826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postage</t>
        </r>
      </text>
    </comment>
    <comment ref="D34" authorId="0" shapeId="0" xr:uid="{3DEA0F6E-DD12-4829-B628-08FF6ECC118D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Orkin YIA.  Savings of 82.56</t>
        </r>
      </text>
    </comment>
    <comment ref="C37" authorId="0" shapeId="0" xr:uid="{601D8EA1-0616-40EA-A353-35C4F35E1DBE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Cerami Lien fee of $550, paid as part of estoppel
</t>
        </r>
      </text>
    </comment>
    <comment ref="C38" authorId="0" shapeId="0" xr:uid="{1F3E0D99-5C25-463D-8618-7FD6B03D351A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1/2 of 5 more side tables
gate lock keys</t>
        </r>
      </text>
    </comment>
    <comment ref="D38" authorId="0" shapeId="0" xr:uid="{C5112AF8-7F63-41B7-914F-6466298D542F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1/2 awning
first payment of parking lot
painting of awning poles
2nd side table payment
credit for sign return 6.49
pool closed signs
</t>
        </r>
      </text>
    </comment>
    <comment ref="E38" authorId="0" shapeId="0" xr:uid="{41546380-D3DC-4887-8F55-5D651B8570F3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2nd awning payment
</t>
        </r>
      </text>
    </comment>
    <comment ref="F38" authorId="0" shapeId="0" xr:uid="{7C2E3A0D-92DA-4F28-8F22-FBB3B33554AF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locks/keys</t>
        </r>
      </text>
    </comment>
    <comment ref="I38" authorId="0" shapeId="0" xr:uid="{576CE221-663C-4C85-A41F-298E0B8FE7D4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permit fee for parking lot</t>
        </r>
      </text>
    </comment>
    <comment ref="J38" authorId="0" shapeId="0" xr:uid="{5011D90F-BCFC-4D9F-B5B5-364E0F7EE984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dawn/dusk timers
1/3 down for gates/locks
roundup/sprayer/misc</t>
        </r>
      </text>
    </comment>
    <comment ref="S38" authorId="0" shapeId="0" xr:uid="{ACFCDE92-A86F-4F82-B1BC-FE9394981334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deflector for ac units
outisde socket repair
</t>
        </r>
      </text>
    </comment>
    <comment ref="C39" authorId="0" shapeId="0" xr:uid="{2A94A2FF-1184-4D48-A615-4E661A376F6F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monthly service
liferings</t>
        </r>
      </text>
    </comment>
    <comment ref="D39" authorId="0" shapeId="0" xr:uid="{7AA3D333-25B3-45A9-AF0A-026620F9CD7E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monthly service
</t>
        </r>
      </text>
    </comment>
    <comment ref="E39" authorId="0" shapeId="0" xr:uid="{E0556241-FBCA-44B7-AFD8-B3671992B83C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rope for pool</t>
        </r>
      </text>
    </comment>
    <comment ref="F39" authorId="0" shapeId="0" xr:uid="{46BB9CB0-9E08-49A7-8D14-CBEAA7A69ED6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pool storage supplies
monthly service
reimburse Tony for shirt</t>
        </r>
      </text>
    </comment>
    <comment ref="C40" authorId="0" shapeId="0" xr:uid="{A150F30E-A5B3-47F5-9A68-55D027D55926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tankless hot water heater
</t>
        </r>
      </text>
    </comment>
    <comment ref="D40" authorId="0" shapeId="0" xr:uid="{C279F704-09F0-4A15-B004-7978C6A57AF2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frig repair
city fire
Steam clean ceramic tile
</t>
        </r>
      </text>
    </comment>
    <comment ref="E40" authorId="0" shapeId="0" xr:uid="{B020C65B-AB89-43AA-B4A0-70DB039C3E64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kitchen tile floor repair
grab bar bathroom
bars for exercise room
stove repair
bookcase for library
plumber
grab bar
bulletin board for library
supplies to hang grab bars in gym
</t>
        </r>
      </text>
    </comment>
    <comment ref="F40" authorId="0" shapeId="0" xr:uid="{FBA23E4D-C9B1-485E-BAB4-5881D1D9E4EB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shelving for kitchen closet, less chase points applied to the purchase
kitchen update supplies
shelving for kitchen
soap dispensers for bathrooms</t>
        </r>
      </text>
    </comment>
    <comment ref="G40" authorId="0" shapeId="0" xr:uid="{0838CA78-EFE5-442F-B812-35250725BC6A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water for cooler
cups for cooler
water for cooler
gas for tony</t>
        </r>
      </text>
    </comment>
    <comment ref="H40" authorId="0" shapeId="0" xr:uid="{3F69075F-813A-4A6D-BB62-F89B51C9E0FD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cups for water cooler
gas for tony
</t>
        </r>
      </text>
    </comment>
    <comment ref="I40" authorId="0" shapeId="0" xr:uid="{30615937-CCC4-4571-BFF7-7E6076560198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City Fire
Leak repair from dishwasher
AC Repair - Unit in Bocce room
Hood cleaning</t>
        </r>
      </text>
    </comment>
    <comment ref="J40" authorId="0" shapeId="0" xr:uid="{99BB39B5-2A6A-4E9F-8744-C61AC3F646CB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No storage sign for voltage room
batteries for exit signs (being returned)
new exit signs
gfi outlets/labor
ac repair</t>
        </r>
      </text>
    </comment>
    <comment ref="S40" authorId="0" shapeId="0" xr:uid="{FB36310F-82CA-4DFB-BADD-44F09B4B7468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Christmas decorations</t>
        </r>
      </text>
    </comment>
    <comment ref="C41" authorId="0" shapeId="0" xr:uid="{5DCB60FC-9D48-4B75-992B-71D4294B7961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cookies/water for annual meeting</t>
        </r>
      </text>
    </comment>
    <comment ref="E41" authorId="0" shapeId="0" xr:uid="{45E8C190-4124-4897-803D-3CE66B97D852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87 Bocce pizza party
balance was ye party and lunch for volunteers who worked YE Party</t>
        </r>
      </text>
    </comment>
    <comment ref="D42" authorId="0" shapeId="0" xr:uid="{CBAAF2B9-58F1-46E1-BFF9-473D26E47F70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water estimated this month per note with bill. Unable to get reading</t>
        </r>
      </text>
    </comment>
    <comment ref="M49" authorId="0" shapeId="0" xr:uid="{74D0AB44-E882-4293-8E22-3C08E7678273}">
      <text>
        <r>
          <rPr>
            <b/>
            <sz val="9"/>
            <color indexed="81"/>
            <rFont val="Tahoma"/>
            <family val="2"/>
          </rPr>
          <t>Lisa Brown:</t>
        </r>
        <r>
          <rPr>
            <sz val="9"/>
            <color indexed="81"/>
            <rFont val="Tahoma"/>
            <family val="2"/>
          </rPr>
          <t xml:space="preserve">
1318 for pool filters is coming out of the reserve for roof.  New roof dust damaged filters
</t>
        </r>
      </text>
    </comment>
    <comment ref="D52" authorId="0" shapeId="0" xr:uid="{DA82F35A-6FF2-4075-BFC7-2000C5E1BDDE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parking lot 1st payment
</t>
        </r>
      </text>
    </comment>
    <comment ref="F52" authorId="0" shapeId="0" xr:uid="{1EF1F267-9F73-4845-B9E3-341ECDC188A9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interest from CD</t>
        </r>
      </text>
    </comment>
    <comment ref="G52" authorId="0" shapeId="0" xr:uid="{39D673AB-F5EB-4D6C-B68E-D1825857AB26}">
      <text>
        <r>
          <rPr>
            <b/>
            <sz val="9"/>
            <color indexed="81"/>
            <rFont val="Tahoma"/>
            <charset val="1"/>
          </rPr>
          <t>Lisa Brown:</t>
        </r>
        <r>
          <rPr>
            <sz val="9"/>
            <color indexed="81"/>
            <rFont val="Tahoma"/>
            <charset val="1"/>
          </rPr>
          <t xml:space="preserve">
pipe lining payment
balance of parking lot repaving</t>
        </r>
      </text>
    </comment>
  </commentList>
</comments>
</file>

<file path=xl/sharedStrings.xml><?xml version="1.0" encoding="utf-8"?>
<sst xmlns="http://schemas.openxmlformats.org/spreadsheetml/2006/main" count="707" uniqueCount="308">
  <si>
    <t>Projected</t>
  </si>
  <si>
    <t>REVENUES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</si>
  <si>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</si>
  <si>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</si>
  <si>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</si>
  <si>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</si>
  <si>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</si>
  <si>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</si>
  <si>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</si>
  <si>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</si>
  <si>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</si>
  <si>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</si>
  <si>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</si>
  <si>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</si>
  <si>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</si>
  <si>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Budget</t>
  </si>
  <si>
    <t>YTD</t>
  </si>
  <si>
    <t>Checking</t>
  </si>
  <si>
    <t>Other Income</t>
  </si>
  <si>
    <t>Perimeter Lighting</t>
  </si>
  <si>
    <t>Estoppels</t>
  </si>
  <si>
    <t>Reserve Funding</t>
  </si>
  <si>
    <t>Capital Improvement Funding</t>
  </si>
  <si>
    <t>Share Purchases</t>
  </si>
  <si>
    <t>Total Revenue</t>
  </si>
  <si>
    <t>EXPENSES</t>
  </si>
  <si>
    <t>Bank Charges</t>
  </si>
  <si>
    <t>Contract Labor - VICKI</t>
  </si>
  <si>
    <t>FPL - Perimeter Lighting</t>
  </si>
  <si>
    <t>FPL- Rec Hall</t>
  </si>
  <si>
    <t>Garbage</t>
  </si>
  <si>
    <t>Insurance Rec Hall</t>
  </si>
  <si>
    <t>Janitorial &amp; Kitchen Supplies</t>
  </si>
  <si>
    <t>Licenses and taxes</t>
  </si>
  <si>
    <t>Miscellaneous</t>
  </si>
  <si>
    <t>Office Equipment</t>
  </si>
  <si>
    <t>Office Supplies and Postage</t>
  </si>
  <si>
    <t>Officer Fees</t>
  </si>
  <si>
    <t>Petty Cash</t>
  </si>
  <si>
    <t>Professional Fees - Accounting</t>
  </si>
  <si>
    <t>Professional Fees - Legal</t>
  </si>
  <si>
    <t>Social Events</t>
  </si>
  <si>
    <t>Water</t>
  </si>
  <si>
    <t>Total Expenses</t>
  </si>
  <si>
    <t>Net Income (checking bal.)</t>
  </si>
  <si>
    <t>Bank statement ending balance</t>
  </si>
  <si>
    <t>Difference</t>
  </si>
  <si>
    <t>Shares</t>
  </si>
  <si>
    <t>Non Shares</t>
  </si>
  <si>
    <t>Journal Entry Notes:</t>
  </si>
  <si>
    <t>Estoppels - Credit Other Income</t>
  </si>
  <si>
    <t>Debit Expenses</t>
  </si>
  <si>
    <t>Credit total expenses against Checking Regions</t>
  </si>
  <si>
    <t>RUN PROFIT AND LOSS TO CHECK YTD TOTALS!</t>
  </si>
  <si>
    <t>Details</t>
  </si>
  <si>
    <t>Posting Date</t>
  </si>
  <si>
    <t>Description</t>
  </si>
  <si>
    <t>Amount</t>
  </si>
  <si>
    <t>Type</t>
  </si>
  <si>
    <t>Balance</t>
  </si>
  <si>
    <t>Check or Slip #</t>
  </si>
  <si>
    <t>DEBIT</t>
  </si>
  <si>
    <t>DEBIT_CARD</t>
  </si>
  <si>
    <t>CREDIT</t>
  </si>
  <si>
    <t>PARTNERFI_TO_CHASE</t>
  </si>
  <si>
    <t>ATM_DEPOSIT</t>
  </si>
  <si>
    <t>ACH_DEBIT</t>
  </si>
  <si>
    <t>QUICKPAY_CREDIT</t>
  </si>
  <si>
    <t>BILLPAY</t>
  </si>
  <si>
    <t>CHECK</t>
  </si>
  <si>
    <t>CHECK_PAID</t>
  </si>
  <si>
    <t>ATM</t>
  </si>
  <si>
    <t>ACCT_XFER</t>
  </si>
  <si>
    <t>DSLIP</t>
  </si>
  <si>
    <t>DEPOSIT</t>
  </si>
  <si>
    <t>DEPOSIT_RETURN</t>
  </si>
  <si>
    <t>ATM CHECK DEPOSIT 01/02 1790 SHERIDAN ST HOLLYWOOD FL</t>
  </si>
  <si>
    <t>Internet &amp; Phone</t>
  </si>
  <si>
    <t>LOAN_PMT</t>
  </si>
  <si>
    <t>Repair &amp; Maintenance OUTSIDE  *</t>
  </si>
  <si>
    <t>Repair &amp; Maintenance POOL  *</t>
  </si>
  <si>
    <t>Repair &amp; Maintenance REC  *</t>
  </si>
  <si>
    <t>Lawn &amp; Landscaping   *</t>
  </si>
  <si>
    <t>MISC_CREDIT</t>
  </si>
  <si>
    <t>Bocce</t>
  </si>
  <si>
    <t>Payment to Chase card ending in 2035 01/30</t>
  </si>
  <si>
    <t>Zelle payment from MARIA BALMACEDA 23552050209</t>
  </si>
  <si>
    <t>ORIG CO NAME:FPL DIRECT DEBIT       ORIG ID:3590247775 DESC DATE:01/25  CO ENTRY DESCR:ELEC PYMT SEC:PPD    TRACE#:111000010846089 EED:250128   IND ID:                             IND NAME:CRYSTAL COURT RECREATI TRN: 0280846089TC</t>
  </si>
  <si>
    <t>ORIG CO NAME:CITY OF HOLLYWOO       ORIG ID:1596000338 DESC DATE:010825 CO ENTRY DESCR:UT BILL   SEC:PPD    TRACE#:091000010492969 EED:250128   IND ID:                             IND NAME:CRYSTAL CRT REC INC TRN: 0280492969TC</t>
  </si>
  <si>
    <t>ORIG CO NAME:FPL DIRECT DEBIT       ORIG ID:3590247775 DESC DATE:01/25  CO ENTRY DESCR:ELEC PYMT SEC:PPD    TRACE#:111000010858859 EED:250128   IND ID:                             IND NAME:CRYSTAL COURT RECREATI TRN: 0280858859TC</t>
  </si>
  <si>
    <t>ORIG CO NAME:FPL DIRECT DEBIT       ORIG ID:3590247775 DESC DATE:01/25  CO ENTRY DESCR:ELEC PYMT SEC:PPD    TRACE#:111000010861769 EED:250128   IND ID:                             IND NAME:CRYSTAL COURT RECREATI TRN: 0280861769TC</t>
  </si>
  <si>
    <t>ORIG CO NAME:CITY OF HOLLYWOO       ORIG ID:1596000338 DESC DATE:010825 CO ENTRY DESCR:UT BILL   SEC:PPD    TRACE#:091000010492970 EED:250128   IND ID:                             IND NAME:CRYSTAL CT REC INC TRN: 0280492970TC</t>
  </si>
  <si>
    <t>ORIG CO NAME:FPL DIRECT DEBIT       ORIG ID:3590247775 DESC DATE:01/25  CO ENTRY DESCR:ELEC PYMT SEC:PPD    TRACE#:111000010864869 EED:250128   IND ID:                             IND NAME:CRYSTAL COURT RECREATI TRN: 0280864869TC</t>
  </si>
  <si>
    <t>DEPOSIT  ID NUMBER 484131</t>
  </si>
  <si>
    <t>ATM CHECK DEPOSIT 01/28 1790 SHERIDAN ST HOLLYWOOD FL</t>
  </si>
  <si>
    <t>Online Payment 23519069696 To City Fire 01/27</t>
  </si>
  <si>
    <t>Payment to Chase card ending in 2035 01/27</t>
  </si>
  <si>
    <t>Online Payment 23317334133 To Jaquiline Carter 01/24</t>
  </si>
  <si>
    <t>Online Payment 23317339355 To Vicki Neale 01/24</t>
  </si>
  <si>
    <t xml:space="preserve">CHECK 274  </t>
  </si>
  <si>
    <t>Payment to Chase card ending in 2035 01/23</t>
  </si>
  <si>
    <t>Payment to Chase card ending in 2035 01/22</t>
  </si>
  <si>
    <t>Zelle payment from GABRIELA A SAEZ 23473110243</t>
  </si>
  <si>
    <t xml:space="preserve">CHECK 273  </t>
  </si>
  <si>
    <t xml:space="preserve">CHECK 272  </t>
  </si>
  <si>
    <t>Payment to Chase card ending in 2035 01/21</t>
  </si>
  <si>
    <t>Online Transfer to MMA ...5397 transaction#: 23431530847 01/21</t>
  </si>
  <si>
    <t>Zelle payment from Amanda Pagano ALB01XXIPV1I</t>
  </si>
  <si>
    <t>Payment to Chase card ending in 2035 01/17</t>
  </si>
  <si>
    <t>ORIG CO NAME:WASTE MANAGEMENT       ORIG ID:9580653001 DESC DATE:250116 CO ENTRY DESCR:PAYMENT   SEC:CCD    TRACE#:021000025019016 EED:250117   IND ID:000135702743004              IND NAME:CRYSTAL COURT RECREATI     Log in to the MY WM Account Page fo r payment details. TRN: 0175019016TC</t>
  </si>
  <si>
    <t>DEPOSIT  ID NUMBER 484138</t>
  </si>
  <si>
    <t>ATM CHECK DEPOSIT 01/17 1790 SHERIDAN ST HOLLYWOOD FL</t>
  </si>
  <si>
    <t>ATM CASH DEPOSIT 01/16 1790 SHERIDAN ST HOLLYWOOD FL</t>
  </si>
  <si>
    <t>ATM CHECK DEPOSIT 01/16 1790 SHERIDAN ST HOLLYWOOD FL</t>
  </si>
  <si>
    <t>Online Transfer to MMA ...5397 transaction#: 23383631657 01/14</t>
  </si>
  <si>
    <t>Online Transfer to MMA ...5695 transaction#: 23383637439 01/14</t>
  </si>
  <si>
    <t>Zelle payment from THERESA BURNS 2A501XUG6GQ4</t>
  </si>
  <si>
    <t>Payment to Chase card ending in 2035 01/13</t>
  </si>
  <si>
    <t>Zelle payment from GABRIEL LAZZARINI TDP01XREFY7F</t>
  </si>
  <si>
    <t>Zelle payment from TKL PROPERTIES LLC BACrajdso3b7</t>
  </si>
  <si>
    <t>Zelle payment from TONYIA MCCLELLAN PNCAA0PUA10O</t>
  </si>
  <si>
    <t>Credit Return: Online Payment 22857138943 To Sareen &amp; Associates, Inc.</t>
  </si>
  <si>
    <t xml:space="preserve">CHECK 270  </t>
  </si>
  <si>
    <t>Online Payment 23320333607 To Sareen &amp; Associates, Inc. 01/08</t>
  </si>
  <si>
    <t>ORIG CO NAME:COMCAST 8495752        ORIG ID:0000213249 DESC DATE:250108 CO ENTRY DESCR:541494499 SEC:PPD    TRACE#:021000029977917 EED:250108   IND ID:                             IND NAME:CRYSTAL *COURT RECREAT TRN: 0089977917TC</t>
  </si>
  <si>
    <t>Online Payment 23145037074 To Jaquiline Carter 01/08</t>
  </si>
  <si>
    <t>Online Payment 23145087951 To Vicki Neale 01/08</t>
  </si>
  <si>
    <t>Zelle payment from YOLANDA VALDES 23319736378</t>
  </si>
  <si>
    <t>ATM CHECK DEPOSIT 01/08 1790 SHERIDAN ST HOLLYWOOD FL</t>
  </si>
  <si>
    <t>DEPOSITED ITEM RETURNED       UnableTo Locate099004357                                       # OF ITEMS00001CK#:0000001027                                        DEP AMT0000648000     DEP DATE010225CK AMT0000054000</t>
  </si>
  <si>
    <t>Zelle payment from VICTORIA A SMITH KEY04B41PFVJ</t>
  </si>
  <si>
    <t>Zelle payment from YOLANDA VALDES 23313344245</t>
  </si>
  <si>
    <t xml:space="preserve">CHECK 268  </t>
  </si>
  <si>
    <t>CHECK 271  01/06</t>
  </si>
  <si>
    <t>COMCAST BUSINESS MOBI 844-963-0206 PA        01/04</t>
  </si>
  <si>
    <t>Zelle payment from SCOTT P GRZELKA MNTAr24EOlEx</t>
  </si>
  <si>
    <t>Zelle payment from JOSEPH NAGY BACjj9a87rzd</t>
  </si>
  <si>
    <t>Zelle payment from VICTWAR SHENOUDA TDP0074A1H9Y</t>
  </si>
  <si>
    <t>Zelle payment from Linda Cooper COFSGTC0RYR1</t>
  </si>
  <si>
    <t>Zelle payment from VICTORIA A SMITH KEY04BH1AFT8</t>
  </si>
  <si>
    <t>Zelle payment from MARY WIECHERT WFCT0YDXCV5Q</t>
  </si>
  <si>
    <t>Zelle payment from MICHAEL C SCHUG MNTshvlAPRrZ</t>
  </si>
  <si>
    <t>Zelle payment from SCOTT SHANEYFELT PNCAA0POW68y</t>
  </si>
  <si>
    <t>Zelle payment from Linda Cooper COF9LPDF4QNX</t>
  </si>
  <si>
    <t>DEPOSIT  ID NUMBER 516512</t>
  </si>
  <si>
    <t>ATM CHECK DEPOSIT 01/06 1790 SHERIDAN ST HOLLYWOOD FL</t>
  </si>
  <si>
    <t>Zelle payment from MABEL ROLANDO BACncewpyoph</t>
  </si>
  <si>
    <t>Zelle payment from David Spinelli USAZZMT67ZZJ</t>
  </si>
  <si>
    <t>Zelle payment from ELIZABETH A LANGER USBMnHDmUGJu</t>
  </si>
  <si>
    <t>Zelle payment from ALBERT PAYNE WFCT0YDLS5KR</t>
  </si>
  <si>
    <t>Zelle payment from JOSEPH V GENDLER 22897110808</t>
  </si>
  <si>
    <t>Zelle payment from LISA BOGUS WFCT0YDFTYZ4</t>
  </si>
  <si>
    <t>Zelle payment from MABEL ROLANDO BACpqfilecjx</t>
  </si>
  <si>
    <t>Zelle payment from ANDREW MCGARRELL BACa4ocqtrh7</t>
  </si>
  <si>
    <t>Zelle payment from Diane Bowers 2VH006Z66E30</t>
  </si>
  <si>
    <t>Zelle payment from DULCE FERNANDEZ BACnlh2g4ktk</t>
  </si>
  <si>
    <t>Zelle payment from THOMAS HABICHT CTIlPCwbpczT</t>
  </si>
  <si>
    <t>Zelle payment from Luciano Bragagnolo 2D4006Z6IAT9</t>
  </si>
  <si>
    <t>Zelle payment from JOSEPH GARGIULLO WFCT0YDHGGHT</t>
  </si>
  <si>
    <t>DEPOSIT  ID NUMBER 436575</t>
  </si>
  <si>
    <t xml:space="preserve">Pest Control  </t>
  </si>
  <si>
    <t>ORIG CO NAME:FPL DIRECT DEBIT       ORIG ID:3590247775 DESC DATE:02/25  CO ENTRY DESCR:ELEC PYMT SEC:PPD    TRACE#:111000011188168 EED:250228   IND ID:                             IND NAME:CRYSTAL COURT RECREATI TRN: 0591188168TC</t>
  </si>
  <si>
    <t>ORIG CO NAME:FPL DIRECT DEBIT       ORIG ID:3590247775 DESC DATE:02/25  CO ENTRY DESCR:ELEC PYMT SEC:PPD    TRACE#:111000011188668 EED:250228   IND ID:                             IND NAME:CRYSTAL COURT RECREATI TRN: 0591188668TC</t>
  </si>
  <si>
    <t>ORIG CO NAME:FPL DIRECT DEBIT       ORIG ID:3590247775 DESC DATE:02/25  CO ENTRY DESCR:ELEC PYMT SEC:PPD    TRACE#:111000011188941 EED:250228   IND ID:                             IND NAME:CRYSTAL COURT RECREATI TRN: 0591188941TC</t>
  </si>
  <si>
    <t>ORIG CO NAME:FPL DIRECT DEBIT       ORIG ID:3590247775 DESC DATE:02/25  CO ENTRY DESCR:ELEC PYMT SEC:PPD    TRACE#:111000011189202 EED:250228   IND ID:                             IND NAME:CRYSTAL COURT RECREATI TRN: 0591189202TC</t>
  </si>
  <si>
    <t>DEPOSITED ITEM RETURNED       Frozen/Blocked 099000892                                       # OF ITEMS00001CK#:0000000291                                        DEP AMT0000092000     DEP DATE022625CK AMT0000092000</t>
  </si>
  <si>
    <t>Payment to Chase card ending in 2035 02/27</t>
  </si>
  <si>
    <t>Payment to Chase card ending in 2035 02/26</t>
  </si>
  <si>
    <t>Zelle payment from GABRIELA A SAEZ 23855591848</t>
  </si>
  <si>
    <t>Zelle payment from PATRICIA LANGENBERG 0GT0ZBY185XW</t>
  </si>
  <si>
    <t>Zelle payment from PATRICIA LANGENBERG 0GT0WBY1I5XW</t>
  </si>
  <si>
    <t>ATM CHECK DEPOSIT 02/26 1790 SHERIDAN ST HOLLYWOOD FL</t>
  </si>
  <si>
    <t>ATM CASH DEPOSIT 02/26 1790 SHERIDAN ST HOLLYWOOD FL</t>
  </si>
  <si>
    <t>ORIG CO NAME:CITY OF HOLLYWOO       ORIG ID:1596000338 DESC DATE:020525 CO ENTRY DESCR:UT BILL   SEC:PPD    TRACE#:091000011388080 EED:250225   IND ID:                             IND NAME:CRYSTAL CRT REC INC TRN: 0561388080TC</t>
  </si>
  <si>
    <t>ORIG CO NAME:CITY OF HOLLYWOO       ORIG ID:1596000338 DESC DATE:020525 CO ENTRY DESCR:UT BILL   SEC:PPD    TRACE#:091000011388081 EED:250225   IND ID:                             IND NAME:CRYSTAL CT REC INC TRN: 0561388081TC</t>
  </si>
  <si>
    <t>Zelle payment from FRANK A BERTUCCI 23842278378</t>
  </si>
  <si>
    <t>Payment to Chase card ending in 2035 02/24</t>
  </si>
  <si>
    <t>Zelle payment from PATRICIA LANGENBERG 0GT0ABD175EM</t>
  </si>
  <si>
    <t>Zelle payment from FRANK A BERTUCCI 23836895198</t>
  </si>
  <si>
    <t>Zelle payment from ROSEMARIE DELL CTZ01YZCAG1G</t>
  </si>
  <si>
    <t>Online Payment 23644463244 To Jaquiline Carter 02/21</t>
  </si>
  <si>
    <t>Online Payment 23644464225 To Vicki Neale 02/21</t>
  </si>
  <si>
    <t>Zelle payment from LISA M SICKLESTEEL 23803251913</t>
  </si>
  <si>
    <t>Zelle payment from NORTH MIAMI INVESTMENTS LLC . TDP01YW9YYVD</t>
  </si>
  <si>
    <t xml:space="preserve">CHECK 280  </t>
  </si>
  <si>
    <t xml:space="preserve">CHECK 282  </t>
  </si>
  <si>
    <t xml:space="preserve">CHECK 276  </t>
  </si>
  <si>
    <t>Payment to Chase card ending in 2035 02/18</t>
  </si>
  <si>
    <t>ORIG CO NAME:WASTE MANAGEMENT       ORIG ID:9580653001 DESC DATE:250217 CO ENTRY DESCR:PAYMENT   SEC:CCD    TRACE#:021000026022264 EED:250218   IND ID:000135702743004              IND NAME:CRYSTAL COURT RECREATI     Log in to the MY WM Account Page fo r payment details. TRN: 0496022264TC</t>
  </si>
  <si>
    <t xml:space="preserve">CHECK 281  </t>
  </si>
  <si>
    <t xml:space="preserve">CHECK 278  </t>
  </si>
  <si>
    <t>ATM CHECK DEPOSIT 02/12 1790 SHERIDAN ST HOLLYWOOD FL</t>
  </si>
  <si>
    <t>Online Payment 23682145364 To ORKIN 02/10</t>
  </si>
  <si>
    <t>ORIG CO NAME:COMCAST 8495752        ORIG ID:0000213249 DESC DATE:250208 CO ENTRY DESCR:541494499 SEC:PPD    TRACE#:021000024382943 EED:250210   IND ID:                             IND NAME:CRYSTAL *COURT RECREAT TRN: 0414382943TC</t>
  </si>
  <si>
    <t>Payment to Chase card ending in 2035 02/07</t>
  </si>
  <si>
    <t>Online Payment 23484406804 To Jaquiline Carter 02/07</t>
  </si>
  <si>
    <t>Online Payment 23484376150 To Vicki Neale 02/07</t>
  </si>
  <si>
    <t>Payment to Chase card ending in 2035 02/06</t>
  </si>
  <si>
    <t>Zelle payment from PATRICIA JOKA PNCAA0PuE89j</t>
  </si>
  <si>
    <t>Zelle payment from Tim Martin ALB01YHY2620</t>
  </si>
  <si>
    <t>DEPOSIT  ID NUMBER 534236</t>
  </si>
  <si>
    <t xml:space="preserve">CHECK 277  </t>
  </si>
  <si>
    <t>Online Payment 23614759590 To City Fire 02/04</t>
  </si>
  <si>
    <t xml:space="preserve">CHECK 279  </t>
  </si>
  <si>
    <t>Payment to Chase card ending in 2035 02/03</t>
  </si>
  <si>
    <t xml:space="preserve">CHECK 275  </t>
  </si>
  <si>
    <t>Zelle payment from JOSEPH V GENDLER 23239197426</t>
  </si>
  <si>
    <t>Zelle payment from LISA BOGUS WFCT0YH6QT9V</t>
  </si>
  <si>
    <t>Al Castano, radio and speakers for pool</t>
  </si>
  <si>
    <t xml:space="preserve">Getta </t>
  </si>
  <si>
    <t>Lights for front entrance</t>
  </si>
  <si>
    <t>Bjs - plastic silverware</t>
  </si>
  <si>
    <t>dry erase markers</t>
  </si>
  <si>
    <t>shredder, 70 and label maker and tape 41.25</t>
  </si>
  <si>
    <t>Home Depot</t>
  </si>
  <si>
    <t>Hanging file tabs</t>
  </si>
  <si>
    <t>scotch tape refills 10, sterno 27.36</t>
  </si>
  <si>
    <t>toner for copy machine</t>
  </si>
  <si>
    <t>paper towels</t>
  </si>
  <si>
    <t>Card</t>
  </si>
  <si>
    <t>Transaction Date</t>
  </si>
  <si>
    <t>Post Date</t>
  </si>
  <si>
    <t>Category</t>
  </si>
  <si>
    <t>Memo</t>
  </si>
  <si>
    <t>Payment Thank You - Web</t>
  </si>
  <si>
    <t>Payment</t>
  </si>
  <si>
    <t>AMAZON MKTPL*JU7H39NS3</t>
  </si>
  <si>
    <t>Merchandise &amp; Inventory</t>
  </si>
  <si>
    <t>Sale</t>
  </si>
  <si>
    <t>Amazon.com*CH29U8953</t>
  </si>
  <si>
    <t>THE HOME DEPOT #6310</t>
  </si>
  <si>
    <t>Repair &amp; Maintenance</t>
  </si>
  <si>
    <t>AMAZON MKTPL*G113092G3</t>
  </si>
  <si>
    <t>BJS WHOLESALE #0109</t>
  </si>
  <si>
    <t>Return</t>
  </si>
  <si>
    <t>AMAZON MKTPL*V94P85RQ3</t>
  </si>
  <si>
    <t>Amazon.com*Y20KA0943</t>
  </si>
  <si>
    <t>AMZN Mktp US*ZX5UF6H73</t>
  </si>
  <si>
    <t>USPS PO 1139980305</t>
  </si>
  <si>
    <t>Office &amp; Shipping</t>
  </si>
  <si>
    <t>Amazon.com</t>
  </si>
  <si>
    <t>THE WASSERSTROM COMPANY</t>
  </si>
  <si>
    <t>AMAZON MKTPL*Z70ZB1LI1</t>
  </si>
  <si>
    <t>Amazon.com*Z727A2G60</t>
  </si>
  <si>
    <t>AMAZON MKTPL*Z79J42A70</t>
  </si>
  <si>
    <t>AMAZON MKTPL*ZC0109801</t>
  </si>
  <si>
    <t>AMAZON MKTPL*ZC6ML3QY1</t>
  </si>
  <si>
    <t>BJS</t>
  </si>
  <si>
    <t>signs</t>
  </si>
  <si>
    <t>dry erase</t>
  </si>
  <si>
    <t>pymt dry erase</t>
  </si>
  <si>
    <t>shredded/label maker/tape</t>
  </si>
  <si>
    <t>payment shredder/label maker/tape</t>
  </si>
  <si>
    <t>home depot</t>
  </si>
  <si>
    <t>payment home depot</t>
  </si>
  <si>
    <t>lights for front entrance</t>
  </si>
  <si>
    <t>payment lights for front entrance</t>
  </si>
  <si>
    <t>payment hanging file tabs</t>
  </si>
  <si>
    <t>hanging file tabs</t>
  </si>
  <si>
    <t>credit for return of radion/speakers</t>
  </si>
  <si>
    <t>payment for january/janitorial kitchen supplies</t>
  </si>
  <si>
    <t>lump payment</t>
  </si>
  <si>
    <t>usps</t>
  </si>
  <si>
    <t>Cutting board and electric stapler</t>
  </si>
  <si>
    <t>RESERVE/CAPITAL IMPROVMT</t>
  </si>
  <si>
    <t>RESERVE</t>
  </si>
  <si>
    <t>CAPITAL IMPROVEMENT</t>
  </si>
  <si>
    <t xml:space="preserve">                                 CRYSTAL  COURT  RECREATION  -  2026 FINANCIAL  STATEMENT</t>
  </si>
  <si>
    <t>Cleaning Service</t>
  </si>
  <si>
    <t xml:space="preserve">Prepaid Maintenance </t>
  </si>
  <si>
    <t>Maintenance Income/Late Fees</t>
  </si>
  <si>
    <t>Pro rated officer pay</t>
  </si>
  <si>
    <t>GETTA</t>
  </si>
  <si>
    <t>LISA</t>
  </si>
  <si>
    <t>DIANE</t>
  </si>
  <si>
    <t>CAROL</t>
  </si>
  <si>
    <t>TERRI</t>
  </si>
  <si>
    <t>TONY</t>
  </si>
  <si>
    <t>ARLENE</t>
  </si>
  <si>
    <t>ED</t>
  </si>
  <si>
    <t>AL</t>
  </si>
  <si>
    <t>Things that could come out of Capital Improvement</t>
  </si>
  <si>
    <t>Awning</t>
  </si>
  <si>
    <t>Kitchen Shelves</t>
  </si>
  <si>
    <t>Parking Lot</t>
  </si>
  <si>
    <t>lanscsaping (can come out of reserve)</t>
  </si>
  <si>
    <t>Landscaping (reserve)</t>
  </si>
  <si>
    <t>Pipe Lining</t>
  </si>
  <si>
    <t>For Interest:</t>
  </si>
  <si>
    <t>Reserve</t>
  </si>
  <si>
    <t>Debit</t>
  </si>
  <si>
    <t>Interest Earned Reserve</t>
  </si>
  <si>
    <t>Credit</t>
  </si>
  <si>
    <t>Capital Improvement</t>
  </si>
  <si>
    <t>Interest Earned Capital Improvement</t>
  </si>
  <si>
    <t>payment</t>
  </si>
  <si>
    <t>total cost, with permit</t>
  </si>
  <si>
    <t>treated in QB</t>
  </si>
  <si>
    <t>paid from reserve</t>
  </si>
  <si>
    <t>2nd payment</t>
  </si>
  <si>
    <t xml:space="preserve">final payment </t>
  </si>
  <si>
    <t>Permit pkg lot (reserve)</t>
  </si>
  <si>
    <t>KITCHEN REMODEL</t>
  </si>
  <si>
    <t>shelves</t>
  </si>
  <si>
    <t>plumber</t>
  </si>
  <si>
    <t>paint/supplies</t>
  </si>
  <si>
    <t>(357.02 was chase points)</t>
  </si>
  <si>
    <t>Gate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</si>
</sst>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0_);\(0\)"/>
    <numFmt numFmtId="165" formatCode="mmmm"/>
    <numFmt numFmtId="166" formatCode="&quot;$&quot;#,##0.00"/>
  </numFmts>
  <fonts count="27" x14ac:knownFonts="1">
    <font>
      <sz val="10"/>
      <color rgb="FF000000"/>
      <name val="Arial"/>
    </font>
    <font>
      <sz val="16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9"/>
      <name val="Arial"/>
      <family val="2"/>
    </font>
    <font>
      <b/>
      <sz val="10"/>
      <color rgb="FF000000"/>
      <name val="Arial"/>
      <family val="2"/>
    </font>
    <font>
      <sz val="11"/>
      <color rgb="FF0066CC"/>
      <name val="Calibri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Arial"/>
      <family val="2"/>
    </font>
    <font>
      <sz val="10"/>
      <color theme="0" tint="-0.3499862666707357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rgb="FF000000"/>
      <name val="Arial"/>
    </font>
    <font>
      <sz val="10"/>
      <name val="Arial"/>
    </font>
    <font>
      <sz val="10"/>
      <color rgb="FFFF0000"/>
      <name val="Arial"/>
      <family val="2"/>
    </font>
    <font>
      <sz val="10"/>
      <color theme="0" tint="-0.249977111117893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rgb="FFFF99CC"/>
      </patternFill>
    </fill>
    <fill>
      <patternFill patternType="solid">
        <fgColor theme="0"/>
        <bgColor rgb="FFFFFF00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1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40" fontId="1" fillId="0" borderId="0" xfId="0" applyNumberFormat="1" applyFont="1"/>
    <xf numFmtId="0" fontId="2" fillId="2" borderId="0" xfId="0" applyFont="1" applyFill="1"/>
    <xf numFmtId="44" fontId="0" fillId="0" borderId="0" xfId="0" applyNumberFormat="1"/>
    <xf numFmtId="0" fontId="3" fillId="0" borderId="0" xfId="0" applyFont="1"/>
    <xf numFmtId="0" fontId="4" fillId="0" borderId="0" xfId="0" applyFont="1"/>
    <xf numFmtId="40" fontId="4" fillId="0" borderId="0" xfId="0" applyNumberFormat="1" applyFont="1"/>
    <xf numFmtId="164" fontId="4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44" fontId="5" fillId="0" borderId="0" xfId="0" applyNumberFormat="1" applyFont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165" fontId="4" fillId="0" borderId="1" xfId="0" applyNumberFormat="1" applyFont="1" applyBorder="1" applyAlignment="1">
      <alignment horizontal="center"/>
    </xf>
    <xf numFmtId="40" fontId="4" fillId="0" borderId="1" xfId="0" applyNumberFormat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0" fontId="2" fillId="0" borderId="0" xfId="0" applyNumberFormat="1" applyFont="1"/>
    <xf numFmtId="44" fontId="6" fillId="0" borderId="0" xfId="0" applyNumberFormat="1" applyFont="1"/>
    <xf numFmtId="40" fontId="2" fillId="2" borderId="0" xfId="0" applyNumberFormat="1" applyFont="1" applyFill="1"/>
    <xf numFmtId="40" fontId="7" fillId="0" borderId="0" xfId="0" applyNumberFormat="1" applyFont="1"/>
    <xf numFmtId="40" fontId="8" fillId="0" borderId="0" xfId="0" applyNumberFormat="1" applyFont="1"/>
    <xf numFmtId="0" fontId="2" fillId="3" borderId="0" xfId="0" applyFont="1" applyFill="1" applyAlignment="1">
      <alignment horizontal="center"/>
    </xf>
    <xf numFmtId="40" fontId="9" fillId="0" borderId="0" xfId="0" applyNumberFormat="1" applyFont="1"/>
    <xf numFmtId="166" fontId="10" fillId="0" borderId="0" xfId="0" applyNumberFormat="1" applyFont="1"/>
    <xf numFmtId="166" fontId="2" fillId="0" borderId="0" xfId="0" applyNumberFormat="1" applyFont="1"/>
    <xf numFmtId="0" fontId="0" fillId="4" borderId="0" xfId="0" applyFill="1"/>
    <xf numFmtId="0" fontId="2" fillId="3" borderId="0" xfId="0" applyFont="1" applyFill="1"/>
    <xf numFmtId="40" fontId="4" fillId="2" borderId="0" xfId="0" applyNumberFormat="1" applyFont="1" applyFill="1"/>
    <xf numFmtId="166" fontId="4" fillId="0" borderId="0" xfId="0" applyNumberFormat="1" applyFont="1"/>
    <xf numFmtId="0" fontId="11" fillId="0" borderId="0" xfId="0" applyFont="1"/>
    <xf numFmtId="40" fontId="12" fillId="0" borderId="0" xfId="0" applyNumberFormat="1" applyFont="1" applyAlignment="1">
      <alignment horizontal="center"/>
    </xf>
    <xf numFmtId="0" fontId="12" fillId="0" borderId="0" xfId="0" applyFont="1"/>
    <xf numFmtId="0" fontId="2" fillId="5" borderId="0" xfId="0" applyFont="1" applyFill="1"/>
    <xf numFmtId="4" fontId="12" fillId="5" borderId="0" xfId="0" applyNumberFormat="1" applyFont="1" applyFill="1"/>
    <xf numFmtId="40" fontId="6" fillId="5" borderId="0" xfId="0" applyNumberFormat="1" applyFont="1" applyFill="1"/>
    <xf numFmtId="40" fontId="2" fillId="5" borderId="0" xfId="0" applyNumberFormat="1" applyFont="1" applyFill="1"/>
    <xf numFmtId="0" fontId="13" fillId="0" borderId="0" xfId="0" applyFont="1"/>
    <xf numFmtId="40" fontId="0" fillId="0" borderId="0" xfId="0" applyNumberFormat="1"/>
    <xf numFmtId="0" fontId="14" fillId="0" borderId="0" xfId="0" applyFont="1"/>
    <xf numFmtId="38" fontId="2" fillId="0" borderId="0" xfId="0" applyNumberFormat="1" applyFont="1" applyAlignment="1">
      <alignment horizontal="left"/>
    </xf>
    <xf numFmtId="166" fontId="2" fillId="2" borderId="0" xfId="0" applyNumberFormat="1" applyFont="1" applyFill="1"/>
    <xf numFmtId="40" fontId="2" fillId="0" borderId="0" xfId="0" applyNumberFormat="1" applyFont="1" applyAlignment="1">
      <alignment horizontal="right"/>
    </xf>
    <xf numFmtId="6" fontId="4" fillId="0" borderId="0" xfId="0" applyNumberFormat="1" applyFont="1"/>
    <xf numFmtId="0" fontId="2" fillId="6" borderId="0" xfId="0" applyFont="1" applyFill="1"/>
    <xf numFmtId="6" fontId="2" fillId="0" borderId="0" xfId="0" applyNumberFormat="1" applyFont="1"/>
    <xf numFmtId="40" fontId="17" fillId="0" borderId="0" xfId="0" applyNumberFormat="1" applyFont="1"/>
    <xf numFmtId="14" fontId="0" fillId="0" borderId="0" xfId="0" applyNumberFormat="1"/>
    <xf numFmtId="40" fontId="18" fillId="0" borderId="0" xfId="0" applyNumberFormat="1" applyFont="1"/>
    <xf numFmtId="40" fontId="19" fillId="0" borderId="0" xfId="0" applyNumberFormat="1" applyFont="1"/>
    <xf numFmtId="0" fontId="4" fillId="6" borderId="0" xfId="0" applyFont="1" applyFill="1"/>
    <xf numFmtId="0" fontId="0" fillId="7" borderId="0" xfId="0" applyFill="1"/>
    <xf numFmtId="0" fontId="0" fillId="7" borderId="2" xfId="0" applyFill="1" applyBorder="1"/>
    <xf numFmtId="40" fontId="20" fillId="5" borderId="0" xfId="0" applyNumberFormat="1" applyFont="1" applyFill="1"/>
    <xf numFmtId="0" fontId="8" fillId="0" borderId="0" xfId="0" applyFont="1"/>
    <xf numFmtId="44" fontId="22" fillId="0" borderId="0" xfId="1" applyFont="1"/>
    <xf numFmtId="44" fontId="0" fillId="0" borderId="0" xfId="1" applyFont="1"/>
    <xf numFmtId="44" fontId="23" fillId="0" borderId="0" xfId="1" applyFont="1"/>
    <xf numFmtId="40" fontId="24" fillId="0" borderId="0" xfId="0" applyNumberFormat="1" applyFont="1"/>
    <xf numFmtId="40" fontId="12" fillId="5" borderId="0" xfId="0" applyNumberFormat="1" applyFont="1" applyFill="1" applyAlignment="1">
      <alignment horizontal="right"/>
    </xf>
    <xf numFmtId="0" fontId="9" fillId="0" borderId="0" xfId="0" applyFont="1"/>
    <xf numFmtId="40" fontId="2" fillId="4" borderId="0" xfId="0" applyNumberFormat="1" applyFont="1" applyFill="1"/>
    <xf numFmtId="44" fontId="9" fillId="0" borderId="0" xfId="1" applyFont="1"/>
    <xf numFmtId="0" fontId="4" fillId="3" borderId="0" xfId="0" applyFont="1" applyFill="1" applyAlignment="1">
      <alignment horizontal="center" vertical="center" textRotation="90"/>
    </xf>
    <xf numFmtId="0" fontId="9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12" Type="http://schemas.openxmlformats.org/officeDocument/2006/relationships/customXml" Target="../ink/ink8.xml"/><Relationship Id="rId2" Type="http://schemas.openxmlformats.org/officeDocument/2006/relationships/image" Target="NUL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1" Type="http://schemas.openxmlformats.org/officeDocument/2006/relationships/customXml" Target="../ink/ink7.xml"/><Relationship Id="rId5" Type="http://schemas.openxmlformats.org/officeDocument/2006/relationships/customXml" Target="../ink/ink4.xml"/><Relationship Id="rId10" Type="http://schemas.openxmlformats.org/officeDocument/2006/relationships/image" Target="NUL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640080</xdr:colOff>
      <xdr:row>43</xdr:row>
      <xdr:rowOff>0</xdr:rowOff>
    </xdr:from>
    <xdr:to>
      <xdr:col>14</xdr:col>
      <xdr:colOff>182880</xdr:colOff>
      <xdr:row>45</xdr:row>
      <xdr:rowOff>175260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386A4A3-6943-4E93-BC2A-64C84C9B82F2}"/>
            </a:ext>
          </a:extLst>
        </xdr:cNvPr>
        <xdr:cNvSpPr/>
      </xdr:nvSpPr>
      <xdr:spPr>
        <a:xfrm>
          <a:off x="10165080" y="7033260"/>
          <a:ext cx="982980" cy="4953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243</xdr:col>
      <xdr:colOff>-142875</xdr:colOff>
      <xdr:row>0</xdr:row>
      <xdr:rowOff>-123825</xdr:rowOff>
    </xdr:from>
    <xdr:ext cx="1838325" cy="42672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368B5CF3-44BD-43B4-8385-B167BA018637}"/>
            </a:ext>
          </a:extLst>
        </xdr:cNvPr>
        <xdr:cNvSpPr/>
      </xdr:nvSpPr>
      <xdr:spPr>
        <a:xfrm rot="5040000">
          <a:off x="136427528" y="1090612"/>
          <a:ext cx="4267200" cy="1838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CC99"/>
            </a:buClr>
            <a:buSzPts val="5400"/>
            <a:buFont typeface="Calibri"/>
            <a:buNone/>
          </a:pPr>
          <a:r>
            <a:rPr lang="en-US" sz="5400" b="1" i="0" u="none" strike="noStrike">
              <a:solidFill>
                <a:srgbClr val="FFCC99"/>
              </a:solidFill>
              <a:latin typeface="Calibri"/>
              <a:ea typeface="Calibri"/>
              <a:cs typeface="Calibri"/>
              <a:sym typeface="Calibri"/>
            </a:rPr>
            <a:t>Back Up Only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CC99"/>
            </a:buClr>
            <a:buSzPts val="5400"/>
            <a:buFont typeface="Calibri"/>
            <a:buNone/>
          </a:pPr>
          <a:r>
            <a:rPr lang="en-US" sz="5400" b="1" i="0" u="none" strike="noStrike">
              <a:solidFill>
                <a:srgbClr val="FFCC99"/>
              </a:solidFill>
              <a:latin typeface="Calibri"/>
              <a:ea typeface="Calibri"/>
              <a:cs typeface="Calibri"/>
              <a:sym typeface="Calibri"/>
            </a:rPr>
            <a:t>Do Not Share</a:t>
          </a:r>
          <a:endParaRPr sz="1400"/>
        </a:p>
      </xdr:txBody>
    </xdr:sp>
    <xdr:clientData fLocksWithSheet="0"/>
  </xdr:oneCellAnchor>
  <xdr:twoCellAnchor editAs="oneCell">
    <xdr:from>
      <xdr:col>6</xdr:col>
      <xdr:colOff>647580</xdr:colOff>
      <xdr:row>8</xdr:row>
      <xdr:rowOff>129420</xdr:rowOff>
    </xdr:from>
    <xdr:to>
      <xdr:col>6</xdr:col>
      <xdr:colOff>647940</xdr:colOff>
      <xdr:row>8</xdr:row>
      <xdr:rowOff>129780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1AECCB2-3E1A-4336-9383-BF35CF96F424}"/>
                </a:ext>
              </a:extLst>
            </xdr14:cNvPr>
            <xdr14:cNvContentPartPr/>
          </xdr14:nvContentPartPr>
          <xdr14:nvPr macro=""/>
          <xdr14:xfrm>
            <a:off x="5730120" y="1341000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610F4632-1DF9-CF9B-A8DA-58170DD5BA3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721120" y="133200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616980</xdr:colOff>
      <xdr:row>6</xdr:row>
      <xdr:rowOff>83700</xdr:rowOff>
    </xdr:from>
    <xdr:to>
      <xdr:col>7</xdr:col>
      <xdr:colOff>617340</xdr:colOff>
      <xdr:row>6</xdr:row>
      <xdr:rowOff>84060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7359DFAC-3913-443F-AE67-9875C96C81AC}"/>
                </a:ext>
              </a:extLst>
            </xdr14:cNvPr>
            <xdr14:cNvContentPartPr/>
          </xdr14:nvContentPartPr>
          <xdr14:nvPr macro=""/>
          <xdr14:xfrm>
            <a:off x="6476760" y="975240"/>
            <a:ext cx="360" cy="3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1D04D6B6-8640-5861-B9C1-46AF9D5FFA3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467760" y="9662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563700</xdr:colOff>
      <xdr:row>6</xdr:row>
      <xdr:rowOff>83700</xdr:rowOff>
    </xdr:from>
    <xdr:to>
      <xdr:col>7</xdr:col>
      <xdr:colOff>564060</xdr:colOff>
      <xdr:row>6</xdr:row>
      <xdr:rowOff>84060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43C1733C-F68B-4415-8706-2795D78411A1}"/>
                </a:ext>
              </a:extLst>
            </xdr14:cNvPr>
            <xdr14:cNvContentPartPr/>
          </xdr14:nvContentPartPr>
          <xdr14:nvPr macro=""/>
          <xdr14:xfrm>
            <a:off x="6423480" y="97524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154FCCF6-5DF6-CB64-80BE-4B0EADAEBDC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414480" y="9662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162</xdr:col>
      <xdr:colOff>190080</xdr:colOff>
      <xdr:row>64</xdr:row>
      <xdr:rowOff>44520</xdr:rowOff>
    </xdr:from>
    <xdr:to>
      <xdr:col>162</xdr:col>
      <xdr:colOff>190440</xdr:colOff>
      <xdr:row>64</xdr:row>
      <xdr:rowOff>46320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3E5D454C-6435-4967-87AC-FA4C3573D0F9}"/>
                </a:ext>
              </a:extLst>
            </xdr14:cNvPr>
            <xdr14:cNvContentPartPr/>
          </xdr14:nvContentPartPr>
          <xdr14:nvPr macro=""/>
          <xdr14:xfrm>
            <a:off x="93557940" y="9219000"/>
            <a:ext cx="360" cy="180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904E7E0B-E26B-0739-1033-4A08207CF56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3549300" y="9210000"/>
              <a:ext cx="18000" cy="19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166</xdr:col>
      <xdr:colOff>343080</xdr:colOff>
      <xdr:row>48</xdr:row>
      <xdr:rowOff>38040</xdr:rowOff>
    </xdr:from>
    <xdr:to>
      <xdr:col>166</xdr:col>
      <xdr:colOff>343440</xdr:colOff>
      <xdr:row>48</xdr:row>
      <xdr:rowOff>38400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3CD78042-C83C-4C12-98FC-5D59315DF913}"/>
                </a:ext>
              </a:extLst>
            </xdr14:cNvPr>
            <xdr14:cNvContentPartPr/>
          </xdr14:nvContentPartPr>
          <xdr14:nvPr macro=""/>
          <xdr14:xfrm>
            <a:off x="95905500" y="7932360"/>
            <a:ext cx="360" cy="360"/>
          </xdr14:xfrm>
        </xdr:contentPart>
      </mc:Choice>
      <mc:Fallback xmlns="">
        <xdr:pic>
          <xdr:nvPicPr>
            <xdr:cNvPr id="13" name="Ink 12">
              <a:extLst>
                <a:ext uri="{FF2B5EF4-FFF2-40B4-BE49-F238E27FC236}">
                  <a16:creationId xmlns:a16="http://schemas.microsoft.com/office/drawing/2014/main" id="{95A1E151-79AD-CC3B-1F08-EB5A6735641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5896500" y="79237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317843</xdr:colOff>
      <xdr:row>62</xdr:row>
      <xdr:rowOff>66802</xdr:rowOff>
    </xdr:from>
    <xdr:to>
      <xdr:col>15</xdr:col>
      <xdr:colOff>318203</xdr:colOff>
      <xdr:row>62</xdr:row>
      <xdr:rowOff>67162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39801BE6-5A17-4155-6D79-BC6643FEBD6B}"/>
                </a:ext>
              </a:extLst>
            </xdr14:cNvPr>
            <xdr14:cNvContentPartPr/>
          </xdr14:nvContentPartPr>
          <xdr14:nvPr macro=""/>
          <xdr14:xfrm>
            <a:off x="12040920" y="8716758"/>
            <a:ext cx="360" cy="3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39801BE6-5A17-4155-6D79-BC6643FEBD6B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2032280" y="8708118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7</xdr:col>
      <xdr:colOff>616980</xdr:colOff>
      <xdr:row>53</xdr:row>
      <xdr:rowOff>83700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B518AE-9CB2-4E1A-B912-1CA2D7478E36}"/>
                </a:ext>
              </a:extLst>
            </xdr14:cNvPr>
            <xdr14:cNvContentPartPr/>
          </xdr14:nvContentPartPr>
          <xdr14:nvPr macro=""/>
          <xdr14:xfrm>
            <a:off x="6476760" y="975240"/>
            <a:ext cx="360" cy="3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1D04D6B6-8640-5861-B9C1-46AF9D5FFA3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467760" y="9662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563700</xdr:colOff>
      <xdr:row>53</xdr:row>
      <xdr:rowOff>83700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B3341084-EC31-48F8-846A-7E59C886A07F}"/>
                </a:ext>
              </a:extLst>
            </xdr14:cNvPr>
            <xdr14:cNvContentPartPr/>
          </xdr14:nvContentPartPr>
          <xdr14:nvPr macro=""/>
          <xdr14:xfrm>
            <a:off x="6423480" y="975240"/>
            <a:ext cx="360" cy="36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154FCCF6-5DF6-CB64-80BE-4B0EADAEBDC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414480" y="9662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1-02T20:48:55.36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1-02T20:48:55.3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1-02T20:48:55.3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1-02T20:48:55.3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4 24575,'0'-4'0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1-02T20:48:55.3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4-01T13:10:12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24575,'0'0'-8191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3T16:50:52.8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24575,'0'0'-8191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3T16:50:52.8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1 0 24575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BF857-0260-450F-A879-54A9DDACF717}">
  <dimension ref="A1:X1159"/>
  <sheetViews>
    <sheetView tabSelected="1" topLeftCell="A22" zoomScale="87" zoomScaleNormal="87" workbookViewId="0">
      <selection activeCell="J54" sqref="J54"/>
    </sheetView>
  </sheetViews>
  <sheetFormatPr defaultColWidth="14.42578125" defaultRowHeight="15" customHeight="1" x14ac:dyDescent="0.2"/>
  <cols>
    <col min="1" max="1" width="4" customWidth="1"/>
    <col min="2" max="2" width="26.28515625" customWidth="1"/>
    <col min="3" max="3" width="11.42578125" bestFit="1" customWidth="1"/>
    <col min="4" max="4" width="11.28515625" bestFit="1" customWidth="1"/>
    <col min="5" max="5" width="10.7109375" customWidth="1"/>
    <col min="6" max="6" width="11.140625" customWidth="1"/>
    <col min="7" max="7" width="11.28515625" bestFit="1" customWidth="1"/>
    <col min="8" max="8" width="10.28515625" bestFit="1" customWidth="1"/>
    <col min="9" max="9" width="10.7109375" customWidth="1"/>
    <col min="10" max="10" width="11.28515625" bestFit="1" customWidth="1"/>
    <col min="11" max="11" width="11.140625" customWidth="1"/>
    <col min="12" max="12" width="10.42578125" bestFit="1" customWidth="1"/>
    <col min="13" max="13" width="10" customWidth="1"/>
    <col min="14" max="14" width="9.7109375" bestFit="1" customWidth="1"/>
    <col min="15" max="17" width="11.42578125" customWidth="1"/>
    <col min="18" max="18" width="12.42578125" bestFit="1" customWidth="1"/>
    <col min="19" max="19" width="11.42578125" customWidth="1"/>
    <col min="20" max="246" width="8" customWidth="1"/>
  </cols>
  <sheetData>
    <row r="1" spans="1:19" ht="20.25" customHeight="1" x14ac:dyDescent="0.3">
      <c r="A1" s="1" t="s">
        <v>267</v>
      </c>
      <c r="B1" s="2"/>
      <c r="C1" s="1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R1" s="5"/>
    </row>
    <row r="2" spans="1:19" ht="5.25" customHeight="1" x14ac:dyDescent="0.2">
      <c r="A2" s="2"/>
      <c r="B2" s="6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9"/>
      <c r="P2" s="10"/>
      <c r="Q2" s="9"/>
      <c r="R2" s="11" t="s">
        <v>0</v>
      </c>
    </row>
    <row r="3" spans="1:19" ht="12.75" customHeight="1" x14ac:dyDescent="0.2">
      <c r="A3" s="12" t="s">
        <v>1</v>
      </c>
      <c r="B3" s="13"/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5" t="s">
        <v>14</v>
      </c>
      <c r="P3" s="16" t="s">
        <v>15</v>
      </c>
      <c r="Q3" s="17">
        <v>1</v>
      </c>
      <c r="R3" s="11" t="s">
        <v>16</v>
      </c>
    </row>
    <row r="4" spans="1:19" ht="8.25" customHeight="1" x14ac:dyDescent="0.2">
      <c r="A4" s="2"/>
      <c r="B4" s="2"/>
      <c r="C4" s="2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4"/>
      <c r="R4" s="19"/>
    </row>
    <row r="5" spans="1:19" ht="12.75" customHeight="1" x14ac:dyDescent="0.2">
      <c r="A5" s="2"/>
      <c r="B5" s="7" t="s">
        <v>17</v>
      </c>
      <c r="C5" s="50">
        <f>12736.46-9495</f>
        <v>3241.4599999999991</v>
      </c>
      <c r="D5" s="8">
        <f>C45</f>
        <v>90091.05</v>
      </c>
      <c r="E5" s="8">
        <f t="shared" ref="E5:N5" si="0">D45</f>
        <v>88650.11</v>
      </c>
      <c r="F5" s="8">
        <f t="shared" si="0"/>
        <v>63504.99</v>
      </c>
      <c r="G5" s="8">
        <f t="shared" si="0"/>
        <v>60171.24</v>
      </c>
      <c r="H5" s="8">
        <f t="shared" si="0"/>
        <v>55816.14</v>
      </c>
      <c r="I5" s="8">
        <f t="shared" si="0"/>
        <v>54248.979999999996</v>
      </c>
      <c r="J5" s="8">
        <f t="shared" si="0"/>
        <v>48381.09</v>
      </c>
      <c r="K5" s="8">
        <f t="shared" si="0"/>
        <v>42521.31</v>
      </c>
      <c r="L5" s="47">
        <f t="shared" si="0"/>
        <v>36679.31</v>
      </c>
      <c r="M5" s="47">
        <f t="shared" si="0"/>
        <v>30837.309999999998</v>
      </c>
      <c r="N5" s="47">
        <f t="shared" si="0"/>
        <v>13260.309999999998</v>
      </c>
      <c r="O5" s="18"/>
      <c r="P5" s="4"/>
      <c r="R5" s="19"/>
      <c r="S5" s="56"/>
    </row>
    <row r="6" spans="1:19" ht="12.75" customHeight="1" x14ac:dyDescent="0.2">
      <c r="A6" s="2"/>
      <c r="B6" s="2" t="s">
        <v>270</v>
      </c>
      <c r="C6" s="24">
        <f>4230+4605+3780+4365+2700+6480+2700+2205+1980+2160+5200+1440+5029+540+6325+2160+6115+2520+12615+1980+1155+1125+7505+1080+540+585+540+3578+1695+1080+75+1620+6315+900+2170+540+2700+4555-465</f>
        <v>116422</v>
      </c>
      <c r="D6" s="24">
        <f>1560+45+45+75+3225+540+75+180+150+45+45+450+735+1155+540+75+540+780+75+75+920+685</f>
        <v>12015</v>
      </c>
      <c r="E6" s="18">
        <f>7925+150+585+270+140+1135+1770+75+100+195+45+45</f>
        <v>12435</v>
      </c>
      <c r="F6" s="18">
        <f>90+165+75+75+75+75+150+75+45+75+960+150+220+45+365+75</f>
        <v>2715</v>
      </c>
      <c r="G6" s="18">
        <f>240+475+120+100+250+180+500+75+45+75+340+75+45</f>
        <v>2520</v>
      </c>
      <c r="H6" s="18">
        <f>3165+270+285</f>
        <v>3720</v>
      </c>
      <c r="I6" s="18">
        <f>1380+75+200+75</f>
        <v>1730</v>
      </c>
      <c r="J6" s="18">
        <f>1570+75+75+45+45</f>
        <v>1810</v>
      </c>
      <c r="K6" s="18"/>
      <c r="L6" s="18"/>
      <c r="M6" s="18"/>
      <c r="N6" s="18"/>
      <c r="O6" s="18">
        <f>SUM(C6:N6)</f>
        <v>153367</v>
      </c>
      <c r="P6" s="20">
        <v>163440</v>
      </c>
      <c r="Q6" s="18">
        <f>O6</f>
        <v>153367</v>
      </c>
      <c r="R6" s="19">
        <f>P6-O6</f>
        <v>10073</v>
      </c>
      <c r="S6" s="57"/>
    </row>
    <row r="7" spans="1:19" ht="12.75" customHeight="1" x14ac:dyDescent="0.2">
      <c r="A7" s="2"/>
      <c r="B7" s="2" t="s">
        <v>18</v>
      </c>
      <c r="C7" s="24">
        <f>200+825</f>
        <v>1025</v>
      </c>
      <c r="D7" s="24">
        <v>250</v>
      </c>
      <c r="E7" s="18"/>
      <c r="F7" s="18">
        <v>357.02</v>
      </c>
      <c r="G7" s="18"/>
      <c r="I7" s="18"/>
      <c r="J7" s="18"/>
      <c r="K7" s="18"/>
      <c r="L7" s="18"/>
      <c r="M7" s="18"/>
      <c r="N7" s="18"/>
      <c r="O7" s="18">
        <f t="shared" ref="O7:O14" si="1">SUM(C7:N7)</f>
        <v>1632.02</v>
      </c>
      <c r="P7" s="20">
        <v>0</v>
      </c>
      <c r="Q7" s="18">
        <f>O7</f>
        <v>1632.02</v>
      </c>
      <c r="R7" s="19"/>
      <c r="S7" s="57"/>
    </row>
    <row r="8" spans="1:19" ht="12.75" customHeight="1" x14ac:dyDescent="0.2">
      <c r="A8" s="2"/>
      <c r="B8" s="2"/>
      <c r="C8" s="24"/>
      <c r="D8" s="24"/>
      <c r="E8" s="18"/>
      <c r="F8" s="18"/>
      <c r="G8" s="18"/>
      <c r="H8" s="18"/>
      <c r="I8" s="18"/>
      <c r="J8" s="18"/>
      <c r="K8" s="18"/>
      <c r="L8" s="18"/>
      <c r="M8" s="18"/>
      <c r="N8" s="18"/>
      <c r="O8" s="18">
        <f t="shared" si="1"/>
        <v>0</v>
      </c>
      <c r="P8" s="20">
        <v>250</v>
      </c>
      <c r="Q8" s="18">
        <f>O8</f>
        <v>0</v>
      </c>
      <c r="R8" s="19"/>
      <c r="S8" s="57"/>
    </row>
    <row r="9" spans="1:19" ht="12.75" customHeight="1" x14ac:dyDescent="0.2">
      <c r="A9" s="2"/>
      <c r="B9" s="2" t="s">
        <v>19</v>
      </c>
      <c r="C9" s="24">
        <f>526.11+526.11+526.11+526.11+376.11+526.11+526.11+526.11</f>
        <v>4058.8800000000006</v>
      </c>
      <c r="D9" s="24">
        <f>376.11+526.11</f>
        <v>902.22</v>
      </c>
      <c r="E9" s="18">
        <v>526.11</v>
      </c>
      <c r="F9" s="18"/>
      <c r="H9" s="18"/>
      <c r="I9" s="18"/>
      <c r="J9" s="18"/>
      <c r="K9" s="18"/>
      <c r="L9" s="18"/>
      <c r="M9" s="18"/>
      <c r="N9" s="18"/>
      <c r="O9" s="18">
        <f t="shared" si="1"/>
        <v>5487.21</v>
      </c>
      <c r="P9" s="20">
        <v>5000</v>
      </c>
      <c r="Q9" s="18">
        <f>O9</f>
        <v>5487.21</v>
      </c>
      <c r="R9" s="19"/>
      <c r="S9" s="58"/>
    </row>
    <row r="10" spans="1:19" ht="12.75" customHeight="1" x14ac:dyDescent="0.2">
      <c r="A10" s="2"/>
      <c r="B10" s="2" t="s">
        <v>20</v>
      </c>
      <c r="C10" s="24">
        <f>299+299</f>
        <v>598</v>
      </c>
      <c r="D10" s="24">
        <f>299+299</f>
        <v>598</v>
      </c>
      <c r="E10" s="18">
        <v>299</v>
      </c>
      <c r="F10" s="18"/>
      <c r="G10" s="18">
        <v>299</v>
      </c>
      <c r="H10" s="18">
        <f>299-299</f>
        <v>0</v>
      </c>
      <c r="I10" s="18">
        <v>299.99</v>
      </c>
      <c r="J10" s="18">
        <f>250+299</f>
        <v>549</v>
      </c>
      <c r="K10" s="18"/>
      <c r="L10" s="18"/>
      <c r="M10" s="18"/>
      <c r="N10" s="18"/>
      <c r="O10" s="18">
        <f t="shared" si="1"/>
        <v>2642.99</v>
      </c>
      <c r="P10" s="20">
        <v>2500</v>
      </c>
      <c r="Q10" s="18">
        <f>O10</f>
        <v>2642.99</v>
      </c>
      <c r="R10" s="19">
        <f>SUM(Q6:Q10)</f>
        <v>163129.21999999997</v>
      </c>
      <c r="S10" s="58"/>
    </row>
    <row r="11" spans="1:19" ht="12.75" customHeight="1" x14ac:dyDescent="0.2">
      <c r="A11" s="2"/>
      <c r="B11" s="2" t="s">
        <v>269</v>
      </c>
      <c r="C11" s="24">
        <v>9495</v>
      </c>
      <c r="D11" s="24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>
        <f t="shared" si="1"/>
        <v>9495</v>
      </c>
      <c r="P11" s="20">
        <v>0</v>
      </c>
      <c r="Q11" s="18">
        <f>SUM(P11-O11)</f>
        <v>-9495</v>
      </c>
      <c r="R11" s="19"/>
    </row>
    <row r="12" spans="1:19" ht="12.75" customHeight="1" x14ac:dyDescent="0.2">
      <c r="A12" s="2"/>
      <c r="B12" s="2" t="s">
        <v>21</v>
      </c>
      <c r="C12" s="24">
        <v>-18509</v>
      </c>
      <c r="D12" s="24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>
        <f t="shared" si="1"/>
        <v>-18509</v>
      </c>
      <c r="P12" s="20">
        <v>-18509</v>
      </c>
      <c r="Q12" s="18">
        <f>O12</f>
        <v>-18509</v>
      </c>
      <c r="R12" s="19"/>
    </row>
    <row r="13" spans="1:19" ht="12.75" customHeight="1" x14ac:dyDescent="0.2">
      <c r="A13" s="2"/>
      <c r="B13" s="2" t="s">
        <v>22</v>
      </c>
      <c r="C13" s="24">
        <v>-20000</v>
      </c>
      <c r="D13" s="24"/>
      <c r="E13" s="18"/>
      <c r="F13" s="21"/>
      <c r="G13" s="18"/>
      <c r="H13" s="18"/>
      <c r="I13" s="18"/>
      <c r="J13" s="18"/>
      <c r="K13" s="18"/>
      <c r="L13" s="18"/>
      <c r="M13" s="18"/>
      <c r="N13" s="18"/>
      <c r="O13" s="18">
        <f t="shared" si="1"/>
        <v>-20000</v>
      </c>
      <c r="P13" s="20">
        <v>-20000</v>
      </c>
      <c r="Q13" s="18">
        <f>O13</f>
        <v>-20000</v>
      </c>
      <c r="R13" s="19"/>
    </row>
    <row r="14" spans="1:19" ht="12.75" customHeight="1" x14ac:dyDescent="0.2">
      <c r="A14" s="2"/>
      <c r="B14" s="2" t="s">
        <v>23</v>
      </c>
      <c r="C14" s="24"/>
      <c r="D14" s="24"/>
      <c r="E14" s="18"/>
      <c r="F14" s="18"/>
      <c r="G14" s="22"/>
      <c r="H14" s="18"/>
      <c r="I14" s="18"/>
      <c r="J14" s="18"/>
      <c r="K14" s="18"/>
      <c r="L14" s="18"/>
      <c r="M14" s="18"/>
      <c r="N14" s="18"/>
      <c r="O14" s="18">
        <f t="shared" si="1"/>
        <v>0</v>
      </c>
      <c r="P14" s="20">
        <v>0</v>
      </c>
      <c r="Q14" s="18">
        <f>SUM(P14-O14)</f>
        <v>0</v>
      </c>
      <c r="R14" s="19"/>
    </row>
    <row r="15" spans="1:19" ht="6" customHeight="1" x14ac:dyDescent="0.2">
      <c r="A15" s="2"/>
      <c r="B15" s="2"/>
      <c r="C15" s="24"/>
      <c r="D15" s="24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0"/>
      <c r="R15" s="19"/>
    </row>
    <row r="16" spans="1:19" ht="12.75" customHeight="1" x14ac:dyDescent="0.2">
      <c r="A16" s="2"/>
      <c r="B16" s="2" t="s">
        <v>24</v>
      </c>
      <c r="C16" s="50">
        <f>SUM(C6:C14)</f>
        <v>93089.88</v>
      </c>
      <c r="D16" s="50">
        <f>SUM(D6:D14)</f>
        <v>13765.22</v>
      </c>
      <c r="E16" s="8">
        <f t="shared" ref="E16:N16" si="2">SUM(E6:E14)</f>
        <v>13260.11</v>
      </c>
      <c r="F16" s="8">
        <f t="shared" si="2"/>
        <v>3072.02</v>
      </c>
      <c r="G16" s="8">
        <f t="shared" si="2"/>
        <v>2819</v>
      </c>
      <c r="H16" s="8">
        <f t="shared" si="2"/>
        <v>3720</v>
      </c>
      <c r="I16" s="8">
        <f t="shared" si="2"/>
        <v>2029.99</v>
      </c>
      <c r="J16" s="8">
        <f t="shared" si="2"/>
        <v>2359</v>
      </c>
      <c r="K16" s="8">
        <f t="shared" si="2"/>
        <v>0</v>
      </c>
      <c r="L16" s="8">
        <f t="shared" si="2"/>
        <v>0</v>
      </c>
      <c r="M16" s="8">
        <f t="shared" si="2"/>
        <v>0</v>
      </c>
      <c r="N16" s="8">
        <f t="shared" si="2"/>
        <v>0</v>
      </c>
      <c r="O16" s="8">
        <f>SUM(O6:O14)</f>
        <v>134115.21999999997</v>
      </c>
      <c r="P16" s="8">
        <f>SUM(P5:P15)</f>
        <v>132681</v>
      </c>
      <c r="Q16" s="8">
        <f>SUM(P16-O16)</f>
        <v>-1434.2199999999721</v>
      </c>
      <c r="R16" s="19"/>
    </row>
    <row r="17" spans="1:24" ht="12" customHeight="1" x14ac:dyDescent="0.2">
      <c r="A17" s="7" t="s">
        <v>25</v>
      </c>
      <c r="B17" s="2"/>
      <c r="C17" s="24"/>
      <c r="D17" s="24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0"/>
      <c r="R17" s="19"/>
    </row>
    <row r="18" spans="1:24" ht="12" customHeight="1" x14ac:dyDescent="0.2">
      <c r="A18" s="7"/>
      <c r="B18" s="2" t="s">
        <v>26</v>
      </c>
      <c r="C18" s="59"/>
      <c r="D18" s="59"/>
      <c r="E18" s="59"/>
      <c r="F18" s="24"/>
      <c r="G18" s="59"/>
      <c r="H18" s="59"/>
      <c r="I18" s="59"/>
      <c r="J18" s="59"/>
      <c r="K18" s="59"/>
      <c r="L18" s="59"/>
      <c r="M18" s="59"/>
      <c r="N18" s="59"/>
      <c r="O18" s="49">
        <f t="shared" ref="O18:O42" si="3">SUM(C18:N18)</f>
        <v>0</v>
      </c>
      <c r="P18" s="20">
        <v>0</v>
      </c>
      <c r="R18" s="19"/>
    </row>
    <row r="19" spans="1:24" ht="12.75" customHeight="1" x14ac:dyDescent="0.2">
      <c r="A19" s="23"/>
      <c r="B19" s="2" t="s">
        <v>84</v>
      </c>
      <c r="C19" s="24"/>
      <c r="D19" s="24"/>
      <c r="E19" s="24"/>
      <c r="F19" s="24"/>
      <c r="G19" s="59"/>
      <c r="H19" s="59"/>
      <c r="I19" s="59"/>
      <c r="J19" s="59"/>
      <c r="K19" s="59"/>
      <c r="L19" s="59"/>
      <c r="M19" s="59"/>
      <c r="N19" s="59"/>
      <c r="O19" s="49">
        <f t="shared" si="3"/>
        <v>0</v>
      </c>
      <c r="P19" s="20">
        <v>1344</v>
      </c>
      <c r="Q19" s="18">
        <f t="shared" ref="Q19:Q26" si="4">SUM(P19-O19)</f>
        <v>1344</v>
      </c>
      <c r="R19" s="25"/>
    </row>
    <row r="20" spans="1:24" ht="12.75" customHeight="1" x14ac:dyDescent="0.2">
      <c r="A20" s="23"/>
      <c r="B20" s="2" t="s">
        <v>77</v>
      </c>
      <c r="C20" s="24">
        <f>30.42+180.84</f>
        <v>211.26</v>
      </c>
      <c r="D20" s="24">
        <f>30.42+180.76</f>
        <v>211.18</v>
      </c>
      <c r="E20" s="24">
        <f>30.42+180.76</f>
        <v>211.18</v>
      </c>
      <c r="F20" s="24">
        <f>30.42+180.76</f>
        <v>211.18</v>
      </c>
      <c r="G20" s="24">
        <f>30.42+191.6</f>
        <v>222.01999999999998</v>
      </c>
      <c r="H20" s="24">
        <f>30.42+191.6</f>
        <v>222.01999999999998</v>
      </c>
      <c r="I20" s="24">
        <f>191.6+30.42</f>
        <v>222.01999999999998</v>
      </c>
      <c r="J20" s="24">
        <f>30.42+194.9</f>
        <v>225.32</v>
      </c>
      <c r="K20" s="59">
        <v>212</v>
      </c>
      <c r="L20" s="59">
        <v>212</v>
      </c>
      <c r="M20" s="59">
        <v>212</v>
      </c>
      <c r="N20" s="59">
        <v>212</v>
      </c>
      <c r="O20" s="49">
        <f t="shared" si="3"/>
        <v>2584.1799999999998</v>
      </c>
      <c r="P20" s="20">
        <v>2600</v>
      </c>
      <c r="Q20" s="18">
        <f t="shared" si="4"/>
        <v>15.820000000000164</v>
      </c>
      <c r="R20" s="26">
        <v>2650</v>
      </c>
      <c r="S20" s="24">
        <f>37.08+135.63</f>
        <v>172.70999999999998</v>
      </c>
    </row>
    <row r="21" spans="1:24" ht="12.75" customHeight="1" x14ac:dyDescent="0.2">
      <c r="A21" s="23"/>
      <c r="B21" s="2" t="s">
        <v>268</v>
      </c>
      <c r="C21" s="24"/>
      <c r="D21" s="24"/>
      <c r="E21" s="24"/>
      <c r="F21" s="24"/>
      <c r="G21" s="24"/>
      <c r="H21" s="24"/>
      <c r="I21" s="24"/>
      <c r="J21" s="59"/>
      <c r="K21" s="59"/>
      <c r="L21" s="59"/>
      <c r="M21" s="59"/>
      <c r="N21" s="59"/>
      <c r="O21" s="49">
        <f t="shared" si="3"/>
        <v>0</v>
      </c>
      <c r="P21" s="20">
        <v>300</v>
      </c>
      <c r="Q21" s="18">
        <f t="shared" si="4"/>
        <v>300</v>
      </c>
      <c r="R21" s="26">
        <v>3000</v>
      </c>
      <c r="S21" s="24">
        <v>250</v>
      </c>
    </row>
    <row r="22" spans="1:24" ht="12.75" customHeight="1" x14ac:dyDescent="0.2">
      <c r="A22" s="23"/>
      <c r="B22" s="2" t="s">
        <v>27</v>
      </c>
      <c r="C22" s="24">
        <v>1000</v>
      </c>
      <c r="D22" s="24">
        <v>1000</v>
      </c>
      <c r="E22" s="24">
        <v>1000</v>
      </c>
      <c r="F22" s="24">
        <f>98.63+565.75</f>
        <v>664.38</v>
      </c>
      <c r="G22" s="24">
        <v>1000</v>
      </c>
      <c r="H22" s="24">
        <v>1000</v>
      </c>
      <c r="I22" s="24">
        <v>1000</v>
      </c>
      <c r="J22" s="24">
        <v>1000</v>
      </c>
      <c r="K22" s="59">
        <v>1000</v>
      </c>
      <c r="L22" s="59">
        <v>1000</v>
      </c>
      <c r="M22" s="59">
        <v>1000</v>
      </c>
      <c r="N22" s="59">
        <v>1000</v>
      </c>
      <c r="O22" s="49">
        <f t="shared" si="3"/>
        <v>11664.380000000001</v>
      </c>
      <c r="P22" s="20">
        <v>12000</v>
      </c>
      <c r="Q22" s="18">
        <f t="shared" si="4"/>
        <v>335.61999999999898</v>
      </c>
      <c r="R22" s="25">
        <f>IF(O22=0,0,(O22/COUNT($C$42:$N$42))*12)</f>
        <v>11664.380000000001</v>
      </c>
      <c r="S22" s="24">
        <v>900</v>
      </c>
      <c r="U22" s="27"/>
      <c r="V22" s="27"/>
      <c r="W22" s="27"/>
      <c r="X22" s="27"/>
    </row>
    <row r="23" spans="1:24" ht="12.75" customHeight="1" x14ac:dyDescent="0.2">
      <c r="A23" s="28"/>
      <c r="B23" s="2" t="s">
        <v>28</v>
      </c>
      <c r="C23" s="24">
        <f t="shared" ref="C23:J23" si="5">225.47+295.16</f>
        <v>520.63</v>
      </c>
      <c r="D23" s="24">
        <f t="shared" si="5"/>
        <v>520.63</v>
      </c>
      <c r="E23" s="24">
        <f t="shared" si="5"/>
        <v>520.63</v>
      </c>
      <c r="F23" s="24">
        <f t="shared" si="5"/>
        <v>520.63</v>
      </c>
      <c r="G23" s="24">
        <f t="shared" si="5"/>
        <v>520.63</v>
      </c>
      <c r="H23" s="24">
        <f t="shared" si="5"/>
        <v>520.63</v>
      </c>
      <c r="I23" s="24">
        <f t="shared" si="5"/>
        <v>520.63</v>
      </c>
      <c r="J23" s="24">
        <f t="shared" si="5"/>
        <v>520.63</v>
      </c>
      <c r="K23" s="59">
        <v>525</v>
      </c>
      <c r="L23" s="59">
        <v>525</v>
      </c>
      <c r="M23" s="59">
        <v>525</v>
      </c>
      <c r="N23" s="59">
        <v>525</v>
      </c>
      <c r="O23" s="49">
        <f t="shared" si="3"/>
        <v>6265.04</v>
      </c>
      <c r="P23" s="20">
        <v>6300</v>
      </c>
      <c r="Q23" s="18">
        <f t="shared" si="4"/>
        <v>34.960000000000036</v>
      </c>
      <c r="R23" s="25">
        <f>IF(O23=0,0,(O23/COUNT($C$42:$N$42))*12)</f>
        <v>6265.0400000000009</v>
      </c>
      <c r="S23" s="24">
        <f>262.51+200.69</f>
        <v>463.2</v>
      </c>
      <c r="U23" s="27"/>
      <c r="V23" s="27"/>
      <c r="W23" s="27"/>
      <c r="X23" s="27"/>
    </row>
    <row r="24" spans="1:24" ht="12.75" customHeight="1" x14ac:dyDescent="0.2">
      <c r="A24" s="28"/>
      <c r="B24" s="2" t="s">
        <v>29</v>
      </c>
      <c r="C24" s="24">
        <f>74.32+1237.2</f>
        <v>1311.52</v>
      </c>
      <c r="D24" s="24">
        <f>67.97+1436.05</f>
        <v>1504.02</v>
      </c>
      <c r="E24" s="24">
        <f>1319.31+91.1</f>
        <v>1410.4099999999999</v>
      </c>
      <c r="F24" s="24">
        <f>1105.31+94.72</f>
        <v>1200.03</v>
      </c>
      <c r="G24" s="24">
        <f>973.52+151.83</f>
        <v>1125.3499999999999</v>
      </c>
      <c r="H24" s="24">
        <f>791.37+215.48</f>
        <v>1006.85</v>
      </c>
      <c r="I24" s="24">
        <f>257.17+841.87</f>
        <v>1099.04</v>
      </c>
      <c r="J24" s="24">
        <f>860.23+232.56</f>
        <v>1092.79</v>
      </c>
      <c r="K24" s="59">
        <v>1415</v>
      </c>
      <c r="L24" s="59">
        <v>1415</v>
      </c>
      <c r="M24" s="59">
        <v>1415</v>
      </c>
      <c r="N24" s="59">
        <v>1415</v>
      </c>
      <c r="O24" s="49">
        <f t="shared" si="3"/>
        <v>15410.010000000002</v>
      </c>
      <c r="P24" s="20">
        <v>17000</v>
      </c>
      <c r="Q24" s="18">
        <f t="shared" si="4"/>
        <v>1589.989999999998</v>
      </c>
      <c r="R24" s="25">
        <f>IF(O24=0,0,(O24/COUNT($C$42:$N$42))*12)</f>
        <v>15410.010000000002</v>
      </c>
      <c r="S24" s="24">
        <f>1020.77+112.5</f>
        <v>1133.27</v>
      </c>
      <c r="U24" s="27"/>
      <c r="V24" s="27"/>
      <c r="W24" s="27"/>
      <c r="X24" s="27"/>
    </row>
    <row r="25" spans="1:24" ht="12.75" customHeight="1" x14ac:dyDescent="0.2">
      <c r="A25" s="28"/>
      <c r="B25" s="2" t="s">
        <v>30</v>
      </c>
      <c r="C25" s="24">
        <v>145.06</v>
      </c>
      <c r="D25" s="24">
        <v>179.91</v>
      </c>
      <c r="E25" s="24">
        <v>109.27</v>
      </c>
      <c r="F25" s="24">
        <v>154.47999999999999</v>
      </c>
      <c r="G25" s="24">
        <v>154.28</v>
      </c>
      <c r="H25" s="24">
        <v>155.33000000000001</v>
      </c>
      <c r="I25" s="24">
        <v>151.32</v>
      </c>
      <c r="J25" s="24">
        <v>153.75</v>
      </c>
      <c r="K25" s="59">
        <v>155</v>
      </c>
      <c r="L25" s="59">
        <v>155</v>
      </c>
      <c r="M25" s="59">
        <v>155</v>
      </c>
      <c r="N25" s="59">
        <v>155</v>
      </c>
      <c r="O25" s="49">
        <f t="shared" si="3"/>
        <v>1823.4</v>
      </c>
      <c r="P25" s="20">
        <v>2500</v>
      </c>
      <c r="Q25" s="18">
        <f t="shared" si="4"/>
        <v>676.59999999999991</v>
      </c>
      <c r="R25" s="25">
        <f>IF(O25=0,0,(O25/COUNT($C$42:$N$42))*12)</f>
        <v>1823.4</v>
      </c>
      <c r="S25" s="24">
        <v>261.2</v>
      </c>
      <c r="U25" s="27"/>
      <c r="V25" s="27"/>
      <c r="W25" s="27"/>
      <c r="X25" s="27"/>
    </row>
    <row r="26" spans="1:24" ht="12.75" customHeight="1" x14ac:dyDescent="0.2">
      <c r="A26" s="28"/>
      <c r="B26" s="2" t="s">
        <v>31</v>
      </c>
      <c r="C26" s="24"/>
      <c r="D26" s="24"/>
      <c r="E26" s="24">
        <f>11855+14330.54</f>
        <v>26185.54</v>
      </c>
      <c r="F26" s="24"/>
      <c r="G26" s="24"/>
      <c r="H26" s="24"/>
      <c r="I26" s="24"/>
      <c r="J26" s="63"/>
      <c r="K26" s="59"/>
      <c r="L26" s="59"/>
      <c r="M26" s="59"/>
      <c r="N26" s="59"/>
      <c r="O26" s="49">
        <f t="shared" si="3"/>
        <v>26185.54</v>
      </c>
      <c r="P26" s="20">
        <v>29137</v>
      </c>
      <c r="Q26" s="18">
        <f t="shared" si="4"/>
        <v>2951.4599999999991</v>
      </c>
      <c r="R26" s="26">
        <v>13550.34</v>
      </c>
      <c r="S26" s="24"/>
      <c r="U26" s="27"/>
      <c r="V26" s="27"/>
      <c r="W26" s="27"/>
      <c r="X26" s="27"/>
    </row>
    <row r="27" spans="1:24" ht="12.75" customHeight="1" x14ac:dyDescent="0.2">
      <c r="A27" s="28"/>
      <c r="B27" s="2" t="s">
        <v>32</v>
      </c>
      <c r="C27" s="24">
        <f>12.83+111.28+19.26+74.32+64.19+20.5</f>
        <v>302.38</v>
      </c>
      <c r="D27" s="24">
        <f>64.19+38.3+32.61+33.06+112.81+32.04+40.24</f>
        <v>353.25000000000006</v>
      </c>
      <c r="E27" s="24">
        <f>45.44+90.45+70.04+39.99+23.51</f>
        <v>269.43</v>
      </c>
      <c r="F27" s="24">
        <f>60+53.23+21.82+38.86+64.78</f>
        <v>238.68999999999997</v>
      </c>
      <c r="G27" s="24">
        <v>60.6</v>
      </c>
      <c r="H27" s="24"/>
      <c r="I27" s="24">
        <f>48.37+36.37+10.36+10.56</f>
        <v>105.66</v>
      </c>
      <c r="J27" s="24">
        <v>23.53</v>
      </c>
      <c r="K27" s="59"/>
      <c r="L27" s="59"/>
      <c r="M27" s="59"/>
      <c r="N27" s="59"/>
      <c r="O27" s="49">
        <f t="shared" si="3"/>
        <v>1353.5400000000002</v>
      </c>
      <c r="P27" s="20">
        <v>3000</v>
      </c>
      <c r="Q27" s="18">
        <f t="shared" ref="Q27:Q33" si="6">SUM(P28-O27)</f>
        <v>646.45999999999981</v>
      </c>
      <c r="R27" s="25">
        <f>IF(O27=0,0,(O27/COUNT($C$42:$N$42))*12)</f>
        <v>1353.5400000000002</v>
      </c>
      <c r="S27" s="24">
        <v>35.520000000000003</v>
      </c>
      <c r="U27" s="27"/>
      <c r="V27" s="27"/>
      <c r="W27" s="27"/>
      <c r="X27" s="27"/>
    </row>
    <row r="28" spans="1:24" ht="12.75" customHeight="1" x14ac:dyDescent="0.2">
      <c r="A28" s="28"/>
      <c r="B28" s="2" t="s">
        <v>82</v>
      </c>
      <c r="C28" s="24">
        <v>150</v>
      </c>
      <c r="D28" s="24">
        <v>120</v>
      </c>
      <c r="E28" s="24"/>
      <c r="F28" s="24">
        <v>240</v>
      </c>
      <c r="G28" s="24">
        <f>2090+137.9</f>
        <v>2227.9</v>
      </c>
      <c r="H28" s="24">
        <v>240</v>
      </c>
      <c r="I28" s="24"/>
      <c r="J28" s="24">
        <v>120</v>
      </c>
      <c r="K28" s="59">
        <v>120</v>
      </c>
      <c r="L28" s="59">
        <v>120</v>
      </c>
      <c r="M28" s="59">
        <v>120</v>
      </c>
      <c r="N28" s="59">
        <v>120</v>
      </c>
      <c r="O28" s="49">
        <f t="shared" si="3"/>
        <v>3577.9</v>
      </c>
      <c r="P28" s="20">
        <v>2000</v>
      </c>
      <c r="Q28" s="18">
        <f t="shared" si="6"/>
        <v>-2977.9</v>
      </c>
      <c r="R28" s="26">
        <v>3600</v>
      </c>
      <c r="S28" s="24"/>
      <c r="U28" s="27"/>
      <c r="V28" s="27"/>
      <c r="W28" s="27"/>
      <c r="X28" s="27"/>
    </row>
    <row r="29" spans="1:24" ht="12.75" customHeight="1" x14ac:dyDescent="0.2">
      <c r="A29" s="28"/>
      <c r="B29" s="2" t="s">
        <v>33</v>
      </c>
      <c r="C29" s="24"/>
      <c r="D29" s="24"/>
      <c r="E29" s="24">
        <f>150+50</f>
        <v>200</v>
      </c>
      <c r="F29" s="24"/>
      <c r="G29" s="24">
        <v>325</v>
      </c>
      <c r="H29" s="24"/>
      <c r="I29" s="24"/>
      <c r="J29" s="63"/>
      <c r="K29" s="59"/>
      <c r="L29" s="59"/>
      <c r="M29" s="59"/>
      <c r="N29" s="59"/>
      <c r="O29" s="49">
        <f t="shared" si="3"/>
        <v>525</v>
      </c>
      <c r="P29" s="20">
        <v>600</v>
      </c>
      <c r="Q29" s="18">
        <f t="shared" si="6"/>
        <v>-25</v>
      </c>
      <c r="R29" s="26">
        <v>600</v>
      </c>
      <c r="S29" s="24"/>
      <c r="U29" s="27"/>
      <c r="V29" s="27"/>
      <c r="W29" s="27"/>
      <c r="X29" s="27"/>
    </row>
    <row r="30" spans="1:24" ht="12.75" customHeight="1" x14ac:dyDescent="0.2">
      <c r="A30" s="28"/>
      <c r="B30" s="2" t="s">
        <v>34</v>
      </c>
      <c r="C30" s="24">
        <v>250</v>
      </c>
      <c r="D30" s="24"/>
      <c r="E30" s="24"/>
      <c r="F30" s="24"/>
      <c r="G30" s="24"/>
      <c r="H30" s="24"/>
      <c r="I30" s="24"/>
      <c r="J30" s="63"/>
      <c r="K30" s="59"/>
      <c r="L30" s="59"/>
      <c r="M30" s="59"/>
      <c r="N30" s="59"/>
      <c r="O30" s="49">
        <f t="shared" si="3"/>
        <v>250</v>
      </c>
      <c r="P30" s="20">
        <v>500</v>
      </c>
      <c r="Q30" s="18">
        <f t="shared" si="6"/>
        <v>1750</v>
      </c>
      <c r="R30" s="26">
        <v>600</v>
      </c>
      <c r="S30" s="24"/>
      <c r="U30" s="27"/>
      <c r="V30" s="27"/>
      <c r="W30" s="27"/>
      <c r="X30" s="27"/>
    </row>
    <row r="31" spans="1:24" ht="12.75" customHeight="1" x14ac:dyDescent="0.2">
      <c r="A31" s="28"/>
      <c r="B31" s="2" t="s">
        <v>35</v>
      </c>
      <c r="C31" s="24">
        <v>-180.83</v>
      </c>
      <c r="D31" s="61"/>
      <c r="E31" s="24"/>
      <c r="F31" s="24"/>
      <c r="G31" s="24"/>
      <c r="H31" s="24"/>
      <c r="I31" s="24">
        <v>45.96</v>
      </c>
      <c r="J31" s="24"/>
      <c r="K31" s="59"/>
      <c r="L31" s="59"/>
      <c r="M31" s="59"/>
      <c r="N31" s="59"/>
      <c r="O31" s="49">
        <f t="shared" si="3"/>
        <v>-134.87</v>
      </c>
      <c r="P31" s="20">
        <v>2000</v>
      </c>
      <c r="Q31" s="18">
        <f t="shared" si="6"/>
        <v>1634.87</v>
      </c>
      <c r="R31" s="25">
        <f>IF(O31=0,0,(O31/COUNT($C$42:$N$42))*12)</f>
        <v>-134.87</v>
      </c>
      <c r="S31" s="24">
        <v>53.49</v>
      </c>
      <c r="U31" s="27"/>
      <c r="V31" s="27"/>
      <c r="W31" s="27"/>
      <c r="X31" s="27"/>
    </row>
    <row r="32" spans="1:24" ht="12.75" customHeight="1" x14ac:dyDescent="0.2">
      <c r="A32" s="28"/>
      <c r="B32" s="2" t="s">
        <v>36</v>
      </c>
      <c r="C32" s="24">
        <f>17.45+224+40.34+28.84+23.49+28.84+14.23</f>
        <v>377.18999999999994</v>
      </c>
      <c r="D32" s="24">
        <f>17.09</f>
        <v>17.09</v>
      </c>
      <c r="E32" s="24"/>
      <c r="F32" s="24">
        <v>8.75</v>
      </c>
      <c r="G32" s="24">
        <v>32.090000000000003</v>
      </c>
      <c r="H32" s="24">
        <f>48.14+74.85+240.01</f>
        <v>363</v>
      </c>
      <c r="I32" s="24"/>
      <c r="J32" s="24">
        <v>19.45</v>
      </c>
      <c r="K32" s="59"/>
      <c r="L32" s="59"/>
      <c r="M32" s="59">
        <v>735</v>
      </c>
      <c r="N32" s="59"/>
      <c r="O32" s="49">
        <f t="shared" si="3"/>
        <v>1552.57</v>
      </c>
      <c r="P32" s="20">
        <v>1500</v>
      </c>
      <c r="Q32" s="18">
        <f t="shared" si="6"/>
        <v>9447.43</v>
      </c>
      <c r="R32" s="25">
        <f>IF(O32=0,0,(O32/COUNT($C$42:$N$42))*12)</f>
        <v>1552.57</v>
      </c>
      <c r="S32" s="24"/>
      <c r="U32" s="27"/>
      <c r="V32" s="27"/>
      <c r="W32" s="27"/>
      <c r="X32" s="27"/>
    </row>
    <row r="33" spans="1:24" ht="12.75" customHeight="1" x14ac:dyDescent="0.2">
      <c r="A33" s="28"/>
      <c r="B33" s="2" t="s">
        <v>37</v>
      </c>
      <c r="C33" s="24"/>
      <c r="D33" s="24"/>
      <c r="E33" s="24"/>
      <c r="F33" s="24"/>
      <c r="G33" s="24"/>
      <c r="H33" s="24"/>
      <c r="I33" s="24"/>
      <c r="J33" s="24"/>
      <c r="K33" s="59"/>
      <c r="L33" s="59"/>
      <c r="M33" s="59">
        <v>11000</v>
      </c>
      <c r="N33" s="59"/>
      <c r="O33" s="49">
        <f t="shared" si="3"/>
        <v>11000</v>
      </c>
      <c r="P33" s="20">
        <v>11000</v>
      </c>
      <c r="Q33" s="18">
        <f t="shared" si="6"/>
        <v>-7600</v>
      </c>
      <c r="R33" s="26">
        <v>11000</v>
      </c>
      <c r="S33" s="24"/>
      <c r="U33" s="27"/>
      <c r="V33" s="27"/>
      <c r="W33" s="27"/>
      <c r="X33" s="27"/>
    </row>
    <row r="34" spans="1:24" ht="12.75" customHeight="1" x14ac:dyDescent="0.2">
      <c r="A34" s="64"/>
      <c r="B34" s="2" t="s">
        <v>160</v>
      </c>
      <c r="C34" s="24"/>
      <c r="D34" s="24">
        <v>2120.2800000000002</v>
      </c>
      <c r="E34" s="24"/>
      <c r="F34" s="24"/>
      <c r="G34" s="24"/>
      <c r="H34" s="24"/>
      <c r="I34" s="24"/>
      <c r="J34" s="24"/>
      <c r="K34" s="59"/>
      <c r="L34" s="59"/>
      <c r="M34" s="59"/>
      <c r="N34" s="59"/>
      <c r="O34" s="49">
        <f t="shared" si="3"/>
        <v>2120.2800000000002</v>
      </c>
      <c r="P34" s="20">
        <v>3400</v>
      </c>
      <c r="Q34" s="18">
        <f t="shared" ref="Q34:Q40" si="7">SUM(P36-O34)</f>
        <v>379.7199999999998</v>
      </c>
      <c r="R34" s="26">
        <v>1499.79</v>
      </c>
      <c r="S34" s="24"/>
      <c r="U34" s="27"/>
      <c r="V34" s="27"/>
      <c r="W34" s="27"/>
      <c r="X34" s="27"/>
    </row>
    <row r="35" spans="1:24" ht="12.75" customHeight="1" x14ac:dyDescent="0.2">
      <c r="A35" s="65"/>
      <c r="B35" s="2" t="s">
        <v>38</v>
      </c>
      <c r="C35" s="24"/>
      <c r="D35" s="24"/>
      <c r="E35" s="61"/>
      <c r="F35" s="24"/>
      <c r="G35" s="24"/>
      <c r="H35" s="24"/>
      <c r="I35" s="24"/>
      <c r="J35" s="24"/>
      <c r="K35" s="59"/>
      <c r="L35" s="59"/>
      <c r="M35" s="59"/>
      <c r="N35" s="59"/>
      <c r="O35" s="49">
        <f t="shared" si="3"/>
        <v>0</v>
      </c>
      <c r="P35" s="20"/>
      <c r="Q35" s="18">
        <f t="shared" si="7"/>
        <v>3000</v>
      </c>
      <c r="R35" s="25">
        <f>IF(O35=0,0,(O35/COUNT($C$42:$N$42))*12)</f>
        <v>0</v>
      </c>
      <c r="S35" s="24"/>
      <c r="U35" s="27"/>
      <c r="V35" s="27"/>
      <c r="W35" s="27"/>
      <c r="X35" s="27"/>
    </row>
    <row r="36" spans="1:24" ht="12.75" customHeight="1" x14ac:dyDescent="0.2">
      <c r="A36" s="65"/>
      <c r="B36" s="2" t="s">
        <v>39</v>
      </c>
      <c r="C36" s="24"/>
      <c r="D36" s="24"/>
      <c r="E36" s="24"/>
      <c r="F36" s="24"/>
      <c r="G36" s="24"/>
      <c r="H36" s="24"/>
      <c r="I36" s="24"/>
      <c r="J36" s="24"/>
      <c r="K36" s="59"/>
      <c r="L36" s="59"/>
      <c r="M36" s="59"/>
      <c r="N36" s="59">
        <v>2500</v>
      </c>
      <c r="O36" s="49">
        <f t="shared" si="3"/>
        <v>2500</v>
      </c>
      <c r="P36" s="20">
        <v>2500</v>
      </c>
      <c r="Q36" s="18">
        <f t="shared" si="7"/>
        <v>1500</v>
      </c>
      <c r="R36" s="26">
        <v>2150</v>
      </c>
      <c r="S36" s="24"/>
      <c r="U36" s="27"/>
      <c r="V36" s="27"/>
      <c r="W36" s="27"/>
      <c r="X36" s="27"/>
    </row>
    <row r="37" spans="1:24" ht="12.75" customHeight="1" x14ac:dyDescent="0.2">
      <c r="A37" s="65"/>
      <c r="B37" s="2" t="s">
        <v>40</v>
      </c>
      <c r="C37" s="24">
        <f>550-550</f>
        <v>0</v>
      </c>
      <c r="D37" s="24"/>
      <c r="E37" s="24"/>
      <c r="F37" s="24"/>
      <c r="G37" s="24">
        <v>283</v>
      </c>
      <c r="H37" s="24">
        <v>375</v>
      </c>
      <c r="I37" s="24"/>
      <c r="J37" s="24"/>
      <c r="K37" s="59"/>
      <c r="L37" s="59"/>
      <c r="M37" s="59"/>
      <c r="N37" s="59"/>
      <c r="O37" s="49">
        <f t="shared" si="3"/>
        <v>658</v>
      </c>
      <c r="P37" s="20">
        <v>3000</v>
      </c>
      <c r="Q37" s="18">
        <f t="shared" si="7"/>
        <v>14342</v>
      </c>
      <c r="R37" s="25">
        <f>IF(O37=0,0,(O37/COUNT($C$42:$N$42))*12)</f>
        <v>658</v>
      </c>
      <c r="S37" s="24"/>
      <c r="U37" s="27"/>
      <c r="V37" s="27"/>
      <c r="W37" s="27"/>
      <c r="X37" s="27"/>
    </row>
    <row r="38" spans="1:24" ht="12.75" customHeight="1" x14ac:dyDescent="0.2">
      <c r="A38" s="65"/>
      <c r="B38" s="2" t="s">
        <v>79</v>
      </c>
      <c r="C38" s="24">
        <f>517+16.05+21.4</f>
        <v>554.44999999999993</v>
      </c>
      <c r="D38" s="24">
        <f>4750+900-6.49+515.55+29.94</f>
        <v>6189</v>
      </c>
      <c r="E38" s="24">
        <v>4750</v>
      </c>
      <c r="F38" s="24">
        <v>26</v>
      </c>
      <c r="G38" s="24"/>
      <c r="H38" s="24"/>
      <c r="I38" s="24">
        <v>1304.0999999999999</v>
      </c>
      <c r="J38" s="24">
        <f>106.12+2993.59</f>
        <v>3099.71</v>
      </c>
      <c r="K38" s="59">
        <v>300</v>
      </c>
      <c r="L38" s="59">
        <v>300</v>
      </c>
      <c r="M38" s="59">
        <v>300</v>
      </c>
      <c r="N38" s="59">
        <v>300</v>
      </c>
      <c r="O38" s="49">
        <f t="shared" si="3"/>
        <v>17123.260000000002</v>
      </c>
      <c r="P38" s="20">
        <v>4000</v>
      </c>
      <c r="Q38" s="18">
        <f t="shared" si="7"/>
        <v>-12123.260000000002</v>
      </c>
      <c r="R38" s="25">
        <f>IF(O38=0,0,(O38/COUNT($C$42:$N$42))*12)</f>
        <v>17123.260000000002</v>
      </c>
      <c r="S38" s="24">
        <f>75+150</f>
        <v>225</v>
      </c>
      <c r="U38" s="27"/>
      <c r="V38" s="27"/>
      <c r="W38" s="27"/>
      <c r="X38" s="27"/>
    </row>
    <row r="39" spans="1:24" ht="12.75" customHeight="1" x14ac:dyDescent="0.2">
      <c r="A39" s="65"/>
      <c r="B39" s="2" t="s">
        <v>80</v>
      </c>
      <c r="C39" s="24">
        <v>1010</v>
      </c>
      <c r="D39" s="24">
        <v>800</v>
      </c>
      <c r="E39" s="24">
        <f>800+60.98</f>
        <v>860.98</v>
      </c>
      <c r="F39" s="24">
        <f>71.69+21.24+800+59.91</f>
        <v>952.83999999999992</v>
      </c>
      <c r="G39" s="24">
        <v>861</v>
      </c>
      <c r="H39" s="24">
        <v>850</v>
      </c>
      <c r="I39" s="24">
        <v>850</v>
      </c>
      <c r="J39" s="24">
        <v>850</v>
      </c>
      <c r="K39" s="59">
        <v>1250</v>
      </c>
      <c r="L39" s="59">
        <v>1250</v>
      </c>
      <c r="M39" s="59">
        <v>1250</v>
      </c>
      <c r="N39" s="59">
        <v>1250</v>
      </c>
      <c r="O39" s="49">
        <f t="shared" si="3"/>
        <v>12034.82</v>
      </c>
      <c r="P39" s="20">
        <v>15000</v>
      </c>
      <c r="Q39" s="18">
        <f t="shared" si="7"/>
        <v>-9534.82</v>
      </c>
      <c r="R39" s="25">
        <f>IF(O39=0,0,(O39/COUNT($C$42:$N$42))*12)</f>
        <v>12034.82</v>
      </c>
      <c r="S39" s="24">
        <v>1085</v>
      </c>
      <c r="U39" s="27"/>
      <c r="V39" s="27"/>
      <c r="W39" s="27"/>
      <c r="X39" s="27"/>
    </row>
    <row r="40" spans="1:24" ht="12.75" customHeight="1" x14ac:dyDescent="0.2">
      <c r="A40" s="65"/>
      <c r="B40" s="2" t="s">
        <v>81</v>
      </c>
      <c r="C40" s="24">
        <f>251.45</f>
        <v>251.45</v>
      </c>
      <c r="D40" s="24">
        <f>1240+223.63+368.05</f>
        <v>1831.68</v>
      </c>
      <c r="E40" s="24">
        <f>51.25+22.75+29.79+500+40.31+80+46.38+36.97+15.48</f>
        <v>822.93</v>
      </c>
      <c r="F40" s="24">
        <f>374.48+154.29+162.64+78.04+1099.65</f>
        <v>1869.1</v>
      </c>
      <c r="G40" s="24">
        <f>15.76+46.2</f>
        <v>61.96</v>
      </c>
      <c r="H40" s="24">
        <f>65.6+13.4</f>
        <v>79</v>
      </c>
      <c r="I40" s="24">
        <f>210.79+175+1400+8.04+228.04+79.11+200</f>
        <v>2300.98</v>
      </c>
      <c r="J40" s="24">
        <f>14.97+77+113.4+200+43.75+300+79.45</f>
        <v>828.57</v>
      </c>
      <c r="K40" s="59">
        <v>415</v>
      </c>
      <c r="L40" s="59">
        <v>415</v>
      </c>
      <c r="M40" s="59">
        <v>415</v>
      </c>
      <c r="N40" s="59">
        <v>415</v>
      </c>
      <c r="O40" s="49">
        <f t="shared" si="3"/>
        <v>9705.67</v>
      </c>
      <c r="P40" s="20">
        <v>5000</v>
      </c>
      <c r="Q40" s="18">
        <f t="shared" si="7"/>
        <v>-4205.67</v>
      </c>
      <c r="R40" s="26">
        <v>5096</v>
      </c>
      <c r="S40" s="24">
        <f>112.88+8.54+32.06</f>
        <v>153.47999999999999</v>
      </c>
      <c r="U40" s="27"/>
      <c r="V40" s="27"/>
      <c r="W40" s="27"/>
      <c r="X40" s="27"/>
    </row>
    <row r="41" spans="1:24" ht="12.75" customHeight="1" x14ac:dyDescent="0.2">
      <c r="A41" s="65"/>
      <c r="B41" s="2" t="s">
        <v>41</v>
      </c>
      <c r="C41" s="24">
        <v>47.96</v>
      </c>
      <c r="D41" s="24"/>
      <c r="E41" s="24">
        <f>1030.24+163.91+122+87+11.38+22.56+213.97</f>
        <v>1651.0600000000002</v>
      </c>
      <c r="F41" s="24"/>
      <c r="G41" s="61"/>
      <c r="H41" s="24"/>
      <c r="I41" s="24"/>
      <c r="J41" s="24"/>
      <c r="K41" s="59"/>
      <c r="L41" s="59"/>
      <c r="M41" s="59"/>
      <c r="N41" s="59"/>
      <c r="O41" s="49">
        <f t="shared" si="3"/>
        <v>1699.0200000000002</v>
      </c>
      <c r="P41" s="20">
        <v>2500</v>
      </c>
      <c r="Q41" s="18" t="e">
        <f>SUM(#REF!-O41)</f>
        <v>#REF!</v>
      </c>
      <c r="R41" s="26">
        <v>2000</v>
      </c>
      <c r="S41" s="24"/>
    </row>
    <row r="42" spans="1:24" ht="12.75" customHeight="1" x14ac:dyDescent="0.2">
      <c r="A42" s="65"/>
      <c r="B42" s="2" t="s">
        <v>42</v>
      </c>
      <c r="C42" s="24">
        <f>157.16+132.06</f>
        <v>289.22000000000003</v>
      </c>
      <c r="D42" s="24">
        <f>162.53+196.59</f>
        <v>359.12</v>
      </c>
      <c r="E42" s="24">
        <f>236.03+177.77</f>
        <v>413.8</v>
      </c>
      <c r="F42" s="24">
        <f>157.16+162.53</f>
        <v>319.69</v>
      </c>
      <c r="G42" s="24">
        <f>183.45+116.82</f>
        <v>300.27</v>
      </c>
      <c r="H42" s="24">
        <f>328.04+147.29</f>
        <v>475.33000000000004</v>
      </c>
      <c r="I42" s="24">
        <f>101.58+196.59</f>
        <v>298.17</v>
      </c>
      <c r="J42" s="24">
        <f>101.58+183.45</f>
        <v>285.02999999999997</v>
      </c>
      <c r="K42" s="59">
        <v>450</v>
      </c>
      <c r="L42" s="59">
        <v>450</v>
      </c>
      <c r="M42" s="59">
        <v>450</v>
      </c>
      <c r="N42" s="59">
        <v>450</v>
      </c>
      <c r="O42" s="49">
        <f t="shared" si="3"/>
        <v>4540.63</v>
      </c>
      <c r="P42" s="20">
        <v>5500</v>
      </c>
      <c r="Q42" s="18" t="e">
        <f>SUM(#REF!-O42)</f>
        <v>#REF!</v>
      </c>
      <c r="R42" s="26">
        <v>7000</v>
      </c>
      <c r="S42" s="24">
        <f>88.46+243.75</f>
        <v>332.21</v>
      </c>
    </row>
    <row r="43" spans="1:24" s="31" customFormat="1" ht="12.75" customHeight="1" x14ac:dyDescent="0.2">
      <c r="A43" s="7"/>
      <c r="B43" s="7" t="s">
        <v>43</v>
      </c>
      <c r="C43" s="8">
        <f>SUM(C18:C42)</f>
        <v>6240.29</v>
      </c>
      <c r="D43" s="8">
        <f>SUM(D18:D42)</f>
        <v>15206.160000000002</v>
      </c>
      <c r="E43" s="8">
        <f t="shared" ref="E43:N43" si="8">SUM(E18:E42)</f>
        <v>38405.230000000003</v>
      </c>
      <c r="F43" s="8">
        <f t="shared" si="8"/>
        <v>6405.7699999999995</v>
      </c>
      <c r="G43" s="8">
        <f t="shared" si="8"/>
        <v>7174.1</v>
      </c>
      <c r="H43" s="8">
        <f t="shared" si="8"/>
        <v>5287.16</v>
      </c>
      <c r="I43" s="8">
        <f t="shared" si="8"/>
        <v>7897.8799999999992</v>
      </c>
      <c r="J43" s="8">
        <f t="shared" si="8"/>
        <v>8218.7800000000007</v>
      </c>
      <c r="K43" s="8">
        <f t="shared" si="8"/>
        <v>5842</v>
      </c>
      <c r="L43" s="8">
        <f t="shared" si="8"/>
        <v>5842</v>
      </c>
      <c r="M43" s="8">
        <f t="shared" si="8"/>
        <v>17577</v>
      </c>
      <c r="N43" s="8">
        <f t="shared" si="8"/>
        <v>8342</v>
      </c>
      <c r="O43" s="8">
        <f>SUM(O18:O42)</f>
        <v>132438.37000000002</v>
      </c>
      <c r="P43" s="29">
        <f>SUM(P17:P42)</f>
        <v>132681</v>
      </c>
      <c r="Q43" s="8">
        <f>SUM(P43-O43)</f>
        <v>242.62999999997555</v>
      </c>
      <c r="R43" s="30">
        <f>SUM(R19:R42)</f>
        <v>120496.28</v>
      </c>
    </row>
    <row r="44" spans="1:24" ht="12.75" customHeight="1" x14ac:dyDescent="0.2">
      <c r="A44" s="2"/>
      <c r="B44" s="2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20"/>
      <c r="R44" s="19"/>
    </row>
    <row r="45" spans="1:24" ht="12.75" customHeight="1" x14ac:dyDescent="0.2">
      <c r="A45" s="2"/>
      <c r="B45" s="2" t="s">
        <v>44</v>
      </c>
      <c r="C45" s="8">
        <f t="shared" ref="C45:N45" si="9">C5+C16-C43</f>
        <v>90091.05</v>
      </c>
      <c r="D45" s="8">
        <f t="shared" si="9"/>
        <v>88650.11</v>
      </c>
      <c r="E45" s="8">
        <f t="shared" si="9"/>
        <v>63504.99</v>
      </c>
      <c r="F45" s="8">
        <f t="shared" si="9"/>
        <v>60171.24</v>
      </c>
      <c r="G45" s="8">
        <f t="shared" si="9"/>
        <v>55816.14</v>
      </c>
      <c r="H45" s="8">
        <f t="shared" si="9"/>
        <v>54248.979999999996</v>
      </c>
      <c r="I45" s="8">
        <f t="shared" si="9"/>
        <v>48381.09</v>
      </c>
      <c r="J45" s="8">
        <f t="shared" si="9"/>
        <v>42521.31</v>
      </c>
      <c r="K45" s="8">
        <f t="shared" si="9"/>
        <v>36679.31</v>
      </c>
      <c r="L45" s="8">
        <f t="shared" si="9"/>
        <v>30837.309999999998</v>
      </c>
      <c r="M45" s="47">
        <f t="shared" si="9"/>
        <v>13260.309999999998</v>
      </c>
      <c r="N45" s="47">
        <f t="shared" si="9"/>
        <v>4918.3099999999977</v>
      </c>
      <c r="O45" s="18"/>
      <c r="P45" s="18"/>
      <c r="R45" s="19"/>
    </row>
    <row r="46" spans="1:24" ht="15" customHeight="1" x14ac:dyDescent="0.25">
      <c r="A46" s="2"/>
      <c r="B46" s="2"/>
      <c r="C46" s="32"/>
      <c r="D46" s="33"/>
      <c r="E46" s="18"/>
      <c r="F46" s="18"/>
      <c r="G46" s="18"/>
      <c r="H46" s="18"/>
      <c r="I46" s="18"/>
      <c r="J46" s="18"/>
      <c r="K46" s="18"/>
      <c r="L46" s="18"/>
      <c r="M46" s="18"/>
      <c r="N46" s="32"/>
      <c r="O46" s="18"/>
      <c r="P46" s="18"/>
      <c r="R46" s="19"/>
    </row>
    <row r="47" spans="1:24" ht="15" customHeight="1" x14ac:dyDescent="0.25">
      <c r="A47" s="2"/>
      <c r="B47" s="34" t="s">
        <v>45</v>
      </c>
      <c r="C47" s="60">
        <v>90091.05</v>
      </c>
      <c r="D47" s="35">
        <v>88650.11</v>
      </c>
      <c r="E47" s="36">
        <v>63504.99</v>
      </c>
      <c r="F47" s="36">
        <v>60171.24</v>
      </c>
      <c r="G47" s="36">
        <v>55816.14</v>
      </c>
      <c r="H47" s="36">
        <v>54248.98</v>
      </c>
      <c r="I47" s="36">
        <v>48381.09</v>
      </c>
      <c r="J47" s="36">
        <v>42521.31</v>
      </c>
      <c r="K47" s="36"/>
      <c r="L47" s="36"/>
      <c r="M47" s="36"/>
      <c r="N47" s="36"/>
      <c r="O47" s="18"/>
      <c r="P47" s="8"/>
      <c r="Q47" s="55"/>
      <c r="R47" s="19"/>
    </row>
    <row r="48" spans="1:24" ht="12.75" customHeight="1" x14ac:dyDescent="0.2">
      <c r="A48" s="2"/>
      <c r="B48" s="34" t="s">
        <v>46</v>
      </c>
      <c r="C48" s="37">
        <f t="shared" ref="C48:N48" si="10">C47-C45</f>
        <v>0</v>
      </c>
      <c r="D48" s="37">
        <f t="shared" si="10"/>
        <v>0</v>
      </c>
      <c r="E48" s="37">
        <f t="shared" si="10"/>
        <v>0</v>
      </c>
      <c r="F48" s="37">
        <f t="shared" si="10"/>
        <v>0</v>
      </c>
      <c r="G48" s="37">
        <f t="shared" si="10"/>
        <v>0</v>
      </c>
      <c r="H48" s="37">
        <f>H47-H45</f>
        <v>0</v>
      </c>
      <c r="I48" s="37">
        <f t="shared" si="10"/>
        <v>0</v>
      </c>
      <c r="J48" s="37">
        <f t="shared" si="10"/>
        <v>0</v>
      </c>
      <c r="K48" s="37">
        <f t="shared" si="10"/>
        <v>-36679.31</v>
      </c>
      <c r="L48" s="37">
        <f t="shared" si="10"/>
        <v>-30837.309999999998</v>
      </c>
      <c r="M48" s="54">
        <f t="shared" si="10"/>
        <v>-13260.309999999998</v>
      </c>
      <c r="N48" s="54">
        <f t="shared" si="10"/>
        <v>-4918.3099999999977</v>
      </c>
      <c r="O48" s="39"/>
      <c r="R48" s="19"/>
    </row>
    <row r="49" spans="1:18" ht="12.75" customHeight="1" x14ac:dyDescent="0.2">
      <c r="A49" s="2"/>
      <c r="B49" s="2"/>
      <c r="D49" s="18"/>
      <c r="E49" s="18"/>
      <c r="F49" s="18"/>
      <c r="G49" s="18"/>
      <c r="H49" s="18"/>
      <c r="I49" s="18"/>
      <c r="J49" s="18"/>
      <c r="K49" s="18"/>
      <c r="L49" s="18"/>
      <c r="M49" s="18"/>
      <c r="R49" s="19"/>
    </row>
    <row r="50" spans="1:18" ht="12.75" customHeight="1" x14ac:dyDescent="0.2">
      <c r="A50" s="12" t="s">
        <v>264</v>
      </c>
      <c r="B50" s="13"/>
      <c r="C50" s="14" t="s">
        <v>2</v>
      </c>
      <c r="D50" s="14" t="s">
        <v>3</v>
      </c>
      <c r="E50" s="14" t="s">
        <v>4</v>
      </c>
      <c r="F50" s="14" t="s">
        <v>5</v>
      </c>
      <c r="G50" s="14" t="s">
        <v>6</v>
      </c>
      <c r="H50" s="14" t="s">
        <v>7</v>
      </c>
      <c r="I50" s="14" t="s">
        <v>8</v>
      </c>
      <c r="J50" s="14" t="s">
        <v>9</v>
      </c>
      <c r="K50" s="14" t="s">
        <v>10</v>
      </c>
      <c r="L50" s="14" t="s">
        <v>11</v>
      </c>
      <c r="M50" s="14" t="s">
        <v>12</v>
      </c>
      <c r="N50" s="14" t="s">
        <v>13</v>
      </c>
      <c r="O50" s="15"/>
      <c r="P50" s="15"/>
      <c r="Q50" s="17"/>
      <c r="R50" s="11"/>
    </row>
    <row r="51" spans="1:18" ht="8.25" customHeight="1" x14ac:dyDescent="0.2">
      <c r="A51" s="2"/>
      <c r="B51" s="2"/>
      <c r="C51" s="2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R51" s="19"/>
    </row>
    <row r="52" spans="1:18" ht="12.75" customHeight="1" x14ac:dyDescent="0.2">
      <c r="A52" s="2"/>
      <c r="B52" s="7" t="s">
        <v>265</v>
      </c>
      <c r="C52" s="8">
        <f>67910.82+18509+0.23+369.06</f>
        <v>86789.11</v>
      </c>
      <c r="D52" s="8">
        <f>C52-3880.2+0.26</f>
        <v>82909.17</v>
      </c>
      <c r="E52" s="8">
        <f>D52+0.28</f>
        <v>82909.45</v>
      </c>
      <c r="F52" s="8">
        <f>E52+213.47</f>
        <v>83122.92</v>
      </c>
      <c r="G52" s="8">
        <f>F52-9900-9053.8-5940+353.42</f>
        <v>58582.539999999994</v>
      </c>
      <c r="H52" s="8">
        <f>G52+0.29</f>
        <v>58582.829999999994</v>
      </c>
      <c r="I52" s="8">
        <f>H52+0.28</f>
        <v>58583.109999999993</v>
      </c>
      <c r="J52" s="8">
        <f>I52+0.26-3960</f>
        <v>54623.369999999995</v>
      </c>
      <c r="K52" s="8"/>
      <c r="L52" s="8"/>
      <c r="M52" s="47"/>
      <c r="N52" s="47"/>
      <c r="O52" s="18"/>
      <c r="P52" s="18"/>
      <c r="R52" s="19"/>
    </row>
    <row r="53" spans="1:18" ht="12.75" customHeight="1" x14ac:dyDescent="0.2">
      <c r="A53" s="2"/>
      <c r="B53" s="7"/>
      <c r="C53" s="24"/>
      <c r="D53" s="24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9"/>
    </row>
    <row r="54" spans="1:18" ht="12.75" customHeight="1" x14ac:dyDescent="0.2">
      <c r="A54" s="2"/>
      <c r="B54" s="7" t="s">
        <v>266</v>
      </c>
      <c r="C54" s="50">
        <f>32491.83+20000+0.36</f>
        <v>52492.19</v>
      </c>
      <c r="D54" s="50">
        <f>52492.19+0.4</f>
        <v>52492.590000000004</v>
      </c>
      <c r="E54" s="8">
        <f>D54+0.31</f>
        <v>52492.9</v>
      </c>
      <c r="F54" s="8">
        <f>E54+0.22</f>
        <v>52493.120000000003</v>
      </c>
      <c r="G54" s="8">
        <f>F54+144.35</f>
        <v>52637.47</v>
      </c>
      <c r="H54" s="8">
        <f>G54+0.24</f>
        <v>52637.71</v>
      </c>
      <c r="I54" s="8">
        <f>H54+0.23</f>
        <v>52637.94</v>
      </c>
      <c r="J54" s="8">
        <f>I54+0.23</f>
        <v>52638.170000000006</v>
      </c>
      <c r="K54" s="8"/>
      <c r="L54" s="8"/>
      <c r="M54" s="8"/>
      <c r="N54" s="8"/>
      <c r="O54" s="18"/>
      <c r="P54" s="18" t="s">
        <v>271</v>
      </c>
      <c r="Q54" s="18"/>
      <c r="R54" s="19"/>
    </row>
    <row r="55" spans="1:18" ht="12.75" customHeight="1" x14ac:dyDescent="0.2">
      <c r="A55" s="2"/>
      <c r="B55" s="7"/>
      <c r="C55" s="50"/>
      <c r="D55" s="50"/>
      <c r="E55" s="8"/>
      <c r="F55" s="8"/>
      <c r="G55" s="8"/>
      <c r="H55" s="8"/>
      <c r="I55" s="18" t="s">
        <v>281</v>
      </c>
      <c r="J55" s="8"/>
      <c r="K55" s="8"/>
      <c r="L55" s="8"/>
      <c r="M55" s="8"/>
      <c r="N55" s="8"/>
      <c r="O55" s="18"/>
      <c r="P55" s="18" t="s">
        <v>272</v>
      </c>
      <c r="Q55" s="18">
        <v>1925</v>
      </c>
      <c r="R55" s="19"/>
    </row>
    <row r="56" spans="1:18" ht="12.75" customHeight="1" x14ac:dyDescent="0.2">
      <c r="A56" s="2"/>
      <c r="B56" s="7"/>
      <c r="C56" s="50"/>
      <c r="D56" s="50"/>
      <c r="E56" s="8"/>
      <c r="F56" s="8"/>
      <c r="G56" s="8"/>
      <c r="H56" s="8"/>
      <c r="I56" s="18" t="s">
        <v>282</v>
      </c>
      <c r="J56" s="18"/>
      <c r="K56" s="18">
        <v>9500</v>
      </c>
      <c r="L56" s="18"/>
      <c r="M56" s="8"/>
      <c r="N56" s="8"/>
      <c r="O56" s="18"/>
      <c r="P56" s="18" t="s">
        <v>273</v>
      </c>
      <c r="Q56" s="18">
        <v>1925</v>
      </c>
      <c r="R56" s="19"/>
    </row>
    <row r="57" spans="1:18" ht="12.75" customHeight="1" x14ac:dyDescent="0.2">
      <c r="A57" s="2"/>
      <c r="B57" s="7"/>
      <c r="C57" s="50"/>
      <c r="D57" s="50"/>
      <c r="E57" s="8"/>
      <c r="F57" s="8"/>
      <c r="G57" s="8"/>
      <c r="H57" s="8"/>
      <c r="I57" s="18" t="s">
        <v>283</v>
      </c>
      <c r="J57" s="8"/>
      <c r="K57" s="18">
        <v>537.12</v>
      </c>
      <c r="L57" s="18"/>
      <c r="M57" s="8"/>
      <c r="N57" s="8"/>
      <c r="O57" s="18"/>
      <c r="P57" s="18" t="s">
        <v>274</v>
      </c>
      <c r="Q57" s="18">
        <v>1650</v>
      </c>
      <c r="R57" s="19"/>
    </row>
    <row r="58" spans="1:18" ht="12.75" customHeight="1" x14ac:dyDescent="0.2">
      <c r="A58" s="2"/>
      <c r="B58" s="2"/>
      <c r="E58" s="18"/>
      <c r="F58" s="18"/>
      <c r="G58" s="18"/>
      <c r="H58" s="18"/>
      <c r="I58" s="18" t="s">
        <v>286</v>
      </c>
      <c r="J58" s="18"/>
      <c r="K58" s="18">
        <v>2090</v>
      </c>
      <c r="L58" s="18"/>
      <c r="M58" s="18"/>
      <c r="O58" s="39"/>
      <c r="P58" s="39" t="s">
        <v>275</v>
      </c>
      <c r="Q58" s="39">
        <v>1100</v>
      </c>
      <c r="R58" s="19"/>
    </row>
    <row r="59" spans="1:18" ht="12.75" customHeight="1" x14ac:dyDescent="0.2">
      <c r="A59" s="2"/>
      <c r="B59" s="18"/>
      <c r="D59" s="38" t="s">
        <v>47</v>
      </c>
      <c r="E59" s="45"/>
      <c r="G59" s="2"/>
      <c r="H59" s="2"/>
      <c r="I59" s="18" t="s">
        <v>301</v>
      </c>
      <c r="J59" s="18"/>
      <c r="K59" s="18">
        <v>1304.0999999999999</v>
      </c>
      <c r="L59" s="18"/>
      <c r="M59" s="18"/>
      <c r="N59" s="39"/>
      <c r="P59" s="18" t="s">
        <v>276</v>
      </c>
      <c r="Q59" s="39">
        <v>968</v>
      </c>
      <c r="R59" s="19"/>
    </row>
    <row r="60" spans="1:18" ht="12.75" customHeight="1" x14ac:dyDescent="0.25">
      <c r="A60" s="2"/>
      <c r="B60" s="40" t="s">
        <v>47</v>
      </c>
      <c r="C60" s="18"/>
      <c r="D60" s="41">
        <v>236</v>
      </c>
      <c r="E60" s="42">
        <v>540</v>
      </c>
      <c r="F60" s="26">
        <f>SUM(D60*E60)</f>
        <v>127440</v>
      </c>
      <c r="G60" s="18"/>
      <c r="H60" s="18"/>
      <c r="I60" s="18" t="s">
        <v>307</v>
      </c>
      <c r="J60" s="18"/>
      <c r="K60" s="18">
        <v>2993.59</v>
      </c>
      <c r="L60" s="18"/>
      <c r="M60" s="18"/>
      <c r="P60" s="18" t="s">
        <v>277</v>
      </c>
      <c r="Q60" s="18">
        <v>1451</v>
      </c>
      <c r="R60" s="19"/>
    </row>
    <row r="61" spans="1:18" ht="12.75" customHeight="1" x14ac:dyDescent="0.25">
      <c r="A61" s="2"/>
      <c r="B61" s="40" t="s">
        <v>48</v>
      </c>
      <c r="C61" s="18"/>
      <c r="D61" s="41">
        <v>40</v>
      </c>
      <c r="E61" s="42">
        <v>900</v>
      </c>
      <c r="F61" s="26">
        <f>SUM(D61*E61)</f>
        <v>36000</v>
      </c>
      <c r="G61" s="18"/>
      <c r="H61" s="18"/>
      <c r="I61" s="18"/>
      <c r="J61" s="18"/>
      <c r="K61" s="18"/>
      <c r="L61" s="18"/>
      <c r="M61" s="18"/>
      <c r="P61" s="18" t="s">
        <v>278</v>
      </c>
      <c r="Q61" s="18">
        <v>1650</v>
      </c>
      <c r="R61" s="5"/>
    </row>
    <row r="62" spans="1:18" ht="12.75" customHeight="1" x14ac:dyDescent="0.2">
      <c r="A62" s="2"/>
      <c r="B62" s="43"/>
      <c r="D62" s="41">
        <f>SUM(D60:D61)</f>
        <v>276</v>
      </c>
      <c r="E62" s="45"/>
      <c r="F62" s="26">
        <f>SUM(F60:F61)</f>
        <v>163440</v>
      </c>
      <c r="G62" s="18"/>
      <c r="H62" s="18" t="s">
        <v>284</v>
      </c>
      <c r="I62" s="18"/>
      <c r="J62" s="18"/>
      <c r="K62" s="18"/>
      <c r="L62" s="18"/>
      <c r="M62" s="18"/>
      <c r="N62" s="18"/>
      <c r="O62" s="44"/>
      <c r="P62" s="18" t="s">
        <v>279</v>
      </c>
      <c r="Q62" s="18">
        <v>132</v>
      </c>
      <c r="R62" s="5"/>
    </row>
    <row r="63" spans="1:18" ht="12.75" customHeight="1" x14ac:dyDescent="0.2">
      <c r="A63" s="2"/>
      <c r="B63" s="18"/>
      <c r="C63" s="46"/>
      <c r="D63" s="46"/>
      <c r="E63" s="51"/>
      <c r="G63" s="18"/>
      <c r="H63" s="18">
        <v>12934</v>
      </c>
      <c r="I63" s="18"/>
      <c r="J63" s="18"/>
      <c r="K63" s="18"/>
      <c r="L63" s="18"/>
      <c r="M63" s="18"/>
      <c r="N63" s="18"/>
      <c r="O63" s="18"/>
      <c r="P63" s="18" t="s">
        <v>280</v>
      </c>
      <c r="Q63" s="18">
        <v>199</v>
      </c>
      <c r="R63" s="5"/>
    </row>
    <row r="64" spans="1:18" ht="12.75" customHeight="1" x14ac:dyDescent="0.2">
      <c r="A64" s="2"/>
      <c r="B64" s="2"/>
      <c r="E64" s="18"/>
      <c r="F64" s="18"/>
      <c r="G64" s="18"/>
      <c r="H64" s="18">
        <v>-3880.2</v>
      </c>
      <c r="I64" s="18" t="s">
        <v>298</v>
      </c>
      <c r="J64" s="18"/>
      <c r="K64" s="18"/>
      <c r="L64" s="18"/>
      <c r="M64" s="18"/>
      <c r="N64" s="18"/>
      <c r="O64" s="18"/>
      <c r="P64" s="18"/>
      <c r="Q64" s="39">
        <f>SUM(Q55:Q63)</f>
        <v>11000</v>
      </c>
      <c r="R64" s="5"/>
    </row>
    <row r="65" spans="1:18" ht="12.75" customHeight="1" x14ac:dyDescent="0.2">
      <c r="A65" s="2"/>
      <c r="B65" s="2"/>
      <c r="E65" s="18"/>
      <c r="F65" s="18"/>
      <c r="G65" s="18"/>
      <c r="H65" s="18">
        <v>-9053.7999999999993</v>
      </c>
      <c r="I65" s="18" t="s">
        <v>298</v>
      </c>
      <c r="J65" s="18"/>
      <c r="K65" s="18"/>
      <c r="L65" s="18"/>
      <c r="M65" s="18"/>
      <c r="N65" s="18"/>
      <c r="O65" s="18"/>
      <c r="P65" s="18"/>
      <c r="R65" s="5"/>
    </row>
    <row r="66" spans="1:18" ht="12.75" customHeight="1" x14ac:dyDescent="0.2">
      <c r="A66" s="2"/>
      <c r="B66" s="7" t="s">
        <v>49</v>
      </c>
      <c r="E66" s="18"/>
      <c r="F66" s="18"/>
      <c r="G66" s="18"/>
      <c r="H66" s="18">
        <v>2090</v>
      </c>
      <c r="I66" s="18" t="s">
        <v>285</v>
      </c>
      <c r="J66" s="18"/>
      <c r="K66" s="18"/>
      <c r="L66" s="18"/>
      <c r="M66" s="18"/>
      <c r="N66" s="18"/>
      <c r="O66" s="18"/>
      <c r="P66" s="18"/>
      <c r="R66" s="5"/>
    </row>
    <row r="67" spans="1:18" ht="12.75" customHeight="1" x14ac:dyDescent="0.2">
      <c r="A67" s="2"/>
      <c r="B67" s="2" t="s">
        <v>50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R67" s="5"/>
    </row>
    <row r="68" spans="1:18" ht="12.75" customHeight="1" x14ac:dyDescent="0.2">
      <c r="A68" s="2"/>
      <c r="B68" s="2" t="s">
        <v>51</v>
      </c>
      <c r="E68" s="18"/>
      <c r="F68" s="18"/>
      <c r="G68" s="18"/>
      <c r="H68" s="18" t="s">
        <v>287</v>
      </c>
      <c r="I68" s="18"/>
      <c r="J68" s="18"/>
      <c r="K68" s="18"/>
      <c r="L68" s="18"/>
      <c r="M68" s="18" t="s">
        <v>302</v>
      </c>
      <c r="N68" s="18"/>
      <c r="O68" s="18"/>
      <c r="P68" s="18"/>
      <c r="R68" s="5"/>
    </row>
    <row r="69" spans="1:18" ht="12.75" customHeight="1" x14ac:dyDescent="0.2">
      <c r="A69" s="2"/>
      <c r="B69" s="2" t="s">
        <v>52</v>
      </c>
      <c r="E69" s="18"/>
      <c r="F69" s="18"/>
      <c r="G69" s="18"/>
      <c r="H69" s="18">
        <v>19800</v>
      </c>
      <c r="I69" s="18" t="s">
        <v>296</v>
      </c>
      <c r="J69" s="18"/>
      <c r="K69" s="18"/>
      <c r="L69" s="18"/>
      <c r="M69" s="18" t="s">
        <v>303</v>
      </c>
      <c r="N69" s="18">
        <v>537.12</v>
      </c>
      <c r="O69" s="18" t="s">
        <v>306</v>
      </c>
      <c r="P69" s="18"/>
      <c r="R69" s="5"/>
    </row>
    <row r="70" spans="1:18" ht="12.75" customHeight="1" x14ac:dyDescent="0.2">
      <c r="A70" s="2"/>
      <c r="B70" s="2" t="s">
        <v>53</v>
      </c>
      <c r="E70" s="18"/>
      <c r="F70" s="18"/>
      <c r="G70" s="18"/>
      <c r="H70" s="18">
        <v>-9900</v>
      </c>
      <c r="I70" s="18" t="s">
        <v>295</v>
      </c>
      <c r="J70" s="18" t="s">
        <v>297</v>
      </c>
      <c r="K70" s="18"/>
      <c r="L70" s="18"/>
      <c r="M70" s="18" t="s">
        <v>304</v>
      </c>
      <c r="N70" s="18">
        <v>175</v>
      </c>
      <c r="O70" s="18"/>
      <c r="P70" s="18"/>
      <c r="R70" s="5"/>
    </row>
    <row r="71" spans="1:18" ht="12.75" customHeight="1" x14ac:dyDescent="0.2">
      <c r="A71" s="2"/>
      <c r="B71" s="2"/>
      <c r="E71" s="18"/>
      <c r="F71" s="18"/>
      <c r="G71" s="18"/>
      <c r="H71" s="18">
        <v>-5940</v>
      </c>
      <c r="I71" s="18" t="s">
        <v>299</v>
      </c>
      <c r="J71" s="62" t="s">
        <v>297</v>
      </c>
      <c r="K71" s="18"/>
      <c r="L71" s="18"/>
      <c r="M71" s="18" t="s">
        <v>305</v>
      </c>
      <c r="N71" s="18">
        <v>307.14999999999998</v>
      </c>
      <c r="O71" s="18"/>
      <c r="P71" s="18"/>
      <c r="R71" s="5"/>
    </row>
    <row r="72" spans="1:18" ht="12.75" customHeight="1" x14ac:dyDescent="0.2">
      <c r="A72" s="2"/>
      <c r="B72" s="2" t="s">
        <v>288</v>
      </c>
      <c r="E72" s="18"/>
      <c r="F72" s="18"/>
      <c r="G72" s="18"/>
      <c r="H72" s="18">
        <v>3960</v>
      </c>
      <c r="I72" s="18" t="s">
        <v>300</v>
      </c>
      <c r="J72" s="18"/>
      <c r="K72" s="18"/>
      <c r="L72" s="18"/>
      <c r="M72" s="18"/>
      <c r="N72" s="18"/>
      <c r="O72" s="18"/>
      <c r="P72" s="18"/>
      <c r="R72" s="5"/>
    </row>
    <row r="73" spans="1:18" ht="12.75" customHeight="1" x14ac:dyDescent="0.2">
      <c r="A73" s="2"/>
      <c r="B73" s="2" t="s">
        <v>293</v>
      </c>
      <c r="C73" t="s">
        <v>290</v>
      </c>
      <c r="E73" s="18"/>
      <c r="F73" s="18"/>
      <c r="G73" s="18"/>
      <c r="H73" s="18">
        <f>SUM(H69:H72)</f>
        <v>7920</v>
      </c>
      <c r="I73" s="18"/>
      <c r="J73" s="18"/>
      <c r="K73" s="18"/>
      <c r="L73" s="18"/>
      <c r="M73" s="18"/>
      <c r="N73" s="18"/>
      <c r="O73" s="18"/>
      <c r="P73" s="18"/>
      <c r="R73" s="5"/>
    </row>
    <row r="74" spans="1:18" ht="12.75" customHeight="1" x14ac:dyDescent="0.2">
      <c r="A74" s="2"/>
      <c r="B74" s="2" t="s">
        <v>294</v>
      </c>
      <c r="C74" t="s">
        <v>292</v>
      </c>
      <c r="E74" s="18"/>
      <c r="F74" s="18"/>
      <c r="G74" s="18"/>
      <c r="H74" s="18"/>
      <c r="I74" s="18"/>
      <c r="J74" s="39"/>
      <c r="K74" s="18"/>
      <c r="L74" s="18"/>
      <c r="M74" s="18"/>
      <c r="N74" s="18"/>
      <c r="O74" s="18"/>
      <c r="P74" s="18"/>
      <c r="R74" s="5"/>
    </row>
    <row r="75" spans="1:18" ht="12.75" customHeight="1" x14ac:dyDescent="0.2">
      <c r="A75" s="2"/>
      <c r="B75" s="2" t="s">
        <v>289</v>
      </c>
      <c r="C75" t="s">
        <v>290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R75" s="5"/>
    </row>
    <row r="76" spans="1:18" ht="12.75" customHeight="1" x14ac:dyDescent="0.2">
      <c r="A76" s="2"/>
      <c r="B76" s="2" t="s">
        <v>291</v>
      </c>
      <c r="C76" t="s">
        <v>292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R76" s="5"/>
    </row>
    <row r="77" spans="1:18" ht="12.75" customHeight="1" x14ac:dyDescent="0.2">
      <c r="A77" s="2"/>
      <c r="B77" s="2"/>
      <c r="E77" s="18"/>
      <c r="F77" s="18"/>
      <c r="G77" s="18"/>
      <c r="H77" s="18"/>
      <c r="I77" s="18"/>
      <c r="L77" s="18"/>
      <c r="N77" s="18"/>
      <c r="O77" s="18"/>
      <c r="P77" s="18"/>
      <c r="R77" s="5"/>
    </row>
    <row r="78" spans="1:18" ht="12.75" customHeight="1" x14ac:dyDescent="0.2">
      <c r="A78" s="2"/>
      <c r="B78" s="2"/>
      <c r="E78" s="18"/>
      <c r="F78" s="18"/>
      <c r="G78" s="18"/>
      <c r="H78" s="18"/>
      <c r="I78" s="18"/>
      <c r="L78" s="18"/>
      <c r="N78" s="18"/>
      <c r="O78" s="18"/>
      <c r="P78" s="18"/>
      <c r="R78" s="5"/>
    </row>
    <row r="79" spans="1:18" ht="12.75" customHeight="1" x14ac:dyDescent="0.2">
      <c r="A79" s="2"/>
      <c r="B79" s="2"/>
      <c r="E79" s="18"/>
      <c r="F79" s="18"/>
      <c r="G79" s="18"/>
      <c r="H79" s="18"/>
      <c r="I79" s="18"/>
      <c r="L79" s="18"/>
      <c r="N79" s="18"/>
      <c r="O79" s="18"/>
      <c r="P79" s="18"/>
      <c r="R79" s="5"/>
    </row>
    <row r="80" spans="1:18" ht="12.75" customHeight="1" x14ac:dyDescent="0.2">
      <c r="A80" s="2"/>
      <c r="B80" s="2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R80" s="5"/>
    </row>
    <row r="81" spans="1:18" ht="12.75" customHeight="1" x14ac:dyDescent="0.2">
      <c r="A81" s="2"/>
      <c r="B81" s="2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R81" s="5"/>
    </row>
    <row r="82" spans="1:18" ht="12.75" customHeight="1" x14ac:dyDescent="0.2">
      <c r="A82" s="2"/>
      <c r="B82" s="2"/>
      <c r="E82" s="18"/>
      <c r="F82" s="18"/>
      <c r="G82" s="18"/>
      <c r="H82" s="18"/>
      <c r="I82" s="18"/>
      <c r="K82" s="18"/>
      <c r="L82" s="18"/>
      <c r="M82" s="18"/>
      <c r="N82" s="18"/>
      <c r="O82" s="18"/>
      <c r="P82" s="18"/>
      <c r="R82" s="5"/>
    </row>
    <row r="83" spans="1:18" ht="12.75" customHeight="1" x14ac:dyDescent="0.2">
      <c r="A83" s="2"/>
      <c r="B83" s="2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R83" s="5"/>
    </row>
    <row r="84" spans="1:18" ht="12.75" customHeight="1" x14ac:dyDescent="0.2">
      <c r="A84" s="2"/>
      <c r="B84" s="2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R84" s="5"/>
    </row>
    <row r="85" spans="1:18" ht="12.75" customHeight="1" x14ac:dyDescent="0.2">
      <c r="A85" s="2"/>
      <c r="B85" s="2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R85" s="5"/>
    </row>
    <row r="86" spans="1:18" ht="12.75" customHeight="1" x14ac:dyDescent="0.2">
      <c r="A86" s="2"/>
      <c r="B86" s="2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R86" s="5"/>
    </row>
    <row r="87" spans="1:18" ht="12.75" customHeight="1" x14ac:dyDescent="0.2">
      <c r="A87" s="2"/>
      <c r="B87" s="2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R87" s="5"/>
    </row>
    <row r="88" spans="1:18" ht="12.75" customHeight="1" x14ac:dyDescent="0.2">
      <c r="A88" s="2"/>
      <c r="B88" s="2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R88" s="5"/>
    </row>
    <row r="89" spans="1:18" ht="12.75" customHeight="1" x14ac:dyDescent="0.2">
      <c r="A89" s="2"/>
      <c r="B89" s="2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R89" s="5"/>
    </row>
    <row r="90" spans="1:18" ht="12.75" customHeight="1" x14ac:dyDescent="0.2">
      <c r="A90" s="2"/>
      <c r="B90" s="2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R90" s="5"/>
    </row>
    <row r="91" spans="1:18" ht="12.75" customHeight="1" x14ac:dyDescent="0.2">
      <c r="A91" s="2"/>
      <c r="B91" s="2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R91" s="5"/>
    </row>
    <row r="92" spans="1:18" ht="12.75" customHeight="1" x14ac:dyDescent="0.2">
      <c r="A92" s="2"/>
      <c r="B92" s="2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R92" s="5"/>
    </row>
    <row r="93" spans="1:18" ht="12.75" customHeight="1" x14ac:dyDescent="0.2">
      <c r="A93" s="2"/>
      <c r="B93" s="2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R93" s="5"/>
    </row>
    <row r="94" spans="1:18" ht="12.75" customHeight="1" x14ac:dyDescent="0.2">
      <c r="A94" s="2"/>
      <c r="B94" s="2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R94" s="5"/>
    </row>
    <row r="95" spans="1:18" ht="12.75" customHeight="1" x14ac:dyDescent="0.2">
      <c r="A95" s="2"/>
      <c r="B95" s="2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R95" s="5"/>
    </row>
    <row r="96" spans="1:18" ht="12.75" customHeight="1" x14ac:dyDescent="0.2">
      <c r="A96" s="2"/>
      <c r="B96" s="2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R96" s="5"/>
    </row>
    <row r="97" spans="1:18" ht="12.75" customHeight="1" x14ac:dyDescent="0.2">
      <c r="A97" s="2"/>
      <c r="B97" s="2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R97" s="5"/>
    </row>
    <row r="98" spans="1:18" ht="12.75" customHeight="1" x14ac:dyDescent="0.2">
      <c r="A98" s="2"/>
      <c r="B98" s="2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R98" s="5"/>
    </row>
    <row r="99" spans="1:18" ht="12.75" customHeight="1" x14ac:dyDescent="0.2">
      <c r="A99" s="2"/>
      <c r="B99" s="2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R99" s="5"/>
    </row>
    <row r="100" spans="1:18" ht="12.75" customHeight="1" x14ac:dyDescent="0.2">
      <c r="A100" s="2"/>
      <c r="B100" s="2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R100" s="5"/>
    </row>
    <row r="101" spans="1:18" ht="12.75" customHeight="1" x14ac:dyDescent="0.2">
      <c r="A101" s="2"/>
      <c r="B101" s="2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R101" s="5"/>
    </row>
    <row r="102" spans="1:18" ht="12.75" customHeight="1" x14ac:dyDescent="0.2">
      <c r="A102" s="2"/>
      <c r="B102" s="2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R102" s="5"/>
    </row>
    <row r="103" spans="1:18" ht="12.75" customHeight="1" x14ac:dyDescent="0.2">
      <c r="A103" s="2"/>
      <c r="B103" s="2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R103" s="5"/>
    </row>
    <row r="104" spans="1:18" ht="12.75" customHeight="1" x14ac:dyDescent="0.2">
      <c r="A104" s="2"/>
      <c r="B104" s="2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R104" s="5"/>
    </row>
    <row r="105" spans="1:18" ht="12.75" customHeight="1" x14ac:dyDescent="0.2">
      <c r="A105" s="2"/>
      <c r="B105" s="2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R105" s="5"/>
    </row>
    <row r="106" spans="1:18" ht="12.75" customHeight="1" x14ac:dyDescent="0.2">
      <c r="A106" s="2"/>
      <c r="B106" s="2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R106" s="5"/>
    </row>
    <row r="107" spans="1:18" ht="12.75" customHeight="1" x14ac:dyDescent="0.2">
      <c r="A107" s="2"/>
      <c r="B107" s="2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R107" s="5"/>
    </row>
    <row r="108" spans="1:18" ht="12.75" customHeight="1" x14ac:dyDescent="0.2">
      <c r="A108" s="2"/>
      <c r="B108" s="2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R108" s="5"/>
    </row>
    <row r="109" spans="1:18" ht="12.75" customHeight="1" x14ac:dyDescent="0.2">
      <c r="A109" s="2"/>
      <c r="B109" s="2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R109" s="5"/>
    </row>
    <row r="110" spans="1:18" ht="12.75" customHeight="1" x14ac:dyDescent="0.2">
      <c r="A110" s="2"/>
      <c r="B110" s="2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R110" s="5"/>
    </row>
    <row r="111" spans="1:18" ht="12.75" customHeight="1" x14ac:dyDescent="0.2">
      <c r="A111" s="2"/>
      <c r="B111" s="2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R111" s="5"/>
    </row>
    <row r="112" spans="1:18" ht="12.75" customHeight="1" x14ac:dyDescent="0.2">
      <c r="A112" s="2"/>
      <c r="B112" s="2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R112" s="5"/>
    </row>
    <row r="113" spans="1:18" ht="12.75" customHeight="1" x14ac:dyDescent="0.2">
      <c r="A113" s="2"/>
      <c r="B113" s="2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R113" s="5"/>
    </row>
    <row r="114" spans="1:18" ht="12.75" customHeight="1" x14ac:dyDescent="0.2">
      <c r="A114" s="2"/>
      <c r="B114" s="2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R114" s="5"/>
    </row>
    <row r="115" spans="1:18" ht="12.75" customHeight="1" x14ac:dyDescent="0.2">
      <c r="A115" s="2"/>
      <c r="B115" s="2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R115" s="5"/>
    </row>
    <row r="116" spans="1:18" ht="12.75" customHeight="1" x14ac:dyDescent="0.2">
      <c r="A116" s="2"/>
      <c r="B116" s="2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R116" s="5"/>
    </row>
    <row r="117" spans="1:18" ht="12.75" customHeight="1" x14ac:dyDescent="0.2">
      <c r="A117" s="2"/>
      <c r="B117" s="2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R117" s="5"/>
    </row>
    <row r="118" spans="1:18" ht="12.75" customHeight="1" x14ac:dyDescent="0.2">
      <c r="A118" s="2"/>
      <c r="B118" s="2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R118" s="5"/>
    </row>
    <row r="119" spans="1:18" ht="12.75" customHeight="1" x14ac:dyDescent="0.2">
      <c r="A119" s="2"/>
      <c r="B119" s="2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R119" s="5"/>
    </row>
    <row r="120" spans="1:18" ht="12.75" customHeight="1" x14ac:dyDescent="0.2">
      <c r="A120" s="2"/>
      <c r="B120" s="2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R120" s="5"/>
    </row>
    <row r="121" spans="1:18" ht="12.75" customHeight="1" x14ac:dyDescent="0.2">
      <c r="A121" s="2"/>
      <c r="B121" s="2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R121" s="5"/>
    </row>
    <row r="122" spans="1:18" ht="12.75" customHeight="1" x14ac:dyDescent="0.2">
      <c r="A122" s="2"/>
      <c r="B122" s="2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R122" s="5"/>
    </row>
    <row r="123" spans="1:18" ht="12.75" customHeight="1" x14ac:dyDescent="0.2">
      <c r="A123" s="2"/>
      <c r="B123" s="2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R123" s="5"/>
    </row>
    <row r="124" spans="1:18" ht="12.75" customHeight="1" x14ac:dyDescent="0.2">
      <c r="A124" s="2"/>
      <c r="B124" s="2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R124" s="5"/>
    </row>
    <row r="125" spans="1:18" ht="12.75" customHeight="1" x14ac:dyDescent="0.2">
      <c r="A125" s="2"/>
      <c r="B125" s="2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R125" s="5"/>
    </row>
    <row r="126" spans="1:18" ht="12.75" customHeight="1" x14ac:dyDescent="0.2">
      <c r="A126" s="2"/>
      <c r="B126" s="2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R126" s="5"/>
    </row>
    <row r="127" spans="1:18" ht="12.75" customHeight="1" x14ac:dyDescent="0.2">
      <c r="A127" s="2"/>
      <c r="B127" s="2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R127" s="5"/>
    </row>
    <row r="128" spans="1:18" ht="12.75" customHeight="1" x14ac:dyDescent="0.2">
      <c r="A128" s="2"/>
      <c r="B128" s="2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R128" s="5"/>
    </row>
    <row r="129" spans="1:18" ht="12.75" customHeight="1" x14ac:dyDescent="0.2">
      <c r="A129" s="2"/>
      <c r="B129" s="2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R129" s="5"/>
    </row>
    <row r="130" spans="1:18" ht="12.75" customHeight="1" x14ac:dyDescent="0.2">
      <c r="A130" s="2"/>
      <c r="B130" s="2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R130" s="5"/>
    </row>
    <row r="131" spans="1:18" ht="12.75" customHeight="1" x14ac:dyDescent="0.2">
      <c r="A131" s="2"/>
      <c r="B131" s="2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R131" s="5"/>
    </row>
    <row r="132" spans="1:18" ht="12.75" customHeight="1" x14ac:dyDescent="0.2">
      <c r="A132" s="2"/>
      <c r="B132" s="2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R132" s="5"/>
    </row>
    <row r="133" spans="1:18" ht="12.75" customHeight="1" x14ac:dyDescent="0.2">
      <c r="A133" s="2"/>
      <c r="B133" s="2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R133" s="5"/>
    </row>
    <row r="134" spans="1:18" ht="12.75" customHeight="1" x14ac:dyDescent="0.2">
      <c r="A134" s="2"/>
      <c r="B134" s="2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R134" s="5"/>
    </row>
    <row r="135" spans="1:18" ht="12.75" customHeight="1" x14ac:dyDescent="0.2">
      <c r="A135" s="2"/>
      <c r="B135" s="2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R135" s="5"/>
    </row>
    <row r="136" spans="1:18" ht="12.75" customHeight="1" x14ac:dyDescent="0.2">
      <c r="A136" s="2"/>
      <c r="B136" s="2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R136" s="5"/>
    </row>
    <row r="137" spans="1:18" ht="12.75" customHeight="1" x14ac:dyDescent="0.2">
      <c r="A137" s="2"/>
      <c r="B137" s="2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R137" s="5"/>
    </row>
    <row r="138" spans="1:18" ht="12.75" customHeight="1" x14ac:dyDescent="0.2">
      <c r="A138" s="2"/>
      <c r="B138" s="2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R138" s="5"/>
    </row>
    <row r="139" spans="1:18" ht="12.75" customHeight="1" x14ac:dyDescent="0.2">
      <c r="A139" s="2"/>
      <c r="B139" s="2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R139" s="5"/>
    </row>
    <row r="140" spans="1:18" ht="12.75" customHeight="1" x14ac:dyDescent="0.2">
      <c r="A140" s="2"/>
      <c r="B140" s="2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R140" s="5"/>
    </row>
    <row r="141" spans="1:18" ht="12.75" customHeight="1" x14ac:dyDescent="0.2">
      <c r="A141" s="2"/>
      <c r="B141" s="2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R141" s="5"/>
    </row>
    <row r="142" spans="1:18" ht="12.75" customHeight="1" x14ac:dyDescent="0.2">
      <c r="A142" s="2"/>
      <c r="B142" s="2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R142" s="5"/>
    </row>
    <row r="143" spans="1:18" ht="12.75" customHeight="1" x14ac:dyDescent="0.2">
      <c r="A143" s="2"/>
      <c r="B143" s="2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R143" s="5"/>
    </row>
    <row r="144" spans="1:18" ht="12.75" customHeight="1" x14ac:dyDescent="0.2">
      <c r="A144" s="2"/>
      <c r="B144" s="2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R144" s="5"/>
    </row>
    <row r="145" spans="1:18" ht="12.75" customHeight="1" x14ac:dyDescent="0.2">
      <c r="A145" s="2"/>
      <c r="B145" s="2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R145" s="5"/>
    </row>
    <row r="146" spans="1:18" ht="12.75" customHeight="1" x14ac:dyDescent="0.2">
      <c r="A146" s="2"/>
      <c r="B146" s="2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R146" s="5"/>
    </row>
    <row r="147" spans="1:18" ht="12.75" customHeight="1" x14ac:dyDescent="0.2">
      <c r="A147" s="2"/>
      <c r="B147" s="2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R147" s="5"/>
    </row>
    <row r="148" spans="1:18" ht="12.75" customHeight="1" x14ac:dyDescent="0.2">
      <c r="A148" s="2"/>
      <c r="B148" s="2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R148" s="5"/>
    </row>
    <row r="149" spans="1:18" ht="12.75" customHeight="1" x14ac:dyDescent="0.2">
      <c r="A149" s="2"/>
      <c r="B149" s="2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R149" s="5"/>
    </row>
    <row r="150" spans="1:18" ht="12.75" customHeight="1" x14ac:dyDescent="0.2">
      <c r="A150" s="2"/>
      <c r="B150" s="2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R150" s="5"/>
    </row>
    <row r="151" spans="1:18" ht="12.75" customHeight="1" x14ac:dyDescent="0.2">
      <c r="A151" s="2"/>
      <c r="B151" s="2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R151" s="5"/>
    </row>
    <row r="152" spans="1:18" ht="12.75" customHeight="1" x14ac:dyDescent="0.2">
      <c r="A152" s="2"/>
      <c r="B152" s="2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R152" s="5"/>
    </row>
    <row r="153" spans="1:18" ht="12.75" customHeight="1" x14ac:dyDescent="0.2">
      <c r="A153" s="2"/>
      <c r="B153" s="2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R153" s="5"/>
    </row>
    <row r="154" spans="1:18" ht="12.75" customHeight="1" x14ac:dyDescent="0.2">
      <c r="A154" s="2"/>
      <c r="B154" s="2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R154" s="5"/>
    </row>
    <row r="155" spans="1:18" ht="12.75" customHeight="1" x14ac:dyDescent="0.2">
      <c r="A155" s="2"/>
      <c r="B155" s="2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R155" s="5"/>
    </row>
    <row r="156" spans="1:18" ht="12.75" customHeight="1" x14ac:dyDescent="0.2">
      <c r="A156" s="2"/>
      <c r="B156" s="2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R156" s="5"/>
    </row>
    <row r="157" spans="1:18" ht="12.75" customHeight="1" x14ac:dyDescent="0.2">
      <c r="A157" s="2"/>
      <c r="B157" s="2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R157" s="5"/>
    </row>
    <row r="158" spans="1:18" ht="12.75" customHeight="1" x14ac:dyDescent="0.2">
      <c r="A158" s="2"/>
      <c r="B158" s="2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R158" s="5"/>
    </row>
    <row r="159" spans="1:18" ht="12.75" customHeight="1" x14ac:dyDescent="0.2">
      <c r="A159" s="2"/>
      <c r="B159" s="2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R159" s="5"/>
    </row>
    <row r="160" spans="1:18" ht="12.75" customHeight="1" x14ac:dyDescent="0.2">
      <c r="A160" s="2"/>
      <c r="B160" s="2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R160" s="5"/>
    </row>
    <row r="161" spans="1:18" ht="12.75" customHeight="1" x14ac:dyDescent="0.2">
      <c r="A161" s="2"/>
      <c r="B161" s="2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R161" s="5"/>
    </row>
    <row r="162" spans="1:18" ht="12.75" customHeight="1" x14ac:dyDescent="0.2">
      <c r="A162" s="2"/>
      <c r="B162" s="2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R162" s="5"/>
    </row>
    <row r="163" spans="1:18" ht="12.75" customHeight="1" x14ac:dyDescent="0.2">
      <c r="A163" s="2"/>
      <c r="B163" s="2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R163" s="5"/>
    </row>
    <row r="164" spans="1:18" ht="12.75" customHeight="1" x14ac:dyDescent="0.2">
      <c r="A164" s="2"/>
      <c r="B164" s="2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R164" s="5"/>
    </row>
    <row r="165" spans="1:18" ht="12.75" customHeight="1" x14ac:dyDescent="0.2">
      <c r="A165" s="2"/>
      <c r="B165" s="2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R165" s="5"/>
    </row>
    <row r="166" spans="1:18" ht="12.75" customHeight="1" x14ac:dyDescent="0.2">
      <c r="A166" s="2"/>
      <c r="B166" s="2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R166" s="5"/>
    </row>
    <row r="167" spans="1:18" ht="12.75" customHeight="1" x14ac:dyDescent="0.2">
      <c r="A167" s="2"/>
      <c r="B167" s="2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R167" s="5"/>
    </row>
    <row r="168" spans="1:18" ht="12.75" customHeight="1" x14ac:dyDescent="0.2">
      <c r="A168" s="2"/>
      <c r="B168" s="2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R168" s="5"/>
    </row>
    <row r="169" spans="1:18" ht="12.75" customHeight="1" x14ac:dyDescent="0.2">
      <c r="A169" s="2"/>
      <c r="B169" s="2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R169" s="5"/>
    </row>
    <row r="170" spans="1:18" ht="12.75" customHeight="1" x14ac:dyDescent="0.2">
      <c r="A170" s="2"/>
      <c r="B170" s="2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R170" s="5"/>
    </row>
    <row r="171" spans="1:18" ht="12.75" customHeight="1" x14ac:dyDescent="0.2">
      <c r="A171" s="2"/>
      <c r="B171" s="2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R171" s="5"/>
    </row>
    <row r="172" spans="1:18" ht="12.75" customHeight="1" x14ac:dyDescent="0.2">
      <c r="A172" s="2"/>
      <c r="B172" s="2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R172" s="5"/>
    </row>
    <row r="173" spans="1:18" ht="12.75" customHeight="1" x14ac:dyDescent="0.2">
      <c r="A173" s="2"/>
      <c r="B173" s="2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R173" s="5"/>
    </row>
    <row r="174" spans="1:18" ht="12.75" customHeight="1" x14ac:dyDescent="0.2">
      <c r="A174" s="2"/>
      <c r="B174" s="2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R174" s="5"/>
    </row>
    <row r="175" spans="1:18" ht="12.75" customHeight="1" x14ac:dyDescent="0.2">
      <c r="A175" s="2"/>
      <c r="B175" s="2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R175" s="5"/>
    </row>
    <row r="176" spans="1:18" ht="12.75" customHeight="1" x14ac:dyDescent="0.2">
      <c r="A176" s="2"/>
      <c r="B176" s="2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R176" s="5"/>
    </row>
    <row r="177" spans="1:18" ht="12.75" customHeight="1" x14ac:dyDescent="0.2">
      <c r="A177" s="2"/>
      <c r="B177" s="2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R177" s="5"/>
    </row>
    <row r="178" spans="1:18" ht="12.75" customHeight="1" x14ac:dyDescent="0.2">
      <c r="A178" s="2"/>
      <c r="B178" s="2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R178" s="5"/>
    </row>
    <row r="179" spans="1:18" ht="12.75" customHeight="1" x14ac:dyDescent="0.2">
      <c r="A179" s="2"/>
      <c r="B179" s="2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R179" s="5"/>
    </row>
    <row r="180" spans="1:18" ht="12.75" customHeight="1" x14ac:dyDescent="0.2">
      <c r="A180" s="2"/>
      <c r="B180" s="2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R180" s="5"/>
    </row>
    <row r="181" spans="1:18" ht="12.75" customHeight="1" x14ac:dyDescent="0.2">
      <c r="A181" s="2"/>
      <c r="B181" s="2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R181" s="5"/>
    </row>
    <row r="182" spans="1:18" ht="12.75" customHeight="1" x14ac:dyDescent="0.2">
      <c r="A182" s="2"/>
      <c r="B182" s="2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R182" s="5"/>
    </row>
    <row r="183" spans="1:18" ht="12.75" customHeight="1" x14ac:dyDescent="0.2">
      <c r="A183" s="2"/>
      <c r="B183" s="2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R183" s="5"/>
    </row>
    <row r="184" spans="1:18" ht="12.75" customHeight="1" x14ac:dyDescent="0.2">
      <c r="A184" s="2"/>
      <c r="B184" s="2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R184" s="5"/>
    </row>
    <row r="185" spans="1:18" ht="12.75" customHeight="1" x14ac:dyDescent="0.2">
      <c r="A185" s="2"/>
      <c r="B185" s="2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R185" s="5"/>
    </row>
    <row r="186" spans="1:18" ht="12.75" customHeight="1" x14ac:dyDescent="0.2">
      <c r="A186" s="2"/>
      <c r="B186" s="2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R186" s="5"/>
    </row>
    <row r="187" spans="1:18" ht="12.75" customHeight="1" x14ac:dyDescent="0.2">
      <c r="A187" s="2"/>
      <c r="B187" s="2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R187" s="5"/>
    </row>
    <row r="188" spans="1:18" ht="12.75" customHeight="1" x14ac:dyDescent="0.2">
      <c r="A188" s="2"/>
      <c r="B188" s="2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R188" s="5"/>
    </row>
    <row r="189" spans="1:18" ht="12.75" customHeight="1" x14ac:dyDescent="0.2">
      <c r="A189" s="2"/>
      <c r="B189" s="2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R189" s="5"/>
    </row>
    <row r="190" spans="1:18" ht="12.75" customHeight="1" x14ac:dyDescent="0.2">
      <c r="A190" s="2"/>
      <c r="B190" s="2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R190" s="5"/>
    </row>
    <row r="191" spans="1:18" ht="12.75" customHeight="1" x14ac:dyDescent="0.2">
      <c r="A191" s="2"/>
      <c r="B191" s="2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R191" s="5"/>
    </row>
    <row r="192" spans="1:18" ht="12.75" customHeight="1" x14ac:dyDescent="0.2">
      <c r="A192" s="2"/>
      <c r="B192" s="2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R192" s="5"/>
    </row>
    <row r="193" spans="1:18" ht="12.75" customHeight="1" x14ac:dyDescent="0.2">
      <c r="A193" s="2"/>
      <c r="B193" s="2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R193" s="5"/>
    </row>
    <row r="194" spans="1:18" ht="12.75" customHeight="1" x14ac:dyDescent="0.2">
      <c r="A194" s="2"/>
      <c r="B194" s="2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R194" s="5"/>
    </row>
    <row r="195" spans="1:18" ht="12.75" customHeight="1" x14ac:dyDescent="0.2">
      <c r="A195" s="2"/>
      <c r="B195" s="2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R195" s="5"/>
    </row>
    <row r="196" spans="1:18" ht="12.75" customHeight="1" x14ac:dyDescent="0.2">
      <c r="A196" s="2"/>
      <c r="B196" s="2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R196" s="5"/>
    </row>
    <row r="197" spans="1:18" ht="12.75" customHeight="1" x14ac:dyDescent="0.2">
      <c r="A197" s="2"/>
      <c r="B197" s="2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R197" s="5"/>
    </row>
    <row r="198" spans="1:18" ht="12.75" customHeight="1" x14ac:dyDescent="0.2">
      <c r="A198" s="2"/>
      <c r="B198" s="2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R198" s="5"/>
    </row>
    <row r="199" spans="1:18" ht="12.75" customHeight="1" x14ac:dyDescent="0.2">
      <c r="A199" s="2"/>
      <c r="B199" s="2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R199" s="5"/>
    </row>
    <row r="200" spans="1:18" ht="12.75" customHeight="1" x14ac:dyDescent="0.2">
      <c r="A200" s="2"/>
      <c r="B200" s="2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R200" s="5"/>
    </row>
    <row r="201" spans="1:18" ht="12.75" customHeight="1" x14ac:dyDescent="0.2">
      <c r="A201" s="2"/>
      <c r="B201" s="2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R201" s="5"/>
    </row>
    <row r="202" spans="1:18" ht="12.75" customHeight="1" x14ac:dyDescent="0.2">
      <c r="A202" s="2"/>
      <c r="B202" s="2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R202" s="5"/>
    </row>
    <row r="203" spans="1:18" ht="12.75" customHeight="1" x14ac:dyDescent="0.2">
      <c r="A203" s="2"/>
      <c r="B203" s="2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R203" s="5"/>
    </row>
    <row r="204" spans="1:18" ht="12.75" customHeight="1" x14ac:dyDescent="0.2">
      <c r="A204" s="2"/>
      <c r="B204" s="2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R204" s="5"/>
    </row>
    <row r="205" spans="1:18" ht="12.75" customHeight="1" x14ac:dyDescent="0.2">
      <c r="A205" s="2"/>
      <c r="B205" s="2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R205" s="5"/>
    </row>
    <row r="206" spans="1:18" ht="12.75" customHeight="1" x14ac:dyDescent="0.2">
      <c r="A206" s="2"/>
      <c r="B206" s="2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R206" s="5"/>
    </row>
    <row r="207" spans="1:18" ht="12.75" customHeight="1" x14ac:dyDescent="0.2">
      <c r="A207" s="2"/>
      <c r="B207" s="2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R207" s="5"/>
    </row>
    <row r="208" spans="1:18" ht="12.75" customHeight="1" x14ac:dyDescent="0.2">
      <c r="A208" s="2"/>
      <c r="B208" s="2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R208" s="5"/>
    </row>
    <row r="209" spans="1:18" ht="12.75" customHeight="1" x14ac:dyDescent="0.2">
      <c r="A209" s="2"/>
      <c r="B209" s="2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R209" s="5"/>
    </row>
    <row r="210" spans="1:18" ht="12.75" customHeight="1" x14ac:dyDescent="0.2">
      <c r="A210" s="2"/>
      <c r="B210" s="2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R210" s="5"/>
    </row>
    <row r="211" spans="1:18" ht="12.75" customHeight="1" x14ac:dyDescent="0.2">
      <c r="A211" s="2"/>
      <c r="B211" s="2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R211" s="5"/>
    </row>
    <row r="212" spans="1:18" ht="12.75" customHeight="1" x14ac:dyDescent="0.2">
      <c r="A212" s="2"/>
      <c r="B212" s="2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R212" s="5"/>
    </row>
    <row r="213" spans="1:18" ht="12.75" customHeight="1" x14ac:dyDescent="0.2">
      <c r="A213" s="2"/>
      <c r="B213" s="2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R213" s="5"/>
    </row>
    <row r="214" spans="1:18" ht="12.75" customHeight="1" x14ac:dyDescent="0.2">
      <c r="A214" s="2"/>
      <c r="B214" s="2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R214" s="5"/>
    </row>
    <row r="215" spans="1:18" ht="12.75" customHeight="1" x14ac:dyDescent="0.2">
      <c r="A215" s="2"/>
      <c r="B215" s="2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R215" s="5"/>
    </row>
    <row r="216" spans="1:18" ht="12.75" customHeight="1" x14ac:dyDescent="0.2">
      <c r="A216" s="2"/>
      <c r="B216" s="2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R216" s="5"/>
    </row>
    <row r="217" spans="1:18" ht="12.75" customHeight="1" x14ac:dyDescent="0.2">
      <c r="A217" s="2"/>
      <c r="B217" s="2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R217" s="5"/>
    </row>
    <row r="218" spans="1:18" ht="12.75" customHeight="1" x14ac:dyDescent="0.2">
      <c r="A218" s="2"/>
      <c r="B218" s="2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R218" s="5"/>
    </row>
    <row r="219" spans="1:18" ht="12.75" customHeight="1" x14ac:dyDescent="0.2">
      <c r="A219" s="2"/>
      <c r="B219" s="2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R219" s="5"/>
    </row>
    <row r="220" spans="1:18" ht="12.75" customHeight="1" x14ac:dyDescent="0.2">
      <c r="A220" s="2"/>
      <c r="B220" s="2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R220" s="5"/>
    </row>
    <row r="221" spans="1:18" ht="12.75" customHeight="1" x14ac:dyDescent="0.2">
      <c r="A221" s="2"/>
      <c r="B221" s="2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R221" s="5"/>
    </row>
    <row r="222" spans="1:18" ht="12.75" customHeight="1" x14ac:dyDescent="0.2">
      <c r="A222" s="2"/>
      <c r="B222" s="2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R222" s="5"/>
    </row>
    <row r="223" spans="1:18" ht="12.75" customHeight="1" x14ac:dyDescent="0.2">
      <c r="A223" s="2"/>
      <c r="B223" s="2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R223" s="5"/>
    </row>
    <row r="224" spans="1:18" ht="12.75" customHeight="1" x14ac:dyDescent="0.2">
      <c r="A224" s="2"/>
      <c r="B224" s="2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R224" s="5"/>
    </row>
    <row r="225" spans="1:18" ht="12.75" customHeight="1" x14ac:dyDescent="0.2">
      <c r="A225" s="2"/>
      <c r="B225" s="2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R225" s="5"/>
    </row>
    <row r="226" spans="1:18" ht="12.75" customHeight="1" x14ac:dyDescent="0.2">
      <c r="A226" s="2"/>
      <c r="B226" s="2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R226" s="5"/>
    </row>
    <row r="227" spans="1:18" ht="12.75" customHeight="1" x14ac:dyDescent="0.2">
      <c r="A227" s="2"/>
      <c r="B227" s="2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R227" s="5"/>
    </row>
    <row r="228" spans="1:18" ht="12.75" customHeight="1" x14ac:dyDescent="0.2">
      <c r="A228" s="2"/>
      <c r="B228" s="2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R228" s="5"/>
    </row>
    <row r="229" spans="1:18" ht="12.75" customHeight="1" x14ac:dyDescent="0.2">
      <c r="A229" s="2"/>
      <c r="B229" s="2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R229" s="5"/>
    </row>
    <row r="230" spans="1:18" ht="12.75" customHeight="1" x14ac:dyDescent="0.2">
      <c r="A230" s="2"/>
      <c r="B230" s="2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R230" s="5"/>
    </row>
    <row r="231" spans="1:18" ht="12.75" customHeight="1" x14ac:dyDescent="0.2">
      <c r="A231" s="2"/>
      <c r="B231" s="2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R231" s="5"/>
    </row>
    <row r="232" spans="1:18" ht="12.75" customHeight="1" x14ac:dyDescent="0.2">
      <c r="A232" s="2"/>
      <c r="B232" s="2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R232" s="5"/>
    </row>
    <row r="233" spans="1:18" ht="12.75" customHeight="1" x14ac:dyDescent="0.2">
      <c r="A233" s="2"/>
      <c r="B233" s="2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R233" s="5"/>
    </row>
    <row r="234" spans="1:18" ht="12.75" customHeight="1" x14ac:dyDescent="0.2">
      <c r="A234" s="2"/>
      <c r="B234" s="2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R234" s="5"/>
    </row>
    <row r="235" spans="1:18" ht="12.75" customHeight="1" x14ac:dyDescent="0.2">
      <c r="A235" s="2"/>
      <c r="B235" s="2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R235" s="5"/>
    </row>
    <row r="236" spans="1:18" ht="12.75" customHeight="1" x14ac:dyDescent="0.2">
      <c r="A236" s="2"/>
      <c r="B236" s="2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R236" s="5"/>
    </row>
    <row r="237" spans="1:18" ht="12.75" customHeight="1" x14ac:dyDescent="0.2">
      <c r="A237" s="2"/>
      <c r="B237" s="2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R237" s="5"/>
    </row>
    <row r="238" spans="1:18" ht="12.75" customHeight="1" x14ac:dyDescent="0.2">
      <c r="A238" s="2"/>
      <c r="B238" s="2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R238" s="5"/>
    </row>
    <row r="239" spans="1:18" ht="12.75" customHeight="1" x14ac:dyDescent="0.2">
      <c r="A239" s="2"/>
      <c r="B239" s="2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R239" s="5"/>
    </row>
    <row r="240" spans="1:18" ht="12.75" customHeight="1" x14ac:dyDescent="0.2">
      <c r="A240" s="2"/>
      <c r="B240" s="2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R240" s="5"/>
    </row>
    <row r="241" spans="1:18" ht="12.75" customHeight="1" x14ac:dyDescent="0.2">
      <c r="A241" s="2"/>
      <c r="B241" s="2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R241" s="5"/>
    </row>
    <row r="242" spans="1:18" ht="12.75" customHeight="1" x14ac:dyDescent="0.2">
      <c r="A242" s="2"/>
      <c r="B242" s="2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R242" s="5"/>
    </row>
    <row r="243" spans="1:18" ht="12.75" customHeight="1" x14ac:dyDescent="0.2">
      <c r="A243" s="2"/>
      <c r="B243" s="2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R243" s="5"/>
    </row>
    <row r="244" spans="1:18" ht="12.75" customHeight="1" x14ac:dyDescent="0.2">
      <c r="A244" s="2"/>
      <c r="B244" s="2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R244" s="5"/>
    </row>
    <row r="245" spans="1:18" ht="12.75" customHeight="1" x14ac:dyDescent="0.2">
      <c r="A245" s="2"/>
      <c r="B245" s="2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R245" s="5"/>
    </row>
    <row r="246" spans="1:18" ht="12.75" customHeight="1" x14ac:dyDescent="0.2">
      <c r="A246" s="2"/>
      <c r="B246" s="2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R246" s="5"/>
    </row>
    <row r="247" spans="1:18" ht="12.75" customHeight="1" x14ac:dyDescent="0.2">
      <c r="A247" s="2"/>
      <c r="B247" s="2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R247" s="5"/>
    </row>
    <row r="248" spans="1:18" ht="12.75" customHeight="1" x14ac:dyDescent="0.2">
      <c r="A248" s="2"/>
      <c r="B248" s="2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R248" s="5"/>
    </row>
    <row r="249" spans="1:18" ht="12.75" customHeight="1" x14ac:dyDescent="0.2">
      <c r="A249" s="2"/>
      <c r="B249" s="2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R249" s="5"/>
    </row>
    <row r="250" spans="1:18" ht="12.75" customHeight="1" x14ac:dyDescent="0.2">
      <c r="A250" s="2"/>
      <c r="B250" s="2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R250" s="5"/>
    </row>
    <row r="251" spans="1:18" ht="12.75" customHeight="1" x14ac:dyDescent="0.2">
      <c r="A251" s="2"/>
      <c r="B251" s="2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R251" s="5"/>
    </row>
    <row r="252" spans="1:18" ht="12.75" customHeight="1" x14ac:dyDescent="0.2">
      <c r="A252" s="2"/>
      <c r="B252" s="2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R252" s="5"/>
    </row>
    <row r="253" spans="1:18" ht="12.75" customHeight="1" x14ac:dyDescent="0.2">
      <c r="A253" s="2"/>
      <c r="B253" s="2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R253" s="5"/>
    </row>
    <row r="254" spans="1:18" ht="12.75" customHeight="1" x14ac:dyDescent="0.2">
      <c r="A254" s="2"/>
      <c r="B254" s="2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R254" s="5"/>
    </row>
    <row r="255" spans="1:18" ht="12.75" customHeight="1" x14ac:dyDescent="0.2">
      <c r="A255" s="2"/>
      <c r="B255" s="2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R255" s="5"/>
    </row>
    <row r="256" spans="1:18" ht="12.75" customHeight="1" x14ac:dyDescent="0.2">
      <c r="A256" s="2"/>
      <c r="B256" s="2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R256" s="5"/>
    </row>
    <row r="257" spans="1:18" ht="12.75" customHeight="1" x14ac:dyDescent="0.2">
      <c r="A257" s="2"/>
      <c r="B257" s="2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R257" s="5"/>
    </row>
    <row r="258" spans="1:18" ht="12.75" customHeight="1" x14ac:dyDescent="0.2">
      <c r="A258" s="2"/>
      <c r="B258" s="2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R258" s="5"/>
    </row>
    <row r="259" spans="1:18" ht="12.75" customHeight="1" x14ac:dyDescent="0.2">
      <c r="A259" s="2"/>
      <c r="B259" s="2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R259" s="5"/>
    </row>
    <row r="260" spans="1:18" ht="12.75" customHeight="1" x14ac:dyDescent="0.2">
      <c r="A260" s="2"/>
      <c r="B260" s="2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R260" s="5"/>
    </row>
    <row r="261" spans="1:18" ht="12.75" customHeight="1" x14ac:dyDescent="0.2">
      <c r="A261" s="2"/>
      <c r="B261" s="2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R261" s="5"/>
    </row>
    <row r="262" spans="1:18" ht="12.75" customHeight="1" x14ac:dyDescent="0.2">
      <c r="A262" s="2"/>
      <c r="B262" s="2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R262" s="5"/>
    </row>
    <row r="263" spans="1:18" ht="12.75" customHeight="1" x14ac:dyDescent="0.2">
      <c r="A263" s="2"/>
      <c r="B263" s="2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R263" s="5"/>
    </row>
    <row r="264" spans="1:18" ht="12.75" customHeight="1" x14ac:dyDescent="0.2">
      <c r="A264" s="2"/>
      <c r="B264" s="2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R264" s="5"/>
    </row>
    <row r="265" spans="1:18" ht="12.75" customHeight="1" x14ac:dyDescent="0.2">
      <c r="A265" s="2"/>
      <c r="B265" s="2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R265" s="5"/>
    </row>
    <row r="266" spans="1:18" ht="12.75" customHeight="1" x14ac:dyDescent="0.2">
      <c r="A266" s="2"/>
      <c r="B266" s="2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R266" s="5"/>
    </row>
    <row r="267" spans="1:18" ht="12.75" customHeight="1" x14ac:dyDescent="0.2">
      <c r="A267" s="2"/>
      <c r="B267" s="2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R267" s="5"/>
    </row>
    <row r="268" spans="1:18" ht="12.75" customHeight="1" x14ac:dyDescent="0.2">
      <c r="A268" s="2"/>
      <c r="B268" s="2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R268" s="5"/>
    </row>
    <row r="269" spans="1:18" ht="12.75" customHeight="1" x14ac:dyDescent="0.2">
      <c r="A269" s="2"/>
      <c r="B269" s="2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R269" s="5"/>
    </row>
    <row r="270" spans="1:18" ht="12.75" customHeight="1" x14ac:dyDescent="0.2">
      <c r="A270" s="2"/>
      <c r="B270" s="2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R270" s="5"/>
    </row>
    <row r="271" spans="1:18" ht="12.75" customHeight="1" x14ac:dyDescent="0.2">
      <c r="A271" s="2"/>
      <c r="B271" s="2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R271" s="5"/>
    </row>
    <row r="272" spans="1:18" ht="12.75" customHeight="1" x14ac:dyDescent="0.2">
      <c r="A272" s="2"/>
      <c r="B272" s="2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R272" s="5"/>
    </row>
    <row r="273" spans="1:18" ht="12.75" customHeight="1" x14ac:dyDescent="0.2">
      <c r="A273" s="2"/>
      <c r="B273" s="2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R273" s="5"/>
    </row>
    <row r="274" spans="1:18" ht="12.75" customHeight="1" x14ac:dyDescent="0.2">
      <c r="A274" s="2"/>
      <c r="B274" s="2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R274" s="5"/>
    </row>
    <row r="275" spans="1:18" ht="12.75" customHeight="1" x14ac:dyDescent="0.2">
      <c r="A275" s="2"/>
      <c r="B275" s="2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R275" s="5"/>
    </row>
    <row r="276" spans="1:18" ht="12.75" customHeight="1" x14ac:dyDescent="0.2">
      <c r="A276" s="2"/>
      <c r="B276" s="2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R276" s="5"/>
    </row>
    <row r="277" spans="1:18" ht="12.75" customHeight="1" x14ac:dyDescent="0.2">
      <c r="A277" s="2"/>
      <c r="B277" s="2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R277" s="5"/>
    </row>
    <row r="278" spans="1:18" ht="12.75" customHeight="1" x14ac:dyDescent="0.2">
      <c r="A278" s="2"/>
      <c r="B278" s="2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R278" s="5"/>
    </row>
    <row r="279" spans="1:18" ht="12.75" customHeight="1" x14ac:dyDescent="0.2">
      <c r="A279" s="2"/>
      <c r="B279" s="2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R279" s="5"/>
    </row>
    <row r="280" spans="1:18" ht="12.75" customHeight="1" x14ac:dyDescent="0.2">
      <c r="A280" s="2"/>
      <c r="B280" s="2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R280" s="5"/>
    </row>
    <row r="281" spans="1:18" ht="12.75" customHeight="1" x14ac:dyDescent="0.2">
      <c r="A281" s="2"/>
      <c r="B281" s="2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R281" s="5"/>
    </row>
    <row r="282" spans="1:18" ht="12.75" customHeight="1" x14ac:dyDescent="0.2">
      <c r="A282" s="2"/>
      <c r="B282" s="2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R282" s="5"/>
    </row>
    <row r="283" spans="1:18" ht="12.75" customHeight="1" x14ac:dyDescent="0.2">
      <c r="A283" s="2"/>
      <c r="B283" s="2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R283" s="5"/>
    </row>
    <row r="284" spans="1:18" ht="12.75" customHeight="1" x14ac:dyDescent="0.2">
      <c r="A284" s="2"/>
      <c r="B284" s="2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R284" s="5"/>
    </row>
    <row r="285" spans="1:18" ht="12.75" customHeight="1" x14ac:dyDescent="0.2">
      <c r="A285" s="2"/>
      <c r="B285" s="2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R285" s="5"/>
    </row>
    <row r="286" spans="1:18" ht="12.75" customHeight="1" x14ac:dyDescent="0.2">
      <c r="A286" s="2"/>
      <c r="B286" s="2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R286" s="5"/>
    </row>
    <row r="287" spans="1:18" ht="12.75" customHeight="1" x14ac:dyDescent="0.2">
      <c r="A287" s="2"/>
      <c r="B287" s="2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R287" s="5"/>
    </row>
    <row r="288" spans="1:18" ht="12.75" customHeight="1" x14ac:dyDescent="0.2">
      <c r="A288" s="2"/>
      <c r="B288" s="2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R288" s="5"/>
    </row>
    <row r="289" spans="1:18" ht="12.75" customHeight="1" x14ac:dyDescent="0.2">
      <c r="A289" s="2"/>
      <c r="B289" s="2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R289" s="5"/>
    </row>
    <row r="290" spans="1:18" ht="12.75" customHeight="1" x14ac:dyDescent="0.2">
      <c r="A290" s="2"/>
      <c r="B290" s="2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R290" s="5"/>
    </row>
    <row r="291" spans="1:18" ht="12.75" customHeight="1" x14ac:dyDescent="0.2">
      <c r="A291" s="2"/>
      <c r="B291" s="2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R291" s="5"/>
    </row>
    <row r="292" spans="1:18" ht="12.75" customHeight="1" x14ac:dyDescent="0.2">
      <c r="A292" s="2"/>
      <c r="B292" s="2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R292" s="5"/>
    </row>
    <row r="293" spans="1:18" ht="12.75" customHeight="1" x14ac:dyDescent="0.2">
      <c r="A293" s="2"/>
      <c r="B293" s="2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R293" s="5"/>
    </row>
    <row r="294" spans="1:18" ht="12.75" customHeight="1" x14ac:dyDescent="0.2">
      <c r="A294" s="2"/>
      <c r="B294" s="2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R294" s="5"/>
    </row>
    <row r="295" spans="1:18" ht="12.75" customHeight="1" x14ac:dyDescent="0.2">
      <c r="A295" s="2"/>
      <c r="B295" s="2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R295" s="5"/>
    </row>
    <row r="296" spans="1:18" ht="12.75" customHeight="1" x14ac:dyDescent="0.2">
      <c r="A296" s="2"/>
      <c r="B296" s="2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R296" s="5"/>
    </row>
    <row r="297" spans="1:18" ht="12.75" customHeight="1" x14ac:dyDescent="0.2">
      <c r="A297" s="2"/>
      <c r="B297" s="2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R297" s="5"/>
    </row>
    <row r="298" spans="1:18" ht="12.75" customHeight="1" x14ac:dyDescent="0.2">
      <c r="A298" s="2"/>
      <c r="B298" s="2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R298" s="5"/>
    </row>
    <row r="299" spans="1:18" ht="12.75" customHeight="1" x14ac:dyDescent="0.2">
      <c r="A299" s="2"/>
      <c r="B299" s="2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R299" s="5"/>
    </row>
    <row r="300" spans="1:18" ht="12.75" customHeight="1" x14ac:dyDescent="0.2">
      <c r="A300" s="2"/>
      <c r="B300" s="2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R300" s="5"/>
    </row>
    <row r="301" spans="1:18" ht="12.75" customHeight="1" x14ac:dyDescent="0.2">
      <c r="A301" s="2"/>
      <c r="B301" s="2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R301" s="5"/>
    </row>
    <row r="302" spans="1:18" ht="12.75" customHeight="1" x14ac:dyDescent="0.2">
      <c r="A302" s="2"/>
      <c r="B302" s="2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R302" s="5"/>
    </row>
    <row r="303" spans="1:18" ht="12.75" customHeight="1" x14ac:dyDescent="0.2">
      <c r="A303" s="2"/>
      <c r="B303" s="2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R303" s="5"/>
    </row>
    <row r="304" spans="1:18" ht="12.75" customHeight="1" x14ac:dyDescent="0.2">
      <c r="A304" s="2"/>
      <c r="B304" s="2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R304" s="5"/>
    </row>
    <row r="305" spans="1:18" ht="12.75" customHeight="1" x14ac:dyDescent="0.2">
      <c r="A305" s="2"/>
      <c r="B305" s="2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R305" s="5"/>
    </row>
    <row r="306" spans="1:18" ht="12.75" customHeight="1" x14ac:dyDescent="0.2">
      <c r="A306" s="2"/>
      <c r="B306" s="2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R306" s="5"/>
    </row>
    <row r="307" spans="1:18" ht="12.75" customHeight="1" x14ac:dyDescent="0.2">
      <c r="A307" s="2"/>
      <c r="B307" s="2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R307" s="5"/>
    </row>
    <row r="308" spans="1:18" ht="12.75" customHeight="1" x14ac:dyDescent="0.2">
      <c r="A308" s="2"/>
      <c r="B308" s="2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R308" s="5"/>
    </row>
    <row r="309" spans="1:18" ht="12.75" customHeight="1" x14ac:dyDescent="0.2">
      <c r="A309" s="2"/>
      <c r="B309" s="2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R309" s="5"/>
    </row>
    <row r="310" spans="1:18" ht="12.75" customHeight="1" x14ac:dyDescent="0.2">
      <c r="A310" s="2"/>
      <c r="B310" s="2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R310" s="5"/>
    </row>
    <row r="311" spans="1:18" ht="12.75" customHeight="1" x14ac:dyDescent="0.2">
      <c r="A311" s="2"/>
      <c r="B311" s="2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R311" s="5"/>
    </row>
    <row r="312" spans="1:18" ht="12.75" customHeight="1" x14ac:dyDescent="0.2">
      <c r="A312" s="2"/>
      <c r="B312" s="2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R312" s="5"/>
    </row>
    <row r="313" spans="1:18" ht="12.75" customHeight="1" x14ac:dyDescent="0.2">
      <c r="A313" s="2"/>
      <c r="B313" s="2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R313" s="5"/>
    </row>
    <row r="314" spans="1:18" ht="12.75" customHeight="1" x14ac:dyDescent="0.2">
      <c r="A314" s="2"/>
      <c r="B314" s="2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R314" s="5"/>
    </row>
    <row r="315" spans="1:18" ht="12.75" customHeight="1" x14ac:dyDescent="0.2">
      <c r="A315" s="2"/>
      <c r="B315" s="2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R315" s="5"/>
    </row>
    <row r="316" spans="1:18" ht="12.75" customHeight="1" x14ac:dyDescent="0.2">
      <c r="A316" s="2"/>
      <c r="B316" s="2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R316" s="5"/>
    </row>
    <row r="317" spans="1:18" ht="12.75" customHeight="1" x14ac:dyDescent="0.2">
      <c r="A317" s="2"/>
      <c r="B317" s="2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R317" s="5"/>
    </row>
    <row r="318" spans="1:18" ht="12.75" customHeight="1" x14ac:dyDescent="0.2">
      <c r="A318" s="2"/>
      <c r="B318" s="2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R318" s="5"/>
    </row>
    <row r="319" spans="1:18" ht="12.75" customHeight="1" x14ac:dyDescent="0.2">
      <c r="A319" s="2"/>
      <c r="B319" s="2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R319" s="5"/>
    </row>
    <row r="320" spans="1:18" ht="12.75" customHeight="1" x14ac:dyDescent="0.2">
      <c r="A320" s="2"/>
      <c r="B320" s="2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R320" s="5"/>
    </row>
    <row r="321" spans="1:18" ht="12.75" customHeight="1" x14ac:dyDescent="0.2">
      <c r="A321" s="2"/>
      <c r="B321" s="2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R321" s="5"/>
    </row>
    <row r="322" spans="1:18" ht="12.75" customHeight="1" x14ac:dyDescent="0.2">
      <c r="A322" s="2"/>
      <c r="B322" s="2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R322" s="5"/>
    </row>
    <row r="323" spans="1:18" ht="12.75" customHeight="1" x14ac:dyDescent="0.2">
      <c r="A323" s="2"/>
      <c r="B323" s="2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R323" s="5"/>
    </row>
    <row r="324" spans="1:18" ht="12.75" customHeight="1" x14ac:dyDescent="0.2">
      <c r="A324" s="2"/>
      <c r="B324" s="2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R324" s="5"/>
    </row>
    <row r="325" spans="1:18" ht="12.75" customHeight="1" x14ac:dyDescent="0.2">
      <c r="A325" s="2"/>
      <c r="B325" s="2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R325" s="5"/>
    </row>
    <row r="326" spans="1:18" ht="12.75" customHeight="1" x14ac:dyDescent="0.2">
      <c r="A326" s="2"/>
      <c r="B326" s="2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R326" s="5"/>
    </row>
    <row r="327" spans="1:18" ht="12.75" customHeight="1" x14ac:dyDescent="0.2">
      <c r="A327" s="2"/>
      <c r="B327" s="2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R327" s="5"/>
    </row>
    <row r="328" spans="1:18" ht="12.75" customHeight="1" x14ac:dyDescent="0.2">
      <c r="A328" s="2"/>
      <c r="B328" s="2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R328" s="5"/>
    </row>
    <row r="329" spans="1:18" ht="12.75" customHeight="1" x14ac:dyDescent="0.2">
      <c r="A329" s="2"/>
      <c r="B329" s="2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R329" s="5"/>
    </row>
    <row r="330" spans="1:18" ht="12.75" customHeight="1" x14ac:dyDescent="0.2">
      <c r="A330" s="2"/>
      <c r="B330" s="2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R330" s="5"/>
    </row>
    <row r="331" spans="1:18" ht="12.75" customHeight="1" x14ac:dyDescent="0.2">
      <c r="A331" s="2"/>
      <c r="B331" s="2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R331" s="5"/>
    </row>
    <row r="332" spans="1:18" ht="12.75" customHeight="1" x14ac:dyDescent="0.2">
      <c r="A332" s="2"/>
      <c r="B332" s="2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R332" s="5"/>
    </row>
    <row r="333" spans="1:18" ht="12.75" customHeight="1" x14ac:dyDescent="0.2">
      <c r="A333" s="2"/>
      <c r="B333" s="2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R333" s="5"/>
    </row>
    <row r="334" spans="1:18" ht="12.75" customHeight="1" x14ac:dyDescent="0.2">
      <c r="A334" s="2"/>
      <c r="B334" s="2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R334" s="5"/>
    </row>
    <row r="335" spans="1:18" ht="12.75" customHeight="1" x14ac:dyDescent="0.2">
      <c r="A335" s="2"/>
      <c r="B335" s="2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R335" s="5"/>
    </row>
    <row r="336" spans="1:18" ht="12.75" customHeight="1" x14ac:dyDescent="0.2">
      <c r="A336" s="2"/>
      <c r="B336" s="2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R336" s="5"/>
    </row>
    <row r="337" spans="1:18" ht="12.75" customHeight="1" x14ac:dyDescent="0.2">
      <c r="A337" s="2"/>
      <c r="B337" s="2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R337" s="5"/>
    </row>
    <row r="338" spans="1:18" ht="12.75" customHeight="1" x14ac:dyDescent="0.2">
      <c r="A338" s="2"/>
      <c r="B338" s="2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R338" s="5"/>
    </row>
    <row r="339" spans="1:18" ht="12.75" customHeight="1" x14ac:dyDescent="0.2">
      <c r="A339" s="2"/>
      <c r="B339" s="2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R339" s="5"/>
    </row>
    <row r="340" spans="1:18" ht="12.75" customHeight="1" x14ac:dyDescent="0.2">
      <c r="A340" s="2"/>
      <c r="B340" s="2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R340" s="5"/>
    </row>
    <row r="341" spans="1:18" ht="12.75" customHeight="1" x14ac:dyDescent="0.2">
      <c r="A341" s="2"/>
      <c r="B341" s="2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R341" s="5"/>
    </row>
    <row r="342" spans="1:18" ht="12.75" customHeight="1" x14ac:dyDescent="0.2">
      <c r="A342" s="2"/>
      <c r="B342" s="2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R342" s="5"/>
    </row>
    <row r="343" spans="1:18" ht="12.75" customHeight="1" x14ac:dyDescent="0.2">
      <c r="A343" s="2"/>
      <c r="B343" s="2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R343" s="5"/>
    </row>
    <row r="344" spans="1:18" ht="12.75" customHeight="1" x14ac:dyDescent="0.2">
      <c r="A344" s="2"/>
      <c r="B344" s="2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R344" s="5"/>
    </row>
    <row r="345" spans="1:18" ht="12.75" customHeight="1" x14ac:dyDescent="0.2">
      <c r="A345" s="2"/>
      <c r="B345" s="2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R345" s="5"/>
    </row>
    <row r="346" spans="1:18" ht="12.75" customHeight="1" x14ac:dyDescent="0.2">
      <c r="A346" s="2"/>
      <c r="B346" s="2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R346" s="5"/>
    </row>
    <row r="347" spans="1:18" ht="12.75" customHeight="1" x14ac:dyDescent="0.2">
      <c r="A347" s="2"/>
      <c r="B347" s="2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R347" s="5"/>
    </row>
    <row r="348" spans="1:18" ht="12.75" customHeight="1" x14ac:dyDescent="0.2">
      <c r="A348" s="2"/>
      <c r="B348" s="2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R348" s="5"/>
    </row>
    <row r="349" spans="1:18" ht="12.75" customHeight="1" x14ac:dyDescent="0.2">
      <c r="A349" s="2"/>
      <c r="B349" s="2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R349" s="5"/>
    </row>
    <row r="350" spans="1:18" ht="12.75" customHeight="1" x14ac:dyDescent="0.2">
      <c r="A350" s="2"/>
      <c r="B350" s="2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R350" s="5"/>
    </row>
    <row r="351" spans="1:18" ht="12.75" customHeight="1" x14ac:dyDescent="0.2">
      <c r="A351" s="2"/>
      <c r="B351" s="2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R351" s="5"/>
    </row>
    <row r="352" spans="1:18" ht="12.75" customHeight="1" x14ac:dyDescent="0.2">
      <c r="A352" s="2"/>
      <c r="B352" s="2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R352" s="5"/>
    </row>
    <row r="353" spans="1:18" ht="12.75" customHeight="1" x14ac:dyDescent="0.2">
      <c r="A353" s="2"/>
      <c r="B353" s="2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R353" s="5"/>
    </row>
    <row r="354" spans="1:18" ht="12.75" customHeight="1" x14ac:dyDescent="0.2">
      <c r="A354" s="2"/>
      <c r="B354" s="2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R354" s="5"/>
    </row>
    <row r="355" spans="1:18" ht="12.75" customHeight="1" x14ac:dyDescent="0.2">
      <c r="A355" s="2"/>
      <c r="B355" s="2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R355" s="5"/>
    </row>
    <row r="356" spans="1:18" ht="12.75" customHeight="1" x14ac:dyDescent="0.2">
      <c r="A356" s="2"/>
      <c r="B356" s="2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R356" s="5"/>
    </row>
    <row r="357" spans="1:18" ht="12.75" customHeight="1" x14ac:dyDescent="0.2">
      <c r="A357" s="2"/>
      <c r="B357" s="2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R357" s="5"/>
    </row>
    <row r="358" spans="1:18" ht="12.75" customHeight="1" x14ac:dyDescent="0.2">
      <c r="A358" s="2"/>
      <c r="B358" s="2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R358" s="5"/>
    </row>
    <row r="359" spans="1:18" ht="12.75" customHeight="1" x14ac:dyDescent="0.2">
      <c r="A359" s="2"/>
      <c r="B359" s="2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R359" s="5"/>
    </row>
    <row r="360" spans="1:18" ht="12.75" customHeight="1" x14ac:dyDescent="0.2">
      <c r="A360" s="2"/>
      <c r="B360" s="2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R360" s="5"/>
    </row>
    <row r="361" spans="1:18" ht="12.75" customHeight="1" x14ac:dyDescent="0.2">
      <c r="A361" s="2"/>
      <c r="B361" s="2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R361" s="5"/>
    </row>
    <row r="362" spans="1:18" ht="12.75" customHeight="1" x14ac:dyDescent="0.2">
      <c r="A362" s="2"/>
      <c r="B362" s="2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R362" s="5"/>
    </row>
    <row r="363" spans="1:18" ht="12.75" customHeight="1" x14ac:dyDescent="0.2">
      <c r="A363" s="2"/>
      <c r="B363" s="2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R363" s="5"/>
    </row>
    <row r="364" spans="1:18" ht="12.75" customHeight="1" x14ac:dyDescent="0.2">
      <c r="A364" s="2"/>
      <c r="B364" s="2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R364" s="5"/>
    </row>
    <row r="365" spans="1:18" ht="12.75" customHeight="1" x14ac:dyDescent="0.2">
      <c r="A365" s="2"/>
      <c r="B365" s="2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R365" s="5"/>
    </row>
    <row r="366" spans="1:18" ht="12.75" customHeight="1" x14ac:dyDescent="0.2">
      <c r="A366" s="2"/>
      <c r="B366" s="2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R366" s="5"/>
    </row>
    <row r="367" spans="1:18" ht="12.75" customHeight="1" x14ac:dyDescent="0.2">
      <c r="A367" s="2"/>
      <c r="B367" s="2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R367" s="5"/>
    </row>
    <row r="368" spans="1:18" ht="12.75" customHeight="1" x14ac:dyDescent="0.2">
      <c r="A368" s="2"/>
      <c r="B368" s="2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R368" s="5"/>
    </row>
    <row r="369" spans="1:18" ht="12.75" customHeight="1" x14ac:dyDescent="0.2">
      <c r="A369" s="2"/>
      <c r="B369" s="2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R369" s="5"/>
    </row>
    <row r="370" spans="1:18" ht="12.75" customHeight="1" x14ac:dyDescent="0.2">
      <c r="A370" s="2"/>
      <c r="B370" s="2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R370" s="5"/>
    </row>
    <row r="371" spans="1:18" ht="12.75" customHeight="1" x14ac:dyDescent="0.2">
      <c r="A371" s="2"/>
      <c r="B371" s="2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R371" s="5"/>
    </row>
    <row r="372" spans="1:18" ht="12.75" customHeight="1" x14ac:dyDescent="0.2">
      <c r="A372" s="2"/>
      <c r="B372" s="2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R372" s="5"/>
    </row>
    <row r="373" spans="1:18" ht="12.75" customHeight="1" x14ac:dyDescent="0.2">
      <c r="A373" s="2"/>
      <c r="B373" s="2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R373" s="5"/>
    </row>
    <row r="374" spans="1:18" ht="12.75" customHeight="1" x14ac:dyDescent="0.2">
      <c r="A374" s="2"/>
      <c r="B374" s="2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R374" s="5"/>
    </row>
    <row r="375" spans="1:18" ht="12.75" customHeight="1" x14ac:dyDescent="0.2">
      <c r="A375" s="2"/>
      <c r="B375" s="2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R375" s="5"/>
    </row>
    <row r="376" spans="1:18" ht="12.75" customHeight="1" x14ac:dyDescent="0.2">
      <c r="A376" s="2"/>
      <c r="B376" s="2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R376" s="5"/>
    </row>
    <row r="377" spans="1:18" ht="12.75" customHeight="1" x14ac:dyDescent="0.2">
      <c r="A377" s="2"/>
      <c r="B377" s="2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R377" s="5"/>
    </row>
    <row r="378" spans="1:18" ht="12.75" customHeight="1" x14ac:dyDescent="0.2">
      <c r="A378" s="2"/>
      <c r="B378" s="2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R378" s="5"/>
    </row>
    <row r="379" spans="1:18" ht="12.75" customHeight="1" x14ac:dyDescent="0.2">
      <c r="A379" s="2"/>
      <c r="B379" s="2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R379" s="5"/>
    </row>
    <row r="380" spans="1:18" ht="12.75" customHeight="1" x14ac:dyDescent="0.2">
      <c r="A380" s="2"/>
      <c r="B380" s="2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R380" s="5"/>
    </row>
    <row r="381" spans="1:18" ht="12.75" customHeight="1" x14ac:dyDescent="0.2">
      <c r="A381" s="2"/>
      <c r="B381" s="2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R381" s="5"/>
    </row>
    <row r="382" spans="1:18" ht="12.75" customHeight="1" x14ac:dyDescent="0.2">
      <c r="A382" s="2"/>
      <c r="B382" s="2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R382" s="5"/>
    </row>
    <row r="383" spans="1:18" ht="12.75" customHeight="1" x14ac:dyDescent="0.2">
      <c r="A383" s="2"/>
      <c r="B383" s="2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R383" s="5"/>
    </row>
    <row r="384" spans="1:18" ht="12.75" customHeight="1" x14ac:dyDescent="0.2">
      <c r="A384" s="2"/>
      <c r="B384" s="2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R384" s="5"/>
    </row>
    <row r="385" spans="1:18" ht="12.75" customHeight="1" x14ac:dyDescent="0.2">
      <c r="A385" s="2"/>
      <c r="B385" s="2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R385" s="5"/>
    </row>
    <row r="386" spans="1:18" ht="12.75" customHeight="1" x14ac:dyDescent="0.2">
      <c r="A386" s="2"/>
      <c r="B386" s="2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R386" s="5"/>
    </row>
    <row r="387" spans="1:18" ht="12.75" customHeight="1" x14ac:dyDescent="0.2">
      <c r="A387" s="2"/>
      <c r="B387" s="2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R387" s="5"/>
    </row>
    <row r="388" spans="1:18" ht="12.75" customHeight="1" x14ac:dyDescent="0.2">
      <c r="A388" s="2"/>
      <c r="B388" s="2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R388" s="5"/>
    </row>
    <row r="389" spans="1:18" ht="12.75" customHeight="1" x14ac:dyDescent="0.2">
      <c r="A389" s="2"/>
      <c r="B389" s="2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R389" s="5"/>
    </row>
    <row r="390" spans="1:18" ht="12.75" customHeight="1" x14ac:dyDescent="0.2">
      <c r="A390" s="2"/>
      <c r="B390" s="2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R390" s="5"/>
    </row>
    <row r="391" spans="1:18" ht="12.75" customHeight="1" x14ac:dyDescent="0.2">
      <c r="A391" s="2"/>
      <c r="B391" s="2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R391" s="5"/>
    </row>
    <row r="392" spans="1:18" ht="12.75" customHeight="1" x14ac:dyDescent="0.2">
      <c r="A392" s="2"/>
      <c r="B392" s="2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R392" s="5"/>
    </row>
    <row r="393" spans="1:18" ht="12.75" customHeight="1" x14ac:dyDescent="0.2">
      <c r="A393" s="2"/>
      <c r="B393" s="2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R393" s="5"/>
    </row>
    <row r="394" spans="1:18" ht="12.75" customHeight="1" x14ac:dyDescent="0.2">
      <c r="A394" s="2"/>
      <c r="B394" s="2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R394" s="5"/>
    </row>
    <row r="395" spans="1:18" ht="12.75" customHeight="1" x14ac:dyDescent="0.2">
      <c r="A395" s="2"/>
      <c r="B395" s="2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R395" s="5"/>
    </row>
    <row r="396" spans="1:18" ht="12.75" customHeight="1" x14ac:dyDescent="0.2">
      <c r="A396" s="2"/>
      <c r="B396" s="2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R396" s="5"/>
    </row>
    <row r="397" spans="1:18" ht="12.75" customHeight="1" x14ac:dyDescent="0.2">
      <c r="A397" s="2"/>
      <c r="B397" s="2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R397" s="5"/>
    </row>
    <row r="398" spans="1:18" ht="12.75" customHeight="1" x14ac:dyDescent="0.2">
      <c r="A398" s="2"/>
      <c r="B398" s="2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R398" s="5"/>
    </row>
    <row r="399" spans="1:18" ht="12.75" customHeight="1" x14ac:dyDescent="0.2">
      <c r="A399" s="2"/>
      <c r="B399" s="2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R399" s="5"/>
    </row>
    <row r="400" spans="1:18" ht="12.75" customHeight="1" x14ac:dyDescent="0.2">
      <c r="A400" s="2"/>
      <c r="B400" s="2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R400" s="5"/>
    </row>
    <row r="401" spans="1:18" ht="12.75" customHeight="1" x14ac:dyDescent="0.2">
      <c r="A401" s="2"/>
      <c r="B401" s="2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R401" s="5"/>
    </row>
    <row r="402" spans="1:18" ht="12.75" customHeight="1" x14ac:dyDescent="0.2">
      <c r="A402" s="2"/>
      <c r="B402" s="2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R402" s="5"/>
    </row>
    <row r="403" spans="1:18" ht="12.75" customHeight="1" x14ac:dyDescent="0.2">
      <c r="A403" s="2"/>
      <c r="B403" s="2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R403" s="5"/>
    </row>
    <row r="404" spans="1:18" ht="12.75" customHeight="1" x14ac:dyDescent="0.2">
      <c r="A404" s="2"/>
      <c r="B404" s="2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R404" s="5"/>
    </row>
    <row r="405" spans="1:18" ht="12.75" customHeight="1" x14ac:dyDescent="0.2">
      <c r="A405" s="2"/>
      <c r="B405" s="2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R405" s="5"/>
    </row>
    <row r="406" spans="1:18" ht="12.75" customHeight="1" x14ac:dyDescent="0.2">
      <c r="A406" s="2"/>
      <c r="B406" s="2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R406" s="5"/>
    </row>
    <row r="407" spans="1:18" ht="12.75" customHeight="1" x14ac:dyDescent="0.2">
      <c r="A407" s="2"/>
      <c r="B407" s="2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R407" s="5"/>
    </row>
    <row r="408" spans="1:18" ht="12.75" customHeight="1" x14ac:dyDescent="0.2">
      <c r="A408" s="2"/>
      <c r="B408" s="2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R408" s="5"/>
    </row>
    <row r="409" spans="1:18" ht="12.75" customHeight="1" x14ac:dyDescent="0.2">
      <c r="A409" s="2"/>
      <c r="B409" s="2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R409" s="5"/>
    </row>
    <row r="410" spans="1:18" ht="12.75" customHeight="1" x14ac:dyDescent="0.2">
      <c r="A410" s="2"/>
      <c r="B410" s="2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R410" s="5"/>
    </row>
    <row r="411" spans="1:18" ht="12.75" customHeight="1" x14ac:dyDescent="0.2">
      <c r="A411" s="2"/>
      <c r="B411" s="2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R411" s="5"/>
    </row>
    <row r="412" spans="1:18" ht="12.75" customHeight="1" x14ac:dyDescent="0.2">
      <c r="A412" s="2"/>
      <c r="B412" s="2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R412" s="5"/>
    </row>
    <row r="413" spans="1:18" ht="12.75" customHeight="1" x14ac:dyDescent="0.2">
      <c r="A413" s="2"/>
      <c r="B413" s="2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R413" s="5"/>
    </row>
    <row r="414" spans="1:18" ht="12.75" customHeight="1" x14ac:dyDescent="0.2">
      <c r="A414" s="2"/>
      <c r="B414" s="2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R414" s="5"/>
    </row>
    <row r="415" spans="1:18" ht="12.75" customHeight="1" x14ac:dyDescent="0.2">
      <c r="A415" s="2"/>
      <c r="B415" s="2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R415" s="5"/>
    </row>
    <row r="416" spans="1:18" ht="12.75" customHeight="1" x14ac:dyDescent="0.2">
      <c r="A416" s="2"/>
      <c r="B416" s="2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R416" s="5"/>
    </row>
    <row r="417" spans="1:18" ht="12.75" customHeight="1" x14ac:dyDescent="0.2">
      <c r="A417" s="2"/>
      <c r="B417" s="2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R417" s="5"/>
    </row>
    <row r="418" spans="1:18" ht="12.75" customHeight="1" x14ac:dyDescent="0.2">
      <c r="A418" s="2"/>
      <c r="B418" s="2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R418" s="5"/>
    </row>
    <row r="419" spans="1:18" ht="12.75" customHeight="1" x14ac:dyDescent="0.2">
      <c r="A419" s="2"/>
      <c r="B419" s="2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R419" s="5"/>
    </row>
    <row r="420" spans="1:18" ht="12.75" customHeight="1" x14ac:dyDescent="0.2">
      <c r="A420" s="2"/>
      <c r="B420" s="2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R420" s="5"/>
    </row>
    <row r="421" spans="1:18" ht="12.75" customHeight="1" x14ac:dyDescent="0.2">
      <c r="A421" s="2"/>
      <c r="B421" s="2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R421" s="5"/>
    </row>
    <row r="422" spans="1:18" ht="12.75" customHeight="1" x14ac:dyDescent="0.2">
      <c r="A422" s="2"/>
      <c r="B422" s="2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R422" s="5"/>
    </row>
    <row r="423" spans="1:18" ht="12.75" customHeight="1" x14ac:dyDescent="0.2">
      <c r="A423" s="2"/>
      <c r="B423" s="2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R423" s="5"/>
    </row>
    <row r="424" spans="1:18" ht="12.75" customHeight="1" x14ac:dyDescent="0.2">
      <c r="A424" s="2"/>
      <c r="B424" s="2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R424" s="5"/>
    </row>
    <row r="425" spans="1:18" ht="12.75" customHeight="1" x14ac:dyDescent="0.2">
      <c r="A425" s="2"/>
      <c r="B425" s="2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R425" s="5"/>
    </row>
    <row r="426" spans="1:18" ht="12.75" customHeight="1" x14ac:dyDescent="0.2">
      <c r="A426" s="2"/>
      <c r="B426" s="2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R426" s="5"/>
    </row>
    <row r="427" spans="1:18" ht="12.75" customHeight="1" x14ac:dyDescent="0.2">
      <c r="A427" s="2"/>
      <c r="B427" s="2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R427" s="5"/>
    </row>
    <row r="428" spans="1:18" ht="12.75" customHeight="1" x14ac:dyDescent="0.2">
      <c r="A428" s="2"/>
      <c r="B428" s="2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R428" s="5"/>
    </row>
    <row r="429" spans="1:18" ht="12.75" customHeight="1" x14ac:dyDescent="0.2">
      <c r="A429" s="2"/>
      <c r="B429" s="2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R429" s="5"/>
    </row>
    <row r="430" spans="1:18" ht="12.75" customHeight="1" x14ac:dyDescent="0.2">
      <c r="A430" s="2"/>
      <c r="B430" s="2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R430" s="5"/>
    </row>
    <row r="431" spans="1:18" ht="12.75" customHeight="1" x14ac:dyDescent="0.2">
      <c r="A431" s="2"/>
      <c r="B431" s="2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R431" s="5"/>
    </row>
    <row r="432" spans="1:18" ht="12.75" customHeight="1" x14ac:dyDescent="0.2">
      <c r="A432" s="2"/>
      <c r="B432" s="2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R432" s="5"/>
    </row>
    <row r="433" spans="1:18" ht="12.75" customHeight="1" x14ac:dyDescent="0.2">
      <c r="A433" s="2"/>
      <c r="B433" s="2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R433" s="5"/>
    </row>
    <row r="434" spans="1:18" ht="12.75" customHeight="1" x14ac:dyDescent="0.2">
      <c r="A434" s="2"/>
      <c r="B434" s="2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R434" s="5"/>
    </row>
    <row r="435" spans="1:18" ht="12.75" customHeight="1" x14ac:dyDescent="0.2">
      <c r="A435" s="2"/>
      <c r="B435" s="2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R435" s="5"/>
    </row>
    <row r="436" spans="1:18" ht="12.75" customHeight="1" x14ac:dyDescent="0.2">
      <c r="A436" s="2"/>
      <c r="B436" s="2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R436" s="5"/>
    </row>
    <row r="437" spans="1:18" ht="12.75" customHeight="1" x14ac:dyDescent="0.2">
      <c r="A437" s="2"/>
      <c r="B437" s="2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R437" s="5"/>
    </row>
    <row r="438" spans="1:18" ht="12.75" customHeight="1" x14ac:dyDescent="0.2">
      <c r="A438" s="2"/>
      <c r="B438" s="2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R438" s="5"/>
    </row>
    <row r="439" spans="1:18" ht="12.75" customHeight="1" x14ac:dyDescent="0.2">
      <c r="A439" s="2"/>
      <c r="B439" s="2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R439" s="5"/>
    </row>
    <row r="440" spans="1:18" ht="12.75" customHeight="1" x14ac:dyDescent="0.2">
      <c r="A440" s="2"/>
      <c r="B440" s="2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R440" s="5"/>
    </row>
    <row r="441" spans="1:18" ht="12.75" customHeight="1" x14ac:dyDescent="0.2">
      <c r="A441" s="2"/>
      <c r="B441" s="2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R441" s="5"/>
    </row>
    <row r="442" spans="1:18" ht="12.75" customHeight="1" x14ac:dyDescent="0.2">
      <c r="A442" s="2"/>
      <c r="B442" s="2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R442" s="5"/>
    </row>
    <row r="443" spans="1:18" ht="12.75" customHeight="1" x14ac:dyDescent="0.2">
      <c r="A443" s="2"/>
      <c r="B443" s="2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R443" s="5"/>
    </row>
    <row r="444" spans="1:18" ht="12.75" customHeight="1" x14ac:dyDescent="0.2">
      <c r="A444" s="2"/>
      <c r="B444" s="2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R444" s="5"/>
    </row>
    <row r="445" spans="1:18" ht="12.75" customHeight="1" x14ac:dyDescent="0.2">
      <c r="A445" s="2"/>
      <c r="B445" s="2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R445" s="5"/>
    </row>
    <row r="446" spans="1:18" ht="12.75" customHeight="1" x14ac:dyDescent="0.2">
      <c r="A446" s="2"/>
      <c r="B446" s="2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R446" s="5"/>
    </row>
    <row r="447" spans="1:18" ht="12.75" customHeight="1" x14ac:dyDescent="0.2">
      <c r="A447" s="2"/>
      <c r="B447" s="2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R447" s="5"/>
    </row>
    <row r="448" spans="1:18" ht="12.75" customHeight="1" x14ac:dyDescent="0.2">
      <c r="A448" s="2"/>
      <c r="B448" s="2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R448" s="5"/>
    </row>
    <row r="449" spans="1:18" ht="12.75" customHeight="1" x14ac:dyDescent="0.2">
      <c r="A449" s="2"/>
      <c r="B449" s="2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R449" s="5"/>
    </row>
    <row r="450" spans="1:18" ht="12.75" customHeight="1" x14ac:dyDescent="0.2">
      <c r="A450" s="2"/>
      <c r="B450" s="2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R450" s="5"/>
    </row>
    <row r="451" spans="1:18" ht="12.75" customHeight="1" x14ac:dyDescent="0.2">
      <c r="A451" s="2"/>
      <c r="B451" s="2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R451" s="5"/>
    </row>
    <row r="452" spans="1:18" ht="12.75" customHeight="1" x14ac:dyDescent="0.2">
      <c r="A452" s="2"/>
      <c r="B452" s="2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R452" s="5"/>
    </row>
    <row r="453" spans="1:18" ht="12.75" customHeight="1" x14ac:dyDescent="0.2">
      <c r="A453" s="2"/>
      <c r="B453" s="2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R453" s="5"/>
    </row>
    <row r="454" spans="1:18" ht="12.75" customHeight="1" x14ac:dyDescent="0.2">
      <c r="A454" s="2"/>
      <c r="B454" s="2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R454" s="5"/>
    </row>
    <row r="455" spans="1:18" ht="12.75" customHeight="1" x14ac:dyDescent="0.2">
      <c r="A455" s="2"/>
      <c r="B455" s="2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R455" s="5"/>
    </row>
    <row r="456" spans="1:18" ht="12.75" customHeight="1" x14ac:dyDescent="0.2">
      <c r="A456" s="2"/>
      <c r="B456" s="2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R456" s="5"/>
    </row>
    <row r="457" spans="1:18" ht="12.75" customHeight="1" x14ac:dyDescent="0.2">
      <c r="A457" s="2"/>
      <c r="B457" s="2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R457" s="5"/>
    </row>
    <row r="458" spans="1:18" ht="12.75" customHeight="1" x14ac:dyDescent="0.2">
      <c r="A458" s="2"/>
      <c r="B458" s="2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R458" s="5"/>
    </row>
    <row r="459" spans="1:18" ht="12.75" customHeight="1" x14ac:dyDescent="0.2">
      <c r="A459" s="2"/>
      <c r="B459" s="2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R459" s="5"/>
    </row>
    <row r="460" spans="1:18" ht="12.75" customHeight="1" x14ac:dyDescent="0.2">
      <c r="A460" s="2"/>
      <c r="B460" s="2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R460" s="5"/>
    </row>
    <row r="461" spans="1:18" ht="12.75" customHeight="1" x14ac:dyDescent="0.2">
      <c r="A461" s="2"/>
      <c r="B461" s="2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R461" s="5"/>
    </row>
    <row r="462" spans="1:18" ht="12.75" customHeight="1" x14ac:dyDescent="0.2">
      <c r="A462" s="2"/>
      <c r="B462" s="2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R462" s="5"/>
    </row>
    <row r="463" spans="1:18" ht="12.75" customHeight="1" x14ac:dyDescent="0.2">
      <c r="A463" s="2"/>
      <c r="B463" s="2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R463" s="5"/>
    </row>
    <row r="464" spans="1:18" ht="12.75" customHeight="1" x14ac:dyDescent="0.2">
      <c r="A464" s="2"/>
      <c r="B464" s="2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R464" s="5"/>
    </row>
    <row r="465" spans="1:18" ht="12.75" customHeight="1" x14ac:dyDescent="0.2">
      <c r="A465" s="2"/>
      <c r="B465" s="2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R465" s="5"/>
    </row>
    <row r="466" spans="1:18" ht="12.75" customHeight="1" x14ac:dyDescent="0.2">
      <c r="A466" s="2"/>
      <c r="B466" s="2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R466" s="5"/>
    </row>
    <row r="467" spans="1:18" ht="12.75" customHeight="1" x14ac:dyDescent="0.2">
      <c r="A467" s="2"/>
      <c r="B467" s="2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R467" s="5"/>
    </row>
    <row r="468" spans="1:18" ht="12.75" customHeight="1" x14ac:dyDescent="0.2">
      <c r="A468" s="2"/>
      <c r="B468" s="2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R468" s="5"/>
    </row>
    <row r="469" spans="1:18" ht="12.75" customHeight="1" x14ac:dyDescent="0.2">
      <c r="A469" s="2"/>
      <c r="B469" s="2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R469" s="5"/>
    </row>
    <row r="470" spans="1:18" ht="12.75" customHeight="1" x14ac:dyDescent="0.2">
      <c r="A470" s="2"/>
      <c r="B470" s="2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R470" s="5"/>
    </row>
    <row r="471" spans="1:18" ht="12.75" customHeight="1" x14ac:dyDescent="0.2">
      <c r="A471" s="2"/>
      <c r="B471" s="2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R471" s="5"/>
    </row>
    <row r="472" spans="1:18" ht="12.75" customHeight="1" x14ac:dyDescent="0.2">
      <c r="A472" s="2"/>
      <c r="B472" s="2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R472" s="5"/>
    </row>
    <row r="473" spans="1:18" ht="12.75" customHeight="1" x14ac:dyDescent="0.2">
      <c r="A473" s="2"/>
      <c r="B473" s="2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R473" s="5"/>
    </row>
    <row r="474" spans="1:18" ht="12.75" customHeight="1" x14ac:dyDescent="0.2">
      <c r="A474" s="2"/>
      <c r="B474" s="2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R474" s="5"/>
    </row>
    <row r="475" spans="1:18" ht="12.75" customHeight="1" x14ac:dyDescent="0.2">
      <c r="A475" s="2"/>
      <c r="B475" s="2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R475" s="5"/>
    </row>
    <row r="476" spans="1:18" ht="12.75" customHeight="1" x14ac:dyDescent="0.2">
      <c r="A476" s="2"/>
      <c r="B476" s="2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R476" s="5"/>
    </row>
    <row r="477" spans="1:18" ht="12.75" customHeight="1" x14ac:dyDescent="0.2">
      <c r="A477" s="2"/>
      <c r="B477" s="2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R477" s="5"/>
    </row>
    <row r="478" spans="1:18" ht="12.75" customHeight="1" x14ac:dyDescent="0.2">
      <c r="A478" s="2"/>
      <c r="B478" s="2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R478" s="5"/>
    </row>
    <row r="479" spans="1:18" ht="12.75" customHeight="1" x14ac:dyDescent="0.2">
      <c r="A479" s="2"/>
      <c r="B479" s="2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R479" s="5"/>
    </row>
    <row r="480" spans="1:18" ht="12.75" customHeight="1" x14ac:dyDescent="0.2">
      <c r="A480" s="2"/>
      <c r="B480" s="2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R480" s="5"/>
    </row>
    <row r="481" spans="1:18" ht="12.75" customHeight="1" x14ac:dyDescent="0.2">
      <c r="A481" s="2"/>
      <c r="B481" s="2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R481" s="5"/>
    </row>
    <row r="482" spans="1:18" ht="12.75" customHeight="1" x14ac:dyDescent="0.2">
      <c r="A482" s="2"/>
      <c r="B482" s="2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R482" s="5"/>
    </row>
    <row r="483" spans="1:18" ht="12.75" customHeight="1" x14ac:dyDescent="0.2">
      <c r="A483" s="2"/>
      <c r="B483" s="2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R483" s="5"/>
    </row>
    <row r="484" spans="1:18" ht="12.75" customHeight="1" x14ac:dyDescent="0.2">
      <c r="A484" s="2"/>
      <c r="B484" s="2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R484" s="5"/>
    </row>
    <row r="485" spans="1:18" ht="12.75" customHeight="1" x14ac:dyDescent="0.2">
      <c r="A485" s="2"/>
      <c r="B485" s="2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R485" s="5"/>
    </row>
    <row r="486" spans="1:18" ht="12.75" customHeight="1" x14ac:dyDescent="0.2">
      <c r="A486" s="2"/>
      <c r="B486" s="2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R486" s="5"/>
    </row>
    <row r="487" spans="1:18" ht="12.75" customHeight="1" x14ac:dyDescent="0.2">
      <c r="A487" s="2"/>
      <c r="B487" s="2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R487" s="5"/>
    </row>
    <row r="488" spans="1:18" ht="12.75" customHeight="1" x14ac:dyDescent="0.2">
      <c r="A488" s="2"/>
      <c r="B488" s="2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R488" s="5"/>
    </row>
    <row r="489" spans="1:18" ht="12.75" customHeight="1" x14ac:dyDescent="0.2">
      <c r="A489" s="2"/>
      <c r="B489" s="2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R489" s="5"/>
    </row>
    <row r="490" spans="1:18" ht="12.75" customHeight="1" x14ac:dyDescent="0.2">
      <c r="A490" s="2"/>
      <c r="B490" s="2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R490" s="5"/>
    </row>
    <row r="491" spans="1:18" ht="12.75" customHeight="1" x14ac:dyDescent="0.2">
      <c r="A491" s="2"/>
      <c r="B491" s="2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R491" s="5"/>
    </row>
    <row r="492" spans="1:18" ht="12.75" customHeight="1" x14ac:dyDescent="0.2">
      <c r="A492" s="2"/>
      <c r="B492" s="2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R492" s="5"/>
    </row>
    <row r="493" spans="1:18" ht="12.75" customHeight="1" x14ac:dyDescent="0.2">
      <c r="A493" s="2"/>
      <c r="B493" s="2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R493" s="5"/>
    </row>
    <row r="494" spans="1:18" ht="12.75" customHeight="1" x14ac:dyDescent="0.2">
      <c r="A494" s="2"/>
      <c r="B494" s="2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R494" s="5"/>
    </row>
    <row r="495" spans="1:18" ht="12.75" customHeight="1" x14ac:dyDescent="0.2">
      <c r="A495" s="2"/>
      <c r="B495" s="2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R495" s="5"/>
    </row>
    <row r="496" spans="1:18" ht="12.75" customHeight="1" x14ac:dyDescent="0.2">
      <c r="A496" s="2"/>
      <c r="B496" s="2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R496" s="5"/>
    </row>
    <row r="497" spans="1:18" ht="12.75" customHeight="1" x14ac:dyDescent="0.2">
      <c r="A497" s="2"/>
      <c r="B497" s="2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R497" s="5"/>
    </row>
    <row r="498" spans="1:18" ht="12.75" customHeight="1" x14ac:dyDescent="0.2">
      <c r="A498" s="2"/>
      <c r="B498" s="2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R498" s="5"/>
    </row>
    <row r="499" spans="1:18" ht="12.75" customHeight="1" x14ac:dyDescent="0.2">
      <c r="A499" s="2"/>
      <c r="B499" s="2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R499" s="5"/>
    </row>
    <row r="500" spans="1:18" ht="12.75" customHeight="1" x14ac:dyDescent="0.2">
      <c r="A500" s="2"/>
      <c r="B500" s="2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R500" s="5"/>
    </row>
    <row r="501" spans="1:18" ht="12.75" customHeight="1" x14ac:dyDescent="0.2">
      <c r="A501" s="2"/>
      <c r="B501" s="2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R501" s="5"/>
    </row>
    <row r="502" spans="1:18" ht="12.75" customHeight="1" x14ac:dyDescent="0.2">
      <c r="A502" s="2"/>
      <c r="B502" s="2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R502" s="5"/>
    </row>
    <row r="503" spans="1:18" ht="12.75" customHeight="1" x14ac:dyDescent="0.2">
      <c r="A503" s="2"/>
      <c r="B503" s="2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R503" s="5"/>
    </row>
    <row r="504" spans="1:18" ht="12.75" customHeight="1" x14ac:dyDescent="0.2">
      <c r="A504" s="2"/>
      <c r="B504" s="2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R504" s="5"/>
    </row>
    <row r="505" spans="1:18" ht="12.75" customHeight="1" x14ac:dyDescent="0.2">
      <c r="A505" s="2"/>
      <c r="B505" s="2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R505" s="5"/>
    </row>
    <row r="506" spans="1:18" ht="12.75" customHeight="1" x14ac:dyDescent="0.2">
      <c r="A506" s="2"/>
      <c r="B506" s="2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R506" s="5"/>
    </row>
    <row r="507" spans="1:18" ht="12.75" customHeight="1" x14ac:dyDescent="0.2">
      <c r="A507" s="2"/>
      <c r="B507" s="2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R507" s="5"/>
    </row>
    <row r="508" spans="1:18" ht="12.75" customHeight="1" x14ac:dyDescent="0.2">
      <c r="A508" s="2"/>
      <c r="B508" s="2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R508" s="5"/>
    </row>
    <row r="509" spans="1:18" ht="12.75" customHeight="1" x14ac:dyDescent="0.2">
      <c r="A509" s="2"/>
      <c r="B509" s="2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R509" s="5"/>
    </row>
    <row r="510" spans="1:18" ht="12.75" customHeight="1" x14ac:dyDescent="0.2">
      <c r="A510" s="2"/>
      <c r="B510" s="2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R510" s="5"/>
    </row>
    <row r="511" spans="1:18" ht="12.75" customHeight="1" x14ac:dyDescent="0.2">
      <c r="A511" s="2"/>
      <c r="B511" s="2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R511" s="5"/>
    </row>
    <row r="512" spans="1:18" ht="12.75" customHeight="1" x14ac:dyDescent="0.2">
      <c r="A512" s="2"/>
      <c r="B512" s="2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R512" s="5"/>
    </row>
    <row r="513" spans="1:18" ht="12.75" customHeight="1" x14ac:dyDescent="0.2">
      <c r="A513" s="2"/>
      <c r="B513" s="2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R513" s="5"/>
    </row>
    <row r="514" spans="1:18" ht="12.75" customHeight="1" x14ac:dyDescent="0.2">
      <c r="A514" s="2"/>
      <c r="B514" s="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R514" s="5"/>
    </row>
    <row r="515" spans="1:18" ht="12.75" customHeight="1" x14ac:dyDescent="0.2">
      <c r="A515" s="2"/>
      <c r="B515" s="2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R515" s="5"/>
    </row>
    <row r="516" spans="1:18" ht="12.75" customHeight="1" x14ac:dyDescent="0.2">
      <c r="A516" s="2"/>
      <c r="B516" s="2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R516" s="5"/>
    </row>
    <row r="517" spans="1:18" ht="12.75" customHeight="1" x14ac:dyDescent="0.2">
      <c r="A517" s="2"/>
      <c r="B517" s="2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R517" s="5"/>
    </row>
    <row r="518" spans="1:18" ht="12.75" customHeight="1" x14ac:dyDescent="0.2">
      <c r="A518" s="2"/>
      <c r="B518" s="2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R518" s="5"/>
    </row>
    <row r="519" spans="1:18" ht="12.75" customHeight="1" x14ac:dyDescent="0.2">
      <c r="A519" s="2"/>
      <c r="B519" s="2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R519" s="5"/>
    </row>
    <row r="520" spans="1:18" ht="12.75" customHeight="1" x14ac:dyDescent="0.2">
      <c r="A520" s="2"/>
      <c r="B520" s="2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R520" s="5"/>
    </row>
    <row r="521" spans="1:18" ht="12.75" customHeight="1" x14ac:dyDescent="0.2">
      <c r="A521" s="2"/>
      <c r="B521" s="2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R521" s="5"/>
    </row>
    <row r="522" spans="1:18" ht="12.75" customHeight="1" x14ac:dyDescent="0.2">
      <c r="A522" s="2"/>
      <c r="B522" s="2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R522" s="5"/>
    </row>
    <row r="523" spans="1:18" ht="12.75" customHeight="1" x14ac:dyDescent="0.2">
      <c r="A523" s="2"/>
      <c r="B523" s="2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R523" s="5"/>
    </row>
    <row r="524" spans="1:18" ht="12.75" customHeight="1" x14ac:dyDescent="0.2">
      <c r="A524" s="2"/>
      <c r="B524" s="2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R524" s="5"/>
    </row>
    <row r="525" spans="1:18" ht="12.75" customHeight="1" x14ac:dyDescent="0.2">
      <c r="A525" s="2"/>
      <c r="B525" s="2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R525" s="5"/>
    </row>
    <row r="526" spans="1:18" ht="12.75" customHeight="1" x14ac:dyDescent="0.2">
      <c r="A526" s="2"/>
      <c r="B526" s="2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R526" s="5"/>
    </row>
    <row r="527" spans="1:18" ht="12.75" customHeight="1" x14ac:dyDescent="0.2">
      <c r="A527" s="2"/>
      <c r="B527" s="2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R527" s="5"/>
    </row>
    <row r="528" spans="1:18" ht="12.75" customHeight="1" x14ac:dyDescent="0.2">
      <c r="A528" s="2"/>
      <c r="B528" s="2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R528" s="5"/>
    </row>
    <row r="529" spans="1:18" ht="12.75" customHeight="1" x14ac:dyDescent="0.2">
      <c r="A529" s="2"/>
      <c r="B529" s="2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R529" s="5"/>
    </row>
    <row r="530" spans="1:18" ht="12.75" customHeight="1" x14ac:dyDescent="0.2">
      <c r="A530" s="2"/>
      <c r="B530" s="2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R530" s="5"/>
    </row>
    <row r="531" spans="1:18" ht="12.75" customHeight="1" x14ac:dyDescent="0.2">
      <c r="A531" s="2"/>
      <c r="B531" s="2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R531" s="5"/>
    </row>
    <row r="532" spans="1:18" ht="12.75" customHeight="1" x14ac:dyDescent="0.2">
      <c r="A532" s="2"/>
      <c r="B532" s="2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R532" s="5"/>
    </row>
    <row r="533" spans="1:18" ht="12.75" customHeight="1" x14ac:dyDescent="0.2">
      <c r="A533" s="2"/>
      <c r="B533" s="2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R533" s="5"/>
    </row>
    <row r="534" spans="1:18" ht="12.75" customHeight="1" x14ac:dyDescent="0.2">
      <c r="A534" s="2"/>
      <c r="B534" s="2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R534" s="5"/>
    </row>
    <row r="535" spans="1:18" ht="12.75" customHeight="1" x14ac:dyDescent="0.2">
      <c r="A535" s="2"/>
      <c r="B535" s="2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R535" s="5"/>
    </row>
    <row r="536" spans="1:18" ht="12.75" customHeight="1" x14ac:dyDescent="0.2">
      <c r="A536" s="2"/>
      <c r="B536" s="2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R536" s="5"/>
    </row>
    <row r="537" spans="1:18" ht="12.75" customHeight="1" x14ac:dyDescent="0.2">
      <c r="A537" s="2"/>
      <c r="B537" s="2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R537" s="5"/>
    </row>
    <row r="538" spans="1:18" ht="12.75" customHeight="1" x14ac:dyDescent="0.2">
      <c r="A538" s="2"/>
      <c r="B538" s="2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R538" s="5"/>
    </row>
    <row r="539" spans="1:18" ht="12.75" customHeight="1" x14ac:dyDescent="0.2">
      <c r="A539" s="2"/>
      <c r="B539" s="2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R539" s="5"/>
    </row>
    <row r="540" spans="1:18" ht="12.75" customHeight="1" x14ac:dyDescent="0.2">
      <c r="A540" s="2"/>
      <c r="B540" s="2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R540" s="5"/>
    </row>
    <row r="541" spans="1:18" ht="12.75" customHeight="1" x14ac:dyDescent="0.2">
      <c r="A541" s="2"/>
      <c r="B541" s="2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R541" s="5"/>
    </row>
    <row r="542" spans="1:18" ht="12.75" customHeight="1" x14ac:dyDescent="0.2">
      <c r="A542" s="2"/>
      <c r="B542" s="2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R542" s="5"/>
    </row>
    <row r="543" spans="1:18" ht="12.75" customHeight="1" x14ac:dyDescent="0.2">
      <c r="A543" s="2"/>
      <c r="B543" s="2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R543" s="5"/>
    </row>
    <row r="544" spans="1:18" ht="12.75" customHeight="1" x14ac:dyDescent="0.2">
      <c r="A544" s="2"/>
      <c r="B544" s="2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R544" s="5"/>
    </row>
    <row r="545" spans="1:18" ht="12.75" customHeight="1" x14ac:dyDescent="0.2">
      <c r="A545" s="2"/>
      <c r="B545" s="2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R545" s="5"/>
    </row>
    <row r="546" spans="1:18" ht="12.75" customHeight="1" x14ac:dyDescent="0.2">
      <c r="A546" s="2"/>
      <c r="B546" s="2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R546" s="5"/>
    </row>
    <row r="547" spans="1:18" ht="12.75" customHeight="1" x14ac:dyDescent="0.2">
      <c r="A547" s="2"/>
      <c r="B547" s="2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R547" s="5"/>
    </row>
    <row r="548" spans="1:18" ht="12.75" customHeight="1" x14ac:dyDescent="0.2">
      <c r="A548" s="2"/>
      <c r="B548" s="2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R548" s="5"/>
    </row>
    <row r="549" spans="1:18" ht="12.75" customHeight="1" x14ac:dyDescent="0.2">
      <c r="A549" s="2"/>
      <c r="B549" s="2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R549" s="5"/>
    </row>
    <row r="550" spans="1:18" ht="12.75" customHeight="1" x14ac:dyDescent="0.2">
      <c r="A550" s="2"/>
      <c r="B550" s="2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R550" s="5"/>
    </row>
    <row r="551" spans="1:18" ht="12.75" customHeight="1" x14ac:dyDescent="0.2">
      <c r="A551" s="2"/>
      <c r="B551" s="2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R551" s="5"/>
    </row>
    <row r="552" spans="1:18" ht="12.75" customHeight="1" x14ac:dyDescent="0.2">
      <c r="A552" s="2"/>
      <c r="B552" s="2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R552" s="5"/>
    </row>
    <row r="553" spans="1:18" ht="12.75" customHeight="1" x14ac:dyDescent="0.2">
      <c r="A553" s="2"/>
      <c r="B553" s="2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R553" s="5"/>
    </row>
    <row r="554" spans="1:18" ht="12.75" customHeight="1" x14ac:dyDescent="0.2">
      <c r="A554" s="2"/>
      <c r="B554" s="2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R554" s="5"/>
    </row>
    <row r="555" spans="1:18" ht="12.75" customHeight="1" x14ac:dyDescent="0.2">
      <c r="A555" s="2"/>
      <c r="B555" s="2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R555" s="5"/>
    </row>
    <row r="556" spans="1:18" ht="12.75" customHeight="1" x14ac:dyDescent="0.2">
      <c r="A556" s="2"/>
      <c r="B556" s="2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R556" s="5"/>
    </row>
    <row r="557" spans="1:18" ht="12.75" customHeight="1" x14ac:dyDescent="0.2">
      <c r="A557" s="2"/>
      <c r="B557" s="2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R557" s="5"/>
    </row>
    <row r="558" spans="1:18" ht="12.75" customHeight="1" x14ac:dyDescent="0.2">
      <c r="A558" s="2"/>
      <c r="B558" s="2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R558" s="5"/>
    </row>
    <row r="559" spans="1:18" ht="12.75" customHeight="1" x14ac:dyDescent="0.2">
      <c r="A559" s="2"/>
      <c r="B559" s="2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R559" s="5"/>
    </row>
    <row r="560" spans="1:18" ht="12.75" customHeight="1" x14ac:dyDescent="0.2">
      <c r="A560" s="2"/>
      <c r="B560" s="2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R560" s="5"/>
    </row>
    <row r="561" spans="1:18" ht="12.75" customHeight="1" x14ac:dyDescent="0.2">
      <c r="A561" s="2"/>
      <c r="B561" s="2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R561" s="5"/>
    </row>
    <row r="562" spans="1:18" ht="12.75" customHeight="1" x14ac:dyDescent="0.2">
      <c r="A562" s="2"/>
      <c r="B562" s="2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R562" s="5"/>
    </row>
    <row r="563" spans="1:18" ht="12.75" customHeight="1" x14ac:dyDescent="0.2">
      <c r="A563" s="2"/>
      <c r="B563" s="2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R563" s="5"/>
    </row>
    <row r="564" spans="1:18" ht="12.75" customHeight="1" x14ac:dyDescent="0.2">
      <c r="A564" s="2"/>
      <c r="B564" s="2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R564" s="5"/>
    </row>
    <row r="565" spans="1:18" ht="12.75" customHeight="1" x14ac:dyDescent="0.2">
      <c r="A565" s="2"/>
      <c r="B565" s="2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R565" s="5"/>
    </row>
    <row r="566" spans="1:18" ht="12.75" customHeight="1" x14ac:dyDescent="0.2">
      <c r="A566" s="2"/>
      <c r="B566" s="2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R566" s="5"/>
    </row>
    <row r="567" spans="1:18" ht="12.75" customHeight="1" x14ac:dyDescent="0.2">
      <c r="A567" s="2"/>
      <c r="B567" s="2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R567" s="5"/>
    </row>
    <row r="568" spans="1:18" ht="12.75" customHeight="1" x14ac:dyDescent="0.2">
      <c r="A568" s="2"/>
      <c r="B568" s="2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R568" s="5"/>
    </row>
    <row r="569" spans="1:18" ht="12.75" customHeight="1" x14ac:dyDescent="0.2">
      <c r="A569" s="2"/>
      <c r="B569" s="2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R569" s="5"/>
    </row>
    <row r="570" spans="1:18" ht="12.75" customHeight="1" x14ac:dyDescent="0.2">
      <c r="A570" s="2"/>
      <c r="B570" s="2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R570" s="5"/>
    </row>
    <row r="571" spans="1:18" ht="12.75" customHeight="1" x14ac:dyDescent="0.2">
      <c r="A571" s="2"/>
      <c r="B571" s="2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R571" s="5"/>
    </row>
    <row r="572" spans="1:18" ht="12.75" customHeight="1" x14ac:dyDescent="0.2">
      <c r="A572" s="2"/>
      <c r="B572" s="2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R572" s="5"/>
    </row>
    <row r="573" spans="1:18" ht="12.75" customHeight="1" x14ac:dyDescent="0.2">
      <c r="A573" s="2"/>
      <c r="B573" s="2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R573" s="5"/>
    </row>
    <row r="574" spans="1:18" ht="12.75" customHeight="1" x14ac:dyDescent="0.2">
      <c r="A574" s="2"/>
      <c r="B574" s="2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R574" s="5"/>
    </row>
    <row r="575" spans="1:18" ht="12.75" customHeight="1" x14ac:dyDescent="0.2">
      <c r="A575" s="2"/>
      <c r="B575" s="2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R575" s="5"/>
    </row>
    <row r="576" spans="1:18" ht="12.75" customHeight="1" x14ac:dyDescent="0.2">
      <c r="A576" s="2"/>
      <c r="B576" s="2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R576" s="5"/>
    </row>
    <row r="577" spans="1:18" ht="12.75" customHeight="1" x14ac:dyDescent="0.2">
      <c r="A577" s="2"/>
      <c r="B577" s="2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R577" s="5"/>
    </row>
    <row r="578" spans="1:18" ht="12.75" customHeight="1" x14ac:dyDescent="0.2">
      <c r="A578" s="2"/>
      <c r="B578" s="2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R578" s="5"/>
    </row>
    <row r="579" spans="1:18" ht="12.75" customHeight="1" x14ac:dyDescent="0.2">
      <c r="A579" s="2"/>
      <c r="B579" s="2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R579" s="5"/>
    </row>
    <row r="580" spans="1:18" ht="12.75" customHeight="1" x14ac:dyDescent="0.2">
      <c r="A580" s="2"/>
      <c r="B580" s="2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R580" s="5"/>
    </row>
    <row r="581" spans="1:18" ht="12.75" customHeight="1" x14ac:dyDescent="0.2">
      <c r="A581" s="2"/>
      <c r="B581" s="2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R581" s="5"/>
    </row>
    <row r="582" spans="1:18" ht="12.75" customHeight="1" x14ac:dyDescent="0.2">
      <c r="A582" s="2"/>
      <c r="B582" s="2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R582" s="5"/>
    </row>
    <row r="583" spans="1:18" ht="12.75" customHeight="1" x14ac:dyDescent="0.2">
      <c r="A583" s="2"/>
      <c r="B583" s="2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R583" s="5"/>
    </row>
    <row r="584" spans="1:18" ht="12.75" customHeight="1" x14ac:dyDescent="0.2">
      <c r="A584" s="2"/>
      <c r="B584" s="2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R584" s="5"/>
    </row>
    <row r="585" spans="1:18" ht="12.75" customHeight="1" x14ac:dyDescent="0.2">
      <c r="A585" s="2"/>
      <c r="B585" s="2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R585" s="5"/>
    </row>
    <row r="586" spans="1:18" ht="12.75" customHeight="1" x14ac:dyDescent="0.2">
      <c r="A586" s="2"/>
      <c r="B586" s="2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R586" s="5"/>
    </row>
    <row r="587" spans="1:18" ht="12.75" customHeight="1" x14ac:dyDescent="0.2">
      <c r="A587" s="2"/>
      <c r="B587" s="2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R587" s="5"/>
    </row>
    <row r="588" spans="1:18" ht="12.75" customHeight="1" x14ac:dyDescent="0.2">
      <c r="A588" s="2"/>
      <c r="B588" s="2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R588" s="5"/>
    </row>
    <row r="589" spans="1:18" ht="12.75" customHeight="1" x14ac:dyDescent="0.2">
      <c r="A589" s="2"/>
      <c r="B589" s="2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R589" s="5"/>
    </row>
    <row r="590" spans="1:18" ht="12.75" customHeight="1" x14ac:dyDescent="0.2">
      <c r="A590" s="2"/>
      <c r="B590" s="2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R590" s="5"/>
    </row>
    <row r="591" spans="1:18" ht="12.75" customHeight="1" x14ac:dyDescent="0.2">
      <c r="A591" s="2"/>
      <c r="B591" s="2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R591" s="5"/>
    </row>
    <row r="592" spans="1:18" ht="12.75" customHeight="1" x14ac:dyDescent="0.2">
      <c r="A592" s="2"/>
      <c r="B592" s="2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R592" s="5"/>
    </row>
    <row r="593" spans="1:18" ht="12.75" customHeight="1" x14ac:dyDescent="0.2">
      <c r="A593" s="2"/>
      <c r="B593" s="2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R593" s="5"/>
    </row>
    <row r="594" spans="1:18" ht="12.75" customHeight="1" x14ac:dyDescent="0.2">
      <c r="A594" s="2"/>
      <c r="B594" s="2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R594" s="5"/>
    </row>
    <row r="595" spans="1:18" ht="12.75" customHeight="1" x14ac:dyDescent="0.2">
      <c r="A595" s="2"/>
      <c r="B595" s="2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R595" s="5"/>
    </row>
    <row r="596" spans="1:18" ht="12.75" customHeight="1" x14ac:dyDescent="0.2">
      <c r="A596" s="2"/>
      <c r="B596" s="2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R596" s="5"/>
    </row>
    <row r="597" spans="1:18" ht="12.75" customHeight="1" x14ac:dyDescent="0.2">
      <c r="A597" s="2"/>
      <c r="B597" s="2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R597" s="5"/>
    </row>
    <row r="598" spans="1:18" ht="12.75" customHeight="1" x14ac:dyDescent="0.2">
      <c r="A598" s="2"/>
      <c r="B598" s="2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R598" s="5"/>
    </row>
    <row r="599" spans="1:18" ht="12.75" customHeight="1" x14ac:dyDescent="0.2">
      <c r="A599" s="2"/>
      <c r="B599" s="2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R599" s="5"/>
    </row>
    <row r="600" spans="1:18" ht="12.75" customHeight="1" x14ac:dyDescent="0.2">
      <c r="A600" s="2"/>
      <c r="B600" s="2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R600" s="5"/>
    </row>
    <row r="601" spans="1:18" ht="12.75" customHeight="1" x14ac:dyDescent="0.2">
      <c r="A601" s="2"/>
      <c r="B601" s="2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R601" s="5"/>
    </row>
    <row r="602" spans="1:18" ht="12.75" customHeight="1" x14ac:dyDescent="0.2">
      <c r="A602" s="2"/>
      <c r="B602" s="2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R602" s="5"/>
    </row>
    <row r="603" spans="1:18" ht="12.75" customHeight="1" x14ac:dyDescent="0.2">
      <c r="A603" s="2"/>
      <c r="B603" s="2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R603" s="5"/>
    </row>
    <row r="604" spans="1:18" ht="12.75" customHeight="1" x14ac:dyDescent="0.2">
      <c r="A604" s="2"/>
      <c r="B604" s="2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R604" s="5"/>
    </row>
    <row r="605" spans="1:18" ht="12.75" customHeight="1" x14ac:dyDescent="0.2">
      <c r="A605" s="2"/>
      <c r="B605" s="2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R605" s="5"/>
    </row>
    <row r="606" spans="1:18" ht="12.75" customHeight="1" x14ac:dyDescent="0.2">
      <c r="A606" s="2"/>
      <c r="B606" s="2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R606" s="5"/>
    </row>
    <row r="607" spans="1:18" ht="12.75" customHeight="1" x14ac:dyDescent="0.2">
      <c r="A607" s="2"/>
      <c r="B607" s="2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R607" s="5"/>
    </row>
    <row r="608" spans="1:18" ht="12.75" customHeight="1" x14ac:dyDescent="0.2">
      <c r="A608" s="2"/>
      <c r="B608" s="2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R608" s="5"/>
    </row>
    <row r="609" spans="1:18" ht="12.75" customHeight="1" x14ac:dyDescent="0.2">
      <c r="A609" s="2"/>
      <c r="B609" s="2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R609" s="5"/>
    </row>
    <row r="610" spans="1:18" ht="12.75" customHeight="1" x14ac:dyDescent="0.2">
      <c r="A610" s="2"/>
      <c r="B610" s="2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R610" s="5"/>
    </row>
    <row r="611" spans="1:18" ht="12.75" customHeight="1" x14ac:dyDescent="0.2">
      <c r="A611" s="2"/>
      <c r="B611" s="2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R611" s="5"/>
    </row>
    <row r="612" spans="1:18" ht="12.75" customHeight="1" x14ac:dyDescent="0.2">
      <c r="A612" s="2"/>
      <c r="B612" s="2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R612" s="5"/>
    </row>
    <row r="613" spans="1:18" ht="12.75" customHeight="1" x14ac:dyDescent="0.2">
      <c r="A613" s="2"/>
      <c r="B613" s="2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R613" s="5"/>
    </row>
    <row r="614" spans="1:18" ht="12.75" customHeight="1" x14ac:dyDescent="0.2">
      <c r="A614" s="2"/>
      <c r="B614" s="2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R614" s="5"/>
    </row>
    <row r="615" spans="1:18" ht="12.75" customHeight="1" x14ac:dyDescent="0.2">
      <c r="A615" s="2"/>
      <c r="B615" s="2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R615" s="5"/>
    </row>
    <row r="616" spans="1:18" ht="12.75" customHeight="1" x14ac:dyDescent="0.2">
      <c r="A616" s="2"/>
      <c r="B616" s="2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R616" s="5"/>
    </row>
    <row r="617" spans="1:18" ht="12.75" customHeight="1" x14ac:dyDescent="0.2">
      <c r="A617" s="2"/>
      <c r="B617" s="2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R617" s="5"/>
    </row>
    <row r="618" spans="1:18" ht="12.75" customHeight="1" x14ac:dyDescent="0.2">
      <c r="A618" s="2"/>
      <c r="B618" s="2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R618" s="5"/>
    </row>
    <row r="619" spans="1:18" ht="12.75" customHeight="1" x14ac:dyDescent="0.2">
      <c r="A619" s="2"/>
      <c r="B619" s="2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R619" s="5"/>
    </row>
    <row r="620" spans="1:18" ht="12.75" customHeight="1" x14ac:dyDescent="0.2">
      <c r="A620" s="2"/>
      <c r="B620" s="2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R620" s="5"/>
    </row>
    <row r="621" spans="1:18" ht="12.75" customHeight="1" x14ac:dyDescent="0.2">
      <c r="A621" s="2"/>
      <c r="B621" s="2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R621" s="5"/>
    </row>
    <row r="622" spans="1:18" ht="12.75" customHeight="1" x14ac:dyDescent="0.2">
      <c r="A622" s="2"/>
      <c r="B622" s="2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R622" s="5"/>
    </row>
    <row r="623" spans="1:18" ht="12.75" customHeight="1" x14ac:dyDescent="0.2">
      <c r="A623" s="2"/>
      <c r="B623" s="2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R623" s="5"/>
    </row>
    <row r="624" spans="1:18" ht="12.75" customHeight="1" x14ac:dyDescent="0.2">
      <c r="A624" s="2"/>
      <c r="B624" s="2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R624" s="5"/>
    </row>
    <row r="625" spans="1:18" ht="12.75" customHeight="1" x14ac:dyDescent="0.2">
      <c r="A625" s="2"/>
      <c r="B625" s="2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R625" s="5"/>
    </row>
    <row r="626" spans="1:18" ht="12.75" customHeight="1" x14ac:dyDescent="0.2">
      <c r="A626" s="2"/>
      <c r="B626" s="2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R626" s="5"/>
    </row>
    <row r="627" spans="1:18" ht="12.75" customHeight="1" x14ac:dyDescent="0.2">
      <c r="A627" s="2"/>
      <c r="B627" s="2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R627" s="5"/>
    </row>
    <row r="628" spans="1:18" ht="12.75" customHeight="1" x14ac:dyDescent="0.2">
      <c r="A628" s="2"/>
      <c r="B628" s="2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R628" s="5"/>
    </row>
    <row r="629" spans="1:18" ht="12.75" customHeight="1" x14ac:dyDescent="0.2">
      <c r="A629" s="2"/>
      <c r="B629" s="2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R629" s="5"/>
    </row>
    <row r="630" spans="1:18" ht="12.75" customHeight="1" x14ac:dyDescent="0.2">
      <c r="A630" s="2"/>
      <c r="B630" s="2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R630" s="5"/>
    </row>
    <row r="631" spans="1:18" ht="12.75" customHeight="1" x14ac:dyDescent="0.2">
      <c r="A631" s="2"/>
      <c r="B631" s="2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R631" s="5"/>
    </row>
    <row r="632" spans="1:18" ht="12.75" customHeight="1" x14ac:dyDescent="0.2">
      <c r="A632" s="2"/>
      <c r="B632" s="2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R632" s="5"/>
    </row>
    <row r="633" spans="1:18" ht="12.75" customHeight="1" x14ac:dyDescent="0.2">
      <c r="A633" s="2"/>
      <c r="B633" s="2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R633" s="5"/>
    </row>
    <row r="634" spans="1:18" ht="12.75" customHeight="1" x14ac:dyDescent="0.2">
      <c r="A634" s="2"/>
      <c r="B634" s="2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R634" s="5"/>
    </row>
    <row r="635" spans="1:18" ht="12.75" customHeight="1" x14ac:dyDescent="0.2">
      <c r="A635" s="2"/>
      <c r="B635" s="2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R635" s="5"/>
    </row>
    <row r="636" spans="1:18" ht="12.75" customHeight="1" x14ac:dyDescent="0.2">
      <c r="A636" s="2"/>
      <c r="B636" s="2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R636" s="5"/>
    </row>
    <row r="637" spans="1:18" ht="12.75" customHeight="1" x14ac:dyDescent="0.2">
      <c r="A637" s="2"/>
      <c r="B637" s="2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R637" s="5"/>
    </row>
    <row r="638" spans="1:18" ht="12.75" customHeight="1" x14ac:dyDescent="0.2">
      <c r="A638" s="2"/>
      <c r="B638" s="2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R638" s="5"/>
    </row>
    <row r="639" spans="1:18" ht="12.75" customHeight="1" x14ac:dyDescent="0.2">
      <c r="A639" s="2"/>
      <c r="B639" s="2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R639" s="5"/>
    </row>
    <row r="640" spans="1:18" ht="12.75" customHeight="1" x14ac:dyDescent="0.2">
      <c r="A640" s="2"/>
      <c r="B640" s="2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R640" s="5"/>
    </row>
    <row r="641" spans="1:18" ht="12.75" customHeight="1" x14ac:dyDescent="0.2">
      <c r="A641" s="2"/>
      <c r="B641" s="2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R641" s="5"/>
    </row>
    <row r="642" spans="1:18" ht="12.75" customHeight="1" x14ac:dyDescent="0.2">
      <c r="A642" s="2"/>
      <c r="B642" s="2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R642" s="5"/>
    </row>
    <row r="643" spans="1:18" ht="12.75" customHeight="1" x14ac:dyDescent="0.2">
      <c r="A643" s="2"/>
      <c r="B643" s="2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R643" s="5"/>
    </row>
    <row r="644" spans="1:18" ht="12.75" customHeight="1" x14ac:dyDescent="0.2">
      <c r="A644" s="2"/>
      <c r="B644" s="2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R644" s="5"/>
    </row>
    <row r="645" spans="1:18" ht="12.75" customHeight="1" x14ac:dyDescent="0.2">
      <c r="A645" s="2"/>
      <c r="B645" s="2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R645" s="5"/>
    </row>
    <row r="646" spans="1:18" ht="12.75" customHeight="1" x14ac:dyDescent="0.2">
      <c r="A646" s="2"/>
      <c r="B646" s="2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R646" s="5"/>
    </row>
    <row r="647" spans="1:18" ht="12.75" customHeight="1" x14ac:dyDescent="0.2">
      <c r="A647" s="2"/>
      <c r="B647" s="2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R647" s="5"/>
    </row>
    <row r="648" spans="1:18" ht="12.75" customHeight="1" x14ac:dyDescent="0.2">
      <c r="A648" s="2"/>
      <c r="B648" s="2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R648" s="5"/>
    </row>
    <row r="649" spans="1:18" ht="12.75" customHeight="1" x14ac:dyDescent="0.2">
      <c r="A649" s="2"/>
      <c r="B649" s="2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R649" s="5"/>
    </row>
    <row r="650" spans="1:18" ht="12.75" customHeight="1" x14ac:dyDescent="0.2">
      <c r="A650" s="2"/>
      <c r="B650" s="2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R650" s="5"/>
    </row>
    <row r="651" spans="1:18" ht="12.75" customHeight="1" x14ac:dyDescent="0.2">
      <c r="A651" s="2"/>
      <c r="B651" s="2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R651" s="5"/>
    </row>
    <row r="652" spans="1:18" ht="12.75" customHeight="1" x14ac:dyDescent="0.2">
      <c r="A652" s="2"/>
      <c r="B652" s="2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R652" s="5"/>
    </row>
    <row r="653" spans="1:18" ht="12.75" customHeight="1" x14ac:dyDescent="0.2">
      <c r="A653" s="2"/>
      <c r="B653" s="2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R653" s="5"/>
    </row>
    <row r="654" spans="1:18" ht="12.75" customHeight="1" x14ac:dyDescent="0.2">
      <c r="A654" s="2"/>
      <c r="B654" s="2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R654" s="5"/>
    </row>
    <row r="655" spans="1:18" ht="12.75" customHeight="1" x14ac:dyDescent="0.2">
      <c r="A655" s="2"/>
      <c r="B655" s="2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R655" s="5"/>
    </row>
    <row r="656" spans="1:18" ht="12.75" customHeight="1" x14ac:dyDescent="0.2">
      <c r="A656" s="2"/>
      <c r="B656" s="2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R656" s="5"/>
    </row>
    <row r="657" spans="1:18" ht="12.75" customHeight="1" x14ac:dyDescent="0.2">
      <c r="A657" s="2"/>
      <c r="B657" s="2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R657" s="5"/>
    </row>
    <row r="658" spans="1:18" ht="12.75" customHeight="1" x14ac:dyDescent="0.2">
      <c r="A658" s="2"/>
      <c r="B658" s="2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R658" s="5"/>
    </row>
    <row r="659" spans="1:18" ht="12.75" customHeight="1" x14ac:dyDescent="0.2">
      <c r="A659" s="2"/>
      <c r="B659" s="2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R659" s="5"/>
    </row>
    <row r="660" spans="1:18" ht="12.75" customHeight="1" x14ac:dyDescent="0.2">
      <c r="A660" s="2"/>
      <c r="B660" s="2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R660" s="5"/>
    </row>
    <row r="661" spans="1:18" ht="12.75" customHeight="1" x14ac:dyDescent="0.2">
      <c r="A661" s="2"/>
      <c r="B661" s="2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R661" s="5"/>
    </row>
    <row r="662" spans="1:18" ht="12.75" customHeight="1" x14ac:dyDescent="0.2">
      <c r="A662" s="2"/>
      <c r="B662" s="2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R662" s="5"/>
    </row>
    <row r="663" spans="1:18" ht="12.75" customHeight="1" x14ac:dyDescent="0.2">
      <c r="A663" s="2"/>
      <c r="B663" s="2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R663" s="5"/>
    </row>
    <row r="664" spans="1:18" ht="12.75" customHeight="1" x14ac:dyDescent="0.2">
      <c r="A664" s="2"/>
      <c r="B664" s="2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R664" s="5"/>
    </row>
    <row r="665" spans="1:18" ht="12.75" customHeight="1" x14ac:dyDescent="0.2">
      <c r="A665" s="2"/>
      <c r="B665" s="2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R665" s="5"/>
    </row>
    <row r="666" spans="1:18" ht="12.75" customHeight="1" x14ac:dyDescent="0.2">
      <c r="A666" s="2"/>
      <c r="B666" s="2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R666" s="5"/>
    </row>
    <row r="667" spans="1:18" ht="12.75" customHeight="1" x14ac:dyDescent="0.2">
      <c r="A667" s="2"/>
      <c r="B667" s="2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R667" s="5"/>
    </row>
    <row r="668" spans="1:18" ht="12.75" customHeight="1" x14ac:dyDescent="0.2">
      <c r="A668" s="2"/>
      <c r="B668" s="2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R668" s="5"/>
    </row>
    <row r="669" spans="1:18" ht="12.75" customHeight="1" x14ac:dyDescent="0.2">
      <c r="A669" s="2"/>
      <c r="B669" s="2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R669" s="5"/>
    </row>
    <row r="670" spans="1:18" ht="12.75" customHeight="1" x14ac:dyDescent="0.2">
      <c r="A670" s="2"/>
      <c r="B670" s="2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R670" s="5"/>
    </row>
    <row r="671" spans="1:18" ht="12.75" customHeight="1" x14ac:dyDescent="0.2">
      <c r="A671" s="2"/>
      <c r="B671" s="2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R671" s="5"/>
    </row>
    <row r="672" spans="1:18" ht="12.75" customHeight="1" x14ac:dyDescent="0.2">
      <c r="A672" s="2"/>
      <c r="B672" s="2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R672" s="5"/>
    </row>
    <row r="673" spans="1:18" ht="12.75" customHeight="1" x14ac:dyDescent="0.2">
      <c r="A673" s="2"/>
      <c r="B673" s="2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R673" s="5"/>
    </row>
    <row r="674" spans="1:18" ht="12.75" customHeight="1" x14ac:dyDescent="0.2">
      <c r="A674" s="2"/>
      <c r="B674" s="2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R674" s="5"/>
    </row>
    <row r="675" spans="1:18" ht="12.75" customHeight="1" x14ac:dyDescent="0.2">
      <c r="A675" s="2"/>
      <c r="B675" s="2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R675" s="5"/>
    </row>
    <row r="676" spans="1:18" ht="12.75" customHeight="1" x14ac:dyDescent="0.2">
      <c r="A676" s="2"/>
      <c r="B676" s="2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R676" s="5"/>
    </row>
    <row r="677" spans="1:18" ht="12.75" customHeight="1" x14ac:dyDescent="0.2">
      <c r="A677" s="2"/>
      <c r="B677" s="2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R677" s="5"/>
    </row>
    <row r="678" spans="1:18" ht="12.75" customHeight="1" x14ac:dyDescent="0.2">
      <c r="A678" s="2"/>
      <c r="B678" s="2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R678" s="5"/>
    </row>
    <row r="679" spans="1:18" ht="12.75" customHeight="1" x14ac:dyDescent="0.2">
      <c r="A679" s="2"/>
      <c r="B679" s="2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R679" s="5"/>
    </row>
    <row r="680" spans="1:18" ht="12.75" customHeight="1" x14ac:dyDescent="0.2">
      <c r="A680" s="2"/>
      <c r="B680" s="2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R680" s="5"/>
    </row>
    <row r="681" spans="1:18" ht="12.75" customHeight="1" x14ac:dyDescent="0.2">
      <c r="A681" s="2"/>
      <c r="B681" s="2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R681" s="5"/>
    </row>
    <row r="682" spans="1:18" ht="12.75" customHeight="1" x14ac:dyDescent="0.2">
      <c r="A682" s="2"/>
      <c r="B682" s="2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R682" s="5"/>
    </row>
    <row r="683" spans="1:18" ht="12.75" customHeight="1" x14ac:dyDescent="0.2">
      <c r="A683" s="2"/>
      <c r="B683" s="2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R683" s="5"/>
    </row>
    <row r="684" spans="1:18" ht="12.75" customHeight="1" x14ac:dyDescent="0.2">
      <c r="A684" s="2"/>
      <c r="B684" s="2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R684" s="5"/>
    </row>
    <row r="685" spans="1:18" ht="12.75" customHeight="1" x14ac:dyDescent="0.2">
      <c r="A685" s="2"/>
      <c r="B685" s="2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R685" s="5"/>
    </row>
    <row r="686" spans="1:18" ht="12.75" customHeight="1" x14ac:dyDescent="0.2">
      <c r="A686" s="2"/>
      <c r="B686" s="2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R686" s="5"/>
    </row>
    <row r="687" spans="1:18" ht="12.75" customHeight="1" x14ac:dyDescent="0.2">
      <c r="A687" s="2"/>
      <c r="B687" s="2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R687" s="5"/>
    </row>
    <row r="688" spans="1:18" ht="12.75" customHeight="1" x14ac:dyDescent="0.2">
      <c r="A688" s="2"/>
      <c r="B688" s="2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R688" s="5"/>
    </row>
    <row r="689" spans="1:18" ht="12.75" customHeight="1" x14ac:dyDescent="0.2">
      <c r="A689" s="2"/>
      <c r="B689" s="2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R689" s="5"/>
    </row>
    <row r="690" spans="1:18" ht="12.75" customHeight="1" x14ac:dyDescent="0.2">
      <c r="A690" s="2"/>
      <c r="B690" s="2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R690" s="5"/>
    </row>
    <row r="691" spans="1:18" ht="12.75" customHeight="1" x14ac:dyDescent="0.2">
      <c r="A691" s="2"/>
      <c r="B691" s="2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R691" s="5"/>
    </row>
    <row r="692" spans="1:18" ht="12.75" customHeight="1" x14ac:dyDescent="0.2">
      <c r="A692" s="2"/>
      <c r="B692" s="2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R692" s="5"/>
    </row>
    <row r="693" spans="1:18" ht="12.75" customHeight="1" x14ac:dyDescent="0.2">
      <c r="A693" s="2"/>
      <c r="B693" s="2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R693" s="5"/>
    </row>
    <row r="694" spans="1:18" ht="12.75" customHeight="1" x14ac:dyDescent="0.2">
      <c r="A694" s="2"/>
      <c r="B694" s="2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R694" s="5"/>
    </row>
    <row r="695" spans="1:18" ht="12.75" customHeight="1" x14ac:dyDescent="0.2">
      <c r="A695" s="2"/>
      <c r="B695" s="2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R695" s="5"/>
    </row>
    <row r="696" spans="1:18" ht="12.75" customHeight="1" x14ac:dyDescent="0.2">
      <c r="A696" s="2"/>
      <c r="B696" s="2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R696" s="5"/>
    </row>
    <row r="697" spans="1:18" ht="12.75" customHeight="1" x14ac:dyDescent="0.2">
      <c r="A697" s="2"/>
      <c r="B697" s="2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R697" s="5"/>
    </row>
    <row r="698" spans="1:18" ht="12.75" customHeight="1" x14ac:dyDescent="0.2">
      <c r="A698" s="2"/>
      <c r="B698" s="2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R698" s="5"/>
    </row>
    <row r="699" spans="1:18" ht="12.75" customHeight="1" x14ac:dyDescent="0.2">
      <c r="A699" s="2"/>
      <c r="B699" s="2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R699" s="5"/>
    </row>
    <row r="700" spans="1:18" ht="12.75" customHeight="1" x14ac:dyDescent="0.2">
      <c r="A700" s="2"/>
      <c r="B700" s="2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R700" s="5"/>
    </row>
    <row r="701" spans="1:18" ht="12.75" customHeight="1" x14ac:dyDescent="0.2">
      <c r="A701" s="2"/>
      <c r="B701" s="2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R701" s="5"/>
    </row>
    <row r="702" spans="1:18" ht="12.75" customHeight="1" x14ac:dyDescent="0.2">
      <c r="A702" s="2"/>
      <c r="B702" s="2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R702" s="5"/>
    </row>
    <row r="703" spans="1:18" ht="12.75" customHeight="1" x14ac:dyDescent="0.2">
      <c r="A703" s="2"/>
      <c r="B703" s="2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R703" s="5"/>
    </row>
    <row r="704" spans="1:18" ht="12.75" customHeight="1" x14ac:dyDescent="0.2">
      <c r="A704" s="2"/>
      <c r="B704" s="2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R704" s="5"/>
    </row>
    <row r="705" spans="1:18" ht="12.75" customHeight="1" x14ac:dyDescent="0.2">
      <c r="A705" s="2"/>
      <c r="B705" s="2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R705" s="5"/>
    </row>
    <row r="706" spans="1:18" ht="12.75" customHeight="1" x14ac:dyDescent="0.2">
      <c r="A706" s="2"/>
      <c r="B706" s="2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R706" s="5"/>
    </row>
    <row r="707" spans="1:18" ht="12.75" customHeight="1" x14ac:dyDescent="0.2">
      <c r="A707" s="2"/>
      <c r="B707" s="2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R707" s="5"/>
    </row>
    <row r="708" spans="1:18" ht="12.75" customHeight="1" x14ac:dyDescent="0.2">
      <c r="A708" s="2"/>
      <c r="B708" s="2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R708" s="5"/>
    </row>
    <row r="709" spans="1:18" ht="12.75" customHeight="1" x14ac:dyDescent="0.2">
      <c r="A709" s="2"/>
      <c r="B709" s="2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R709" s="5"/>
    </row>
    <row r="710" spans="1:18" ht="12.75" customHeight="1" x14ac:dyDescent="0.2">
      <c r="A710" s="2"/>
      <c r="B710" s="2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R710" s="5"/>
    </row>
    <row r="711" spans="1:18" ht="12.75" customHeight="1" x14ac:dyDescent="0.2">
      <c r="A711" s="2"/>
      <c r="B711" s="2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R711" s="5"/>
    </row>
    <row r="712" spans="1:18" ht="12.75" customHeight="1" x14ac:dyDescent="0.2">
      <c r="A712" s="2"/>
      <c r="B712" s="2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R712" s="5"/>
    </row>
    <row r="713" spans="1:18" ht="12.75" customHeight="1" x14ac:dyDescent="0.2">
      <c r="A713" s="2"/>
      <c r="B713" s="2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R713" s="5"/>
    </row>
    <row r="714" spans="1:18" ht="12.75" customHeight="1" x14ac:dyDescent="0.2">
      <c r="A714" s="2"/>
      <c r="B714" s="2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R714" s="5"/>
    </row>
    <row r="715" spans="1:18" ht="12.75" customHeight="1" x14ac:dyDescent="0.2">
      <c r="A715" s="2"/>
      <c r="B715" s="2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R715" s="5"/>
    </row>
    <row r="716" spans="1:18" ht="12.75" customHeight="1" x14ac:dyDescent="0.2">
      <c r="A716" s="2"/>
      <c r="B716" s="2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R716" s="5"/>
    </row>
    <row r="717" spans="1:18" ht="12.75" customHeight="1" x14ac:dyDescent="0.2">
      <c r="A717" s="2"/>
      <c r="B717" s="2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R717" s="5"/>
    </row>
    <row r="718" spans="1:18" ht="12.75" customHeight="1" x14ac:dyDescent="0.2">
      <c r="A718" s="2"/>
      <c r="B718" s="2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R718" s="5"/>
    </row>
    <row r="719" spans="1:18" ht="12.75" customHeight="1" x14ac:dyDescent="0.2">
      <c r="A719" s="2"/>
      <c r="B719" s="2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R719" s="5"/>
    </row>
    <row r="720" spans="1:18" ht="12.75" customHeight="1" x14ac:dyDescent="0.2">
      <c r="A720" s="2"/>
      <c r="B720" s="2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R720" s="5"/>
    </row>
    <row r="721" spans="1:18" ht="12.75" customHeight="1" x14ac:dyDescent="0.2">
      <c r="A721" s="2"/>
      <c r="B721" s="2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R721" s="5"/>
    </row>
    <row r="722" spans="1:18" ht="12.75" customHeight="1" x14ac:dyDescent="0.2">
      <c r="A722" s="2"/>
      <c r="B722" s="2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R722" s="5"/>
    </row>
    <row r="723" spans="1:18" ht="12.75" customHeight="1" x14ac:dyDescent="0.2">
      <c r="A723" s="2"/>
      <c r="B723" s="2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R723" s="5"/>
    </row>
    <row r="724" spans="1:18" ht="12.75" customHeight="1" x14ac:dyDescent="0.2">
      <c r="A724" s="2"/>
      <c r="B724" s="2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R724" s="5"/>
    </row>
    <row r="725" spans="1:18" ht="12.75" customHeight="1" x14ac:dyDescent="0.2">
      <c r="A725" s="2"/>
      <c r="B725" s="2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R725" s="5"/>
    </row>
    <row r="726" spans="1:18" ht="12.75" customHeight="1" x14ac:dyDescent="0.2">
      <c r="A726" s="2"/>
      <c r="B726" s="2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R726" s="5"/>
    </row>
    <row r="727" spans="1:18" ht="12.75" customHeight="1" x14ac:dyDescent="0.2">
      <c r="A727" s="2"/>
      <c r="B727" s="2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R727" s="5"/>
    </row>
    <row r="728" spans="1:18" ht="12.75" customHeight="1" x14ac:dyDescent="0.2">
      <c r="A728" s="2"/>
      <c r="B728" s="2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R728" s="5"/>
    </row>
    <row r="729" spans="1:18" ht="12.75" customHeight="1" x14ac:dyDescent="0.2">
      <c r="A729" s="2"/>
      <c r="B729" s="2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R729" s="5"/>
    </row>
    <row r="730" spans="1:18" ht="12.75" customHeight="1" x14ac:dyDescent="0.2">
      <c r="A730" s="2"/>
      <c r="B730" s="2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R730" s="5"/>
    </row>
    <row r="731" spans="1:18" ht="12.75" customHeight="1" x14ac:dyDescent="0.2">
      <c r="A731" s="2"/>
      <c r="B731" s="2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R731" s="5"/>
    </row>
    <row r="732" spans="1:18" ht="12.75" customHeight="1" x14ac:dyDescent="0.2">
      <c r="A732" s="2"/>
      <c r="B732" s="2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R732" s="5"/>
    </row>
    <row r="733" spans="1:18" ht="12.75" customHeight="1" x14ac:dyDescent="0.2">
      <c r="A733" s="2"/>
      <c r="B733" s="2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R733" s="5"/>
    </row>
    <row r="734" spans="1:18" ht="12.75" customHeight="1" x14ac:dyDescent="0.2">
      <c r="A734" s="2"/>
      <c r="B734" s="2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R734" s="5"/>
    </row>
    <row r="735" spans="1:18" ht="12.75" customHeight="1" x14ac:dyDescent="0.2">
      <c r="A735" s="2"/>
      <c r="B735" s="2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R735" s="5"/>
    </row>
    <row r="736" spans="1:18" ht="12.75" customHeight="1" x14ac:dyDescent="0.2">
      <c r="A736" s="2"/>
      <c r="B736" s="2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R736" s="5"/>
    </row>
    <row r="737" spans="1:18" ht="12.75" customHeight="1" x14ac:dyDescent="0.2">
      <c r="A737" s="2"/>
      <c r="B737" s="2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R737" s="5"/>
    </row>
    <row r="738" spans="1:18" ht="12.75" customHeight="1" x14ac:dyDescent="0.2">
      <c r="A738" s="2"/>
      <c r="B738" s="2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R738" s="5"/>
    </row>
    <row r="739" spans="1:18" ht="12.75" customHeight="1" x14ac:dyDescent="0.2">
      <c r="A739" s="2"/>
      <c r="B739" s="2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R739" s="5"/>
    </row>
    <row r="740" spans="1:18" ht="12.75" customHeight="1" x14ac:dyDescent="0.2">
      <c r="A740" s="2"/>
      <c r="B740" s="2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R740" s="5"/>
    </row>
    <row r="741" spans="1:18" ht="12.75" customHeight="1" x14ac:dyDescent="0.2">
      <c r="A741" s="2"/>
      <c r="B741" s="2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R741" s="5"/>
    </row>
    <row r="742" spans="1:18" ht="12.75" customHeight="1" x14ac:dyDescent="0.2">
      <c r="A742" s="2"/>
      <c r="B742" s="2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R742" s="5"/>
    </row>
    <row r="743" spans="1:18" ht="12.75" customHeight="1" x14ac:dyDescent="0.2">
      <c r="A743" s="2"/>
      <c r="B743" s="2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R743" s="5"/>
    </row>
    <row r="744" spans="1:18" ht="12.75" customHeight="1" x14ac:dyDescent="0.2">
      <c r="A744" s="2"/>
      <c r="B744" s="2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R744" s="5"/>
    </row>
    <row r="745" spans="1:18" ht="12.75" customHeight="1" x14ac:dyDescent="0.2">
      <c r="A745" s="2"/>
      <c r="B745" s="2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R745" s="5"/>
    </row>
    <row r="746" spans="1:18" ht="12.75" customHeight="1" x14ac:dyDescent="0.2">
      <c r="A746" s="2"/>
      <c r="B746" s="2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R746" s="5"/>
    </row>
    <row r="747" spans="1:18" ht="12.75" customHeight="1" x14ac:dyDescent="0.2">
      <c r="A747" s="2"/>
      <c r="B747" s="2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R747" s="5"/>
    </row>
    <row r="748" spans="1:18" ht="12.75" customHeight="1" x14ac:dyDescent="0.2">
      <c r="A748" s="2"/>
      <c r="B748" s="2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R748" s="5"/>
    </row>
    <row r="749" spans="1:18" ht="12.75" customHeight="1" x14ac:dyDescent="0.2">
      <c r="A749" s="2"/>
      <c r="B749" s="2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R749" s="5"/>
    </row>
    <row r="750" spans="1:18" ht="12.75" customHeight="1" x14ac:dyDescent="0.2">
      <c r="A750" s="2"/>
      <c r="B750" s="2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R750" s="5"/>
    </row>
    <row r="751" spans="1:18" ht="12.75" customHeight="1" x14ac:dyDescent="0.2">
      <c r="A751" s="2"/>
      <c r="B751" s="2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R751" s="5"/>
    </row>
    <row r="752" spans="1:18" ht="12.75" customHeight="1" x14ac:dyDescent="0.2">
      <c r="A752" s="2"/>
      <c r="B752" s="2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R752" s="5"/>
    </row>
    <row r="753" spans="1:18" ht="12.75" customHeight="1" x14ac:dyDescent="0.2">
      <c r="A753" s="2"/>
      <c r="B753" s="2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R753" s="5"/>
    </row>
    <row r="754" spans="1:18" ht="12.75" customHeight="1" x14ac:dyDescent="0.2">
      <c r="A754" s="2"/>
      <c r="B754" s="2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R754" s="5"/>
    </row>
    <row r="755" spans="1:18" ht="12.75" customHeight="1" x14ac:dyDescent="0.2">
      <c r="A755" s="2"/>
      <c r="B755" s="2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R755" s="5"/>
    </row>
    <row r="756" spans="1:18" ht="12.75" customHeight="1" x14ac:dyDescent="0.2">
      <c r="A756" s="2"/>
      <c r="B756" s="2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R756" s="5"/>
    </row>
    <row r="757" spans="1:18" ht="12.75" customHeight="1" x14ac:dyDescent="0.2">
      <c r="A757" s="2"/>
      <c r="B757" s="2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R757" s="5"/>
    </row>
    <row r="758" spans="1:18" ht="12.75" customHeight="1" x14ac:dyDescent="0.2">
      <c r="A758" s="2"/>
      <c r="B758" s="2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R758" s="5"/>
    </row>
    <row r="759" spans="1:18" ht="12.75" customHeight="1" x14ac:dyDescent="0.2">
      <c r="A759" s="2"/>
      <c r="B759" s="2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R759" s="5"/>
    </row>
    <row r="760" spans="1:18" ht="12.75" customHeight="1" x14ac:dyDescent="0.2">
      <c r="A760" s="2"/>
      <c r="B760" s="2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R760" s="5"/>
    </row>
    <row r="761" spans="1:18" ht="12.75" customHeight="1" x14ac:dyDescent="0.2">
      <c r="A761" s="2"/>
      <c r="B761" s="2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R761" s="5"/>
    </row>
    <row r="762" spans="1:18" ht="12.75" customHeight="1" x14ac:dyDescent="0.2">
      <c r="A762" s="2"/>
      <c r="B762" s="2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R762" s="5"/>
    </row>
    <row r="763" spans="1:18" ht="12.75" customHeight="1" x14ac:dyDescent="0.2">
      <c r="A763" s="2"/>
      <c r="B763" s="2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R763" s="5"/>
    </row>
    <row r="764" spans="1:18" ht="12.75" customHeight="1" x14ac:dyDescent="0.2">
      <c r="A764" s="2"/>
      <c r="B764" s="2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R764" s="5"/>
    </row>
    <row r="765" spans="1:18" ht="12.75" customHeight="1" x14ac:dyDescent="0.2">
      <c r="A765" s="2"/>
      <c r="B765" s="2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R765" s="5"/>
    </row>
    <row r="766" spans="1:18" ht="12.75" customHeight="1" x14ac:dyDescent="0.2">
      <c r="A766" s="2"/>
      <c r="B766" s="2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R766" s="5"/>
    </row>
    <row r="767" spans="1:18" ht="12.75" customHeight="1" x14ac:dyDescent="0.2">
      <c r="A767" s="2"/>
      <c r="B767" s="2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R767" s="5"/>
    </row>
    <row r="768" spans="1:18" ht="12.75" customHeight="1" x14ac:dyDescent="0.2">
      <c r="A768" s="2"/>
      <c r="B768" s="2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R768" s="5"/>
    </row>
    <row r="769" spans="1:18" ht="12.75" customHeight="1" x14ac:dyDescent="0.2">
      <c r="A769" s="2"/>
      <c r="B769" s="2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R769" s="5"/>
    </row>
    <row r="770" spans="1:18" ht="12.75" customHeight="1" x14ac:dyDescent="0.2">
      <c r="A770" s="2"/>
      <c r="B770" s="2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R770" s="5"/>
    </row>
    <row r="771" spans="1:18" ht="12.75" customHeight="1" x14ac:dyDescent="0.2">
      <c r="A771" s="2"/>
      <c r="B771" s="2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R771" s="5"/>
    </row>
    <row r="772" spans="1:18" ht="12.75" customHeight="1" x14ac:dyDescent="0.2">
      <c r="A772" s="2"/>
      <c r="B772" s="2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R772" s="5"/>
    </row>
    <row r="773" spans="1:18" ht="12.75" customHeight="1" x14ac:dyDescent="0.2">
      <c r="A773" s="2"/>
      <c r="B773" s="2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R773" s="5"/>
    </row>
    <row r="774" spans="1:18" ht="12.75" customHeight="1" x14ac:dyDescent="0.2">
      <c r="A774" s="2"/>
      <c r="B774" s="2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R774" s="5"/>
    </row>
    <row r="775" spans="1:18" ht="12.75" customHeight="1" x14ac:dyDescent="0.2">
      <c r="A775" s="2"/>
      <c r="B775" s="2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R775" s="5"/>
    </row>
    <row r="776" spans="1:18" ht="12.75" customHeight="1" x14ac:dyDescent="0.2">
      <c r="A776" s="2"/>
      <c r="B776" s="2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R776" s="5"/>
    </row>
    <row r="777" spans="1:18" ht="12.75" customHeight="1" x14ac:dyDescent="0.2">
      <c r="A777" s="2"/>
      <c r="B777" s="2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R777" s="5"/>
    </row>
    <row r="778" spans="1:18" ht="12.75" customHeight="1" x14ac:dyDescent="0.2">
      <c r="A778" s="2"/>
      <c r="B778" s="2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R778" s="5"/>
    </row>
    <row r="779" spans="1:18" ht="12.75" customHeight="1" x14ac:dyDescent="0.2">
      <c r="A779" s="2"/>
      <c r="B779" s="2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R779" s="5"/>
    </row>
    <row r="780" spans="1:18" ht="12.75" customHeight="1" x14ac:dyDescent="0.2">
      <c r="A780" s="2"/>
      <c r="B780" s="2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R780" s="5"/>
    </row>
    <row r="781" spans="1:18" ht="12.75" customHeight="1" x14ac:dyDescent="0.2">
      <c r="A781" s="2"/>
      <c r="B781" s="2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R781" s="5"/>
    </row>
    <row r="782" spans="1:18" ht="12.75" customHeight="1" x14ac:dyDescent="0.2">
      <c r="A782" s="2"/>
      <c r="B782" s="2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R782" s="5"/>
    </row>
    <row r="783" spans="1:18" ht="12.75" customHeight="1" x14ac:dyDescent="0.2">
      <c r="A783" s="2"/>
      <c r="B783" s="2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R783" s="5"/>
    </row>
    <row r="784" spans="1:18" ht="12.75" customHeight="1" x14ac:dyDescent="0.2">
      <c r="A784" s="2"/>
      <c r="B784" s="2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R784" s="5"/>
    </row>
    <row r="785" spans="1:18" ht="12.75" customHeight="1" x14ac:dyDescent="0.2">
      <c r="A785" s="2"/>
      <c r="B785" s="2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R785" s="5"/>
    </row>
    <row r="786" spans="1:18" ht="12.75" customHeight="1" x14ac:dyDescent="0.2">
      <c r="A786" s="2"/>
      <c r="B786" s="2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R786" s="5"/>
    </row>
    <row r="787" spans="1:18" ht="12.75" customHeight="1" x14ac:dyDescent="0.2">
      <c r="A787" s="2"/>
      <c r="B787" s="2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R787" s="5"/>
    </row>
    <row r="788" spans="1:18" ht="12.75" customHeight="1" x14ac:dyDescent="0.2">
      <c r="A788" s="2"/>
      <c r="B788" s="2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R788" s="5"/>
    </row>
    <row r="789" spans="1:18" ht="12.75" customHeight="1" x14ac:dyDescent="0.2">
      <c r="A789" s="2"/>
      <c r="B789" s="2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R789" s="5"/>
    </row>
    <row r="790" spans="1:18" ht="12.75" customHeight="1" x14ac:dyDescent="0.2">
      <c r="A790" s="2"/>
      <c r="B790" s="2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R790" s="5"/>
    </row>
    <row r="791" spans="1:18" ht="12.75" customHeight="1" x14ac:dyDescent="0.2">
      <c r="A791" s="2"/>
      <c r="B791" s="2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R791" s="5"/>
    </row>
    <row r="792" spans="1:18" ht="12.75" customHeight="1" x14ac:dyDescent="0.2">
      <c r="A792" s="2"/>
      <c r="B792" s="2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R792" s="5"/>
    </row>
    <row r="793" spans="1:18" ht="12.75" customHeight="1" x14ac:dyDescent="0.2">
      <c r="A793" s="2"/>
      <c r="B793" s="2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R793" s="5"/>
    </row>
    <row r="794" spans="1:18" ht="12.75" customHeight="1" x14ac:dyDescent="0.2">
      <c r="A794" s="2"/>
      <c r="B794" s="2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R794" s="5"/>
    </row>
    <row r="795" spans="1:18" ht="12.75" customHeight="1" x14ac:dyDescent="0.2">
      <c r="A795" s="2"/>
      <c r="B795" s="2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R795" s="5"/>
    </row>
    <row r="796" spans="1:18" ht="12.75" customHeight="1" x14ac:dyDescent="0.2">
      <c r="A796" s="2"/>
      <c r="B796" s="2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R796" s="5"/>
    </row>
    <row r="797" spans="1:18" ht="12.75" customHeight="1" x14ac:dyDescent="0.2">
      <c r="A797" s="2"/>
      <c r="B797" s="2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R797" s="5"/>
    </row>
    <row r="798" spans="1:18" ht="12.75" customHeight="1" x14ac:dyDescent="0.2">
      <c r="A798" s="2"/>
      <c r="B798" s="2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R798" s="5"/>
    </row>
    <row r="799" spans="1:18" ht="12.75" customHeight="1" x14ac:dyDescent="0.2">
      <c r="A799" s="2"/>
      <c r="B799" s="2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R799" s="5"/>
    </row>
    <row r="800" spans="1:18" ht="12.75" customHeight="1" x14ac:dyDescent="0.2">
      <c r="A800" s="2"/>
      <c r="B800" s="2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R800" s="5"/>
    </row>
    <row r="801" spans="1:18" ht="12.75" customHeight="1" x14ac:dyDescent="0.2">
      <c r="A801" s="2"/>
      <c r="B801" s="2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R801" s="5"/>
    </row>
    <row r="802" spans="1:18" ht="12.75" customHeight="1" x14ac:dyDescent="0.2">
      <c r="A802" s="2"/>
      <c r="B802" s="2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R802" s="5"/>
    </row>
    <row r="803" spans="1:18" ht="12.75" customHeight="1" x14ac:dyDescent="0.2">
      <c r="A803" s="2"/>
      <c r="B803" s="2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R803" s="5"/>
    </row>
    <row r="804" spans="1:18" ht="12.75" customHeight="1" x14ac:dyDescent="0.2">
      <c r="A804" s="2"/>
      <c r="B804" s="2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R804" s="5"/>
    </row>
    <row r="805" spans="1:18" ht="12.75" customHeight="1" x14ac:dyDescent="0.2">
      <c r="A805" s="2"/>
      <c r="B805" s="2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R805" s="5"/>
    </row>
    <row r="806" spans="1:18" ht="12.75" customHeight="1" x14ac:dyDescent="0.2">
      <c r="A806" s="2"/>
      <c r="B806" s="2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R806" s="5"/>
    </row>
    <row r="807" spans="1:18" ht="12.75" customHeight="1" x14ac:dyDescent="0.2">
      <c r="A807" s="2"/>
      <c r="B807" s="2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R807" s="5"/>
    </row>
    <row r="808" spans="1:18" ht="12.75" customHeight="1" x14ac:dyDescent="0.2">
      <c r="A808" s="2"/>
      <c r="B808" s="2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R808" s="5"/>
    </row>
    <row r="809" spans="1:18" ht="12.75" customHeight="1" x14ac:dyDescent="0.2">
      <c r="A809" s="2"/>
      <c r="B809" s="2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R809" s="5"/>
    </row>
    <row r="810" spans="1:18" ht="12.75" customHeight="1" x14ac:dyDescent="0.2">
      <c r="A810" s="2"/>
      <c r="B810" s="2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R810" s="5"/>
    </row>
    <row r="811" spans="1:18" ht="12.75" customHeight="1" x14ac:dyDescent="0.2">
      <c r="A811" s="2"/>
      <c r="B811" s="2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R811" s="5"/>
    </row>
    <row r="812" spans="1:18" ht="12.75" customHeight="1" x14ac:dyDescent="0.2">
      <c r="A812" s="2"/>
      <c r="B812" s="2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R812" s="5"/>
    </row>
    <row r="813" spans="1:18" ht="12.75" customHeight="1" x14ac:dyDescent="0.2">
      <c r="A813" s="2"/>
      <c r="B813" s="2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R813" s="5"/>
    </row>
    <row r="814" spans="1:18" ht="12.75" customHeight="1" x14ac:dyDescent="0.2">
      <c r="A814" s="2"/>
      <c r="B814" s="2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R814" s="5"/>
    </row>
    <row r="815" spans="1:18" ht="12.75" customHeight="1" x14ac:dyDescent="0.2">
      <c r="A815" s="2"/>
      <c r="B815" s="2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R815" s="5"/>
    </row>
    <row r="816" spans="1:18" ht="12.75" customHeight="1" x14ac:dyDescent="0.2">
      <c r="A816" s="2"/>
      <c r="B816" s="2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R816" s="5"/>
    </row>
    <row r="817" spans="1:18" ht="12.75" customHeight="1" x14ac:dyDescent="0.2">
      <c r="A817" s="2"/>
      <c r="B817" s="2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R817" s="5"/>
    </row>
    <row r="818" spans="1:18" ht="12.75" customHeight="1" x14ac:dyDescent="0.2">
      <c r="A818" s="2"/>
      <c r="B818" s="2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R818" s="5"/>
    </row>
    <row r="819" spans="1:18" ht="12.75" customHeight="1" x14ac:dyDescent="0.2">
      <c r="A819" s="2"/>
      <c r="B819" s="2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R819" s="5"/>
    </row>
    <row r="820" spans="1:18" ht="12.75" customHeight="1" x14ac:dyDescent="0.2">
      <c r="A820" s="2"/>
      <c r="B820" s="2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R820" s="5"/>
    </row>
    <row r="821" spans="1:18" ht="12.75" customHeight="1" x14ac:dyDescent="0.2">
      <c r="A821" s="2"/>
      <c r="B821" s="2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R821" s="5"/>
    </row>
    <row r="822" spans="1:18" ht="12.75" customHeight="1" x14ac:dyDescent="0.2">
      <c r="A822" s="2"/>
      <c r="B822" s="2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R822" s="5"/>
    </row>
    <row r="823" spans="1:18" ht="12.75" customHeight="1" x14ac:dyDescent="0.2">
      <c r="A823" s="2"/>
      <c r="B823" s="2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R823" s="5"/>
    </row>
    <row r="824" spans="1:18" ht="12.75" customHeight="1" x14ac:dyDescent="0.2">
      <c r="A824" s="2"/>
      <c r="B824" s="2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R824" s="5"/>
    </row>
    <row r="825" spans="1:18" ht="12.75" customHeight="1" x14ac:dyDescent="0.2">
      <c r="A825" s="2"/>
      <c r="B825" s="2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R825" s="5"/>
    </row>
    <row r="826" spans="1:18" ht="12.75" customHeight="1" x14ac:dyDescent="0.2">
      <c r="A826" s="2"/>
      <c r="B826" s="2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R826" s="5"/>
    </row>
    <row r="827" spans="1:18" ht="12.75" customHeight="1" x14ac:dyDescent="0.2">
      <c r="A827" s="2"/>
      <c r="B827" s="2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R827" s="5"/>
    </row>
    <row r="828" spans="1:18" ht="12.75" customHeight="1" x14ac:dyDescent="0.2">
      <c r="A828" s="2"/>
      <c r="B828" s="2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R828" s="5"/>
    </row>
    <row r="829" spans="1:18" ht="12.75" customHeight="1" x14ac:dyDescent="0.2">
      <c r="A829" s="2"/>
      <c r="B829" s="2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R829" s="5"/>
    </row>
    <row r="830" spans="1:18" ht="12.75" customHeight="1" x14ac:dyDescent="0.2">
      <c r="A830" s="2"/>
      <c r="B830" s="2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R830" s="5"/>
    </row>
    <row r="831" spans="1:18" ht="12.75" customHeight="1" x14ac:dyDescent="0.2">
      <c r="A831" s="2"/>
      <c r="B831" s="2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R831" s="5"/>
    </row>
    <row r="832" spans="1:18" ht="12.75" customHeight="1" x14ac:dyDescent="0.2">
      <c r="A832" s="2"/>
      <c r="B832" s="2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R832" s="5"/>
    </row>
    <row r="833" spans="1:18" ht="12.75" customHeight="1" x14ac:dyDescent="0.2">
      <c r="A833" s="2"/>
      <c r="B833" s="2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R833" s="5"/>
    </row>
    <row r="834" spans="1:18" ht="12.75" customHeight="1" x14ac:dyDescent="0.2">
      <c r="A834" s="2"/>
      <c r="B834" s="2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R834" s="5"/>
    </row>
    <row r="835" spans="1:18" ht="12.75" customHeight="1" x14ac:dyDescent="0.2">
      <c r="A835" s="2"/>
      <c r="B835" s="2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R835" s="5"/>
    </row>
    <row r="836" spans="1:18" ht="12.75" customHeight="1" x14ac:dyDescent="0.2">
      <c r="A836" s="2"/>
      <c r="B836" s="2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R836" s="5"/>
    </row>
    <row r="837" spans="1:18" ht="12.75" customHeight="1" x14ac:dyDescent="0.2">
      <c r="A837" s="2"/>
      <c r="B837" s="2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R837" s="5"/>
    </row>
    <row r="838" spans="1:18" ht="12.75" customHeight="1" x14ac:dyDescent="0.2">
      <c r="A838" s="2"/>
      <c r="B838" s="2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R838" s="5"/>
    </row>
    <row r="839" spans="1:18" ht="12.75" customHeight="1" x14ac:dyDescent="0.2">
      <c r="A839" s="2"/>
      <c r="B839" s="2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R839" s="5"/>
    </row>
    <row r="840" spans="1:18" ht="12.75" customHeight="1" x14ac:dyDescent="0.2">
      <c r="A840" s="2"/>
      <c r="B840" s="2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R840" s="5"/>
    </row>
    <row r="841" spans="1:18" ht="12.75" customHeight="1" x14ac:dyDescent="0.2">
      <c r="A841" s="2"/>
      <c r="B841" s="2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R841" s="5"/>
    </row>
    <row r="842" spans="1:18" ht="12.75" customHeight="1" x14ac:dyDescent="0.2">
      <c r="A842" s="2"/>
      <c r="B842" s="2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R842" s="5"/>
    </row>
    <row r="843" spans="1:18" ht="12.75" customHeight="1" x14ac:dyDescent="0.2">
      <c r="A843" s="2"/>
      <c r="B843" s="2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R843" s="5"/>
    </row>
    <row r="844" spans="1:18" ht="12.75" customHeight="1" x14ac:dyDescent="0.2">
      <c r="A844" s="2"/>
      <c r="B844" s="2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R844" s="5"/>
    </row>
    <row r="845" spans="1:18" ht="12.75" customHeight="1" x14ac:dyDescent="0.2">
      <c r="A845" s="2"/>
      <c r="B845" s="2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R845" s="5"/>
    </row>
    <row r="846" spans="1:18" ht="12.75" customHeight="1" x14ac:dyDescent="0.2">
      <c r="A846" s="2"/>
      <c r="B846" s="2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R846" s="5"/>
    </row>
    <row r="847" spans="1:18" ht="12.75" customHeight="1" x14ac:dyDescent="0.2">
      <c r="A847" s="2"/>
      <c r="B847" s="2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R847" s="5"/>
    </row>
    <row r="848" spans="1:18" ht="12.75" customHeight="1" x14ac:dyDescent="0.2">
      <c r="A848" s="2"/>
      <c r="B848" s="2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R848" s="5"/>
    </row>
    <row r="849" spans="1:18" ht="12.75" customHeight="1" x14ac:dyDescent="0.2">
      <c r="A849" s="2"/>
      <c r="B849" s="2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R849" s="5"/>
    </row>
    <row r="850" spans="1:18" ht="12.75" customHeight="1" x14ac:dyDescent="0.2">
      <c r="A850" s="2"/>
      <c r="B850" s="2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R850" s="5"/>
    </row>
    <row r="851" spans="1:18" ht="12.75" customHeight="1" x14ac:dyDescent="0.2">
      <c r="A851" s="2"/>
      <c r="B851" s="2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R851" s="5"/>
    </row>
    <row r="852" spans="1:18" ht="12.75" customHeight="1" x14ac:dyDescent="0.2">
      <c r="A852" s="2"/>
      <c r="B852" s="2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R852" s="5"/>
    </row>
    <row r="853" spans="1:18" ht="12.75" customHeight="1" x14ac:dyDescent="0.2">
      <c r="A853" s="2"/>
      <c r="B853" s="2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R853" s="5"/>
    </row>
    <row r="854" spans="1:18" ht="12.75" customHeight="1" x14ac:dyDescent="0.2">
      <c r="A854" s="2"/>
      <c r="B854" s="2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R854" s="5"/>
    </row>
    <row r="855" spans="1:18" ht="12.75" customHeight="1" x14ac:dyDescent="0.2">
      <c r="A855" s="2"/>
      <c r="B855" s="2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R855" s="5"/>
    </row>
    <row r="856" spans="1:18" ht="12.75" customHeight="1" x14ac:dyDescent="0.2">
      <c r="A856" s="2"/>
      <c r="B856" s="2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R856" s="5"/>
    </row>
    <row r="857" spans="1:18" ht="12.75" customHeight="1" x14ac:dyDescent="0.2">
      <c r="A857" s="2"/>
      <c r="B857" s="2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R857" s="5"/>
    </row>
    <row r="858" spans="1:18" ht="12.75" customHeight="1" x14ac:dyDescent="0.2">
      <c r="A858" s="2"/>
      <c r="B858" s="2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R858" s="5"/>
    </row>
    <row r="859" spans="1:18" ht="12.75" customHeight="1" x14ac:dyDescent="0.2">
      <c r="A859" s="2"/>
      <c r="B859" s="2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R859" s="5"/>
    </row>
    <row r="860" spans="1:18" ht="12.75" customHeight="1" x14ac:dyDescent="0.2">
      <c r="A860" s="2"/>
      <c r="B860" s="2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R860" s="5"/>
    </row>
    <row r="861" spans="1:18" ht="12.75" customHeight="1" x14ac:dyDescent="0.2">
      <c r="A861" s="2"/>
      <c r="B861" s="2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R861" s="5"/>
    </row>
    <row r="862" spans="1:18" ht="12.75" customHeight="1" x14ac:dyDescent="0.2">
      <c r="A862" s="2"/>
      <c r="B862" s="2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R862" s="5"/>
    </row>
    <row r="863" spans="1:18" ht="12.75" customHeight="1" x14ac:dyDescent="0.2">
      <c r="A863" s="2"/>
      <c r="B863" s="2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R863" s="5"/>
    </row>
    <row r="864" spans="1:18" ht="12.75" customHeight="1" x14ac:dyDescent="0.2">
      <c r="A864" s="2"/>
      <c r="B864" s="2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R864" s="5"/>
    </row>
    <row r="865" spans="1:18" ht="12.75" customHeight="1" x14ac:dyDescent="0.2">
      <c r="A865" s="2"/>
      <c r="B865" s="2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R865" s="5"/>
    </row>
    <row r="866" spans="1:18" ht="12.75" customHeight="1" x14ac:dyDescent="0.2">
      <c r="A866" s="2"/>
      <c r="B866" s="2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R866" s="5"/>
    </row>
    <row r="867" spans="1:18" ht="12.75" customHeight="1" x14ac:dyDescent="0.2">
      <c r="A867" s="2"/>
      <c r="B867" s="2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R867" s="5"/>
    </row>
    <row r="868" spans="1:18" ht="12.75" customHeight="1" x14ac:dyDescent="0.2">
      <c r="A868" s="2"/>
      <c r="B868" s="2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R868" s="5"/>
    </row>
    <row r="869" spans="1:18" ht="12.75" customHeight="1" x14ac:dyDescent="0.2">
      <c r="A869" s="2"/>
      <c r="B869" s="2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R869" s="5"/>
    </row>
    <row r="870" spans="1:18" ht="12.75" customHeight="1" x14ac:dyDescent="0.2">
      <c r="A870" s="2"/>
      <c r="B870" s="2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R870" s="5"/>
    </row>
    <row r="871" spans="1:18" ht="12.75" customHeight="1" x14ac:dyDescent="0.2">
      <c r="A871" s="2"/>
      <c r="B871" s="2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R871" s="5"/>
    </row>
    <row r="872" spans="1:18" ht="12.75" customHeight="1" x14ac:dyDescent="0.2">
      <c r="A872" s="2"/>
      <c r="B872" s="2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R872" s="5"/>
    </row>
    <row r="873" spans="1:18" ht="12.75" customHeight="1" x14ac:dyDescent="0.2">
      <c r="A873" s="2"/>
      <c r="B873" s="2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R873" s="5"/>
    </row>
    <row r="874" spans="1:18" ht="12.75" customHeight="1" x14ac:dyDescent="0.2">
      <c r="A874" s="2"/>
      <c r="B874" s="2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R874" s="5"/>
    </row>
    <row r="875" spans="1:18" ht="12.75" customHeight="1" x14ac:dyDescent="0.2">
      <c r="A875" s="2"/>
      <c r="B875" s="2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R875" s="5"/>
    </row>
    <row r="876" spans="1:18" ht="12.75" customHeight="1" x14ac:dyDescent="0.2">
      <c r="A876" s="2"/>
      <c r="B876" s="2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R876" s="5"/>
    </row>
    <row r="877" spans="1:18" ht="12.75" customHeight="1" x14ac:dyDescent="0.2">
      <c r="A877" s="2"/>
      <c r="B877" s="2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R877" s="5"/>
    </row>
    <row r="878" spans="1:18" ht="12.75" customHeight="1" x14ac:dyDescent="0.2">
      <c r="A878" s="2"/>
      <c r="B878" s="2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R878" s="5"/>
    </row>
    <row r="879" spans="1:18" ht="12.75" customHeight="1" x14ac:dyDescent="0.2">
      <c r="A879" s="2"/>
      <c r="B879" s="2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R879" s="5"/>
    </row>
    <row r="880" spans="1:18" ht="12.75" customHeight="1" x14ac:dyDescent="0.2">
      <c r="A880" s="2"/>
      <c r="B880" s="2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R880" s="5"/>
    </row>
    <row r="881" spans="1:18" ht="12.75" customHeight="1" x14ac:dyDescent="0.2">
      <c r="A881" s="2"/>
      <c r="B881" s="2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R881" s="5"/>
    </row>
    <row r="882" spans="1:18" ht="12.75" customHeight="1" x14ac:dyDescent="0.2">
      <c r="A882" s="2"/>
      <c r="B882" s="2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R882" s="5"/>
    </row>
    <row r="883" spans="1:18" ht="12.75" customHeight="1" x14ac:dyDescent="0.2">
      <c r="A883" s="2"/>
      <c r="B883" s="2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R883" s="5"/>
    </row>
    <row r="884" spans="1:18" ht="12.75" customHeight="1" x14ac:dyDescent="0.2">
      <c r="A884" s="2"/>
      <c r="B884" s="2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R884" s="5"/>
    </row>
    <row r="885" spans="1:18" ht="12.75" customHeight="1" x14ac:dyDescent="0.2">
      <c r="A885" s="2"/>
      <c r="B885" s="2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R885" s="5"/>
    </row>
    <row r="886" spans="1:18" ht="12.75" customHeight="1" x14ac:dyDescent="0.2">
      <c r="A886" s="2"/>
      <c r="B886" s="2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R886" s="5"/>
    </row>
    <row r="887" spans="1:18" ht="12.75" customHeight="1" x14ac:dyDescent="0.2">
      <c r="A887" s="2"/>
      <c r="B887" s="2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R887" s="5"/>
    </row>
    <row r="888" spans="1:18" ht="12.75" customHeight="1" x14ac:dyDescent="0.2">
      <c r="A888" s="2"/>
      <c r="B888" s="2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R888" s="5"/>
    </row>
    <row r="889" spans="1:18" ht="12.75" customHeight="1" x14ac:dyDescent="0.2">
      <c r="A889" s="2"/>
      <c r="B889" s="2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R889" s="5"/>
    </row>
    <row r="890" spans="1:18" ht="12.75" customHeight="1" x14ac:dyDescent="0.2">
      <c r="A890" s="2"/>
      <c r="B890" s="2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R890" s="5"/>
    </row>
    <row r="891" spans="1:18" ht="12.75" customHeight="1" x14ac:dyDescent="0.2">
      <c r="A891" s="2"/>
      <c r="B891" s="2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R891" s="5"/>
    </row>
    <row r="892" spans="1:18" ht="12.75" customHeight="1" x14ac:dyDescent="0.2">
      <c r="A892" s="2"/>
      <c r="B892" s="2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R892" s="5"/>
    </row>
    <row r="893" spans="1:18" ht="12.75" customHeight="1" x14ac:dyDescent="0.2">
      <c r="A893" s="2"/>
      <c r="B893" s="2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R893" s="5"/>
    </row>
    <row r="894" spans="1:18" ht="12.75" customHeight="1" x14ac:dyDescent="0.2">
      <c r="A894" s="2"/>
      <c r="B894" s="2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R894" s="5"/>
    </row>
    <row r="895" spans="1:18" ht="12.75" customHeight="1" x14ac:dyDescent="0.2">
      <c r="A895" s="2"/>
      <c r="B895" s="2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R895" s="5"/>
    </row>
    <row r="896" spans="1:18" ht="12.75" customHeight="1" x14ac:dyDescent="0.2">
      <c r="A896" s="2"/>
      <c r="B896" s="2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R896" s="5"/>
    </row>
    <row r="897" spans="1:18" ht="12.75" customHeight="1" x14ac:dyDescent="0.2">
      <c r="A897" s="2"/>
      <c r="B897" s="2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R897" s="5"/>
    </row>
    <row r="898" spans="1:18" ht="12.75" customHeight="1" x14ac:dyDescent="0.2">
      <c r="A898" s="2"/>
      <c r="B898" s="2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R898" s="5"/>
    </row>
    <row r="899" spans="1:18" ht="12.75" customHeight="1" x14ac:dyDescent="0.2">
      <c r="A899" s="2"/>
      <c r="B899" s="2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R899" s="5"/>
    </row>
    <row r="900" spans="1:18" ht="12.75" customHeight="1" x14ac:dyDescent="0.2">
      <c r="A900" s="2"/>
      <c r="B900" s="2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R900" s="5"/>
    </row>
    <row r="901" spans="1:18" ht="12.75" customHeight="1" x14ac:dyDescent="0.2">
      <c r="A901" s="2"/>
      <c r="B901" s="2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R901" s="5"/>
    </row>
    <row r="902" spans="1:18" ht="12.75" customHeight="1" x14ac:dyDescent="0.2">
      <c r="A902" s="2"/>
      <c r="B902" s="2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R902" s="5"/>
    </row>
    <row r="903" spans="1:18" ht="12.75" customHeight="1" x14ac:dyDescent="0.2">
      <c r="A903" s="2"/>
      <c r="B903" s="2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R903" s="5"/>
    </row>
    <row r="904" spans="1:18" ht="12.75" customHeight="1" x14ac:dyDescent="0.2">
      <c r="A904" s="2"/>
      <c r="B904" s="2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R904" s="5"/>
    </row>
    <row r="905" spans="1:18" ht="12.75" customHeight="1" x14ac:dyDescent="0.2">
      <c r="A905" s="2"/>
      <c r="B905" s="2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R905" s="5"/>
    </row>
    <row r="906" spans="1:18" ht="12.75" customHeight="1" x14ac:dyDescent="0.2">
      <c r="A906" s="2"/>
      <c r="B906" s="2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R906" s="5"/>
    </row>
    <row r="907" spans="1:18" ht="12.75" customHeight="1" x14ac:dyDescent="0.2">
      <c r="A907" s="2"/>
      <c r="B907" s="2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R907" s="5"/>
    </row>
    <row r="908" spans="1:18" ht="12.75" customHeight="1" x14ac:dyDescent="0.2">
      <c r="A908" s="2"/>
      <c r="B908" s="2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R908" s="5"/>
    </row>
    <row r="909" spans="1:18" ht="12.75" customHeight="1" x14ac:dyDescent="0.2">
      <c r="A909" s="2"/>
      <c r="B909" s="2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R909" s="5"/>
    </row>
    <row r="910" spans="1:18" ht="12.75" customHeight="1" x14ac:dyDescent="0.2">
      <c r="A910" s="2"/>
      <c r="B910" s="2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R910" s="5"/>
    </row>
    <row r="911" spans="1:18" ht="12.75" customHeight="1" x14ac:dyDescent="0.2">
      <c r="A911" s="2"/>
      <c r="B911" s="2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R911" s="5"/>
    </row>
    <row r="912" spans="1:18" ht="12.75" customHeight="1" x14ac:dyDescent="0.2">
      <c r="A912" s="2"/>
      <c r="B912" s="2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R912" s="5"/>
    </row>
    <row r="913" spans="1:18" ht="12.75" customHeight="1" x14ac:dyDescent="0.2">
      <c r="A913" s="2"/>
      <c r="B913" s="2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R913" s="5"/>
    </row>
    <row r="914" spans="1:18" ht="12.75" customHeight="1" x14ac:dyDescent="0.2">
      <c r="A914" s="2"/>
      <c r="B914" s="2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R914" s="5"/>
    </row>
    <row r="915" spans="1:18" ht="12.75" customHeight="1" x14ac:dyDescent="0.2">
      <c r="A915" s="2"/>
      <c r="B915" s="2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R915" s="5"/>
    </row>
    <row r="916" spans="1:18" ht="12.75" customHeight="1" x14ac:dyDescent="0.2">
      <c r="A916" s="2"/>
      <c r="B916" s="2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R916" s="5"/>
    </row>
    <row r="917" spans="1:18" ht="12.75" customHeight="1" x14ac:dyDescent="0.2">
      <c r="A917" s="2"/>
      <c r="B917" s="2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R917" s="5"/>
    </row>
    <row r="918" spans="1:18" ht="12.75" customHeight="1" x14ac:dyDescent="0.2">
      <c r="A918" s="2"/>
      <c r="B918" s="2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R918" s="5"/>
    </row>
    <row r="919" spans="1:18" ht="12.75" customHeight="1" x14ac:dyDescent="0.2">
      <c r="A919" s="2"/>
      <c r="B919" s="2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R919" s="5"/>
    </row>
    <row r="920" spans="1:18" ht="12.75" customHeight="1" x14ac:dyDescent="0.2">
      <c r="A920" s="2"/>
      <c r="B920" s="2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R920" s="5"/>
    </row>
    <row r="921" spans="1:18" ht="12.75" customHeight="1" x14ac:dyDescent="0.2">
      <c r="A921" s="2"/>
      <c r="B921" s="2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R921" s="5"/>
    </row>
    <row r="922" spans="1:18" ht="12.75" customHeight="1" x14ac:dyDescent="0.2">
      <c r="A922" s="2"/>
      <c r="B922" s="2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R922" s="5"/>
    </row>
    <row r="923" spans="1:18" ht="12.75" customHeight="1" x14ac:dyDescent="0.2">
      <c r="A923" s="2"/>
      <c r="B923" s="2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R923" s="5"/>
    </row>
    <row r="924" spans="1:18" ht="12.75" customHeight="1" x14ac:dyDescent="0.2">
      <c r="A924" s="2"/>
      <c r="B924" s="2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R924" s="5"/>
    </row>
    <row r="925" spans="1:18" ht="12.75" customHeight="1" x14ac:dyDescent="0.2">
      <c r="A925" s="2"/>
      <c r="B925" s="2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R925" s="5"/>
    </row>
    <row r="926" spans="1:18" ht="12.75" customHeight="1" x14ac:dyDescent="0.2">
      <c r="A926" s="2"/>
      <c r="B926" s="2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R926" s="5"/>
    </row>
    <row r="927" spans="1:18" ht="12.75" customHeight="1" x14ac:dyDescent="0.2">
      <c r="A927" s="2"/>
      <c r="B927" s="2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R927" s="5"/>
    </row>
    <row r="928" spans="1:18" ht="12.75" customHeight="1" x14ac:dyDescent="0.2">
      <c r="A928" s="2"/>
      <c r="B928" s="2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R928" s="5"/>
    </row>
    <row r="929" spans="1:18" ht="12.75" customHeight="1" x14ac:dyDescent="0.2">
      <c r="A929" s="2"/>
      <c r="B929" s="2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R929" s="5"/>
    </row>
    <row r="930" spans="1:18" ht="12.75" customHeight="1" x14ac:dyDescent="0.2">
      <c r="A930" s="2"/>
      <c r="B930" s="2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R930" s="5"/>
    </row>
    <row r="931" spans="1:18" ht="12.75" customHeight="1" x14ac:dyDescent="0.2">
      <c r="A931" s="2"/>
      <c r="B931" s="2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R931" s="5"/>
    </row>
    <row r="932" spans="1:18" ht="12.75" customHeight="1" x14ac:dyDescent="0.2">
      <c r="A932" s="2"/>
      <c r="B932" s="2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R932" s="5"/>
    </row>
    <row r="933" spans="1:18" ht="12.75" customHeight="1" x14ac:dyDescent="0.2">
      <c r="A933" s="2"/>
      <c r="B933" s="2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R933" s="5"/>
    </row>
    <row r="934" spans="1:18" ht="12.75" customHeight="1" x14ac:dyDescent="0.2">
      <c r="A934" s="2"/>
      <c r="B934" s="2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R934" s="5"/>
    </row>
    <row r="935" spans="1:18" ht="12.75" customHeight="1" x14ac:dyDescent="0.2">
      <c r="A935" s="2"/>
      <c r="B935" s="2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R935" s="5"/>
    </row>
    <row r="936" spans="1:18" ht="12.75" customHeight="1" x14ac:dyDescent="0.2">
      <c r="A936" s="2"/>
      <c r="B936" s="2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R936" s="5"/>
    </row>
    <row r="937" spans="1:18" ht="12.75" customHeight="1" x14ac:dyDescent="0.2">
      <c r="A937" s="2"/>
      <c r="B937" s="2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R937" s="5"/>
    </row>
    <row r="938" spans="1:18" ht="12.75" customHeight="1" x14ac:dyDescent="0.2">
      <c r="A938" s="2"/>
      <c r="B938" s="2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R938" s="5"/>
    </row>
    <row r="939" spans="1:18" ht="12.75" customHeight="1" x14ac:dyDescent="0.2">
      <c r="A939" s="2"/>
      <c r="B939" s="2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R939" s="5"/>
    </row>
    <row r="940" spans="1:18" ht="12.75" customHeight="1" x14ac:dyDescent="0.2">
      <c r="A940" s="2"/>
      <c r="B940" s="2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R940" s="5"/>
    </row>
    <row r="941" spans="1:18" ht="12.75" customHeight="1" x14ac:dyDescent="0.2">
      <c r="A941" s="2"/>
      <c r="B941" s="2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R941" s="5"/>
    </row>
    <row r="942" spans="1:18" ht="12.75" customHeight="1" x14ac:dyDescent="0.2">
      <c r="A942" s="2"/>
      <c r="B942" s="2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R942" s="5"/>
    </row>
    <row r="943" spans="1:18" ht="12.75" customHeight="1" x14ac:dyDescent="0.2">
      <c r="A943" s="2"/>
      <c r="B943" s="2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R943" s="5"/>
    </row>
    <row r="944" spans="1:18" ht="12.75" customHeight="1" x14ac:dyDescent="0.2">
      <c r="A944" s="2"/>
      <c r="B944" s="2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R944" s="5"/>
    </row>
    <row r="945" spans="1:18" ht="12.75" customHeight="1" x14ac:dyDescent="0.2">
      <c r="A945" s="2"/>
      <c r="B945" s="2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R945" s="5"/>
    </row>
    <row r="946" spans="1:18" ht="12.75" customHeight="1" x14ac:dyDescent="0.2">
      <c r="A946" s="2"/>
      <c r="B946" s="2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R946" s="5"/>
    </row>
    <row r="947" spans="1:18" ht="12.75" customHeight="1" x14ac:dyDescent="0.2">
      <c r="A947" s="2"/>
      <c r="B947" s="2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R947" s="5"/>
    </row>
    <row r="948" spans="1:18" ht="12.75" customHeight="1" x14ac:dyDescent="0.2">
      <c r="A948" s="2"/>
      <c r="B948" s="2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R948" s="5"/>
    </row>
    <row r="949" spans="1:18" ht="12.75" customHeight="1" x14ac:dyDescent="0.2">
      <c r="A949" s="2"/>
      <c r="B949" s="2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R949" s="5"/>
    </row>
    <row r="950" spans="1:18" ht="12.75" customHeight="1" x14ac:dyDescent="0.2">
      <c r="A950" s="2"/>
      <c r="B950" s="2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R950" s="5"/>
    </row>
    <row r="951" spans="1:18" ht="12.75" customHeight="1" x14ac:dyDescent="0.2">
      <c r="A951" s="2"/>
      <c r="B951" s="2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R951" s="5"/>
    </row>
    <row r="952" spans="1:18" ht="12.75" customHeight="1" x14ac:dyDescent="0.2">
      <c r="A952" s="2"/>
      <c r="B952" s="2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R952" s="5"/>
    </row>
    <row r="953" spans="1:18" ht="12.75" customHeight="1" x14ac:dyDescent="0.2">
      <c r="A953" s="2"/>
      <c r="B953" s="2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R953" s="5"/>
    </row>
    <row r="954" spans="1:18" ht="12.75" customHeight="1" x14ac:dyDescent="0.2">
      <c r="A954" s="2"/>
      <c r="B954" s="2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R954" s="5"/>
    </row>
    <row r="955" spans="1:18" ht="12.75" customHeight="1" x14ac:dyDescent="0.2">
      <c r="A955" s="2"/>
      <c r="B955" s="2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R955" s="5"/>
    </row>
    <row r="956" spans="1:18" ht="12.75" customHeight="1" x14ac:dyDescent="0.2">
      <c r="A956" s="2"/>
      <c r="B956" s="2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R956" s="5"/>
    </row>
    <row r="957" spans="1:18" ht="12.75" customHeight="1" x14ac:dyDescent="0.2">
      <c r="A957" s="2"/>
      <c r="B957" s="2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R957" s="5"/>
    </row>
    <row r="958" spans="1:18" ht="12.75" customHeight="1" x14ac:dyDescent="0.2">
      <c r="A958" s="2"/>
      <c r="B958" s="2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R958" s="5"/>
    </row>
    <row r="959" spans="1:18" ht="12.75" customHeight="1" x14ac:dyDescent="0.2">
      <c r="A959" s="2"/>
      <c r="B959" s="2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R959" s="5"/>
    </row>
    <row r="960" spans="1:18" ht="12.75" customHeight="1" x14ac:dyDescent="0.2">
      <c r="A960" s="2"/>
      <c r="B960" s="2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R960" s="5"/>
    </row>
    <row r="961" spans="1:18" ht="12.75" customHeight="1" x14ac:dyDescent="0.2">
      <c r="A961" s="2"/>
      <c r="B961" s="2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R961" s="5"/>
    </row>
    <row r="962" spans="1:18" ht="12.75" customHeight="1" x14ac:dyDescent="0.2">
      <c r="A962" s="2"/>
      <c r="B962" s="2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R962" s="5"/>
    </row>
    <row r="963" spans="1:18" ht="12.75" customHeight="1" x14ac:dyDescent="0.2">
      <c r="A963" s="2"/>
      <c r="B963" s="2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R963" s="5"/>
    </row>
    <row r="964" spans="1:18" ht="12.75" customHeight="1" x14ac:dyDescent="0.2">
      <c r="A964" s="2"/>
      <c r="B964" s="2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R964" s="5"/>
    </row>
    <row r="965" spans="1:18" ht="12.75" customHeight="1" x14ac:dyDescent="0.2">
      <c r="A965" s="2"/>
      <c r="B965" s="2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R965" s="5"/>
    </row>
    <row r="966" spans="1:18" ht="12.75" customHeight="1" x14ac:dyDescent="0.2">
      <c r="A966" s="2"/>
      <c r="B966" s="2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R966" s="5"/>
    </row>
    <row r="967" spans="1:18" ht="12.75" customHeight="1" x14ac:dyDescent="0.2">
      <c r="A967" s="2"/>
      <c r="B967" s="2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R967" s="5"/>
    </row>
    <row r="968" spans="1:18" ht="12.75" customHeight="1" x14ac:dyDescent="0.2">
      <c r="A968" s="2"/>
      <c r="B968" s="2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R968" s="5"/>
    </row>
    <row r="969" spans="1:18" ht="12.75" customHeight="1" x14ac:dyDescent="0.2">
      <c r="A969" s="2"/>
      <c r="B969" s="2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R969" s="5"/>
    </row>
    <row r="970" spans="1:18" ht="12.75" customHeight="1" x14ac:dyDescent="0.2">
      <c r="A970" s="2"/>
      <c r="B970" s="2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R970" s="5"/>
    </row>
    <row r="971" spans="1:18" ht="12.75" customHeight="1" x14ac:dyDescent="0.2">
      <c r="A971" s="2"/>
      <c r="B971" s="2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R971" s="5"/>
    </row>
    <row r="972" spans="1:18" ht="12.75" customHeight="1" x14ac:dyDescent="0.2">
      <c r="A972" s="2"/>
      <c r="B972" s="2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R972" s="5"/>
    </row>
    <row r="973" spans="1:18" ht="12.75" customHeight="1" x14ac:dyDescent="0.2">
      <c r="A973" s="2"/>
      <c r="B973" s="2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R973" s="5"/>
    </row>
    <row r="974" spans="1:18" ht="12.75" customHeight="1" x14ac:dyDescent="0.2">
      <c r="A974" s="2"/>
      <c r="B974" s="2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R974" s="5"/>
    </row>
    <row r="975" spans="1:18" ht="12.75" customHeight="1" x14ac:dyDescent="0.2">
      <c r="A975" s="2"/>
      <c r="B975" s="2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R975" s="5"/>
    </row>
    <row r="976" spans="1:18" ht="12.75" customHeight="1" x14ac:dyDescent="0.2">
      <c r="A976" s="2"/>
      <c r="B976" s="2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R976" s="5"/>
    </row>
    <row r="977" spans="1:18" ht="12.75" customHeight="1" x14ac:dyDescent="0.2">
      <c r="A977" s="2"/>
      <c r="B977" s="2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R977" s="5"/>
    </row>
    <row r="978" spans="1:18" ht="12.75" customHeight="1" x14ac:dyDescent="0.2">
      <c r="A978" s="2"/>
      <c r="B978" s="2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R978" s="5"/>
    </row>
    <row r="979" spans="1:18" ht="12.75" customHeight="1" x14ac:dyDescent="0.2">
      <c r="A979" s="2"/>
      <c r="B979" s="2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R979" s="5"/>
    </row>
    <row r="980" spans="1:18" ht="12.75" customHeight="1" x14ac:dyDescent="0.2">
      <c r="A980" s="2"/>
      <c r="B980" s="2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R980" s="5"/>
    </row>
    <row r="981" spans="1:18" ht="12.75" customHeight="1" x14ac:dyDescent="0.2">
      <c r="A981" s="2"/>
      <c r="B981" s="2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R981" s="5"/>
    </row>
    <row r="982" spans="1:18" ht="12.75" customHeight="1" x14ac:dyDescent="0.2">
      <c r="A982" s="2"/>
      <c r="B982" s="2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R982" s="5"/>
    </row>
    <row r="983" spans="1:18" ht="12.75" customHeight="1" x14ac:dyDescent="0.2">
      <c r="A983" s="2"/>
      <c r="B983" s="2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R983" s="5"/>
    </row>
    <row r="984" spans="1:18" ht="12.75" customHeight="1" x14ac:dyDescent="0.2">
      <c r="A984" s="2"/>
      <c r="B984" s="2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R984" s="5"/>
    </row>
    <row r="985" spans="1:18" ht="12.75" customHeight="1" x14ac:dyDescent="0.2">
      <c r="A985" s="2"/>
      <c r="B985" s="2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R985" s="5"/>
    </row>
    <row r="986" spans="1:18" ht="12.75" customHeight="1" x14ac:dyDescent="0.2">
      <c r="A986" s="2"/>
      <c r="B986" s="2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R986" s="5"/>
    </row>
    <row r="987" spans="1:18" ht="12.75" customHeight="1" x14ac:dyDescent="0.2">
      <c r="A987" s="2"/>
      <c r="B987" s="2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R987" s="5"/>
    </row>
    <row r="988" spans="1:18" ht="12.75" customHeight="1" x14ac:dyDescent="0.2">
      <c r="A988" s="2"/>
      <c r="B988" s="2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R988" s="5"/>
    </row>
    <row r="989" spans="1:18" ht="12.75" customHeight="1" x14ac:dyDescent="0.2">
      <c r="A989" s="2"/>
      <c r="B989" s="2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R989" s="5"/>
    </row>
    <row r="990" spans="1:18" ht="12.75" customHeight="1" x14ac:dyDescent="0.2">
      <c r="A990" s="2"/>
      <c r="B990" s="2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R990" s="5"/>
    </row>
    <row r="991" spans="1:18" ht="12.75" customHeight="1" x14ac:dyDescent="0.2">
      <c r="A991" s="2"/>
      <c r="B991" s="2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R991" s="5"/>
    </row>
    <row r="992" spans="1:18" ht="12.75" customHeight="1" x14ac:dyDescent="0.2">
      <c r="A992" s="2"/>
      <c r="B992" s="2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R992" s="5"/>
    </row>
    <row r="993" spans="1:18" ht="12.75" customHeight="1" x14ac:dyDescent="0.2">
      <c r="A993" s="2"/>
      <c r="B993" s="2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R993" s="5"/>
    </row>
    <row r="994" spans="1:18" ht="12.75" customHeight="1" x14ac:dyDescent="0.2">
      <c r="A994" s="2"/>
      <c r="B994" s="2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R994" s="5"/>
    </row>
    <row r="995" spans="1:18" ht="12.75" customHeight="1" x14ac:dyDescent="0.2">
      <c r="A995" s="2"/>
      <c r="B995" s="2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R995" s="5"/>
    </row>
    <row r="996" spans="1:18" ht="12.75" customHeight="1" x14ac:dyDescent="0.2">
      <c r="A996" s="2"/>
      <c r="B996" s="2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R996" s="5"/>
    </row>
    <row r="997" spans="1:18" ht="12.75" customHeight="1" x14ac:dyDescent="0.2">
      <c r="A997" s="2"/>
      <c r="B997" s="2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R997" s="5"/>
    </row>
    <row r="998" spans="1:18" ht="12.75" customHeight="1" x14ac:dyDescent="0.2">
      <c r="A998" s="2"/>
      <c r="B998" s="2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R998" s="5"/>
    </row>
    <row r="999" spans="1:18" ht="12.75" customHeight="1" x14ac:dyDescent="0.2">
      <c r="A999" s="2"/>
      <c r="B999" s="2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R999" s="5"/>
    </row>
    <row r="1000" spans="1:18" ht="12.75" customHeight="1" x14ac:dyDescent="0.2">
      <c r="A1000" s="2"/>
      <c r="B1000" s="2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R1000" s="5"/>
    </row>
    <row r="1001" spans="1:18" ht="12.75" customHeight="1" x14ac:dyDescent="0.2">
      <c r="A1001" s="2"/>
      <c r="B1001" s="2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R1001" s="5"/>
    </row>
    <row r="1002" spans="1:18" ht="12.75" customHeight="1" x14ac:dyDescent="0.2">
      <c r="A1002" s="2"/>
      <c r="B1002" s="2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R1002" s="5"/>
    </row>
    <row r="1003" spans="1:18" ht="12.75" customHeight="1" x14ac:dyDescent="0.2">
      <c r="A1003" s="2"/>
      <c r="B1003" s="2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R1003" s="5"/>
    </row>
    <row r="1004" spans="1:18" ht="12.75" customHeight="1" x14ac:dyDescent="0.2">
      <c r="A1004" s="2"/>
      <c r="B1004" s="2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R1004" s="5"/>
    </row>
    <row r="1005" spans="1:18" ht="12.75" customHeight="1" x14ac:dyDescent="0.2">
      <c r="A1005" s="2"/>
      <c r="B1005" s="2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R1005" s="5"/>
    </row>
    <row r="1006" spans="1:18" ht="15" customHeight="1" x14ac:dyDescent="0.2">
      <c r="P1006" s="18"/>
    </row>
    <row r="1007" spans="1:18" ht="15" customHeight="1" x14ac:dyDescent="0.2">
      <c r="P1007" s="18"/>
    </row>
    <row r="1008" spans="1:18" ht="15" customHeight="1" x14ac:dyDescent="0.2">
      <c r="P1008" s="18"/>
    </row>
    <row r="1009" spans="16:16" ht="15" customHeight="1" x14ac:dyDescent="0.2">
      <c r="P1009" s="18"/>
    </row>
    <row r="1010" spans="16:16" ht="15" customHeight="1" x14ac:dyDescent="0.2">
      <c r="P1010" s="18"/>
    </row>
    <row r="1011" spans="16:16" ht="15" customHeight="1" x14ac:dyDescent="0.2">
      <c r="P1011" s="18"/>
    </row>
    <row r="1012" spans="16:16" ht="15" customHeight="1" x14ac:dyDescent="0.2">
      <c r="P1012" s="18"/>
    </row>
    <row r="1013" spans="16:16" ht="15" customHeight="1" x14ac:dyDescent="0.2">
      <c r="P1013" s="18"/>
    </row>
    <row r="1014" spans="16:16" ht="15" customHeight="1" x14ac:dyDescent="0.2">
      <c r="P1014" s="18"/>
    </row>
    <row r="1015" spans="16:16" ht="15" customHeight="1" x14ac:dyDescent="0.2">
      <c r="P1015" s="18"/>
    </row>
    <row r="1016" spans="16:16" ht="15" customHeight="1" x14ac:dyDescent="0.2">
      <c r="P1016" s="18"/>
    </row>
    <row r="1017" spans="16:16" ht="15" customHeight="1" x14ac:dyDescent="0.2">
      <c r="P1017" s="18"/>
    </row>
    <row r="1018" spans="16:16" ht="15" customHeight="1" x14ac:dyDescent="0.2">
      <c r="P1018" s="18"/>
    </row>
    <row r="1019" spans="16:16" ht="15" customHeight="1" x14ac:dyDescent="0.2">
      <c r="P1019" s="18"/>
    </row>
    <row r="1020" spans="16:16" ht="15" customHeight="1" x14ac:dyDescent="0.2">
      <c r="P1020" s="18"/>
    </row>
    <row r="1021" spans="16:16" ht="15" customHeight="1" x14ac:dyDescent="0.2">
      <c r="P1021" s="18"/>
    </row>
    <row r="1022" spans="16:16" ht="15" customHeight="1" x14ac:dyDescent="0.2">
      <c r="P1022" s="18"/>
    </row>
    <row r="1023" spans="16:16" ht="15" customHeight="1" x14ac:dyDescent="0.2">
      <c r="P1023" s="18"/>
    </row>
    <row r="1024" spans="16:16" ht="15" customHeight="1" x14ac:dyDescent="0.2">
      <c r="P1024" s="18"/>
    </row>
    <row r="1025" spans="16:16" ht="15" customHeight="1" x14ac:dyDescent="0.2">
      <c r="P1025" s="18"/>
    </row>
    <row r="1026" spans="16:16" ht="15" customHeight="1" x14ac:dyDescent="0.2">
      <c r="P1026" s="18"/>
    </row>
    <row r="1027" spans="16:16" ht="15" customHeight="1" x14ac:dyDescent="0.2">
      <c r="P1027" s="18"/>
    </row>
    <row r="1028" spans="16:16" ht="15" customHeight="1" x14ac:dyDescent="0.2">
      <c r="P1028" s="18"/>
    </row>
    <row r="1029" spans="16:16" ht="15" customHeight="1" x14ac:dyDescent="0.2">
      <c r="P1029" s="18"/>
    </row>
    <row r="1030" spans="16:16" ht="15" customHeight="1" x14ac:dyDescent="0.2">
      <c r="P1030" s="18"/>
    </row>
    <row r="1031" spans="16:16" ht="15" customHeight="1" x14ac:dyDescent="0.2">
      <c r="P1031" s="18"/>
    </row>
    <row r="1032" spans="16:16" ht="15" customHeight="1" x14ac:dyDescent="0.2">
      <c r="P1032" s="18"/>
    </row>
    <row r="1033" spans="16:16" ht="15" customHeight="1" x14ac:dyDescent="0.2">
      <c r="P1033" s="18"/>
    </row>
    <row r="1034" spans="16:16" ht="15" customHeight="1" x14ac:dyDescent="0.2">
      <c r="P1034" s="18"/>
    </row>
    <row r="1035" spans="16:16" ht="15" customHeight="1" x14ac:dyDescent="0.2">
      <c r="P1035" s="18"/>
    </row>
    <row r="1036" spans="16:16" ht="15" customHeight="1" x14ac:dyDescent="0.2">
      <c r="P1036" s="18"/>
    </row>
    <row r="1037" spans="16:16" ht="15" customHeight="1" x14ac:dyDescent="0.2">
      <c r="P1037" s="18"/>
    </row>
    <row r="1038" spans="16:16" ht="15" customHeight="1" x14ac:dyDescent="0.2">
      <c r="P1038" s="18"/>
    </row>
    <row r="1039" spans="16:16" ht="15" customHeight="1" x14ac:dyDescent="0.2">
      <c r="P1039" s="18"/>
    </row>
    <row r="1040" spans="16:16" ht="15" customHeight="1" x14ac:dyDescent="0.2">
      <c r="P1040" s="18"/>
    </row>
    <row r="1041" spans="16:16" ht="15" customHeight="1" x14ac:dyDescent="0.2">
      <c r="P1041" s="18"/>
    </row>
    <row r="1042" spans="16:16" ht="15" customHeight="1" x14ac:dyDescent="0.2">
      <c r="P1042" s="18"/>
    </row>
    <row r="1043" spans="16:16" ht="15" customHeight="1" x14ac:dyDescent="0.2">
      <c r="P1043" s="18"/>
    </row>
    <row r="1044" spans="16:16" ht="15" customHeight="1" x14ac:dyDescent="0.2">
      <c r="P1044" s="18"/>
    </row>
    <row r="1045" spans="16:16" ht="15" customHeight="1" x14ac:dyDescent="0.2">
      <c r="P1045" s="18"/>
    </row>
    <row r="1046" spans="16:16" ht="15" customHeight="1" x14ac:dyDescent="0.2">
      <c r="P1046" s="18"/>
    </row>
    <row r="1047" spans="16:16" ht="15" customHeight="1" x14ac:dyDescent="0.2">
      <c r="P1047" s="18"/>
    </row>
    <row r="1048" spans="16:16" ht="15" customHeight="1" x14ac:dyDescent="0.2">
      <c r="P1048" s="18"/>
    </row>
    <row r="1049" spans="16:16" ht="15" customHeight="1" x14ac:dyDescent="0.2">
      <c r="P1049" s="18"/>
    </row>
    <row r="1050" spans="16:16" ht="15" customHeight="1" x14ac:dyDescent="0.2">
      <c r="P1050" s="18"/>
    </row>
    <row r="1051" spans="16:16" ht="15" customHeight="1" x14ac:dyDescent="0.2">
      <c r="P1051" s="18"/>
    </row>
    <row r="1052" spans="16:16" ht="15" customHeight="1" x14ac:dyDescent="0.2">
      <c r="P1052" s="18"/>
    </row>
    <row r="1053" spans="16:16" ht="15" customHeight="1" x14ac:dyDescent="0.2">
      <c r="P1053" s="18"/>
    </row>
    <row r="1054" spans="16:16" ht="15" customHeight="1" x14ac:dyDescent="0.2">
      <c r="P1054" s="18"/>
    </row>
    <row r="1055" spans="16:16" ht="15" customHeight="1" x14ac:dyDescent="0.2">
      <c r="P1055" s="18"/>
    </row>
    <row r="1056" spans="16:16" ht="15" customHeight="1" x14ac:dyDescent="0.2">
      <c r="P1056" s="18"/>
    </row>
    <row r="1057" spans="16:16" ht="15" customHeight="1" x14ac:dyDescent="0.2">
      <c r="P1057" s="18"/>
    </row>
    <row r="1058" spans="16:16" ht="15" customHeight="1" x14ac:dyDescent="0.2">
      <c r="P1058" s="18"/>
    </row>
    <row r="1059" spans="16:16" ht="15" customHeight="1" x14ac:dyDescent="0.2">
      <c r="P1059" s="18"/>
    </row>
    <row r="1060" spans="16:16" ht="15" customHeight="1" x14ac:dyDescent="0.2">
      <c r="P1060" s="18"/>
    </row>
    <row r="1061" spans="16:16" ht="15" customHeight="1" x14ac:dyDescent="0.2">
      <c r="P1061" s="18"/>
    </row>
    <row r="1062" spans="16:16" ht="15" customHeight="1" x14ac:dyDescent="0.2">
      <c r="P1062" s="18"/>
    </row>
    <row r="1063" spans="16:16" ht="15" customHeight="1" x14ac:dyDescent="0.2">
      <c r="P1063" s="18"/>
    </row>
    <row r="1064" spans="16:16" ht="15" customHeight="1" x14ac:dyDescent="0.2">
      <c r="P1064" s="18"/>
    </row>
    <row r="1065" spans="16:16" ht="15" customHeight="1" x14ac:dyDescent="0.2">
      <c r="P1065" s="18"/>
    </row>
    <row r="1066" spans="16:16" ht="15" customHeight="1" x14ac:dyDescent="0.2">
      <c r="P1066" s="18"/>
    </row>
    <row r="1067" spans="16:16" ht="15" customHeight="1" x14ac:dyDescent="0.2">
      <c r="P1067" s="18"/>
    </row>
    <row r="1068" spans="16:16" ht="15" customHeight="1" x14ac:dyDescent="0.2">
      <c r="P1068" s="18"/>
    </row>
    <row r="1069" spans="16:16" ht="15" customHeight="1" x14ac:dyDescent="0.2">
      <c r="P1069" s="18"/>
    </row>
    <row r="1070" spans="16:16" ht="15" customHeight="1" x14ac:dyDescent="0.2">
      <c r="P1070" s="18"/>
    </row>
    <row r="1071" spans="16:16" ht="15" customHeight="1" x14ac:dyDescent="0.2">
      <c r="P1071" s="18"/>
    </row>
    <row r="1072" spans="16:16" ht="15" customHeight="1" x14ac:dyDescent="0.2">
      <c r="P1072" s="18"/>
    </row>
    <row r="1073" spans="16:16" ht="15" customHeight="1" x14ac:dyDescent="0.2">
      <c r="P1073" s="18"/>
    </row>
    <row r="1074" spans="16:16" ht="15" customHeight="1" x14ac:dyDescent="0.2">
      <c r="P1074" s="18"/>
    </row>
    <row r="1075" spans="16:16" ht="15" customHeight="1" x14ac:dyDescent="0.2">
      <c r="P1075" s="18"/>
    </row>
    <row r="1076" spans="16:16" ht="15" customHeight="1" x14ac:dyDescent="0.2">
      <c r="P1076" s="18"/>
    </row>
    <row r="1077" spans="16:16" ht="15" customHeight="1" x14ac:dyDescent="0.2">
      <c r="P1077" s="18"/>
    </row>
    <row r="1078" spans="16:16" ht="15" customHeight="1" x14ac:dyDescent="0.2">
      <c r="P1078" s="18"/>
    </row>
    <row r="1079" spans="16:16" ht="15" customHeight="1" x14ac:dyDescent="0.2">
      <c r="P1079" s="18"/>
    </row>
    <row r="1080" spans="16:16" ht="15" customHeight="1" x14ac:dyDescent="0.2">
      <c r="P1080" s="18"/>
    </row>
    <row r="1081" spans="16:16" ht="15" customHeight="1" x14ac:dyDescent="0.2">
      <c r="P1081" s="18"/>
    </row>
    <row r="1082" spans="16:16" ht="15" customHeight="1" x14ac:dyDescent="0.2">
      <c r="P1082" s="18"/>
    </row>
    <row r="1083" spans="16:16" ht="15" customHeight="1" x14ac:dyDescent="0.2">
      <c r="P1083" s="18"/>
    </row>
    <row r="1084" spans="16:16" ht="15" customHeight="1" x14ac:dyDescent="0.2">
      <c r="P1084" s="18"/>
    </row>
    <row r="1085" spans="16:16" ht="15" customHeight="1" x14ac:dyDescent="0.2">
      <c r="P1085" s="18"/>
    </row>
    <row r="1086" spans="16:16" ht="15" customHeight="1" x14ac:dyDescent="0.2">
      <c r="P1086" s="18"/>
    </row>
    <row r="1087" spans="16:16" ht="15" customHeight="1" x14ac:dyDescent="0.2">
      <c r="P1087" s="18"/>
    </row>
    <row r="1088" spans="16:16" ht="15" customHeight="1" x14ac:dyDescent="0.2">
      <c r="P1088" s="18"/>
    </row>
    <row r="1089" spans="16:16" ht="15" customHeight="1" x14ac:dyDescent="0.2">
      <c r="P1089" s="18"/>
    </row>
    <row r="1090" spans="16:16" ht="15" customHeight="1" x14ac:dyDescent="0.2">
      <c r="P1090" s="18"/>
    </row>
    <row r="1091" spans="16:16" ht="15" customHeight="1" x14ac:dyDescent="0.2">
      <c r="P1091" s="18"/>
    </row>
    <row r="1092" spans="16:16" ht="15" customHeight="1" x14ac:dyDescent="0.2">
      <c r="P1092" s="18"/>
    </row>
    <row r="1093" spans="16:16" ht="15" customHeight="1" x14ac:dyDescent="0.2">
      <c r="P1093" s="18"/>
    </row>
    <row r="1094" spans="16:16" ht="15" customHeight="1" x14ac:dyDescent="0.2">
      <c r="P1094" s="18"/>
    </row>
    <row r="1095" spans="16:16" ht="15" customHeight="1" x14ac:dyDescent="0.2">
      <c r="P1095" s="18"/>
    </row>
    <row r="1096" spans="16:16" ht="15" customHeight="1" x14ac:dyDescent="0.2">
      <c r="P1096" s="18"/>
    </row>
    <row r="1097" spans="16:16" ht="15" customHeight="1" x14ac:dyDescent="0.2">
      <c r="P1097" s="18"/>
    </row>
    <row r="1098" spans="16:16" ht="15" customHeight="1" x14ac:dyDescent="0.2">
      <c r="P1098" s="18"/>
    </row>
    <row r="1099" spans="16:16" ht="15" customHeight="1" x14ac:dyDescent="0.2">
      <c r="P1099" s="18"/>
    </row>
    <row r="1100" spans="16:16" ht="15" customHeight="1" x14ac:dyDescent="0.2">
      <c r="P1100" s="18"/>
    </row>
    <row r="1101" spans="16:16" ht="15" customHeight="1" x14ac:dyDescent="0.2">
      <c r="P1101" s="18"/>
    </row>
    <row r="1102" spans="16:16" ht="15" customHeight="1" x14ac:dyDescent="0.2">
      <c r="P1102" s="18"/>
    </row>
    <row r="1103" spans="16:16" ht="15" customHeight="1" x14ac:dyDescent="0.2">
      <c r="P1103" s="18"/>
    </row>
    <row r="1104" spans="16:16" ht="15" customHeight="1" x14ac:dyDescent="0.2">
      <c r="P1104" s="18"/>
    </row>
    <row r="1105" spans="16:16" ht="15" customHeight="1" x14ac:dyDescent="0.2">
      <c r="P1105" s="18"/>
    </row>
    <row r="1106" spans="16:16" ht="15" customHeight="1" x14ac:dyDescent="0.2">
      <c r="P1106" s="18"/>
    </row>
    <row r="1107" spans="16:16" ht="15" customHeight="1" x14ac:dyDescent="0.2">
      <c r="P1107" s="18"/>
    </row>
    <row r="1108" spans="16:16" ht="15" customHeight="1" x14ac:dyDescent="0.2">
      <c r="P1108" s="18"/>
    </row>
    <row r="1109" spans="16:16" ht="15" customHeight="1" x14ac:dyDescent="0.2">
      <c r="P1109" s="18"/>
    </row>
    <row r="1110" spans="16:16" ht="15" customHeight="1" x14ac:dyDescent="0.2">
      <c r="P1110" s="18"/>
    </row>
    <row r="1111" spans="16:16" ht="15" customHeight="1" x14ac:dyDescent="0.2">
      <c r="P1111" s="18"/>
    </row>
    <row r="1112" spans="16:16" ht="15" customHeight="1" x14ac:dyDescent="0.2">
      <c r="P1112" s="18"/>
    </row>
    <row r="1113" spans="16:16" ht="15" customHeight="1" x14ac:dyDescent="0.2">
      <c r="P1113" s="18"/>
    </row>
    <row r="1114" spans="16:16" ht="15" customHeight="1" x14ac:dyDescent="0.2">
      <c r="P1114" s="18"/>
    </row>
    <row r="1115" spans="16:16" ht="15" customHeight="1" x14ac:dyDescent="0.2">
      <c r="P1115" s="18"/>
    </row>
    <row r="1116" spans="16:16" ht="15" customHeight="1" x14ac:dyDescent="0.2">
      <c r="P1116" s="18"/>
    </row>
    <row r="1117" spans="16:16" ht="15" customHeight="1" x14ac:dyDescent="0.2">
      <c r="P1117" s="18"/>
    </row>
    <row r="1118" spans="16:16" ht="15" customHeight="1" x14ac:dyDescent="0.2">
      <c r="P1118" s="18"/>
    </row>
    <row r="1119" spans="16:16" ht="15" customHeight="1" x14ac:dyDescent="0.2">
      <c r="P1119" s="18"/>
    </row>
    <row r="1120" spans="16:16" ht="15" customHeight="1" x14ac:dyDescent="0.2">
      <c r="P1120" s="18"/>
    </row>
    <row r="1121" spans="16:16" ht="15" customHeight="1" x14ac:dyDescent="0.2">
      <c r="P1121" s="18"/>
    </row>
    <row r="1122" spans="16:16" ht="15" customHeight="1" x14ac:dyDescent="0.2">
      <c r="P1122" s="18"/>
    </row>
    <row r="1123" spans="16:16" ht="15" customHeight="1" x14ac:dyDescent="0.2">
      <c r="P1123" s="18"/>
    </row>
    <row r="1124" spans="16:16" ht="15" customHeight="1" x14ac:dyDescent="0.2">
      <c r="P1124" s="18"/>
    </row>
    <row r="1125" spans="16:16" ht="15" customHeight="1" x14ac:dyDescent="0.2">
      <c r="P1125" s="18"/>
    </row>
    <row r="1126" spans="16:16" ht="15" customHeight="1" x14ac:dyDescent="0.2">
      <c r="P1126" s="18"/>
    </row>
    <row r="1127" spans="16:16" ht="15" customHeight="1" x14ac:dyDescent="0.2">
      <c r="P1127" s="18"/>
    </row>
    <row r="1128" spans="16:16" ht="15" customHeight="1" x14ac:dyDescent="0.2">
      <c r="P1128" s="18"/>
    </row>
    <row r="1129" spans="16:16" ht="15" customHeight="1" x14ac:dyDescent="0.2">
      <c r="P1129" s="18"/>
    </row>
    <row r="1130" spans="16:16" ht="15" customHeight="1" x14ac:dyDescent="0.2">
      <c r="P1130" s="18"/>
    </row>
    <row r="1131" spans="16:16" ht="15" customHeight="1" x14ac:dyDescent="0.2">
      <c r="P1131" s="18"/>
    </row>
    <row r="1132" spans="16:16" ht="15" customHeight="1" x14ac:dyDescent="0.2">
      <c r="P1132" s="18"/>
    </row>
    <row r="1133" spans="16:16" ht="15" customHeight="1" x14ac:dyDescent="0.2">
      <c r="P1133" s="18"/>
    </row>
    <row r="1134" spans="16:16" ht="15" customHeight="1" x14ac:dyDescent="0.2">
      <c r="P1134" s="18"/>
    </row>
    <row r="1135" spans="16:16" ht="15" customHeight="1" x14ac:dyDescent="0.2">
      <c r="P1135" s="18"/>
    </row>
    <row r="1136" spans="16:16" ht="15" customHeight="1" x14ac:dyDescent="0.2">
      <c r="P1136" s="18"/>
    </row>
    <row r="1137" spans="16:16" ht="15" customHeight="1" x14ac:dyDescent="0.2">
      <c r="P1137" s="18"/>
    </row>
    <row r="1138" spans="16:16" ht="15" customHeight="1" x14ac:dyDescent="0.2">
      <c r="P1138" s="18"/>
    </row>
    <row r="1139" spans="16:16" ht="15" customHeight="1" x14ac:dyDescent="0.2">
      <c r="P1139" s="18"/>
    </row>
    <row r="1140" spans="16:16" ht="15" customHeight="1" x14ac:dyDescent="0.2">
      <c r="P1140" s="18"/>
    </row>
    <row r="1141" spans="16:16" ht="15" customHeight="1" x14ac:dyDescent="0.2">
      <c r="P1141" s="18"/>
    </row>
    <row r="1142" spans="16:16" ht="15" customHeight="1" x14ac:dyDescent="0.2">
      <c r="P1142" s="18"/>
    </row>
    <row r="1143" spans="16:16" ht="15" customHeight="1" x14ac:dyDescent="0.2">
      <c r="P1143" s="18"/>
    </row>
    <row r="1144" spans="16:16" ht="15" customHeight="1" x14ac:dyDescent="0.2">
      <c r="P1144" s="18"/>
    </row>
    <row r="1145" spans="16:16" ht="15" customHeight="1" x14ac:dyDescent="0.2">
      <c r="P1145" s="18"/>
    </row>
    <row r="1146" spans="16:16" ht="15" customHeight="1" x14ac:dyDescent="0.2">
      <c r="P1146" s="18"/>
    </row>
    <row r="1147" spans="16:16" ht="15" customHeight="1" x14ac:dyDescent="0.2">
      <c r="P1147" s="18"/>
    </row>
    <row r="1148" spans="16:16" ht="15" customHeight="1" x14ac:dyDescent="0.2">
      <c r="P1148" s="18"/>
    </row>
    <row r="1149" spans="16:16" ht="15" customHeight="1" x14ac:dyDescent="0.2">
      <c r="P1149" s="18"/>
    </row>
    <row r="1150" spans="16:16" ht="15" customHeight="1" x14ac:dyDescent="0.2">
      <c r="P1150" s="18"/>
    </row>
    <row r="1151" spans="16:16" ht="15" customHeight="1" x14ac:dyDescent="0.2">
      <c r="P1151" s="18"/>
    </row>
    <row r="1152" spans="16:16" ht="15" customHeight="1" x14ac:dyDescent="0.2">
      <c r="P1152" s="18"/>
    </row>
    <row r="1153" spans="16:16" ht="15" customHeight="1" x14ac:dyDescent="0.2">
      <c r="P1153" s="18"/>
    </row>
    <row r="1154" spans="16:16" ht="15" customHeight="1" x14ac:dyDescent="0.2">
      <c r="P1154" s="18"/>
    </row>
    <row r="1155" spans="16:16" ht="15" customHeight="1" x14ac:dyDescent="0.2">
      <c r="P1155" s="18"/>
    </row>
    <row r="1156" spans="16:16" ht="15" customHeight="1" x14ac:dyDescent="0.2">
      <c r="P1156" s="18"/>
    </row>
    <row r="1157" spans="16:16" ht="15" customHeight="1" x14ac:dyDescent="0.2">
      <c r="P1157" s="18"/>
    </row>
    <row r="1158" spans="16:16" ht="15" customHeight="1" x14ac:dyDescent="0.2">
      <c r="P1158" s="18"/>
    </row>
    <row r="1159" spans="16:16" ht="15" customHeight="1" x14ac:dyDescent="0.2">
      <c r="P1159" s="18"/>
    </row>
  </sheetData>
  <mergeCells count="1">
    <mergeCell ref="A34:A42"/>
  </mergeCells>
  <pageMargins left="0.2" right="0.2" top="0.25" bottom="0.25" header="0" footer="0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F725-6378-415A-93E3-641C21DDF239}">
  <dimension ref="A1:L60"/>
  <sheetViews>
    <sheetView topLeftCell="A34" workbookViewId="0">
      <selection activeCell="I59" sqref="I59"/>
    </sheetView>
  </sheetViews>
  <sheetFormatPr defaultRowHeight="12.75" x14ac:dyDescent="0.2"/>
  <cols>
    <col min="2" max="2" width="14.7109375" customWidth="1"/>
    <col min="3" max="3" width="46.28515625" customWidth="1"/>
    <col min="4" max="4" width="15.85546875" customWidth="1"/>
    <col min="5" max="5" width="29.28515625" customWidth="1"/>
    <col min="6" max="6" width="17.42578125" customWidth="1"/>
  </cols>
  <sheetData>
    <row r="1" spans="1:7" x14ac:dyDescent="0.2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</row>
    <row r="2" spans="1:7" x14ac:dyDescent="0.2">
      <c r="A2" t="s">
        <v>61</v>
      </c>
      <c r="B2" s="48">
        <v>45716</v>
      </c>
      <c r="C2" t="s">
        <v>161</v>
      </c>
      <c r="D2" s="52">
        <v>-154.94</v>
      </c>
      <c r="E2" t="s">
        <v>66</v>
      </c>
      <c r="F2">
        <v>70600.899999999994</v>
      </c>
    </row>
    <row r="3" spans="1:7" x14ac:dyDescent="0.2">
      <c r="A3" t="s">
        <v>61</v>
      </c>
      <c r="B3" s="48">
        <v>45716</v>
      </c>
      <c r="C3" t="s">
        <v>162</v>
      </c>
      <c r="D3" s="52">
        <v>-221.39</v>
      </c>
      <c r="E3" t="s">
        <v>66</v>
      </c>
      <c r="F3">
        <v>70755.839999999997</v>
      </c>
    </row>
    <row r="4" spans="1:7" x14ac:dyDescent="0.2">
      <c r="A4" t="s">
        <v>61</v>
      </c>
      <c r="B4" s="48">
        <v>45716</v>
      </c>
      <c r="C4" t="s">
        <v>163</v>
      </c>
      <c r="D4" s="52">
        <v>-292.44</v>
      </c>
      <c r="E4" t="s">
        <v>66</v>
      </c>
      <c r="F4">
        <v>70977.23</v>
      </c>
    </row>
    <row r="5" spans="1:7" x14ac:dyDescent="0.2">
      <c r="A5" t="s">
        <v>61</v>
      </c>
      <c r="B5" s="48">
        <v>45716</v>
      </c>
      <c r="C5" t="s">
        <v>164</v>
      </c>
      <c r="D5" s="52">
        <v>-1212.52</v>
      </c>
      <c r="E5" t="s">
        <v>66</v>
      </c>
      <c r="F5">
        <v>71269.67</v>
      </c>
    </row>
    <row r="6" spans="1:7" x14ac:dyDescent="0.2">
      <c r="A6" t="s">
        <v>61</v>
      </c>
      <c r="B6" s="48">
        <v>45716</v>
      </c>
      <c r="C6" t="s">
        <v>165</v>
      </c>
      <c r="D6" s="52">
        <v>-920</v>
      </c>
      <c r="E6" t="s">
        <v>75</v>
      </c>
      <c r="F6">
        <v>72482.19</v>
      </c>
    </row>
    <row r="7" spans="1:7" x14ac:dyDescent="0.2">
      <c r="A7" t="s">
        <v>61</v>
      </c>
      <c r="B7" s="48">
        <v>45715</v>
      </c>
      <c r="C7" t="s">
        <v>166</v>
      </c>
      <c r="D7" s="52">
        <v>-7.75</v>
      </c>
      <c r="E7" t="s">
        <v>78</v>
      </c>
      <c r="F7">
        <v>73402.19</v>
      </c>
      <c r="G7" t="s">
        <v>212</v>
      </c>
    </row>
    <row r="8" spans="1:7" x14ac:dyDescent="0.2">
      <c r="A8" t="s">
        <v>61</v>
      </c>
      <c r="B8" s="48">
        <v>45715</v>
      </c>
      <c r="C8" t="s">
        <v>166</v>
      </c>
      <c r="D8" s="52">
        <v>-111.25</v>
      </c>
      <c r="E8" t="s">
        <v>78</v>
      </c>
      <c r="F8">
        <v>73409.94</v>
      </c>
      <c r="G8" t="s">
        <v>213</v>
      </c>
    </row>
    <row r="9" spans="1:7" x14ac:dyDescent="0.2">
      <c r="A9" t="s">
        <v>61</v>
      </c>
      <c r="B9" s="48">
        <v>45714</v>
      </c>
      <c r="C9" t="s">
        <v>167</v>
      </c>
      <c r="D9" s="52">
        <v>-24.83</v>
      </c>
      <c r="E9" t="s">
        <v>78</v>
      </c>
      <c r="F9">
        <v>73521.19</v>
      </c>
      <c r="G9" t="s">
        <v>214</v>
      </c>
    </row>
    <row r="10" spans="1:7" x14ac:dyDescent="0.2">
      <c r="A10" t="s">
        <v>63</v>
      </c>
      <c r="B10" s="48">
        <v>45714</v>
      </c>
      <c r="C10" t="s">
        <v>168</v>
      </c>
      <c r="D10" s="52">
        <v>45</v>
      </c>
      <c r="E10" t="s">
        <v>67</v>
      </c>
      <c r="F10">
        <v>73546.02</v>
      </c>
    </row>
    <row r="11" spans="1:7" x14ac:dyDescent="0.2">
      <c r="A11" t="s">
        <v>63</v>
      </c>
      <c r="B11" s="48">
        <v>45714</v>
      </c>
      <c r="C11" t="s">
        <v>169</v>
      </c>
      <c r="D11" s="52">
        <v>570</v>
      </c>
      <c r="E11" t="s">
        <v>64</v>
      </c>
      <c r="F11">
        <v>73501.02</v>
      </c>
    </row>
    <row r="12" spans="1:7" x14ac:dyDescent="0.2">
      <c r="A12" t="s">
        <v>63</v>
      </c>
      <c r="B12" s="48">
        <v>45714</v>
      </c>
      <c r="C12" t="s">
        <v>170</v>
      </c>
      <c r="D12" s="52">
        <v>570</v>
      </c>
      <c r="E12" t="s">
        <v>64</v>
      </c>
      <c r="F12">
        <v>72931.02</v>
      </c>
    </row>
    <row r="13" spans="1:7" x14ac:dyDescent="0.2">
      <c r="A13" t="s">
        <v>63</v>
      </c>
      <c r="B13" s="48">
        <v>45714</v>
      </c>
      <c r="C13" t="s">
        <v>171</v>
      </c>
      <c r="D13" s="52">
        <v>45</v>
      </c>
      <c r="E13" t="s">
        <v>65</v>
      </c>
      <c r="F13">
        <v>72361.02</v>
      </c>
    </row>
    <row r="14" spans="1:7" x14ac:dyDescent="0.2">
      <c r="A14" t="s">
        <v>63</v>
      </c>
      <c r="B14" s="48">
        <v>45714</v>
      </c>
      <c r="C14" t="s">
        <v>172</v>
      </c>
      <c r="D14" s="52">
        <v>100</v>
      </c>
      <c r="E14" t="s">
        <v>71</v>
      </c>
      <c r="F14">
        <v>72316.02</v>
      </c>
    </row>
    <row r="15" spans="1:7" x14ac:dyDescent="0.2">
      <c r="A15" t="s">
        <v>63</v>
      </c>
      <c r="B15" s="48">
        <v>45714</v>
      </c>
      <c r="C15" t="s">
        <v>171</v>
      </c>
      <c r="D15" s="52">
        <v>900</v>
      </c>
      <c r="E15" t="s">
        <v>65</v>
      </c>
      <c r="F15">
        <v>72216.02</v>
      </c>
    </row>
    <row r="16" spans="1:7" x14ac:dyDescent="0.2">
      <c r="A16" t="s">
        <v>63</v>
      </c>
      <c r="B16" s="48">
        <v>45714</v>
      </c>
      <c r="C16" t="s">
        <v>171</v>
      </c>
      <c r="D16" s="52">
        <v>920</v>
      </c>
      <c r="E16" t="s">
        <v>65</v>
      </c>
      <c r="F16">
        <v>71316.02</v>
      </c>
    </row>
    <row r="17" spans="1:7" x14ac:dyDescent="0.2">
      <c r="A17" t="s">
        <v>61</v>
      </c>
      <c r="B17" s="48">
        <v>45713</v>
      </c>
      <c r="C17" t="s">
        <v>173</v>
      </c>
      <c r="D17" s="52">
        <v>-133.18</v>
      </c>
      <c r="E17" t="s">
        <v>66</v>
      </c>
      <c r="F17">
        <v>70396.02</v>
      </c>
    </row>
    <row r="18" spans="1:7" x14ac:dyDescent="0.2">
      <c r="A18" t="s">
        <v>61</v>
      </c>
      <c r="B18" s="48">
        <v>45713</v>
      </c>
      <c r="C18" t="s">
        <v>174</v>
      </c>
      <c r="D18" s="52">
        <v>-243.75</v>
      </c>
      <c r="E18" t="s">
        <v>66</v>
      </c>
      <c r="F18">
        <v>70529.2</v>
      </c>
    </row>
    <row r="19" spans="1:7" x14ac:dyDescent="0.2">
      <c r="A19" t="s">
        <v>63</v>
      </c>
      <c r="B19" s="48">
        <v>45713</v>
      </c>
      <c r="C19" t="s">
        <v>175</v>
      </c>
      <c r="D19" s="52">
        <v>540</v>
      </c>
      <c r="E19" t="s">
        <v>67</v>
      </c>
      <c r="F19">
        <v>70772.95</v>
      </c>
    </row>
    <row r="20" spans="1:7" x14ac:dyDescent="0.2">
      <c r="A20" t="s">
        <v>61</v>
      </c>
      <c r="B20" s="48">
        <v>45712</v>
      </c>
      <c r="C20" t="s">
        <v>176</v>
      </c>
      <c r="D20" s="52">
        <v>-32.08</v>
      </c>
      <c r="E20" t="s">
        <v>78</v>
      </c>
      <c r="F20">
        <v>70232.95</v>
      </c>
      <c r="G20" t="s">
        <v>211</v>
      </c>
    </row>
    <row r="21" spans="1:7" x14ac:dyDescent="0.2">
      <c r="A21" t="s">
        <v>61</v>
      </c>
      <c r="B21" s="48">
        <v>45712</v>
      </c>
      <c r="C21" t="s">
        <v>176</v>
      </c>
      <c r="D21" s="52">
        <v>-83.4</v>
      </c>
      <c r="E21" t="s">
        <v>78</v>
      </c>
      <c r="F21">
        <v>70265.03</v>
      </c>
      <c r="G21" t="s">
        <v>210</v>
      </c>
    </row>
    <row r="22" spans="1:7" x14ac:dyDescent="0.2">
      <c r="A22" t="s">
        <v>61</v>
      </c>
      <c r="B22" s="48">
        <v>45712</v>
      </c>
      <c r="C22" t="s">
        <v>176</v>
      </c>
      <c r="D22" s="52">
        <v>-7.48</v>
      </c>
      <c r="E22" t="s">
        <v>78</v>
      </c>
      <c r="F22">
        <v>70348.429999999993</v>
      </c>
      <c r="G22" t="s">
        <v>215</v>
      </c>
    </row>
    <row r="23" spans="1:7" x14ac:dyDescent="0.2">
      <c r="A23" t="s">
        <v>63</v>
      </c>
      <c r="B23" s="48">
        <v>45712</v>
      </c>
      <c r="C23" t="s">
        <v>177</v>
      </c>
      <c r="D23" s="52">
        <v>1</v>
      </c>
      <c r="E23" t="s">
        <v>64</v>
      </c>
      <c r="F23">
        <v>70355.91</v>
      </c>
    </row>
    <row r="24" spans="1:7" x14ac:dyDescent="0.2">
      <c r="A24" t="s">
        <v>63</v>
      </c>
      <c r="B24" s="48">
        <v>45712</v>
      </c>
      <c r="C24" t="s">
        <v>178</v>
      </c>
      <c r="D24" s="52">
        <v>540</v>
      </c>
      <c r="E24" t="s">
        <v>67</v>
      </c>
      <c r="F24">
        <v>70354.91</v>
      </c>
    </row>
    <row r="25" spans="1:7" x14ac:dyDescent="0.2">
      <c r="A25" t="s">
        <v>63</v>
      </c>
      <c r="B25" s="48">
        <v>45712</v>
      </c>
      <c r="C25" t="s">
        <v>179</v>
      </c>
      <c r="D25" s="52">
        <v>540</v>
      </c>
      <c r="E25" t="s">
        <v>64</v>
      </c>
      <c r="F25">
        <v>69814.91</v>
      </c>
    </row>
    <row r="26" spans="1:7" x14ac:dyDescent="0.2">
      <c r="A26" t="s">
        <v>61</v>
      </c>
      <c r="B26" s="48">
        <v>45709</v>
      </c>
      <c r="C26" t="s">
        <v>180</v>
      </c>
      <c r="D26" s="52">
        <v>-125</v>
      </c>
      <c r="E26" t="s">
        <v>68</v>
      </c>
      <c r="F26">
        <v>69274.91</v>
      </c>
    </row>
    <row r="27" spans="1:7" x14ac:dyDescent="0.2">
      <c r="A27" t="s">
        <v>61</v>
      </c>
      <c r="B27" s="48">
        <v>45709</v>
      </c>
      <c r="C27" t="s">
        <v>181</v>
      </c>
      <c r="D27" s="52">
        <v>-450</v>
      </c>
      <c r="E27" t="s">
        <v>68</v>
      </c>
      <c r="F27">
        <v>69399.91</v>
      </c>
    </row>
    <row r="28" spans="1:7" x14ac:dyDescent="0.2">
      <c r="A28" t="s">
        <v>63</v>
      </c>
      <c r="B28" s="48">
        <v>45709</v>
      </c>
      <c r="C28" t="s">
        <v>182</v>
      </c>
      <c r="D28" s="52">
        <v>40</v>
      </c>
      <c r="E28" t="s">
        <v>67</v>
      </c>
      <c r="F28">
        <v>69849.91</v>
      </c>
    </row>
    <row r="29" spans="1:7" x14ac:dyDescent="0.2">
      <c r="A29" t="s">
        <v>63</v>
      </c>
      <c r="B29" s="48">
        <v>45709</v>
      </c>
      <c r="C29" t="s">
        <v>183</v>
      </c>
      <c r="D29" s="52">
        <v>560</v>
      </c>
      <c r="E29" t="s">
        <v>64</v>
      </c>
      <c r="F29">
        <v>69809.91</v>
      </c>
    </row>
    <row r="30" spans="1:7" x14ac:dyDescent="0.2">
      <c r="A30" t="s">
        <v>69</v>
      </c>
      <c r="B30" s="48">
        <v>45707</v>
      </c>
      <c r="C30" t="s">
        <v>184</v>
      </c>
      <c r="D30" s="52">
        <v>-300</v>
      </c>
      <c r="E30" t="s">
        <v>70</v>
      </c>
      <c r="F30">
        <v>69249.91</v>
      </c>
      <c r="G30">
        <v>280</v>
      </c>
    </row>
    <row r="31" spans="1:7" x14ac:dyDescent="0.2">
      <c r="A31" t="s">
        <v>69</v>
      </c>
      <c r="B31" s="48">
        <v>45707</v>
      </c>
      <c r="C31" t="s">
        <v>185</v>
      </c>
      <c r="D31" s="52">
        <v>-1100</v>
      </c>
      <c r="E31" t="s">
        <v>70</v>
      </c>
      <c r="F31">
        <v>69549.91</v>
      </c>
      <c r="G31">
        <v>282</v>
      </c>
    </row>
    <row r="32" spans="1:7" x14ac:dyDescent="0.2">
      <c r="A32" t="s">
        <v>69</v>
      </c>
      <c r="B32" s="48">
        <v>45706</v>
      </c>
      <c r="C32" t="s">
        <v>186</v>
      </c>
      <c r="D32" s="52">
        <v>-30</v>
      </c>
      <c r="E32" t="s">
        <v>70</v>
      </c>
      <c r="F32">
        <v>70649.91</v>
      </c>
      <c r="G32">
        <v>276</v>
      </c>
    </row>
    <row r="33" spans="1:12" x14ac:dyDescent="0.2">
      <c r="A33" t="s">
        <v>61</v>
      </c>
      <c r="B33" s="48">
        <v>45706</v>
      </c>
      <c r="C33" t="s">
        <v>187</v>
      </c>
      <c r="D33">
        <v>-48.27</v>
      </c>
      <c r="E33" t="s">
        <v>78</v>
      </c>
      <c r="F33">
        <v>70679.91</v>
      </c>
    </row>
    <row r="34" spans="1:12" x14ac:dyDescent="0.2">
      <c r="A34" t="s">
        <v>61</v>
      </c>
      <c r="B34" s="48">
        <v>45706</v>
      </c>
      <c r="C34" t="s">
        <v>188</v>
      </c>
      <c r="D34" s="52">
        <v>-125.71</v>
      </c>
      <c r="E34" t="s">
        <v>66</v>
      </c>
      <c r="F34">
        <v>70728.179999999993</v>
      </c>
    </row>
    <row r="35" spans="1:12" x14ac:dyDescent="0.2">
      <c r="A35" t="s">
        <v>69</v>
      </c>
      <c r="B35" s="48">
        <v>45702</v>
      </c>
      <c r="C35" t="s">
        <v>189</v>
      </c>
      <c r="D35" s="52">
        <v>-10492</v>
      </c>
      <c r="E35" t="s">
        <v>70</v>
      </c>
      <c r="F35">
        <v>70853.89</v>
      </c>
      <c r="G35">
        <v>281</v>
      </c>
    </row>
    <row r="36" spans="1:12" x14ac:dyDescent="0.2">
      <c r="A36" t="s">
        <v>69</v>
      </c>
      <c r="B36" s="48">
        <v>45701</v>
      </c>
      <c r="C36" t="s">
        <v>190</v>
      </c>
      <c r="D36" s="52">
        <v>-1365.1</v>
      </c>
      <c r="E36" t="s">
        <v>70</v>
      </c>
      <c r="F36">
        <v>81345.89</v>
      </c>
      <c r="G36">
        <v>278</v>
      </c>
    </row>
    <row r="37" spans="1:12" x14ac:dyDescent="0.2">
      <c r="A37" t="s">
        <v>63</v>
      </c>
      <c r="B37" s="48">
        <v>45700</v>
      </c>
      <c r="C37" t="s">
        <v>191</v>
      </c>
      <c r="D37" s="52">
        <v>75</v>
      </c>
      <c r="E37" t="s">
        <v>65</v>
      </c>
      <c r="F37">
        <v>82710.990000000005</v>
      </c>
    </row>
    <row r="38" spans="1:12" x14ac:dyDescent="0.2">
      <c r="A38" t="s">
        <v>63</v>
      </c>
      <c r="B38" s="48">
        <v>45700</v>
      </c>
      <c r="C38" t="s">
        <v>191</v>
      </c>
      <c r="D38" s="52">
        <v>90</v>
      </c>
      <c r="E38" t="s">
        <v>65</v>
      </c>
      <c r="F38">
        <v>82635.990000000005</v>
      </c>
      <c r="L38">
        <v>24.5</v>
      </c>
    </row>
    <row r="39" spans="1:12" x14ac:dyDescent="0.2">
      <c r="A39" t="s">
        <v>63</v>
      </c>
      <c r="B39" s="48">
        <v>45700</v>
      </c>
      <c r="C39" t="s">
        <v>191</v>
      </c>
      <c r="D39" s="52">
        <v>145</v>
      </c>
      <c r="E39" t="s">
        <v>65</v>
      </c>
      <c r="F39">
        <v>82545.990000000005</v>
      </c>
      <c r="L39">
        <v>22.83</v>
      </c>
    </row>
    <row r="40" spans="1:12" x14ac:dyDescent="0.2">
      <c r="A40" t="s">
        <v>63</v>
      </c>
      <c r="B40" s="48">
        <v>45700</v>
      </c>
      <c r="C40" t="s">
        <v>191</v>
      </c>
      <c r="D40" s="52">
        <v>1259.9000000000001</v>
      </c>
      <c r="E40" t="s">
        <v>65</v>
      </c>
      <c r="F40">
        <v>82400.990000000005</v>
      </c>
      <c r="L40">
        <v>48.27</v>
      </c>
    </row>
    <row r="41" spans="1:12" x14ac:dyDescent="0.2">
      <c r="A41" t="s">
        <v>61</v>
      </c>
      <c r="B41" s="48">
        <v>45698</v>
      </c>
      <c r="C41" t="s">
        <v>192</v>
      </c>
      <c r="D41" s="52">
        <v>-1898.28</v>
      </c>
      <c r="E41" t="s">
        <v>68</v>
      </c>
      <c r="F41">
        <v>81141.09</v>
      </c>
      <c r="L41">
        <f>SUM(L38:L40)</f>
        <v>95.6</v>
      </c>
    </row>
    <row r="42" spans="1:12" x14ac:dyDescent="0.2">
      <c r="A42" t="s">
        <v>61</v>
      </c>
      <c r="B42" s="48">
        <v>45698</v>
      </c>
      <c r="C42" t="s">
        <v>193</v>
      </c>
      <c r="D42" s="52">
        <v>-140.21</v>
      </c>
      <c r="E42" t="s">
        <v>66</v>
      </c>
      <c r="F42">
        <v>83039.37</v>
      </c>
    </row>
    <row r="43" spans="1:12" x14ac:dyDescent="0.2">
      <c r="A43" t="s">
        <v>61</v>
      </c>
      <c r="B43" s="48">
        <v>45695</v>
      </c>
      <c r="C43" t="s">
        <v>194</v>
      </c>
      <c r="D43" s="52">
        <v>-42.71</v>
      </c>
      <c r="E43" t="s">
        <v>78</v>
      </c>
      <c r="F43">
        <v>83179.58</v>
      </c>
      <c r="G43" t="s">
        <v>214</v>
      </c>
    </row>
    <row r="44" spans="1:12" x14ac:dyDescent="0.2">
      <c r="A44" t="s">
        <v>61</v>
      </c>
      <c r="B44" s="48">
        <v>45695</v>
      </c>
      <c r="C44" t="s">
        <v>194</v>
      </c>
      <c r="D44" s="52">
        <v>-1563.61</v>
      </c>
      <c r="E44" t="s">
        <v>78</v>
      </c>
      <c r="F44">
        <v>83222.289999999994</v>
      </c>
    </row>
    <row r="45" spans="1:12" x14ac:dyDescent="0.2">
      <c r="A45" t="s">
        <v>61</v>
      </c>
      <c r="B45" s="48">
        <v>45695</v>
      </c>
      <c r="C45" t="s">
        <v>195</v>
      </c>
      <c r="D45" s="52">
        <v>-125</v>
      </c>
      <c r="E45" t="s">
        <v>68</v>
      </c>
      <c r="F45">
        <v>84785.9</v>
      </c>
    </row>
    <row r="46" spans="1:12" x14ac:dyDescent="0.2">
      <c r="A46" t="s">
        <v>61</v>
      </c>
      <c r="B46" s="48">
        <v>45695</v>
      </c>
      <c r="C46" t="s">
        <v>196</v>
      </c>
      <c r="D46" s="52">
        <v>-450</v>
      </c>
      <c r="E46" t="s">
        <v>68</v>
      </c>
      <c r="F46">
        <v>84910.9</v>
      </c>
    </row>
    <row r="47" spans="1:12" x14ac:dyDescent="0.2">
      <c r="A47" t="s">
        <v>61</v>
      </c>
      <c r="B47" s="48">
        <v>45694</v>
      </c>
      <c r="C47" t="s">
        <v>197</v>
      </c>
      <c r="D47" s="52">
        <v>-37.36</v>
      </c>
      <c r="E47" t="s">
        <v>78</v>
      </c>
      <c r="F47">
        <v>85360.9</v>
      </c>
      <c r="G47" t="s">
        <v>216</v>
      </c>
    </row>
    <row r="48" spans="1:12" x14ac:dyDescent="0.2">
      <c r="A48" t="s">
        <v>61</v>
      </c>
      <c r="B48" s="48">
        <v>45694</v>
      </c>
      <c r="C48" t="s">
        <v>197</v>
      </c>
      <c r="D48" s="52">
        <v>-50.25</v>
      </c>
      <c r="E48" t="s">
        <v>78</v>
      </c>
      <c r="F48">
        <v>85398.26</v>
      </c>
      <c r="G48" t="s">
        <v>218</v>
      </c>
    </row>
    <row r="49" spans="1:9" x14ac:dyDescent="0.2">
      <c r="A49" t="s">
        <v>61</v>
      </c>
      <c r="B49" s="48">
        <v>45694</v>
      </c>
      <c r="C49" t="s">
        <v>197</v>
      </c>
      <c r="D49" s="52">
        <v>-36.369999999999997</v>
      </c>
      <c r="E49" t="s">
        <v>78</v>
      </c>
      <c r="F49">
        <v>85448.51</v>
      </c>
      <c r="G49" t="s">
        <v>217</v>
      </c>
    </row>
    <row r="50" spans="1:9" x14ac:dyDescent="0.2">
      <c r="A50" t="s">
        <v>63</v>
      </c>
      <c r="B50" s="48">
        <v>45694</v>
      </c>
      <c r="C50" t="s">
        <v>198</v>
      </c>
      <c r="D50" s="52">
        <v>45</v>
      </c>
      <c r="E50" t="s">
        <v>64</v>
      </c>
      <c r="F50">
        <v>85484.88</v>
      </c>
    </row>
    <row r="51" spans="1:9" x14ac:dyDescent="0.2">
      <c r="A51" t="s">
        <v>63</v>
      </c>
      <c r="B51" s="48">
        <v>45694</v>
      </c>
      <c r="C51" t="s">
        <v>199</v>
      </c>
      <c r="D51" s="52">
        <v>540</v>
      </c>
      <c r="E51" t="s">
        <v>64</v>
      </c>
      <c r="F51">
        <v>85439.88</v>
      </c>
    </row>
    <row r="52" spans="1:9" x14ac:dyDescent="0.2">
      <c r="A52" t="s">
        <v>73</v>
      </c>
      <c r="B52" s="48">
        <v>45693</v>
      </c>
      <c r="C52" t="s">
        <v>200</v>
      </c>
      <c r="D52" s="52">
        <v>7347.58</v>
      </c>
      <c r="E52" t="s">
        <v>74</v>
      </c>
      <c r="F52">
        <v>84899.88</v>
      </c>
    </row>
    <row r="53" spans="1:9" x14ac:dyDescent="0.2">
      <c r="A53" t="s">
        <v>69</v>
      </c>
      <c r="B53" s="48">
        <v>45692</v>
      </c>
      <c r="C53" t="s">
        <v>201</v>
      </c>
      <c r="D53" s="52">
        <v>-1125</v>
      </c>
      <c r="E53" t="s">
        <v>70</v>
      </c>
      <c r="F53">
        <v>77552.3</v>
      </c>
      <c r="G53">
        <v>277</v>
      </c>
    </row>
    <row r="54" spans="1:9" x14ac:dyDescent="0.2">
      <c r="A54" t="s">
        <v>61</v>
      </c>
      <c r="B54" s="48">
        <v>45692</v>
      </c>
      <c r="C54" t="s">
        <v>202</v>
      </c>
      <c r="D54" s="52">
        <v>-11.55</v>
      </c>
      <c r="E54" t="s">
        <v>68</v>
      </c>
      <c r="F54">
        <v>78677.3</v>
      </c>
    </row>
    <row r="55" spans="1:9" x14ac:dyDescent="0.2">
      <c r="A55" t="s">
        <v>69</v>
      </c>
      <c r="B55" s="48">
        <v>45691</v>
      </c>
      <c r="C55" t="s">
        <v>203</v>
      </c>
      <c r="D55" s="52">
        <v>-129.35</v>
      </c>
      <c r="E55" t="s">
        <v>70</v>
      </c>
      <c r="F55">
        <v>78688.850000000006</v>
      </c>
      <c r="G55">
        <v>279</v>
      </c>
      <c r="H55" t="s">
        <v>208</v>
      </c>
    </row>
    <row r="56" spans="1:9" x14ac:dyDescent="0.2">
      <c r="A56" t="s">
        <v>61</v>
      </c>
      <c r="B56" s="48">
        <v>45691</v>
      </c>
      <c r="C56" t="s">
        <v>204</v>
      </c>
      <c r="D56">
        <v>-24.5</v>
      </c>
      <c r="E56" t="s">
        <v>78</v>
      </c>
      <c r="F56">
        <v>78818.2</v>
      </c>
    </row>
    <row r="57" spans="1:9" x14ac:dyDescent="0.2">
      <c r="A57" t="s">
        <v>61</v>
      </c>
      <c r="B57" s="48">
        <v>45691</v>
      </c>
      <c r="C57" t="s">
        <v>204</v>
      </c>
      <c r="D57">
        <v>-12.83</v>
      </c>
      <c r="E57" t="s">
        <v>78</v>
      </c>
      <c r="F57">
        <v>78842.7</v>
      </c>
    </row>
    <row r="58" spans="1:9" x14ac:dyDescent="0.2">
      <c r="A58" t="s">
        <v>69</v>
      </c>
      <c r="B58" s="48">
        <v>45691</v>
      </c>
      <c r="C58" t="s">
        <v>205</v>
      </c>
      <c r="D58" s="52">
        <v>-122.45</v>
      </c>
      <c r="E58" t="s">
        <v>70</v>
      </c>
      <c r="F58">
        <v>78855.53</v>
      </c>
      <c r="G58">
        <v>275</v>
      </c>
      <c r="H58" t="s">
        <v>209</v>
      </c>
      <c r="I58" t="s">
        <v>263</v>
      </c>
    </row>
    <row r="59" spans="1:9" x14ac:dyDescent="0.2">
      <c r="A59" t="s">
        <v>63</v>
      </c>
      <c r="B59" s="48">
        <v>45691</v>
      </c>
      <c r="C59" t="s">
        <v>206</v>
      </c>
      <c r="D59" s="52">
        <v>45</v>
      </c>
      <c r="E59" t="s">
        <v>67</v>
      </c>
      <c r="F59">
        <v>78977.98</v>
      </c>
    </row>
    <row r="60" spans="1:9" x14ac:dyDescent="0.2">
      <c r="A60" t="s">
        <v>63</v>
      </c>
      <c r="B60" s="48">
        <v>45691</v>
      </c>
      <c r="C60" t="s">
        <v>207</v>
      </c>
      <c r="D60" s="52">
        <v>45</v>
      </c>
      <c r="E60" t="s">
        <v>64</v>
      </c>
      <c r="F60">
        <v>78932.98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0B94-A536-48A3-9F7E-8D13A0E4DCE7}">
  <dimension ref="A1:O37"/>
  <sheetViews>
    <sheetView topLeftCell="A7" workbookViewId="0">
      <selection activeCell="D28" sqref="D28"/>
    </sheetView>
  </sheetViews>
  <sheetFormatPr defaultRowHeight="12.75" x14ac:dyDescent="0.2"/>
  <cols>
    <col min="2" max="2" width="15" bestFit="1" customWidth="1"/>
    <col min="3" max="3" width="9.5703125" bestFit="1" customWidth="1"/>
    <col min="4" max="4" width="26.85546875" bestFit="1" customWidth="1"/>
    <col min="5" max="5" width="21.7109375" bestFit="1" customWidth="1"/>
    <col min="6" max="6" width="19.28515625" customWidth="1"/>
  </cols>
  <sheetData>
    <row r="1" spans="1:15" x14ac:dyDescent="0.2">
      <c r="A1" t="s">
        <v>219</v>
      </c>
      <c r="B1" t="s">
        <v>220</v>
      </c>
      <c r="C1" t="s">
        <v>221</v>
      </c>
      <c r="D1" t="s">
        <v>56</v>
      </c>
      <c r="E1" t="s">
        <v>222</v>
      </c>
      <c r="F1" t="s">
        <v>58</v>
      </c>
      <c r="G1" t="s">
        <v>57</v>
      </c>
      <c r="H1" t="s">
        <v>223</v>
      </c>
    </row>
    <row r="2" spans="1:15" x14ac:dyDescent="0.2">
      <c r="A2">
        <v>2035</v>
      </c>
      <c r="B2" s="48">
        <v>45715</v>
      </c>
      <c r="C2" s="48">
        <v>45715</v>
      </c>
      <c r="D2" t="s">
        <v>224</v>
      </c>
      <c r="F2" t="s">
        <v>225</v>
      </c>
      <c r="G2" s="52">
        <v>7.75</v>
      </c>
      <c r="H2" t="s">
        <v>250</v>
      </c>
    </row>
    <row r="3" spans="1:15" x14ac:dyDescent="0.2">
      <c r="A3">
        <v>2035</v>
      </c>
      <c r="B3" s="48">
        <v>45715</v>
      </c>
      <c r="C3" s="48">
        <v>45715</v>
      </c>
      <c r="D3" t="s">
        <v>224</v>
      </c>
      <c r="F3" t="s">
        <v>225</v>
      </c>
      <c r="G3" s="52">
        <v>111.25</v>
      </c>
      <c r="H3" t="s">
        <v>251</v>
      </c>
    </row>
    <row r="4" spans="1:15" x14ac:dyDescent="0.2">
      <c r="A4">
        <v>2035</v>
      </c>
      <c r="B4" s="48">
        <v>45714</v>
      </c>
      <c r="C4" s="48">
        <v>45714</v>
      </c>
      <c r="D4" t="s">
        <v>224</v>
      </c>
      <c r="F4" t="s">
        <v>225</v>
      </c>
      <c r="G4" s="52">
        <v>24.83</v>
      </c>
      <c r="H4" t="s">
        <v>254</v>
      </c>
    </row>
    <row r="5" spans="1:15" x14ac:dyDescent="0.2">
      <c r="A5">
        <v>2035</v>
      </c>
      <c r="B5" s="48">
        <v>45714</v>
      </c>
      <c r="C5" s="48">
        <v>45714</v>
      </c>
      <c r="D5" t="s">
        <v>226</v>
      </c>
      <c r="E5" t="s">
        <v>227</v>
      </c>
      <c r="F5" t="s">
        <v>228</v>
      </c>
      <c r="G5" s="52">
        <v>-111.25</v>
      </c>
      <c r="H5" t="s">
        <v>252</v>
      </c>
    </row>
    <row r="6" spans="1:15" x14ac:dyDescent="0.2">
      <c r="A6">
        <v>2035</v>
      </c>
      <c r="B6" s="48">
        <v>45714</v>
      </c>
      <c r="C6" s="48">
        <v>45714</v>
      </c>
      <c r="D6" t="s">
        <v>229</v>
      </c>
      <c r="E6" t="s">
        <v>227</v>
      </c>
      <c r="F6" t="s">
        <v>228</v>
      </c>
      <c r="G6" s="52">
        <v>-7.75</v>
      </c>
      <c r="H6" t="s">
        <v>249</v>
      </c>
    </row>
    <row r="7" spans="1:15" x14ac:dyDescent="0.2">
      <c r="A7">
        <v>2035</v>
      </c>
      <c r="B7" s="48">
        <v>45711</v>
      </c>
      <c r="C7" s="48">
        <v>45713</v>
      </c>
      <c r="D7" t="s">
        <v>230</v>
      </c>
      <c r="E7" t="s">
        <v>231</v>
      </c>
      <c r="F7" t="s">
        <v>228</v>
      </c>
      <c r="G7" s="52">
        <v>-24.83</v>
      </c>
      <c r="H7" t="s">
        <v>253</v>
      </c>
    </row>
    <row r="8" spans="1:15" x14ac:dyDescent="0.2">
      <c r="A8">
        <v>2035</v>
      </c>
      <c r="B8" s="48">
        <v>45712</v>
      </c>
      <c r="C8" s="48">
        <v>45712</v>
      </c>
      <c r="D8" t="s">
        <v>224</v>
      </c>
      <c r="F8" t="s">
        <v>225</v>
      </c>
      <c r="G8" s="52">
        <v>83.4</v>
      </c>
      <c r="H8" t="s">
        <v>255</v>
      </c>
    </row>
    <row r="9" spans="1:15" x14ac:dyDescent="0.2">
      <c r="A9">
        <v>2035</v>
      </c>
      <c r="B9" s="48">
        <v>45712</v>
      </c>
      <c r="C9" s="48">
        <v>45712</v>
      </c>
      <c r="D9" t="s">
        <v>224</v>
      </c>
      <c r="F9" t="s">
        <v>225</v>
      </c>
      <c r="G9" s="52">
        <v>7.48</v>
      </c>
      <c r="H9" t="s">
        <v>257</v>
      </c>
    </row>
    <row r="10" spans="1:15" x14ac:dyDescent="0.2">
      <c r="A10">
        <v>2035</v>
      </c>
      <c r="B10" s="48">
        <v>45712</v>
      </c>
      <c r="C10" s="48">
        <v>45712</v>
      </c>
      <c r="D10" t="s">
        <v>224</v>
      </c>
      <c r="F10" t="s">
        <v>225</v>
      </c>
      <c r="G10" s="52">
        <v>32.08</v>
      </c>
      <c r="H10" t="s">
        <v>247</v>
      </c>
    </row>
    <row r="11" spans="1:15" x14ac:dyDescent="0.2">
      <c r="A11">
        <v>2035</v>
      </c>
      <c r="B11" s="48">
        <v>45710</v>
      </c>
      <c r="C11" s="48">
        <v>45711</v>
      </c>
      <c r="D11" t="s">
        <v>232</v>
      </c>
      <c r="E11" t="s">
        <v>227</v>
      </c>
      <c r="F11" t="s">
        <v>228</v>
      </c>
      <c r="G11" s="52">
        <v>-83.4</v>
      </c>
      <c r="H11" t="s">
        <v>256</v>
      </c>
      <c r="O11">
        <v>24.5</v>
      </c>
    </row>
    <row r="12" spans="1:15" x14ac:dyDescent="0.2">
      <c r="A12">
        <v>2035</v>
      </c>
      <c r="B12" s="48">
        <v>45709</v>
      </c>
      <c r="C12" s="48">
        <v>45711</v>
      </c>
      <c r="D12" t="s">
        <v>233</v>
      </c>
      <c r="E12" t="s">
        <v>227</v>
      </c>
      <c r="F12" t="s">
        <v>228</v>
      </c>
      <c r="G12" s="52">
        <v>-51.3</v>
      </c>
      <c r="O12">
        <v>22.83</v>
      </c>
    </row>
    <row r="13" spans="1:15" x14ac:dyDescent="0.2">
      <c r="A13">
        <v>2035</v>
      </c>
      <c r="B13" s="48">
        <v>45709</v>
      </c>
      <c r="C13" s="48">
        <v>45711</v>
      </c>
      <c r="D13" t="s">
        <v>233</v>
      </c>
      <c r="E13" t="s">
        <v>227</v>
      </c>
      <c r="F13" t="s">
        <v>234</v>
      </c>
      <c r="G13" s="52">
        <v>19.22</v>
      </c>
      <c r="O13">
        <v>48.27</v>
      </c>
    </row>
    <row r="14" spans="1:15" x14ac:dyDescent="0.2">
      <c r="A14">
        <v>2035</v>
      </c>
      <c r="B14" s="48">
        <v>45709</v>
      </c>
      <c r="C14" s="48">
        <v>45711</v>
      </c>
      <c r="D14" t="s">
        <v>235</v>
      </c>
      <c r="E14" t="s">
        <v>227</v>
      </c>
      <c r="F14" t="s">
        <v>228</v>
      </c>
      <c r="G14" s="52">
        <v>-7.48</v>
      </c>
      <c r="H14" t="s">
        <v>258</v>
      </c>
    </row>
    <row r="15" spans="1:15" x14ac:dyDescent="0.2">
      <c r="A15">
        <v>2035</v>
      </c>
      <c r="B15" s="48">
        <v>45706</v>
      </c>
      <c r="C15" s="48">
        <v>45706</v>
      </c>
      <c r="D15" t="s">
        <v>224</v>
      </c>
      <c r="F15" t="s">
        <v>225</v>
      </c>
      <c r="G15">
        <v>48.27</v>
      </c>
      <c r="H15" t="s">
        <v>261</v>
      </c>
      <c r="M15">
        <v>48.27</v>
      </c>
      <c r="N15">
        <v>64.03</v>
      </c>
    </row>
    <row r="16" spans="1:15" x14ac:dyDescent="0.2">
      <c r="A16">
        <v>2035</v>
      </c>
      <c r="B16" s="48">
        <v>45701</v>
      </c>
      <c r="C16" s="48">
        <v>45702</v>
      </c>
      <c r="D16" t="s">
        <v>236</v>
      </c>
      <c r="E16" t="s">
        <v>227</v>
      </c>
      <c r="F16" t="s">
        <v>228</v>
      </c>
      <c r="G16">
        <v>-64.03</v>
      </c>
      <c r="M16">
        <v>100.57</v>
      </c>
      <c r="N16">
        <v>66.72</v>
      </c>
    </row>
    <row r="17" spans="1:14" x14ac:dyDescent="0.2">
      <c r="A17">
        <v>2035</v>
      </c>
      <c r="B17" s="48">
        <v>45699</v>
      </c>
      <c r="C17" s="48">
        <v>45700</v>
      </c>
      <c r="D17" t="s">
        <v>237</v>
      </c>
      <c r="E17" t="s">
        <v>227</v>
      </c>
      <c r="F17" t="s">
        <v>228</v>
      </c>
      <c r="G17">
        <v>-66.72</v>
      </c>
      <c r="H17" t="s">
        <v>248</v>
      </c>
      <c r="M17">
        <f>SUM(M15:M16)</f>
        <v>148.84</v>
      </c>
      <c r="N17">
        <v>11.16</v>
      </c>
    </row>
    <row r="18" spans="1:14" x14ac:dyDescent="0.2">
      <c r="A18">
        <v>2035</v>
      </c>
      <c r="B18" s="48">
        <v>45699</v>
      </c>
      <c r="C18" s="48">
        <v>45700</v>
      </c>
      <c r="D18" t="s">
        <v>238</v>
      </c>
      <c r="E18" t="s">
        <v>239</v>
      </c>
      <c r="F18" t="s">
        <v>228</v>
      </c>
      <c r="G18" s="27">
        <v>-11.16</v>
      </c>
      <c r="H18" t="s">
        <v>262</v>
      </c>
      <c r="N18">
        <v>6.93</v>
      </c>
    </row>
    <row r="19" spans="1:14" x14ac:dyDescent="0.2">
      <c r="A19">
        <v>2035</v>
      </c>
      <c r="B19" s="48">
        <v>45697</v>
      </c>
      <c r="C19" s="48">
        <v>45698</v>
      </c>
      <c r="D19" t="s">
        <v>240</v>
      </c>
      <c r="E19" t="s">
        <v>227</v>
      </c>
      <c r="F19" t="s">
        <v>234</v>
      </c>
      <c r="G19">
        <v>100.57</v>
      </c>
      <c r="H19" t="s">
        <v>259</v>
      </c>
      <c r="N19">
        <f>SUM(N15:N18)</f>
        <v>148.84</v>
      </c>
    </row>
    <row r="20" spans="1:14" x14ac:dyDescent="0.2">
      <c r="A20">
        <v>2035</v>
      </c>
      <c r="B20" s="48">
        <v>45696</v>
      </c>
      <c r="C20" s="48">
        <v>45698</v>
      </c>
      <c r="D20" t="s">
        <v>230</v>
      </c>
      <c r="E20" t="s">
        <v>231</v>
      </c>
      <c r="F20" t="s">
        <v>228</v>
      </c>
      <c r="G20" s="27">
        <v>-6.93</v>
      </c>
      <c r="H20" t="s">
        <v>253</v>
      </c>
    </row>
    <row r="21" spans="1:14" x14ac:dyDescent="0.2">
      <c r="A21">
        <v>2035</v>
      </c>
      <c r="B21" s="48">
        <v>45695</v>
      </c>
      <c r="C21" s="48">
        <v>45695</v>
      </c>
      <c r="D21" t="s">
        <v>224</v>
      </c>
      <c r="F21" t="s">
        <v>225</v>
      </c>
      <c r="G21" s="52">
        <v>42.71</v>
      </c>
    </row>
    <row r="22" spans="1:14" x14ac:dyDescent="0.2">
      <c r="A22">
        <v>2035</v>
      </c>
      <c r="B22" s="48">
        <v>45695</v>
      </c>
      <c r="C22" s="48">
        <v>45695</v>
      </c>
      <c r="D22" t="s">
        <v>224</v>
      </c>
      <c r="F22" t="s">
        <v>225</v>
      </c>
      <c r="G22" s="52">
        <v>1563.61</v>
      </c>
    </row>
    <row r="23" spans="1:14" x14ac:dyDescent="0.2">
      <c r="A23">
        <v>2035</v>
      </c>
      <c r="B23" s="48">
        <v>45694</v>
      </c>
      <c r="C23" s="48">
        <v>45694</v>
      </c>
      <c r="D23" t="s">
        <v>224</v>
      </c>
      <c r="F23" t="s">
        <v>225</v>
      </c>
      <c r="G23" s="52">
        <v>37.36</v>
      </c>
    </row>
    <row r="24" spans="1:14" x14ac:dyDescent="0.2">
      <c r="A24">
        <v>2035</v>
      </c>
      <c r="B24" s="48">
        <v>45694</v>
      </c>
      <c r="C24" s="48">
        <v>45694</v>
      </c>
      <c r="D24" t="s">
        <v>224</v>
      </c>
      <c r="F24" t="s">
        <v>225</v>
      </c>
      <c r="G24" s="52">
        <v>50.25</v>
      </c>
    </row>
    <row r="25" spans="1:14" x14ac:dyDescent="0.2">
      <c r="A25">
        <v>2035</v>
      </c>
      <c r="B25" s="48">
        <v>45694</v>
      </c>
      <c r="C25" s="48">
        <v>45694</v>
      </c>
      <c r="D25" t="s">
        <v>224</v>
      </c>
      <c r="F25" t="s">
        <v>225</v>
      </c>
      <c r="G25" s="52">
        <v>36.369999999999997</v>
      </c>
    </row>
    <row r="26" spans="1:14" x14ac:dyDescent="0.2">
      <c r="A26">
        <v>2035</v>
      </c>
      <c r="B26" s="48">
        <v>45693</v>
      </c>
      <c r="C26" s="48">
        <v>45694</v>
      </c>
      <c r="D26" t="s">
        <v>241</v>
      </c>
      <c r="E26" t="s">
        <v>231</v>
      </c>
      <c r="F26" t="s">
        <v>228</v>
      </c>
      <c r="G26" s="52">
        <v>-1247.8599999999999</v>
      </c>
    </row>
    <row r="27" spans="1:14" x14ac:dyDescent="0.2">
      <c r="A27">
        <v>2035</v>
      </c>
      <c r="B27" s="48">
        <v>45693</v>
      </c>
      <c r="C27" s="48">
        <v>45694</v>
      </c>
      <c r="D27" t="s">
        <v>241</v>
      </c>
      <c r="E27" t="s">
        <v>231</v>
      </c>
      <c r="F27" t="s">
        <v>228</v>
      </c>
      <c r="G27" s="52">
        <v>-315.75</v>
      </c>
    </row>
    <row r="28" spans="1:14" x14ac:dyDescent="0.2">
      <c r="A28">
        <v>2035</v>
      </c>
      <c r="B28" s="48">
        <v>45692</v>
      </c>
      <c r="C28" s="48">
        <v>45694</v>
      </c>
      <c r="D28" t="s">
        <v>230</v>
      </c>
      <c r="E28" t="s">
        <v>231</v>
      </c>
      <c r="F28" t="s">
        <v>228</v>
      </c>
      <c r="G28" s="52">
        <v>-42.71</v>
      </c>
      <c r="H28" t="s">
        <v>253</v>
      </c>
    </row>
    <row r="29" spans="1:14" x14ac:dyDescent="0.2">
      <c r="A29">
        <v>2035</v>
      </c>
      <c r="B29" s="48">
        <v>45692</v>
      </c>
      <c r="C29" s="48">
        <v>45693</v>
      </c>
      <c r="D29" t="s">
        <v>242</v>
      </c>
      <c r="E29" t="s">
        <v>227</v>
      </c>
      <c r="F29" t="s">
        <v>228</v>
      </c>
      <c r="G29" s="52">
        <v>-36.369999999999997</v>
      </c>
    </row>
    <row r="30" spans="1:14" x14ac:dyDescent="0.2">
      <c r="A30">
        <v>2035</v>
      </c>
      <c r="B30" s="48">
        <v>45692</v>
      </c>
      <c r="C30" s="48">
        <v>45693</v>
      </c>
      <c r="D30" t="s">
        <v>243</v>
      </c>
      <c r="E30" t="s">
        <v>227</v>
      </c>
      <c r="F30" t="s">
        <v>228</v>
      </c>
      <c r="G30" s="52">
        <v>-50.25</v>
      </c>
    </row>
    <row r="31" spans="1:14" x14ac:dyDescent="0.2">
      <c r="A31">
        <v>2035</v>
      </c>
      <c r="B31" s="48">
        <v>45691</v>
      </c>
      <c r="C31" s="48">
        <v>45692</v>
      </c>
      <c r="D31" t="s">
        <v>244</v>
      </c>
      <c r="E31" t="s">
        <v>227</v>
      </c>
      <c r="F31" t="s">
        <v>228</v>
      </c>
      <c r="G31" s="52">
        <v>-37.36</v>
      </c>
    </row>
    <row r="32" spans="1:14" x14ac:dyDescent="0.2">
      <c r="A32">
        <v>2035</v>
      </c>
      <c r="B32" s="48">
        <v>45691</v>
      </c>
      <c r="C32" s="48">
        <v>45691</v>
      </c>
      <c r="D32" t="s">
        <v>224</v>
      </c>
      <c r="F32" t="s">
        <v>225</v>
      </c>
      <c r="G32" s="52">
        <v>12.83</v>
      </c>
    </row>
    <row r="33" spans="1:8" x14ac:dyDescent="0.2">
      <c r="A33">
        <v>2035</v>
      </c>
      <c r="B33" s="48">
        <v>45691</v>
      </c>
      <c r="C33" s="48">
        <v>45691</v>
      </c>
      <c r="D33" t="s">
        <v>224</v>
      </c>
      <c r="F33" t="s">
        <v>225</v>
      </c>
      <c r="G33" s="52">
        <v>24.5</v>
      </c>
    </row>
    <row r="34" spans="1:8" x14ac:dyDescent="0.2">
      <c r="A34">
        <v>2035</v>
      </c>
      <c r="B34" s="48">
        <v>45690</v>
      </c>
      <c r="C34" s="48">
        <v>45690</v>
      </c>
      <c r="D34" t="s">
        <v>245</v>
      </c>
      <c r="E34" t="s">
        <v>227</v>
      </c>
      <c r="F34" t="s">
        <v>228</v>
      </c>
      <c r="G34" s="52">
        <v>-12.83</v>
      </c>
    </row>
    <row r="35" spans="1:8" x14ac:dyDescent="0.2">
      <c r="A35">
        <v>2035</v>
      </c>
      <c r="B35" s="48">
        <v>45687</v>
      </c>
      <c r="C35" s="48">
        <v>45690</v>
      </c>
      <c r="D35" t="s">
        <v>230</v>
      </c>
      <c r="E35" t="s">
        <v>231</v>
      </c>
      <c r="F35" t="s">
        <v>228</v>
      </c>
      <c r="G35" s="52">
        <v>-45.48</v>
      </c>
      <c r="H35" t="s">
        <v>260</v>
      </c>
    </row>
    <row r="36" spans="1:8" ht="13.5" thickBot="1" x14ac:dyDescent="0.25">
      <c r="A36">
        <v>2035</v>
      </c>
      <c r="B36" s="48">
        <v>45690</v>
      </c>
      <c r="C36" s="48">
        <v>45690</v>
      </c>
      <c r="D36" t="s">
        <v>246</v>
      </c>
      <c r="E36" t="s">
        <v>227</v>
      </c>
      <c r="F36" t="s">
        <v>228</v>
      </c>
      <c r="G36" s="53">
        <v>-24.5</v>
      </c>
    </row>
    <row r="37" spans="1:8" x14ac:dyDescent="0.2">
      <c r="G37">
        <f>SUM(G2:G36)</f>
        <v>-45.480000000000182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215A-E081-48A0-9F50-290611C0605A}">
  <dimension ref="A1:G89"/>
  <sheetViews>
    <sheetView workbookViewId="0">
      <selection activeCell="B32" sqref="B32"/>
    </sheetView>
  </sheetViews>
  <sheetFormatPr defaultRowHeight="12.75" x14ac:dyDescent="0.2"/>
  <cols>
    <col min="2" max="2" width="11.28515625" bestFit="1" customWidth="1"/>
    <col min="3" max="3" width="45.85546875" customWidth="1"/>
    <col min="5" max="5" width="47.28515625" customWidth="1"/>
  </cols>
  <sheetData>
    <row r="1" spans="1:7" x14ac:dyDescent="0.2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</row>
    <row r="2" spans="1:7" x14ac:dyDescent="0.2">
      <c r="A2" t="s">
        <v>61</v>
      </c>
      <c r="B2" s="48">
        <v>45687</v>
      </c>
      <c r="C2" t="s">
        <v>85</v>
      </c>
      <c r="D2">
        <v>-59.67</v>
      </c>
      <c r="E2" t="s">
        <v>78</v>
      </c>
      <c r="F2">
        <v>78887.98</v>
      </c>
    </row>
    <row r="3" spans="1:7" x14ac:dyDescent="0.2">
      <c r="A3" t="s">
        <v>63</v>
      </c>
      <c r="B3" s="48">
        <v>45687</v>
      </c>
      <c r="C3" t="s">
        <v>86</v>
      </c>
      <c r="D3">
        <v>160</v>
      </c>
      <c r="E3" t="s">
        <v>67</v>
      </c>
      <c r="F3">
        <v>78947.649999999994</v>
      </c>
    </row>
    <row r="4" spans="1:7" x14ac:dyDescent="0.2">
      <c r="A4" t="s">
        <v>61</v>
      </c>
      <c r="B4" s="48">
        <v>45685</v>
      </c>
      <c r="C4" t="s">
        <v>87</v>
      </c>
      <c r="D4">
        <v>-101.73</v>
      </c>
      <c r="E4" t="s">
        <v>66</v>
      </c>
      <c r="F4">
        <v>78787.649999999994</v>
      </c>
    </row>
    <row r="5" spans="1:7" x14ac:dyDescent="0.2">
      <c r="A5" t="s">
        <v>61</v>
      </c>
      <c r="B5" s="48">
        <v>45685</v>
      </c>
      <c r="C5" t="s">
        <v>88</v>
      </c>
      <c r="D5">
        <v>-103.37</v>
      </c>
      <c r="E5" t="s">
        <v>66</v>
      </c>
      <c r="F5">
        <v>78889.38</v>
      </c>
    </row>
    <row r="6" spans="1:7" x14ac:dyDescent="0.2">
      <c r="A6" t="s">
        <v>61</v>
      </c>
      <c r="B6" s="48">
        <v>45685</v>
      </c>
      <c r="C6" t="s">
        <v>89</v>
      </c>
      <c r="D6">
        <v>-220.26</v>
      </c>
      <c r="E6" t="s">
        <v>66</v>
      </c>
      <c r="F6">
        <v>78992.75</v>
      </c>
    </row>
    <row r="7" spans="1:7" x14ac:dyDescent="0.2">
      <c r="A7" t="s">
        <v>61</v>
      </c>
      <c r="B7" s="48">
        <v>45685</v>
      </c>
      <c r="C7" t="s">
        <v>90</v>
      </c>
      <c r="D7">
        <v>-290.98</v>
      </c>
      <c r="E7" t="s">
        <v>66</v>
      </c>
      <c r="F7">
        <v>79213.009999999995</v>
      </c>
    </row>
    <row r="8" spans="1:7" x14ac:dyDescent="0.2">
      <c r="A8" t="s">
        <v>61</v>
      </c>
      <c r="B8" s="48">
        <v>45685</v>
      </c>
      <c r="C8" t="s">
        <v>91</v>
      </c>
      <c r="D8">
        <v>-295.19</v>
      </c>
      <c r="E8" t="s">
        <v>66</v>
      </c>
      <c r="F8">
        <v>79503.990000000005</v>
      </c>
    </row>
    <row r="9" spans="1:7" x14ac:dyDescent="0.2">
      <c r="A9" t="s">
        <v>61</v>
      </c>
      <c r="B9" s="48">
        <v>45685</v>
      </c>
      <c r="C9" t="s">
        <v>92</v>
      </c>
      <c r="D9">
        <v>-1201.67</v>
      </c>
      <c r="E9" t="s">
        <v>66</v>
      </c>
      <c r="F9">
        <v>79799.179999999993</v>
      </c>
    </row>
    <row r="10" spans="1:7" x14ac:dyDescent="0.2">
      <c r="A10" t="s">
        <v>73</v>
      </c>
      <c r="B10" s="48">
        <v>45685</v>
      </c>
      <c r="C10" t="s">
        <v>93</v>
      </c>
      <c r="D10">
        <v>540</v>
      </c>
      <c r="E10" t="s">
        <v>74</v>
      </c>
      <c r="F10">
        <v>81000.850000000006</v>
      </c>
    </row>
    <row r="11" spans="1:7" x14ac:dyDescent="0.2">
      <c r="A11" t="s">
        <v>63</v>
      </c>
      <c r="B11" s="48">
        <v>45685</v>
      </c>
      <c r="C11" t="s">
        <v>94</v>
      </c>
      <c r="D11">
        <v>5889.16</v>
      </c>
      <c r="E11" t="s">
        <v>65</v>
      </c>
      <c r="F11">
        <v>80460.850000000006</v>
      </c>
    </row>
    <row r="12" spans="1:7" x14ac:dyDescent="0.2">
      <c r="A12" t="s">
        <v>61</v>
      </c>
      <c r="B12" s="48">
        <v>45684</v>
      </c>
      <c r="C12" t="s">
        <v>95</v>
      </c>
      <c r="D12">
        <v>-165</v>
      </c>
      <c r="E12" t="s">
        <v>68</v>
      </c>
      <c r="F12">
        <v>74571.69</v>
      </c>
    </row>
    <row r="13" spans="1:7" x14ac:dyDescent="0.2">
      <c r="A13" t="s">
        <v>61</v>
      </c>
      <c r="B13" s="48">
        <v>45684</v>
      </c>
      <c r="C13" t="s">
        <v>96</v>
      </c>
      <c r="D13">
        <v>-195.59</v>
      </c>
      <c r="E13" t="s">
        <v>78</v>
      </c>
      <c r="F13">
        <v>74736.69</v>
      </c>
    </row>
    <row r="14" spans="1:7" x14ac:dyDescent="0.2">
      <c r="A14" t="s">
        <v>61</v>
      </c>
      <c r="B14" s="48">
        <v>45681</v>
      </c>
      <c r="C14" t="s">
        <v>97</v>
      </c>
      <c r="D14">
        <v>-125</v>
      </c>
      <c r="E14" t="s">
        <v>68</v>
      </c>
      <c r="F14">
        <v>74932.28</v>
      </c>
    </row>
    <row r="15" spans="1:7" x14ac:dyDescent="0.2">
      <c r="A15" t="s">
        <v>61</v>
      </c>
      <c r="B15" s="48">
        <v>45681</v>
      </c>
      <c r="C15" t="s">
        <v>98</v>
      </c>
      <c r="D15">
        <v>-450</v>
      </c>
      <c r="E15" t="s">
        <v>68</v>
      </c>
      <c r="F15">
        <v>75057.279999999999</v>
      </c>
    </row>
    <row r="16" spans="1:7" x14ac:dyDescent="0.2">
      <c r="A16" t="s">
        <v>69</v>
      </c>
      <c r="B16" s="48">
        <v>45680</v>
      </c>
      <c r="C16" t="s">
        <v>99</v>
      </c>
      <c r="D16">
        <v>-700</v>
      </c>
      <c r="E16" t="s">
        <v>70</v>
      </c>
      <c r="F16">
        <v>75507.28</v>
      </c>
      <c r="G16">
        <v>274</v>
      </c>
    </row>
    <row r="17" spans="1:7" x14ac:dyDescent="0.2">
      <c r="A17" t="s">
        <v>61</v>
      </c>
      <c r="B17" s="48">
        <v>45680</v>
      </c>
      <c r="C17" t="s">
        <v>100</v>
      </c>
      <c r="D17">
        <v>-48.1</v>
      </c>
      <c r="E17" t="s">
        <v>78</v>
      </c>
      <c r="F17">
        <v>76207.28</v>
      </c>
    </row>
    <row r="18" spans="1:7" x14ac:dyDescent="0.2">
      <c r="A18" t="s">
        <v>61</v>
      </c>
      <c r="B18" s="48">
        <v>45679</v>
      </c>
      <c r="C18" t="s">
        <v>101</v>
      </c>
      <c r="D18">
        <v>-48.12</v>
      </c>
      <c r="E18" t="s">
        <v>78</v>
      </c>
      <c r="F18">
        <v>76255.38</v>
      </c>
    </row>
    <row r="19" spans="1:7" x14ac:dyDescent="0.2">
      <c r="A19" t="s">
        <v>63</v>
      </c>
      <c r="B19" s="48">
        <v>45679</v>
      </c>
      <c r="C19" t="s">
        <v>102</v>
      </c>
      <c r="D19">
        <v>45</v>
      </c>
      <c r="E19" t="s">
        <v>67</v>
      </c>
      <c r="F19">
        <v>76303.5</v>
      </c>
    </row>
    <row r="20" spans="1:7" x14ac:dyDescent="0.2">
      <c r="A20" t="s">
        <v>69</v>
      </c>
      <c r="B20" s="48">
        <v>45678</v>
      </c>
      <c r="C20" t="s">
        <v>103</v>
      </c>
      <c r="D20">
        <v>-1190.6199999999999</v>
      </c>
      <c r="E20" t="s">
        <v>70</v>
      </c>
      <c r="F20">
        <v>76258.5</v>
      </c>
      <c r="G20">
        <v>273</v>
      </c>
    </row>
    <row r="21" spans="1:7" x14ac:dyDescent="0.2">
      <c r="A21" t="s">
        <v>69</v>
      </c>
      <c r="B21" s="48">
        <v>45678</v>
      </c>
      <c r="C21" t="s">
        <v>104</v>
      </c>
      <c r="D21">
        <v>-150</v>
      </c>
      <c r="E21" t="s">
        <v>70</v>
      </c>
      <c r="F21">
        <v>77449.119999999995</v>
      </c>
      <c r="G21">
        <v>272</v>
      </c>
    </row>
    <row r="22" spans="1:7" x14ac:dyDescent="0.2">
      <c r="A22" t="s">
        <v>61</v>
      </c>
      <c r="B22" s="48">
        <v>45678</v>
      </c>
      <c r="C22" t="s">
        <v>105</v>
      </c>
      <c r="D22">
        <v>-90.9</v>
      </c>
      <c r="E22" t="s">
        <v>78</v>
      </c>
      <c r="F22">
        <v>77599.12</v>
      </c>
    </row>
    <row r="23" spans="1:7" x14ac:dyDescent="0.2">
      <c r="A23" t="s">
        <v>61</v>
      </c>
      <c r="B23" s="48">
        <v>45678</v>
      </c>
      <c r="C23" t="s">
        <v>106</v>
      </c>
      <c r="D23">
        <v>-5000</v>
      </c>
      <c r="E23" t="s">
        <v>72</v>
      </c>
      <c r="F23">
        <v>77690.02</v>
      </c>
    </row>
    <row r="24" spans="1:7" x14ac:dyDescent="0.2">
      <c r="A24" t="s">
        <v>63</v>
      </c>
      <c r="B24" s="48">
        <v>45678</v>
      </c>
      <c r="C24" t="s">
        <v>107</v>
      </c>
      <c r="D24">
        <v>540</v>
      </c>
      <c r="E24" t="s">
        <v>64</v>
      </c>
      <c r="F24">
        <v>82690.02</v>
      </c>
    </row>
    <row r="25" spans="1:7" x14ac:dyDescent="0.2">
      <c r="A25" t="s">
        <v>61</v>
      </c>
      <c r="B25" s="48">
        <v>45674</v>
      </c>
      <c r="C25" t="s">
        <v>108</v>
      </c>
      <c r="D25">
        <v>-275.89</v>
      </c>
      <c r="E25" t="s">
        <v>78</v>
      </c>
      <c r="F25">
        <v>82150.02</v>
      </c>
    </row>
    <row r="26" spans="1:7" x14ac:dyDescent="0.2">
      <c r="A26" t="s">
        <v>61</v>
      </c>
      <c r="B26" s="48">
        <v>45674</v>
      </c>
      <c r="C26" t="s">
        <v>109</v>
      </c>
      <c r="D26">
        <v>-261.2</v>
      </c>
      <c r="E26" t="s">
        <v>66</v>
      </c>
      <c r="F26">
        <v>82425.91</v>
      </c>
    </row>
    <row r="27" spans="1:7" x14ac:dyDescent="0.2">
      <c r="A27" t="s">
        <v>73</v>
      </c>
      <c r="B27" s="48">
        <v>45674</v>
      </c>
      <c r="C27" t="s">
        <v>110</v>
      </c>
      <c r="D27">
        <v>3387.58</v>
      </c>
      <c r="E27" t="s">
        <v>74</v>
      </c>
      <c r="F27">
        <v>82687.11</v>
      </c>
    </row>
    <row r="28" spans="1:7" x14ac:dyDescent="0.2">
      <c r="A28" t="s">
        <v>63</v>
      </c>
      <c r="B28" s="48">
        <v>45674</v>
      </c>
      <c r="C28" t="s">
        <v>111</v>
      </c>
      <c r="D28">
        <v>1966.29</v>
      </c>
      <c r="E28" t="s">
        <v>65</v>
      </c>
      <c r="F28">
        <v>79299.53</v>
      </c>
    </row>
    <row r="29" spans="1:7" x14ac:dyDescent="0.2">
      <c r="A29" t="s">
        <v>63</v>
      </c>
      <c r="B29" s="48">
        <v>45674</v>
      </c>
      <c r="C29" t="s">
        <v>111</v>
      </c>
      <c r="D29">
        <v>7969.63</v>
      </c>
      <c r="E29" t="s">
        <v>65</v>
      </c>
      <c r="F29">
        <v>77333.240000000005</v>
      </c>
    </row>
    <row r="30" spans="1:7" x14ac:dyDescent="0.2">
      <c r="A30" t="s">
        <v>63</v>
      </c>
      <c r="B30" s="48">
        <v>45673</v>
      </c>
      <c r="C30" t="s">
        <v>112</v>
      </c>
      <c r="D30">
        <v>640</v>
      </c>
      <c r="E30" t="s">
        <v>71</v>
      </c>
      <c r="F30">
        <v>69363.61</v>
      </c>
    </row>
    <row r="31" spans="1:7" x14ac:dyDescent="0.2">
      <c r="A31" t="s">
        <v>63</v>
      </c>
      <c r="B31" s="48">
        <v>45673</v>
      </c>
      <c r="C31" t="s">
        <v>113</v>
      </c>
      <c r="D31">
        <v>6300</v>
      </c>
      <c r="E31" t="s">
        <v>65</v>
      </c>
      <c r="F31">
        <v>68723.61</v>
      </c>
    </row>
    <row r="32" spans="1:7" x14ac:dyDescent="0.2">
      <c r="A32" t="s">
        <v>61</v>
      </c>
      <c r="B32" s="48">
        <v>45671</v>
      </c>
      <c r="C32" t="s">
        <v>114</v>
      </c>
      <c r="D32">
        <v>-18709</v>
      </c>
      <c r="E32" t="s">
        <v>72</v>
      </c>
      <c r="F32">
        <v>62423.61</v>
      </c>
    </row>
    <row r="33" spans="1:7" x14ac:dyDescent="0.2">
      <c r="A33" t="s">
        <v>61</v>
      </c>
      <c r="B33" s="48">
        <v>45671</v>
      </c>
      <c r="C33" t="s">
        <v>115</v>
      </c>
      <c r="D33">
        <v>-20520</v>
      </c>
      <c r="E33" t="s">
        <v>72</v>
      </c>
      <c r="F33">
        <v>81132.61</v>
      </c>
    </row>
    <row r="34" spans="1:7" x14ac:dyDescent="0.2">
      <c r="A34" t="s">
        <v>63</v>
      </c>
      <c r="B34" s="48">
        <v>45671</v>
      </c>
      <c r="C34" t="s">
        <v>116</v>
      </c>
      <c r="D34">
        <v>540</v>
      </c>
      <c r="E34" t="s">
        <v>64</v>
      </c>
      <c r="F34">
        <v>101652.61</v>
      </c>
    </row>
    <row r="35" spans="1:7" x14ac:dyDescent="0.2">
      <c r="A35" t="s">
        <v>61</v>
      </c>
      <c r="B35" s="48">
        <v>45670</v>
      </c>
      <c r="C35" t="s">
        <v>117</v>
      </c>
      <c r="D35">
        <v>-100</v>
      </c>
      <c r="E35" t="s">
        <v>78</v>
      </c>
      <c r="F35">
        <v>101112.61</v>
      </c>
    </row>
    <row r="36" spans="1:7" x14ac:dyDescent="0.2">
      <c r="A36" t="s">
        <v>63</v>
      </c>
      <c r="B36" s="48">
        <v>45670</v>
      </c>
      <c r="C36" t="s">
        <v>118</v>
      </c>
      <c r="D36">
        <v>540</v>
      </c>
      <c r="E36" t="s">
        <v>64</v>
      </c>
      <c r="F36">
        <v>101212.61</v>
      </c>
    </row>
    <row r="37" spans="1:7" x14ac:dyDescent="0.2">
      <c r="A37" t="s">
        <v>63</v>
      </c>
      <c r="B37" s="48">
        <v>45667</v>
      </c>
      <c r="C37" t="s">
        <v>119</v>
      </c>
      <c r="D37">
        <v>450</v>
      </c>
      <c r="E37" t="s">
        <v>64</v>
      </c>
      <c r="F37">
        <v>100672.61</v>
      </c>
    </row>
    <row r="38" spans="1:7" x14ac:dyDescent="0.2">
      <c r="A38" t="s">
        <v>63</v>
      </c>
      <c r="B38" s="48">
        <v>45667</v>
      </c>
      <c r="C38" t="s">
        <v>120</v>
      </c>
      <c r="D38">
        <v>540</v>
      </c>
      <c r="E38" t="s">
        <v>64</v>
      </c>
      <c r="F38">
        <v>100222.61</v>
      </c>
    </row>
    <row r="39" spans="1:7" x14ac:dyDescent="0.2">
      <c r="A39" t="s">
        <v>63</v>
      </c>
      <c r="B39" s="48">
        <v>45667</v>
      </c>
      <c r="C39" t="s">
        <v>121</v>
      </c>
      <c r="D39">
        <v>2500</v>
      </c>
      <c r="E39" t="s">
        <v>83</v>
      </c>
      <c r="F39">
        <v>99682.61</v>
      </c>
    </row>
    <row r="40" spans="1:7" x14ac:dyDescent="0.2">
      <c r="A40" t="s">
        <v>69</v>
      </c>
      <c r="B40" s="48">
        <v>45665</v>
      </c>
      <c r="C40" t="s">
        <v>122</v>
      </c>
      <c r="D40">
        <v>-120</v>
      </c>
      <c r="E40" t="s">
        <v>70</v>
      </c>
      <c r="F40">
        <v>97182.61</v>
      </c>
      <c r="G40">
        <v>270</v>
      </c>
    </row>
    <row r="41" spans="1:7" x14ac:dyDescent="0.2">
      <c r="A41" t="s">
        <v>61</v>
      </c>
      <c r="B41" s="48">
        <v>45665</v>
      </c>
      <c r="C41" t="s">
        <v>123</v>
      </c>
      <c r="D41">
        <v>-2500</v>
      </c>
      <c r="E41" t="s">
        <v>68</v>
      </c>
      <c r="F41">
        <v>97302.61</v>
      </c>
    </row>
    <row r="42" spans="1:7" x14ac:dyDescent="0.2">
      <c r="A42" t="s">
        <v>61</v>
      </c>
      <c r="B42" s="48">
        <v>45665</v>
      </c>
      <c r="C42" t="s">
        <v>124</v>
      </c>
      <c r="D42">
        <v>-135.43</v>
      </c>
      <c r="E42" t="s">
        <v>66</v>
      </c>
      <c r="F42">
        <v>99802.61</v>
      </c>
    </row>
    <row r="43" spans="1:7" x14ac:dyDescent="0.2">
      <c r="A43" t="s">
        <v>61</v>
      </c>
      <c r="B43" s="48">
        <v>45665</v>
      </c>
      <c r="C43" t="s">
        <v>125</v>
      </c>
      <c r="D43">
        <v>-125</v>
      </c>
      <c r="E43" t="s">
        <v>68</v>
      </c>
      <c r="F43">
        <v>99938.04</v>
      </c>
    </row>
    <row r="44" spans="1:7" x14ac:dyDescent="0.2">
      <c r="A44" t="s">
        <v>61</v>
      </c>
      <c r="B44" s="48">
        <v>45665</v>
      </c>
      <c r="C44" t="s">
        <v>126</v>
      </c>
      <c r="D44">
        <v>-450</v>
      </c>
      <c r="E44" t="s">
        <v>68</v>
      </c>
      <c r="F44">
        <v>100063.03999999999</v>
      </c>
    </row>
    <row r="45" spans="1:7" x14ac:dyDescent="0.2">
      <c r="A45" t="s">
        <v>63</v>
      </c>
      <c r="B45" s="48">
        <v>45665</v>
      </c>
      <c r="C45" t="s">
        <v>127</v>
      </c>
      <c r="D45">
        <v>40</v>
      </c>
      <c r="E45" t="s">
        <v>67</v>
      </c>
      <c r="F45">
        <v>100513.04</v>
      </c>
    </row>
    <row r="46" spans="1:7" x14ac:dyDescent="0.2">
      <c r="A46" t="s">
        <v>63</v>
      </c>
      <c r="B46" s="48">
        <v>45665</v>
      </c>
      <c r="C46" t="s">
        <v>128</v>
      </c>
      <c r="D46">
        <v>615</v>
      </c>
      <c r="E46" t="s">
        <v>65</v>
      </c>
      <c r="F46">
        <v>100473.04</v>
      </c>
    </row>
    <row r="47" spans="1:7" x14ac:dyDescent="0.2">
      <c r="A47" t="s">
        <v>63</v>
      </c>
      <c r="B47" s="48">
        <v>45665</v>
      </c>
      <c r="C47" t="s">
        <v>128</v>
      </c>
      <c r="D47">
        <v>11895</v>
      </c>
      <c r="E47" t="s">
        <v>65</v>
      </c>
      <c r="F47">
        <v>99858.04</v>
      </c>
    </row>
    <row r="48" spans="1:7" x14ac:dyDescent="0.2">
      <c r="A48" t="s">
        <v>61</v>
      </c>
      <c r="B48" s="48">
        <v>45664</v>
      </c>
      <c r="C48" t="s">
        <v>129</v>
      </c>
      <c r="D48">
        <v>-540</v>
      </c>
      <c r="E48" t="s">
        <v>75</v>
      </c>
      <c r="F48">
        <v>87963.04</v>
      </c>
    </row>
    <row r="49" spans="1:7" x14ac:dyDescent="0.2">
      <c r="A49" t="s">
        <v>63</v>
      </c>
      <c r="B49" s="48">
        <v>45664</v>
      </c>
      <c r="C49" t="s">
        <v>130</v>
      </c>
      <c r="D49">
        <v>40</v>
      </c>
      <c r="E49" t="s">
        <v>64</v>
      </c>
      <c r="F49">
        <v>88503.039999999994</v>
      </c>
    </row>
    <row r="50" spans="1:7" x14ac:dyDescent="0.2">
      <c r="A50" t="s">
        <v>63</v>
      </c>
      <c r="B50" s="48">
        <v>45664</v>
      </c>
      <c r="C50" t="s">
        <v>131</v>
      </c>
      <c r="D50">
        <v>500</v>
      </c>
      <c r="E50" t="s">
        <v>67</v>
      </c>
      <c r="F50">
        <v>88463.039999999994</v>
      </c>
    </row>
    <row r="51" spans="1:7" x14ac:dyDescent="0.2">
      <c r="A51" t="s">
        <v>69</v>
      </c>
      <c r="B51" s="48">
        <v>45663</v>
      </c>
      <c r="C51" t="s">
        <v>132</v>
      </c>
      <c r="D51">
        <v>-1300</v>
      </c>
      <c r="E51" t="s">
        <v>70</v>
      </c>
      <c r="F51">
        <v>87963.04</v>
      </c>
      <c r="G51">
        <v>268</v>
      </c>
    </row>
    <row r="52" spans="1:7" x14ac:dyDescent="0.2">
      <c r="A52" t="s">
        <v>69</v>
      </c>
      <c r="B52" s="48">
        <v>45663</v>
      </c>
      <c r="C52" t="s">
        <v>133</v>
      </c>
      <c r="D52">
        <v>-200</v>
      </c>
      <c r="E52" t="s">
        <v>70</v>
      </c>
      <c r="F52">
        <v>89263.039999999994</v>
      </c>
      <c r="G52">
        <v>271</v>
      </c>
    </row>
    <row r="53" spans="1:7" x14ac:dyDescent="0.2">
      <c r="A53" t="s">
        <v>61</v>
      </c>
      <c r="B53" s="48">
        <v>45663</v>
      </c>
      <c r="C53" t="s">
        <v>134</v>
      </c>
      <c r="D53">
        <v>-37.08</v>
      </c>
      <c r="E53" t="s">
        <v>62</v>
      </c>
      <c r="F53">
        <v>89463.039999999994</v>
      </c>
    </row>
    <row r="54" spans="1:7" x14ac:dyDescent="0.2">
      <c r="A54" t="s">
        <v>63</v>
      </c>
      <c r="B54" s="48">
        <v>45663</v>
      </c>
      <c r="C54" t="s">
        <v>135</v>
      </c>
      <c r="D54">
        <v>110</v>
      </c>
      <c r="E54" t="s">
        <v>64</v>
      </c>
      <c r="F54">
        <v>89500.12</v>
      </c>
    </row>
    <row r="55" spans="1:7" x14ac:dyDescent="0.2">
      <c r="A55" t="s">
        <v>63</v>
      </c>
      <c r="B55" s="48">
        <v>45663</v>
      </c>
      <c r="C55" t="s">
        <v>136</v>
      </c>
      <c r="D55">
        <v>450</v>
      </c>
      <c r="E55" t="s">
        <v>64</v>
      </c>
      <c r="F55">
        <v>89390.12</v>
      </c>
    </row>
    <row r="56" spans="1:7" x14ac:dyDescent="0.2">
      <c r="A56" t="s">
        <v>63</v>
      </c>
      <c r="B56" s="48">
        <v>45663</v>
      </c>
      <c r="C56" t="s">
        <v>137</v>
      </c>
      <c r="D56">
        <v>450</v>
      </c>
      <c r="E56" t="s">
        <v>64</v>
      </c>
      <c r="F56">
        <v>88940.12</v>
      </c>
    </row>
    <row r="57" spans="1:7" x14ac:dyDescent="0.2">
      <c r="A57" t="s">
        <v>63</v>
      </c>
      <c r="B57" s="48">
        <v>45663</v>
      </c>
      <c r="C57" t="s">
        <v>138</v>
      </c>
      <c r="D57">
        <v>495</v>
      </c>
      <c r="E57" t="s">
        <v>64</v>
      </c>
      <c r="F57">
        <v>88490.12</v>
      </c>
    </row>
    <row r="58" spans="1:7" x14ac:dyDescent="0.2">
      <c r="A58" t="s">
        <v>63</v>
      </c>
      <c r="B58" s="48">
        <v>45663</v>
      </c>
      <c r="C58" t="s">
        <v>139</v>
      </c>
      <c r="D58">
        <v>500</v>
      </c>
      <c r="E58" t="s">
        <v>64</v>
      </c>
      <c r="F58">
        <v>87995.12</v>
      </c>
    </row>
    <row r="59" spans="1:7" x14ac:dyDescent="0.2">
      <c r="A59" t="s">
        <v>63</v>
      </c>
      <c r="B59" s="48">
        <v>45663</v>
      </c>
      <c r="C59" t="s">
        <v>140</v>
      </c>
      <c r="D59">
        <v>540</v>
      </c>
      <c r="E59" t="s">
        <v>64</v>
      </c>
      <c r="F59">
        <v>87495.12</v>
      </c>
    </row>
    <row r="60" spans="1:7" x14ac:dyDescent="0.2">
      <c r="A60" t="s">
        <v>63</v>
      </c>
      <c r="B60" s="48">
        <v>45663</v>
      </c>
      <c r="C60" t="s">
        <v>141</v>
      </c>
      <c r="D60">
        <v>540</v>
      </c>
      <c r="E60" t="s">
        <v>64</v>
      </c>
      <c r="F60">
        <v>86955.12</v>
      </c>
    </row>
    <row r="61" spans="1:7" x14ac:dyDescent="0.2">
      <c r="A61" t="s">
        <v>63</v>
      </c>
      <c r="B61" s="48">
        <v>45663</v>
      </c>
      <c r="C61" t="s">
        <v>142</v>
      </c>
      <c r="D61">
        <v>540</v>
      </c>
      <c r="E61" t="s">
        <v>64</v>
      </c>
      <c r="F61">
        <v>86415.12</v>
      </c>
    </row>
    <row r="62" spans="1:7" x14ac:dyDescent="0.2">
      <c r="A62" t="s">
        <v>63</v>
      </c>
      <c r="B62" s="48">
        <v>45663</v>
      </c>
      <c r="C62" t="s">
        <v>143</v>
      </c>
      <c r="D62">
        <v>540</v>
      </c>
      <c r="E62" t="s">
        <v>64</v>
      </c>
      <c r="F62">
        <v>85875.12</v>
      </c>
    </row>
    <row r="63" spans="1:7" x14ac:dyDescent="0.2">
      <c r="A63" t="s">
        <v>73</v>
      </c>
      <c r="B63" s="48">
        <v>45663</v>
      </c>
      <c r="C63" t="s">
        <v>144</v>
      </c>
      <c r="D63">
        <v>540</v>
      </c>
      <c r="E63" t="s">
        <v>74</v>
      </c>
      <c r="F63">
        <v>85335.12</v>
      </c>
    </row>
    <row r="64" spans="1:7" x14ac:dyDescent="0.2">
      <c r="A64" t="s">
        <v>63</v>
      </c>
      <c r="B64" s="48">
        <v>45663</v>
      </c>
      <c r="C64" t="s">
        <v>145</v>
      </c>
      <c r="D64">
        <v>975</v>
      </c>
      <c r="E64" t="s">
        <v>65</v>
      </c>
      <c r="F64">
        <v>84795.12</v>
      </c>
    </row>
    <row r="65" spans="1:6" x14ac:dyDescent="0.2">
      <c r="A65" t="s">
        <v>63</v>
      </c>
      <c r="B65" s="48">
        <v>45663</v>
      </c>
      <c r="C65" t="s">
        <v>145</v>
      </c>
      <c r="D65">
        <v>1125</v>
      </c>
      <c r="E65" t="s">
        <v>65</v>
      </c>
      <c r="F65">
        <v>83820.12</v>
      </c>
    </row>
    <row r="66" spans="1:6" x14ac:dyDescent="0.2">
      <c r="A66" t="s">
        <v>63</v>
      </c>
      <c r="B66" s="48">
        <v>45663</v>
      </c>
      <c r="C66" t="s">
        <v>145</v>
      </c>
      <c r="D66">
        <v>5522</v>
      </c>
      <c r="E66" t="s">
        <v>65</v>
      </c>
      <c r="F66">
        <v>82695.12</v>
      </c>
    </row>
    <row r="67" spans="1:6" x14ac:dyDescent="0.2">
      <c r="A67" t="s">
        <v>63</v>
      </c>
      <c r="B67" s="48">
        <v>45663</v>
      </c>
      <c r="C67" t="s">
        <v>145</v>
      </c>
      <c r="D67">
        <v>9235</v>
      </c>
      <c r="E67" t="s">
        <v>65</v>
      </c>
      <c r="F67">
        <v>77173.119999999995</v>
      </c>
    </row>
    <row r="68" spans="1:6" x14ac:dyDescent="0.2">
      <c r="A68" t="s">
        <v>63</v>
      </c>
      <c r="B68" s="48">
        <v>45660</v>
      </c>
      <c r="C68" t="s">
        <v>146</v>
      </c>
      <c r="D68">
        <v>90</v>
      </c>
      <c r="E68" t="s">
        <v>64</v>
      </c>
      <c r="F68">
        <v>67938.12</v>
      </c>
    </row>
    <row r="69" spans="1:6" x14ac:dyDescent="0.2">
      <c r="A69" t="s">
        <v>63</v>
      </c>
      <c r="B69" s="48">
        <v>45660</v>
      </c>
      <c r="C69" t="s">
        <v>147</v>
      </c>
      <c r="D69">
        <v>540</v>
      </c>
      <c r="E69" t="s">
        <v>64</v>
      </c>
      <c r="F69">
        <v>67848.12</v>
      </c>
    </row>
    <row r="70" spans="1:6" x14ac:dyDescent="0.2">
      <c r="A70" t="s">
        <v>63</v>
      </c>
      <c r="B70" s="48">
        <v>45660</v>
      </c>
      <c r="C70" t="s">
        <v>148</v>
      </c>
      <c r="D70">
        <v>540</v>
      </c>
      <c r="E70" t="s">
        <v>64</v>
      </c>
      <c r="F70">
        <v>67308.12</v>
      </c>
    </row>
    <row r="71" spans="1:6" x14ac:dyDescent="0.2">
      <c r="A71" t="s">
        <v>63</v>
      </c>
      <c r="B71" s="48">
        <v>45660</v>
      </c>
      <c r="C71" t="s">
        <v>149</v>
      </c>
      <c r="D71">
        <v>540</v>
      </c>
      <c r="E71" t="s">
        <v>64</v>
      </c>
      <c r="F71">
        <v>66768.12</v>
      </c>
    </row>
    <row r="72" spans="1:6" x14ac:dyDescent="0.2">
      <c r="A72" t="s">
        <v>63</v>
      </c>
      <c r="B72" s="48">
        <v>45659</v>
      </c>
      <c r="C72" t="s">
        <v>150</v>
      </c>
      <c r="D72">
        <v>45</v>
      </c>
      <c r="E72" t="s">
        <v>67</v>
      </c>
      <c r="F72">
        <v>66228.12</v>
      </c>
    </row>
    <row r="73" spans="1:6" x14ac:dyDescent="0.2">
      <c r="A73" t="s">
        <v>63</v>
      </c>
      <c r="B73" s="48">
        <v>45659</v>
      </c>
      <c r="C73" t="s">
        <v>151</v>
      </c>
      <c r="D73">
        <v>45</v>
      </c>
      <c r="E73" t="s">
        <v>64</v>
      </c>
      <c r="F73">
        <v>66183.12</v>
      </c>
    </row>
    <row r="74" spans="1:6" x14ac:dyDescent="0.2">
      <c r="A74" t="s">
        <v>63</v>
      </c>
      <c r="B74" s="48">
        <v>45659</v>
      </c>
      <c r="C74" t="s">
        <v>152</v>
      </c>
      <c r="D74">
        <v>450</v>
      </c>
      <c r="E74" t="s">
        <v>64</v>
      </c>
      <c r="F74">
        <v>66138.12</v>
      </c>
    </row>
    <row r="75" spans="1:6" x14ac:dyDescent="0.2">
      <c r="A75" t="s">
        <v>63</v>
      </c>
      <c r="B75" s="48">
        <v>45659</v>
      </c>
      <c r="C75" t="s">
        <v>153</v>
      </c>
      <c r="D75">
        <v>540</v>
      </c>
      <c r="E75" t="s">
        <v>64</v>
      </c>
      <c r="F75">
        <v>65688.12</v>
      </c>
    </row>
    <row r="76" spans="1:6" x14ac:dyDescent="0.2">
      <c r="A76" t="s">
        <v>63</v>
      </c>
      <c r="B76" s="48">
        <v>45659</v>
      </c>
      <c r="C76" t="s">
        <v>154</v>
      </c>
      <c r="D76">
        <v>540</v>
      </c>
      <c r="E76" t="s">
        <v>64</v>
      </c>
      <c r="F76">
        <v>65148.12</v>
      </c>
    </row>
    <row r="77" spans="1:6" x14ac:dyDescent="0.2">
      <c r="A77" t="s">
        <v>63</v>
      </c>
      <c r="B77" s="48">
        <v>45659</v>
      </c>
      <c r="C77" t="s">
        <v>155</v>
      </c>
      <c r="D77">
        <v>540</v>
      </c>
      <c r="E77" t="s">
        <v>64</v>
      </c>
      <c r="F77">
        <v>64608.12</v>
      </c>
    </row>
    <row r="78" spans="1:6" x14ac:dyDescent="0.2">
      <c r="A78" t="s">
        <v>63</v>
      </c>
      <c r="B78" s="48">
        <v>45659</v>
      </c>
      <c r="C78" t="s">
        <v>156</v>
      </c>
      <c r="D78">
        <v>540</v>
      </c>
      <c r="E78" t="s">
        <v>64</v>
      </c>
      <c r="F78">
        <v>64068.12</v>
      </c>
    </row>
    <row r="79" spans="1:6" x14ac:dyDescent="0.2">
      <c r="A79" t="s">
        <v>63</v>
      </c>
      <c r="B79" s="48">
        <v>45659</v>
      </c>
      <c r="C79" t="s">
        <v>157</v>
      </c>
      <c r="D79">
        <v>900</v>
      </c>
      <c r="E79" t="s">
        <v>64</v>
      </c>
      <c r="F79">
        <v>63528.12</v>
      </c>
    </row>
    <row r="80" spans="1:6" x14ac:dyDescent="0.2">
      <c r="A80" t="s">
        <v>63</v>
      </c>
      <c r="B80" s="48">
        <v>45659</v>
      </c>
      <c r="C80" t="s">
        <v>158</v>
      </c>
      <c r="D80">
        <v>1080</v>
      </c>
      <c r="E80" t="s">
        <v>64</v>
      </c>
      <c r="F80">
        <v>62628.12</v>
      </c>
    </row>
    <row r="81" spans="1:6" x14ac:dyDescent="0.2">
      <c r="A81" t="s">
        <v>73</v>
      </c>
      <c r="B81" s="48">
        <v>45659</v>
      </c>
      <c r="C81" t="s">
        <v>159</v>
      </c>
      <c r="D81">
        <v>15925</v>
      </c>
      <c r="E81" t="s">
        <v>74</v>
      </c>
      <c r="F81">
        <v>61548.12</v>
      </c>
    </row>
    <row r="82" spans="1:6" x14ac:dyDescent="0.2">
      <c r="A82" t="s">
        <v>63</v>
      </c>
      <c r="B82" s="48">
        <v>45659</v>
      </c>
      <c r="C82" t="s">
        <v>76</v>
      </c>
      <c r="D82">
        <v>2355</v>
      </c>
      <c r="E82" t="s">
        <v>65</v>
      </c>
      <c r="F82">
        <v>45623.12</v>
      </c>
    </row>
    <row r="83" spans="1:6" x14ac:dyDescent="0.2">
      <c r="A83" t="s">
        <v>63</v>
      </c>
      <c r="B83" s="48">
        <v>45659</v>
      </c>
      <c r="C83" t="s">
        <v>76</v>
      </c>
      <c r="D83">
        <v>2700</v>
      </c>
      <c r="E83" t="s">
        <v>65</v>
      </c>
      <c r="F83">
        <v>43268.12</v>
      </c>
    </row>
    <row r="84" spans="1:6" x14ac:dyDescent="0.2">
      <c r="A84" t="s">
        <v>63</v>
      </c>
      <c r="B84" s="48">
        <v>45659</v>
      </c>
      <c r="C84" t="s">
        <v>76</v>
      </c>
      <c r="D84">
        <v>3675</v>
      </c>
      <c r="E84" t="s">
        <v>65</v>
      </c>
      <c r="F84">
        <v>40568.120000000003</v>
      </c>
    </row>
    <row r="85" spans="1:6" x14ac:dyDescent="0.2">
      <c r="A85" t="s">
        <v>63</v>
      </c>
      <c r="B85" s="48">
        <v>45659</v>
      </c>
      <c r="C85" t="s">
        <v>76</v>
      </c>
      <c r="D85">
        <v>3780</v>
      </c>
      <c r="E85" t="s">
        <v>65</v>
      </c>
      <c r="F85">
        <v>36893.120000000003</v>
      </c>
    </row>
    <row r="86" spans="1:6" x14ac:dyDescent="0.2">
      <c r="A86" t="s">
        <v>63</v>
      </c>
      <c r="B86" s="48">
        <v>45659</v>
      </c>
      <c r="C86" t="s">
        <v>76</v>
      </c>
      <c r="D86">
        <v>4860</v>
      </c>
      <c r="E86" t="s">
        <v>65</v>
      </c>
      <c r="F86">
        <v>33113.120000000003</v>
      </c>
    </row>
    <row r="87" spans="1:6" x14ac:dyDescent="0.2">
      <c r="A87" t="s">
        <v>63</v>
      </c>
      <c r="B87" s="48">
        <v>45659</v>
      </c>
      <c r="C87" t="s">
        <v>76</v>
      </c>
      <c r="D87">
        <v>4860</v>
      </c>
      <c r="E87" t="s">
        <v>65</v>
      </c>
      <c r="F87">
        <v>28253.119999999999</v>
      </c>
    </row>
    <row r="88" spans="1:6" x14ac:dyDescent="0.2">
      <c r="A88" t="s">
        <v>63</v>
      </c>
      <c r="B88" s="48">
        <v>45659</v>
      </c>
      <c r="C88" t="s">
        <v>76</v>
      </c>
      <c r="D88">
        <v>6200</v>
      </c>
      <c r="E88" t="s">
        <v>65</v>
      </c>
      <c r="F88">
        <v>23393.119999999999</v>
      </c>
    </row>
    <row r="89" spans="1:6" x14ac:dyDescent="0.2">
      <c r="A89" t="s">
        <v>63</v>
      </c>
      <c r="B89" s="48">
        <v>45659</v>
      </c>
      <c r="C89" t="s">
        <v>76</v>
      </c>
      <c r="D89">
        <v>6480</v>
      </c>
      <c r="E89" t="s">
        <v>65</v>
      </c>
      <c r="F89">
        <v>17193.12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 25</vt:lpstr>
      <vt:lpstr>FEB</vt:lpstr>
      <vt:lpstr>FEB CRCD</vt:lpstr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Brown</dc:creator>
  <cp:lastModifiedBy>getta mullaney</cp:lastModifiedBy>
  <cp:lastPrinted>2026-04-01T13:49:12Z</cp:lastPrinted>
  <dcterms:created xsi:type="dcterms:W3CDTF">2024-01-02T20:48:55Z</dcterms:created>
  <dcterms:modified xsi:type="dcterms:W3CDTF">2026-09-02T14:20:21Z</dcterms:modified>
</cp:coreProperties>
</file>