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9001"/>
  <workbookPr/>
  <mc:AlternateContent xmlns:mc="http://schemas.openxmlformats.org/markup-compatibility/2006">
    <mc:Choice Requires="x15">
      <x15ac:absPath xmlns:x15ac="http://schemas.microsoft.com/office/spreadsheetml/2010/11/ac" url="C:\Users\gsilva\OneDrive for Business\CRM STUFF\ORIGINATION SPREADSHEETS\"/>
    </mc:Choice>
  </mc:AlternateContent>
  <bookViews>
    <workbookView xWindow="0" yWindow="0" windowWidth="9045" windowHeight="3540" xr2:uid="{00000000-000D-0000-FFFF-FFFF00000000}"/>
  </bookViews>
  <sheets>
    <sheet name="Instructions" sheetId="10" r:id="rId1"/>
    <sheet name="Refi" sheetId="1" r:id="rId2"/>
    <sheet name="Picklists" sheetId="3" r:id="rId3"/>
    <sheet name="Business Rules" sheetId="8" r:id="rId4"/>
    <sheet name="Intro" sheetId="9" r:id="rId5"/>
  </sheets>
  <externalReferences>
    <externalReference r:id="rId6"/>
  </externalReferences>
  <definedNames>
    <definedName name="CONVCASH15">#REF!</definedName>
    <definedName name="CONVCASH20">#REF!</definedName>
    <definedName name="CONVCASH25">#REF!</definedName>
    <definedName name="CONVCASH30">#REF!</definedName>
    <definedName name="CONVMAX15">#REF!</definedName>
    <definedName name="CONVMAX20">#REF!</definedName>
    <definedName name="CONVMAX25">#REF!</definedName>
    <definedName name="CONVMAX30">#REF!</definedName>
    <definedName name="CONVRT15">#REF!</definedName>
    <definedName name="CONVRT20">#REF!</definedName>
    <definedName name="CONVRT25">#REF!</definedName>
    <definedName name="CONVRT30">#REF!</definedName>
    <definedName name="FHACASH15">#REF!</definedName>
    <definedName name="FHACASH20">#REF!</definedName>
    <definedName name="FHACASH25">#REF!</definedName>
    <definedName name="FHACASH30">#REF!</definedName>
    <definedName name="FHAMAX15">#REF!</definedName>
    <definedName name="FHAMAX20">#REF!</definedName>
    <definedName name="FHAMAX25">#REF!</definedName>
    <definedName name="FHAMAX30">#REF!</definedName>
    <definedName name="FHART15">#REF!</definedName>
    <definedName name="FHART20">#REF!</definedName>
    <definedName name="FHART25">#REF!</definedName>
    <definedName name="FHART30">#REF!</definedName>
    <definedName name="FHASTREAM15">#REF!</definedName>
    <definedName name="FHASTREAM20">#REF!</definedName>
    <definedName name="FHASTREAM25">#REF!</definedName>
    <definedName name="FHASTREAM30">#REF!</definedName>
    <definedName name="FHASTREAMCUST">#REF!</definedName>
    <definedName name="LOAN">#REF!</definedName>
    <definedName name="loan20">#REF!</definedName>
    <definedName name="Option1">#REF!</definedName>
    <definedName name="RATE">#REF!</definedName>
    <definedName name="RATE2">#REF!</definedName>
    <definedName name="Rate220">#REF!</definedName>
    <definedName name="TERM">#REF!</definedName>
    <definedName name="term20">#REF!</definedName>
    <definedName name="VACASH15">#REF!</definedName>
    <definedName name="VACASH20">#REF!</definedName>
    <definedName name="VACASH25">#REF!</definedName>
    <definedName name="VACASH30">#REF!</definedName>
    <definedName name="VAIRRRL15">#REF!</definedName>
    <definedName name="VAIRRRL20">#REF!</definedName>
    <definedName name="VAIRRRL25">#REF!</definedName>
    <definedName name="VAIRRRL30">#REF!</definedName>
    <definedName name="VAIRRRLCUST">#REF!</definedName>
    <definedName name="VAMAX15">#REF!</definedName>
    <definedName name="VAMAX20">#REF!</definedName>
    <definedName name="VAMAX25">#REF!</definedName>
    <definedName name="VAMAX30">#REF!</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4" i="1" l="1"/>
  <c r="I24" i="1"/>
  <c r="M152" i="1" l="1"/>
  <c r="M151" i="1"/>
  <c r="B210" i="1"/>
  <c r="AD39" i="1" l="1"/>
  <c r="AD38" i="1"/>
  <c r="L70" i="1" l="1"/>
  <c r="D138" i="1"/>
  <c r="D185" i="1" s="1"/>
  <c r="G7" i="1"/>
  <c r="AG27" i="1"/>
  <c r="AG22" i="1"/>
  <c r="AG23" i="1" s="1"/>
  <c r="L67" i="1"/>
  <c r="L66" i="1"/>
  <c r="B96" i="1"/>
  <c r="E90" i="1" s="1"/>
  <c r="O5" i="1"/>
  <c r="O6" i="1" s="1"/>
  <c r="N5" i="1"/>
  <c r="I5" i="1"/>
  <c r="J5" i="1"/>
  <c r="K5" i="1"/>
  <c r="K6" i="1" s="1"/>
  <c r="H5" i="1"/>
  <c r="H6" i="1" s="1"/>
  <c r="H11" i="1" s="1"/>
  <c r="D159" i="1" s="1"/>
  <c r="F5" i="1"/>
  <c r="G5" i="1"/>
  <c r="D186" i="1"/>
  <c r="D187" i="1"/>
  <c r="D188" i="1"/>
  <c r="D189" i="1"/>
  <c r="K96" i="1"/>
  <c r="M90" i="1" s="1"/>
  <c r="G96" i="1"/>
  <c r="I90" i="1" s="1"/>
  <c r="K99" i="1"/>
  <c r="M94" i="1" s="1"/>
  <c r="J7" i="1"/>
  <c r="I7" i="1"/>
  <c r="G99" i="1"/>
  <c r="I94" i="1" s="1"/>
  <c r="K98" i="1"/>
  <c r="K97" i="1"/>
  <c r="G98" i="1"/>
  <c r="G97" i="1"/>
  <c r="B98" i="1"/>
  <c r="B97" i="1"/>
  <c r="F7" i="1"/>
  <c r="B99" i="1"/>
  <c r="E94" i="1" s="1"/>
  <c r="D119" i="1"/>
  <c r="N7" i="1"/>
  <c r="B102" i="1"/>
  <c r="B104" i="1" s="1"/>
  <c r="E97" i="1"/>
  <c r="E95" i="1"/>
  <c r="E93" i="1"/>
  <c r="M98" i="1"/>
  <c r="M97" i="1"/>
  <c r="M95" i="1"/>
  <c r="M93" i="1"/>
  <c r="D124" i="1"/>
  <c r="D123" i="1"/>
  <c r="D122" i="1"/>
  <c r="D121" i="1"/>
  <c r="I93" i="1"/>
  <c r="X94" i="1"/>
  <c r="H110" i="1"/>
  <c r="G102" i="1"/>
  <c r="G104" i="1" s="1"/>
  <c r="I98" i="1"/>
  <c r="I97" i="1"/>
  <c r="I95" i="1"/>
  <c r="I74" i="1"/>
  <c r="H74" i="1"/>
  <c r="M73" i="1"/>
  <c r="L73" i="1"/>
  <c r="I73" i="1"/>
  <c r="H73" i="1"/>
  <c r="M72" i="1"/>
  <c r="L72" i="1"/>
  <c r="I72" i="1"/>
  <c r="H72" i="1"/>
  <c r="M71" i="1"/>
  <c r="L71" i="1"/>
  <c r="I71" i="1"/>
  <c r="H71" i="1"/>
  <c r="M70" i="1"/>
  <c r="I70" i="1"/>
  <c r="H70" i="1"/>
  <c r="M69" i="1"/>
  <c r="L69" i="1"/>
  <c r="I69" i="1"/>
  <c r="H69" i="1"/>
  <c r="M68" i="1"/>
  <c r="L68" i="1"/>
  <c r="I68" i="1"/>
  <c r="H68" i="1"/>
  <c r="M67" i="1"/>
  <c r="M66" i="1"/>
  <c r="I66" i="1"/>
  <c r="H66" i="1"/>
  <c r="M65" i="1"/>
  <c r="L65" i="1"/>
  <c r="I65" i="1"/>
  <c r="H65" i="1"/>
  <c r="M91" i="1" l="1"/>
  <c r="J65" i="1"/>
  <c r="J69" i="1"/>
  <c r="J70" i="1"/>
  <c r="D127" i="1"/>
  <c r="L7" i="1"/>
  <c r="J72" i="1"/>
  <c r="J73" i="1"/>
  <c r="J74" i="1"/>
  <c r="E91" i="1"/>
  <c r="I91" i="1"/>
  <c r="P108" i="1"/>
  <c r="P109" i="1" s="1"/>
  <c r="Q205" i="1" s="1"/>
  <c r="H9" i="1"/>
  <c r="D157" i="1" s="1"/>
  <c r="M74" i="1"/>
  <c r="H8" i="1"/>
  <c r="M206" i="1"/>
  <c r="H10" i="1"/>
  <c r="D158" i="1" s="1"/>
  <c r="B18" i="1"/>
  <c r="M205" i="1"/>
  <c r="K10" i="1"/>
  <c r="K9" i="1"/>
  <c r="N205" i="1"/>
  <c r="K8" i="1"/>
  <c r="N206" i="1"/>
  <c r="K11" i="1"/>
  <c r="J68" i="1"/>
  <c r="J66" i="1"/>
  <c r="AI38" i="1"/>
  <c r="AI41" i="1"/>
  <c r="L6" i="1"/>
  <c r="AI42" i="1" s="1"/>
  <c r="O11" i="1"/>
  <c r="O10" i="1"/>
  <c r="O205" i="1"/>
  <c r="O8" i="1"/>
  <c r="O9" i="1"/>
  <c r="O206" i="1"/>
  <c r="J71" i="1"/>
  <c r="H75" i="1"/>
  <c r="G89" i="1"/>
  <c r="L74" i="1"/>
  <c r="B89" i="1"/>
  <c r="K89" i="1"/>
  <c r="Q206" i="1" l="1"/>
  <c r="D156" i="1"/>
  <c r="B19" i="1"/>
  <c r="H13" i="1" s="1"/>
  <c r="J75" i="1"/>
  <c r="E181" i="1" s="1"/>
  <c r="D168" i="1"/>
  <c r="D167" i="1"/>
  <c r="AI43" i="1"/>
  <c r="L11" i="1" s="1"/>
  <c r="D170" i="1"/>
  <c r="D169" i="1"/>
  <c r="AI39" i="1"/>
  <c r="AI40" i="1" s="1"/>
  <c r="D178" i="1"/>
  <c r="D179" i="1"/>
  <c r="D181" i="1"/>
  <c r="D180" i="1"/>
  <c r="H107" i="1"/>
  <c r="I89" i="1"/>
  <c r="E89" i="1"/>
  <c r="D107" i="1"/>
  <c r="M107" i="1"/>
  <c r="M89" i="1"/>
  <c r="P112" i="1" l="1"/>
  <c r="P6" i="1" s="1"/>
  <c r="K14" i="1"/>
  <c r="E167" i="1"/>
  <c r="O13" i="1"/>
  <c r="E179" i="1"/>
  <c r="O16" i="1"/>
  <c r="E180" i="1"/>
  <c r="O15" i="1"/>
  <c r="E178" i="1"/>
  <c r="E169" i="1"/>
  <c r="H15" i="1"/>
  <c r="H16" i="1"/>
  <c r="K16" i="1"/>
  <c r="H14" i="1"/>
  <c r="E168" i="1"/>
  <c r="O14" i="1"/>
  <c r="K13" i="1"/>
  <c r="K15" i="1"/>
  <c r="E170" i="1"/>
  <c r="E159" i="1"/>
  <c r="E157" i="1"/>
  <c r="E158" i="1"/>
  <c r="E156" i="1"/>
  <c r="L16" i="1"/>
  <c r="L8" i="1"/>
  <c r="L10" i="1"/>
  <c r="AG26" i="1"/>
  <c r="AG28" i="1" s="1"/>
  <c r="L9" i="1"/>
  <c r="M108" i="1"/>
  <c r="O2" i="1"/>
  <c r="J108" i="1"/>
  <c r="J109" i="1" s="1"/>
  <c r="O7" i="1"/>
  <c r="D108" i="1"/>
  <c r="E92" i="1" s="1"/>
  <c r="H7" i="1"/>
  <c r="H2" i="1"/>
  <c r="AE25" i="1"/>
  <c r="AC30" i="1"/>
  <c r="K7" i="1"/>
  <c r="H108" i="1"/>
  <c r="I92" i="1" s="1"/>
  <c r="AC26" i="1"/>
  <c r="K2" i="1"/>
  <c r="AC29" i="1"/>
  <c r="P9" i="1" l="1"/>
  <c r="P14" i="1" s="1"/>
  <c r="P11" i="1"/>
  <c r="P8" i="1"/>
  <c r="P13" i="1" s="1"/>
  <c r="Q12" i="1"/>
  <c r="P10" i="1"/>
  <c r="M12" i="1"/>
  <c r="L14" i="1"/>
  <c r="L15" i="1"/>
  <c r="L13" i="1"/>
  <c r="J110" i="1"/>
  <c r="AC31" i="1"/>
  <c r="H109" i="1"/>
  <c r="K205" i="1" s="1"/>
  <c r="K1" i="1"/>
  <c r="H1" i="1"/>
  <c r="D109" i="1"/>
  <c r="L205" i="1"/>
  <c r="L206" i="1"/>
  <c r="M92" i="1"/>
  <c r="K102" i="1"/>
  <c r="K104" i="1" s="1"/>
  <c r="P16" i="1" l="1"/>
  <c r="P15" i="1"/>
  <c r="M112" i="1"/>
  <c r="N6" i="1" s="1"/>
  <c r="K206" i="1"/>
  <c r="AE26" i="1"/>
  <c r="J206" i="1"/>
  <c r="J205" i="1"/>
  <c r="N8" i="1" l="1"/>
  <c r="N11" i="1"/>
  <c r="N2" i="1"/>
  <c r="N9" i="1"/>
  <c r="N14" i="1" s="1"/>
  <c r="N1" i="1"/>
  <c r="N10" i="1"/>
  <c r="E175" i="1" s="1"/>
  <c r="H112" i="1"/>
  <c r="J6" i="1" s="1"/>
  <c r="D112" i="1"/>
  <c r="G6" i="1" s="1"/>
  <c r="N13" i="1" l="1"/>
  <c r="J11" i="1"/>
  <c r="D173" i="1"/>
  <c r="J1" i="1"/>
  <c r="J2" i="1"/>
  <c r="E173" i="1"/>
  <c r="D174" i="1"/>
  <c r="D175" i="1"/>
  <c r="AC27" i="1"/>
  <c r="AC28" i="1" s="1"/>
  <c r="N16" i="1"/>
  <c r="D176" i="1"/>
  <c r="N15" i="1"/>
  <c r="E176" i="1"/>
  <c r="E174" i="1"/>
  <c r="I6" i="1"/>
  <c r="F6" i="1"/>
  <c r="F11" i="1" s="1"/>
  <c r="G10" i="1"/>
  <c r="G1" i="1"/>
  <c r="G8" i="1"/>
  <c r="G9" i="1"/>
  <c r="G2" i="1"/>
  <c r="J10" i="1" l="1"/>
  <c r="J15" i="1" s="1"/>
  <c r="J16" i="1"/>
  <c r="E165" i="1"/>
  <c r="J9" i="1"/>
  <c r="E163" i="1" s="1"/>
  <c r="J8" i="1"/>
  <c r="F2" i="1"/>
  <c r="F8" i="1"/>
  <c r="F10" i="1"/>
  <c r="F9" i="1"/>
  <c r="F14" i="1" s="1"/>
  <c r="F1" i="1"/>
  <c r="G11" i="1"/>
  <c r="G16" i="1" s="1"/>
  <c r="I1" i="1"/>
  <c r="I9" i="1"/>
  <c r="I11" i="1"/>
  <c r="I10" i="1"/>
  <c r="I8" i="1"/>
  <c r="D162" i="1" s="1"/>
  <c r="I2" i="1"/>
  <c r="X87" i="1"/>
  <c r="V94" i="1" s="1"/>
  <c r="V93" i="1"/>
  <c r="V88" i="1"/>
  <c r="G14" i="1"/>
  <c r="V91" i="1"/>
  <c r="V89" i="1"/>
  <c r="V92" i="1"/>
  <c r="V90" i="1"/>
  <c r="G15" i="1"/>
  <c r="D154" i="1"/>
  <c r="E154" i="1"/>
  <c r="F16" i="1"/>
  <c r="G13" i="1"/>
  <c r="D153" i="1" l="1"/>
  <c r="E164" i="1"/>
  <c r="E162" i="1"/>
  <c r="F15" i="1"/>
  <c r="E153" i="1"/>
  <c r="D151" i="1"/>
  <c r="E152" i="1"/>
  <c r="J14" i="1"/>
  <c r="J13" i="1"/>
  <c r="D152" i="1"/>
  <c r="E151" i="1"/>
  <c r="F13" i="1"/>
  <c r="I13" i="1"/>
  <c r="D165" i="1"/>
  <c r="I16" i="1"/>
  <c r="D164" i="1"/>
  <c r="I15" i="1"/>
  <c r="I14" i="1"/>
  <c r="D16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Garrett Silva</author>
  </authors>
  <commentList>
    <comment ref="M2" authorId="0" shapeId="0" xr:uid="{894C96CF-0BF8-4584-A683-17F3F8DC2BE0}">
      <text>
        <r>
          <rPr>
            <sz val="9"/>
            <color indexed="81"/>
            <rFont val="Tahoma"/>
            <family val="2"/>
          </rPr>
          <t xml:space="preserve">Find this Information on your mortgage statement </t>
        </r>
      </text>
    </comment>
    <comment ref="A13" authorId="0" shapeId="0" xr:uid="{9273ECE5-5352-434F-8099-53120F8DEF36}">
      <text>
        <r>
          <rPr>
            <sz val="9"/>
            <color indexed="81"/>
            <rFont val="Tahoma"/>
            <family val="2"/>
          </rPr>
          <t xml:space="preserve">Grab a Mortgage statement to help you do this accurately - You'll also want to jot down your escrow balance - you'll be getting that back!
</t>
        </r>
      </text>
    </comment>
    <comment ref="B15" authorId="0" shapeId="0" xr:uid="{7056304C-DC5A-424C-9126-B1835E499C9C}">
      <text>
        <r>
          <rPr>
            <sz val="9"/>
            <color indexed="81"/>
            <rFont val="Tahoma"/>
            <family val="2"/>
          </rPr>
          <t xml:space="preserve">If you don’t know how much these are make your best guess. If your mortgage statement doesn’t break them down and just states 'escrow' feel free to split it down the middle.
</t>
        </r>
      </text>
    </comment>
    <comment ref="B17" authorId="0" shapeId="0" xr:uid="{CFCD4EBE-9292-4B47-87BE-8684A567F40A}">
      <text>
        <r>
          <rPr>
            <sz val="9"/>
            <color indexed="81"/>
            <rFont val="Tahoma"/>
            <family val="2"/>
          </rPr>
          <t>If you have an FHA loan your mortgage statement may say "HUD Risk Assessment" or something along those lines.</t>
        </r>
      </text>
    </comment>
  </commentList>
</comments>
</file>

<file path=xl/sharedStrings.xml><?xml version="1.0" encoding="utf-8"?>
<sst xmlns="http://schemas.openxmlformats.org/spreadsheetml/2006/main" count="747" uniqueCount="354">
  <si>
    <t>Needed Value</t>
  </si>
  <si>
    <t>Income</t>
  </si>
  <si>
    <t>FICO</t>
  </si>
  <si>
    <t>CONVENTIONAL</t>
  </si>
  <si>
    <t>FHA</t>
  </si>
  <si>
    <t>VA</t>
  </si>
  <si>
    <t>RemainingTerm</t>
  </si>
  <si>
    <t>R/T</t>
  </si>
  <si>
    <t>CASHOUT</t>
  </si>
  <si>
    <t>MAX CASH</t>
  </si>
  <si>
    <t>FHA Streamline</t>
  </si>
  <si>
    <t>VA IRRRL</t>
  </si>
  <si>
    <t>Home Value</t>
  </si>
  <si>
    <t>P&amp;I</t>
  </si>
  <si>
    <t>Max Loan</t>
  </si>
  <si>
    <t>Loan Amt</t>
  </si>
  <si>
    <t>YES</t>
  </si>
  <si>
    <t>Current Loan VA?</t>
  </si>
  <si>
    <t>Taxes</t>
  </si>
  <si>
    <t>Current Loan FHA?</t>
  </si>
  <si>
    <t>CHPT 7 Discharge</t>
  </si>
  <si>
    <t>CHPT 13 Start</t>
  </si>
  <si>
    <t>CHPT 13 Dismissal</t>
  </si>
  <si>
    <t>Savings</t>
  </si>
  <si>
    <t>CHPT 13 Discharge</t>
  </si>
  <si>
    <t>Funding Fee?</t>
  </si>
  <si>
    <t>DISABLED VA</t>
  </si>
  <si>
    <t>Foreclosure Date</t>
  </si>
  <si>
    <t>Conv Rate</t>
  </si>
  <si>
    <t>MTG lates x 30</t>
  </si>
  <si>
    <t>Govt Rate</t>
  </si>
  <si>
    <t>Today's Date</t>
  </si>
  <si>
    <t>FHA Stream Loan amt</t>
  </si>
  <si>
    <t>CONV</t>
  </si>
  <si>
    <t xml:space="preserve">R/T AND Cashout </t>
  </si>
  <si>
    <t>EXCL</t>
  </si>
  <si>
    <t>X</t>
  </si>
  <si>
    <t>FHA MIP</t>
  </si>
  <si>
    <t>CONV UF</t>
  </si>
  <si>
    <t>FHA Stream Any term</t>
  </si>
  <si>
    <t>&gt;15yr,&gt;95 LTV</t>
  </si>
  <si>
    <t>CONV MONTHLY</t>
  </si>
  <si>
    <t>&gt;15yr,&lt;=95 LTV</t>
  </si>
  <si>
    <t>Max Cash</t>
  </si>
  <si>
    <t>15+ TOTAL</t>
  </si>
  <si>
    <t>&lt;=15yr,&gt;90LTV</t>
  </si>
  <si>
    <t>&lt;=15yr,&lt;=90LTV</t>
  </si>
  <si>
    <t>15 YEAR TOTAL</t>
  </si>
  <si>
    <t>ARCH MI</t>
  </si>
  <si>
    <t>MGIC MI</t>
  </si>
  <si>
    <t>RADIAN MI</t>
  </si>
  <si>
    <t>fha max cash MIP</t>
  </si>
  <si>
    <t>FHA Stream MIP</t>
  </si>
  <si>
    <t>15+</t>
  </si>
  <si>
    <t>GET TITLE QUOTE</t>
  </si>
  <si>
    <t>1100 Section</t>
  </si>
  <si>
    <t>15-</t>
  </si>
  <si>
    <t>1200 Section</t>
  </si>
  <si>
    <t>CONV MAX CASH</t>
  </si>
  <si>
    <t>FHA MAX CASH</t>
  </si>
  <si>
    <t>VA MAX CASH</t>
  </si>
  <si>
    <t>OPTIMAL BLUE</t>
  </si>
  <si>
    <t>DISCOUNT (PTS)</t>
  </si>
  <si>
    <t>$$$</t>
  </si>
  <si>
    <t>CREDIT (PTS)</t>
  </si>
  <si>
    <t xml:space="preserve">CHPT 7 Date </t>
  </si>
  <si>
    <t>CHPT 13 START</t>
  </si>
  <si>
    <t>CHPT 13 DISM</t>
  </si>
  <si>
    <t>CHPT 13 DISCH</t>
  </si>
  <si>
    <t>FORECLOSURE</t>
  </si>
  <si>
    <t>DEBTS</t>
  </si>
  <si>
    <t>DTI</t>
  </si>
  <si>
    <t>DEBT AMT</t>
  </si>
  <si>
    <t>PMTS</t>
  </si>
  <si>
    <t>Max Loan Amount</t>
  </si>
  <si>
    <t>CONV R/T</t>
  </si>
  <si>
    <t>COST BREAKDOWN</t>
  </si>
  <si>
    <t>LOAN BREAKDOWN</t>
  </si>
  <si>
    <t>CONV CASHOUT</t>
  </si>
  <si>
    <t>PAYOFF TOTAL</t>
  </si>
  <si>
    <t>PAYOFF AMT</t>
  </si>
  <si>
    <t>FHA R/T</t>
  </si>
  <si>
    <t>ORIGINATION</t>
  </si>
  <si>
    <t>PREPAIDS</t>
  </si>
  <si>
    <t>FHA CASHOUT</t>
  </si>
  <si>
    <t>Credit Report</t>
  </si>
  <si>
    <t>CLOSING CLOSTS</t>
  </si>
  <si>
    <t>VA-3.3</t>
  </si>
  <si>
    <t>FLOOD CERT</t>
  </si>
  <si>
    <t>UFMIP/FF</t>
  </si>
  <si>
    <t>VA-2.15</t>
  </si>
  <si>
    <t xml:space="preserve">PER DIEM </t>
  </si>
  <si>
    <t>DISCOUNT</t>
  </si>
  <si>
    <t>PER DIEM</t>
  </si>
  <si>
    <t>TAXES DUE</t>
  </si>
  <si>
    <t>CASH AT CLOSE</t>
  </si>
  <si>
    <t>Max amt</t>
  </si>
  <si>
    <t>HOI DUE</t>
  </si>
  <si>
    <t>LENDER CREDIT</t>
  </si>
  <si>
    <t>ESCROW ACCT</t>
  </si>
  <si>
    <t>TITLE-1100</t>
  </si>
  <si>
    <t>LOAN AMT</t>
  </si>
  <si>
    <t>TITLE-1200</t>
  </si>
  <si>
    <t>RATE</t>
  </si>
  <si>
    <t>DAILY INTEREST</t>
  </si>
  <si>
    <t>DAYS</t>
  </si>
  <si>
    <t>PER DIEM TOTAL</t>
  </si>
  <si>
    <t>BASE LOAN AMT</t>
  </si>
  <si>
    <t>FUNDING FEE/UFMIP</t>
  </si>
  <si>
    <t>w/fundingfee and orig</t>
  </si>
  <si>
    <t>TOTAL LOAN AMT</t>
  </si>
  <si>
    <t>Including VA Origination</t>
  </si>
  <si>
    <t>GRAND TOTAL LOAN AMOUNT</t>
  </si>
  <si>
    <t xml:space="preserve"> </t>
  </si>
  <si>
    <t>New Program</t>
  </si>
  <si>
    <t>2nd MTG</t>
  </si>
  <si>
    <t>Haz Ins</t>
  </si>
  <si>
    <t>Mortgage Ins</t>
  </si>
  <si>
    <t>HOA</t>
  </si>
  <si>
    <t>Other</t>
  </si>
  <si>
    <t>NEW TOTAL</t>
  </si>
  <si>
    <t>Creditor</t>
  </si>
  <si>
    <t>Debt Type</t>
  </si>
  <si>
    <t>Origination</t>
  </si>
  <si>
    <t>Current Total</t>
  </si>
  <si>
    <t>LOAN TYPE</t>
  </si>
  <si>
    <t>Options (Y/N)</t>
  </si>
  <si>
    <t>USDA</t>
  </si>
  <si>
    <t>OTHER</t>
  </si>
  <si>
    <t>NO</t>
  </si>
  <si>
    <t>LOAN PURP</t>
  </si>
  <si>
    <t>ONE</t>
  </si>
  <si>
    <t>PURCHASE</t>
  </si>
  <si>
    <t>TWO</t>
  </si>
  <si>
    <t>THREE</t>
  </si>
  <si>
    <t>INCOME SOURCE</t>
  </si>
  <si>
    <t>SELF-EMPLOYED</t>
  </si>
  <si>
    <t>W2</t>
  </si>
  <si>
    <t>RETIRED</t>
  </si>
  <si>
    <t>Branch of Service?</t>
  </si>
  <si>
    <t>Air Force</t>
  </si>
  <si>
    <t>Army</t>
  </si>
  <si>
    <t>Coast Guard</t>
  </si>
  <si>
    <t>Marines</t>
  </si>
  <si>
    <t>Navy</t>
  </si>
  <si>
    <t>Reserves</t>
  </si>
  <si>
    <t>National Guard</t>
  </si>
  <si>
    <t>Funding Fee/UFMIP</t>
  </si>
  <si>
    <t>LTV FACTORS</t>
  </si>
  <si>
    <t>Type of Veteran</t>
  </si>
  <si>
    <t>Regular Military</t>
  </si>
  <si>
    <t>Borrower</t>
  </si>
  <si>
    <t>Co-Borrower</t>
  </si>
  <si>
    <t>Purpose</t>
  </si>
  <si>
    <t>Cashout</t>
  </si>
  <si>
    <t>Stream/IRRRL</t>
  </si>
  <si>
    <t>ufmip</t>
  </si>
  <si>
    <t>funding fee</t>
  </si>
  <si>
    <t>Refinance</t>
  </si>
  <si>
    <t>Rate &amp; Term</t>
  </si>
  <si>
    <t>Cash Out</t>
  </si>
  <si>
    <t>Streamline</t>
  </si>
  <si>
    <t>IRRRL</t>
  </si>
  <si>
    <t>AUS Status</t>
  </si>
  <si>
    <t>Approve/Eligible</t>
  </si>
  <si>
    <t>Refer/Eligible</t>
  </si>
  <si>
    <t>n/a</t>
  </si>
  <si>
    <t>Occupancy Type</t>
  </si>
  <si>
    <t>Primary Residence Only</t>
  </si>
  <si>
    <t>All Residencies</t>
  </si>
  <si>
    <t>Primary Residence</t>
  </si>
  <si>
    <t>2nd Home</t>
  </si>
  <si>
    <t>Investment Property</t>
  </si>
  <si>
    <t>Property Type</t>
  </si>
  <si>
    <t>Condo's must be FHA Approved</t>
  </si>
  <si>
    <t>Manufactured homes ineligible</t>
  </si>
  <si>
    <t>Condo's must be VA Approved</t>
  </si>
  <si>
    <t>Short Sale</t>
  </si>
  <si>
    <t>Yes if =&gt; 3yrs from sale of home</t>
  </si>
  <si>
    <t>Yes if =&gt; 7yrs from sale of home</t>
  </si>
  <si>
    <t>Yes</t>
  </si>
  <si>
    <t>Foreclosure</t>
  </si>
  <si>
    <t>Yes if =&gt; 2yrs from sale of home</t>
  </si>
  <si>
    <t>Chapter 13 Allowed</t>
  </si>
  <si>
    <t>Can be in one as long as 12 ontime payments made</t>
  </si>
  <si>
    <t>Can be in one as long as 12 on time payments made, if dismissed, 2 years from dismissal</t>
  </si>
  <si>
    <t>n/a-Pull MTG only credit</t>
  </si>
  <si>
    <t>Discharge 2 years or older OR 4 years from Dismassal</t>
  </si>
  <si>
    <t>Chapter 7 Allowed</t>
  </si>
  <si>
    <t>Discharge 2 years or older</t>
  </si>
  <si>
    <t>Discharge 4 years or older</t>
  </si>
  <si>
    <t>Mortgage Late Payments Allowed in last 12 Months?</t>
  </si>
  <si>
    <t>Yes-up to 2</t>
  </si>
  <si>
    <t>No</t>
  </si>
  <si>
    <t>0x30 last 6 months, 1x30 previous</t>
  </si>
  <si>
    <t>Per AUS</t>
  </si>
  <si>
    <t>Up to 2</t>
  </si>
  <si>
    <t>Mortgage Late Payments Allowed in last 24 Months?</t>
  </si>
  <si>
    <t>Collections</t>
  </si>
  <si>
    <t>5% Balance as Monthly Payment</t>
  </si>
  <si>
    <t>Charge Offs</t>
  </si>
  <si>
    <t>n/a unless on MTG- then treat like Foreclosure</t>
  </si>
  <si>
    <t>FICO Score Minimum</t>
  </si>
  <si>
    <t>LTV Max</t>
  </si>
  <si>
    <t>95% / 95%</t>
  </si>
  <si>
    <t>90%/95%</t>
  </si>
  <si>
    <t>85%/95%</t>
  </si>
  <si>
    <t>80% / 95%</t>
  </si>
  <si>
    <t>75%/95%</t>
  </si>
  <si>
    <t>100%/Unlimited</t>
  </si>
  <si>
    <t>200% (100 if fico&lt;580)</t>
  </si>
  <si>
    <t xml:space="preserve">                                           </t>
  </si>
  <si>
    <t>Cash Out  Maximum</t>
  </si>
  <si>
    <t>Unlimited</t>
  </si>
  <si>
    <t>Loan Limits</t>
  </si>
  <si>
    <t>Residing County Impact?</t>
  </si>
  <si>
    <t>Debt Type Allowed</t>
  </si>
  <si>
    <t>Mortgage Only (can include 2nds)</t>
  </si>
  <si>
    <t>Mortgage &amp; Debt</t>
  </si>
  <si>
    <t>Mortgage Only-must be in FHA loan currently</t>
  </si>
  <si>
    <t>Mortgage only (2nd must be purchase money)</t>
  </si>
  <si>
    <t>Mortgage Only-must be in VA loan currently</t>
  </si>
  <si>
    <t>DTI Max</t>
  </si>
  <si>
    <t>40%/50%</t>
  </si>
  <si>
    <t>Escrow Required?</t>
  </si>
  <si>
    <t>If over 80% LTV</t>
  </si>
  <si>
    <t>No, but common</t>
  </si>
  <si>
    <t>Origination Fee</t>
  </si>
  <si>
    <t>1% of loan amt</t>
  </si>
  <si>
    <t>PMI/MIP</t>
  </si>
  <si>
    <t>UFMIP/FF Fee</t>
  </si>
  <si>
    <t>If not Disabled</t>
  </si>
  <si>
    <t>1 Month Principal, Interest, Taxes, Insurance &amp; HOA</t>
  </si>
  <si>
    <t>New Payment minus Cash to close</t>
  </si>
  <si>
    <t>2 months PITIA for subject property</t>
  </si>
  <si>
    <t>6 months PITIA for subject property</t>
  </si>
  <si>
    <t>Compensating Factor Impact?</t>
  </si>
  <si>
    <t>Deferred Student Loans</t>
  </si>
  <si>
    <t>1% Balance as Monthly Payment</t>
  </si>
  <si>
    <t xml:space="preserve"> Side Notes and one offs</t>
  </si>
  <si>
    <t>TX RULE-No FHA cashout loans, if previous loan was cashout, must go conv cashout</t>
  </si>
  <si>
    <t xml:space="preserve">Loan amt can only be payoff of current loan- with investment property it can only be balance, no interest </t>
  </si>
  <si>
    <t>For Harp loans-FICO is 580, LTV is unlimted, Max cash back is $250 Fannie has DTI of 65% and Freddie has unlimited DTI, BK and foreclosure per findings</t>
  </si>
  <si>
    <t>For Harp loans-FICO is 580, LTV is unlimted, Max cash back is $250 Fannie has DTI of 65% and Freddie has unlimited DTI, BK and foreclosure per findings; Manufactured homes ineligible</t>
  </si>
  <si>
    <t xml:space="preserve">                                                                         Manufactured Homes must be 65%LTV and 20yr term or lower</t>
  </si>
  <si>
    <t>TX RULE-No VA cashout loans, if previous loan was cashout, must go conv cashout</t>
  </si>
  <si>
    <t>Loan amt can include payoff, costs, and prepaids and up to 2pts discount</t>
  </si>
  <si>
    <t>**may want a "harp eligible" button or something like that</t>
  </si>
  <si>
    <t>WY</t>
  </si>
  <si>
    <t>WI</t>
  </si>
  <si>
    <t>WV</t>
  </si>
  <si>
    <t>WA</t>
  </si>
  <si>
    <t>VT</t>
  </si>
  <si>
    <t>UT</t>
  </si>
  <si>
    <t>TX</t>
  </si>
  <si>
    <t>TN</t>
  </si>
  <si>
    <t>SD</t>
  </si>
  <si>
    <t>SC</t>
  </si>
  <si>
    <t>RI</t>
  </si>
  <si>
    <t>PA</t>
  </si>
  <si>
    <t>OR</t>
  </si>
  <si>
    <t>OK</t>
  </si>
  <si>
    <t>OH</t>
  </si>
  <si>
    <t>ND</t>
  </si>
  <si>
    <t>NC</t>
  </si>
  <si>
    <t>NY</t>
  </si>
  <si>
    <t>NM</t>
  </si>
  <si>
    <t>NJ</t>
  </si>
  <si>
    <t>NH</t>
  </si>
  <si>
    <t>NV</t>
  </si>
  <si>
    <t>NE</t>
  </si>
  <si>
    <t>MT</t>
  </si>
  <si>
    <t>MO</t>
  </si>
  <si>
    <t>MS</t>
  </si>
  <si>
    <t>MN</t>
  </si>
  <si>
    <t>MI</t>
  </si>
  <si>
    <t>MA</t>
  </si>
  <si>
    <t>MD</t>
  </si>
  <si>
    <t>ME</t>
  </si>
  <si>
    <t>LA</t>
  </si>
  <si>
    <t>KY</t>
  </si>
  <si>
    <t>KS</t>
  </si>
  <si>
    <t>IA</t>
  </si>
  <si>
    <t>IN</t>
  </si>
  <si>
    <t>IL</t>
  </si>
  <si>
    <t>ID</t>
  </si>
  <si>
    <t>HI</t>
  </si>
  <si>
    <t>GA</t>
  </si>
  <si>
    <t>FL</t>
  </si>
  <si>
    <t>DC</t>
  </si>
  <si>
    <t>DE</t>
  </si>
  <si>
    <t>CT</t>
  </si>
  <si>
    <t>CO</t>
  </si>
  <si>
    <t>CA</t>
  </si>
  <si>
    <t>AR</t>
  </si>
  <si>
    <t>AZ</t>
  </si>
  <si>
    <t>AK</t>
  </si>
  <si>
    <t>AL</t>
  </si>
  <si>
    <t>Property State</t>
  </si>
  <si>
    <t>Military Veteran?</t>
  </si>
  <si>
    <t>Principal &amp; Interest</t>
  </si>
  <si>
    <t>Escrow Balance</t>
  </si>
  <si>
    <t>Car Loan</t>
  </si>
  <si>
    <t>Revolving Debt</t>
  </si>
  <si>
    <t>Installment Loan</t>
  </si>
  <si>
    <t>1st MTG</t>
  </si>
  <si>
    <t>Chase</t>
  </si>
  <si>
    <t>Wells Fargo</t>
  </si>
  <si>
    <t>Bank of America</t>
  </si>
  <si>
    <t>PNC</t>
  </si>
  <si>
    <t>BB &amp; T</t>
  </si>
  <si>
    <t>Key Bank</t>
  </si>
  <si>
    <t>Store Card</t>
  </si>
  <si>
    <t xml:space="preserve">Payment </t>
  </si>
  <si>
    <t>Balance Owed</t>
  </si>
  <si>
    <t>Disabled Veteran?</t>
  </si>
  <si>
    <t>Payoff?</t>
  </si>
  <si>
    <t>Upfront %</t>
  </si>
  <si>
    <t>Monthly Factor</t>
  </si>
  <si>
    <t>Specific Yr Term</t>
  </si>
  <si>
    <t>Specific Yr PMT</t>
  </si>
  <si>
    <t>Tell us about you</t>
  </si>
  <si>
    <t>Homeowners Ins</t>
  </si>
  <si>
    <t>Mortgage Insurance</t>
  </si>
  <si>
    <t>Debt to be Paid</t>
  </si>
  <si>
    <t xml:space="preserve"> Term (Yrs)</t>
  </si>
  <si>
    <t>Monthly Savings</t>
  </si>
  <si>
    <t>VA Streamline</t>
  </si>
  <si>
    <t>You may need PMI - Click the links below for quotes:</t>
  </si>
  <si>
    <t>Useable Equity</t>
  </si>
  <si>
    <t>LoanCare</t>
  </si>
  <si>
    <r>
      <t xml:space="preserve">CASH </t>
    </r>
    <r>
      <rPr>
        <b/>
        <i/>
        <u/>
        <sz val="12"/>
        <color theme="0"/>
        <rFont val="Calibri"/>
        <family val="2"/>
        <scheme val="minor"/>
      </rPr>
      <t>TO</t>
    </r>
    <r>
      <rPr>
        <b/>
        <sz val="12"/>
        <color theme="0"/>
        <rFont val="Calibri"/>
        <family val="2"/>
        <scheme val="minor"/>
      </rPr>
      <t xml:space="preserve"> BORROWER</t>
    </r>
  </si>
  <si>
    <t>***Please note that Payments and Savings are only estimates and may only be available if you qualify for that specific loan product***</t>
  </si>
  <si>
    <t>Breakdown your Current MTG Payment</t>
  </si>
  <si>
    <t>Current MTG Balance</t>
  </si>
  <si>
    <t>Input your other debts and check which ones you'd like to pay off:</t>
  </si>
  <si>
    <t>Student Loan</t>
  </si>
  <si>
    <t>How it works - It's as easy as 1, 2, 3!</t>
  </si>
  <si>
    <t>MTG Only</t>
  </si>
  <si>
    <t>No Appraisal</t>
  </si>
  <si>
    <t>Start paying off debts and watch your options dynamically change!</t>
  </si>
  <si>
    <t>1.)</t>
  </si>
  <si>
    <t>2.)</t>
  </si>
  <si>
    <t>3.)</t>
  </si>
  <si>
    <t>Input additional debt other than your mortgage in the "input debts" section.</t>
  </si>
  <si>
    <t>"</t>
  </si>
  <si>
    <t>Start by answering the questions on the left. You may want to grab a mortgage statement as it will help generate the most accurate numbers.</t>
  </si>
  <si>
    <t xml:space="preserve">Hint: </t>
  </si>
  <si>
    <t>You will only need to fill out any fields in blue "</t>
  </si>
  <si>
    <t>Make sure to enable editing at very the top</t>
  </si>
  <si>
    <t>-</t>
  </si>
  <si>
    <t>Want Cash? Tell us how much!</t>
  </si>
  <si>
    <t>Cash at Close</t>
  </si>
  <si>
    <t>Click here to Begin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</si>
</sst>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_);\(&quot;$&quot;#,##0\)"/>
    <numFmt numFmtId="7" formatCode="&quot;$&quot;#,##0.00_);\(&quot;$&quot;#,##0.00\)"/>
    <numFmt numFmtId="8" formatCode="&quot;$&quot;#,##0.00_);[Red]\(&quot;$&quot;#,##0.00\)"/>
    <numFmt numFmtId="44" formatCode="_(&quot;$&quot;* #,##0.00_);_(&quot;$&quot;* \(#,##0.00\);_(&quot;$&quot;* &quot;-&quot;??_);_(@_)"/>
    <numFmt numFmtId="43" formatCode="_(* #,##0.00_);_(* \(#,##0.00\);_(* &quot;-&quot;??_);_(@_)"/>
    <numFmt numFmtId="164" formatCode="0.000%"/>
    <numFmt numFmtId="165" formatCode="&quot;$&quot;#,##0"/>
    <numFmt numFmtId="166" formatCode="0.000"/>
    <numFmt numFmtId="167" formatCode="&quot;$&quot;#,##0.00"/>
    <numFmt numFmtId="168" formatCode="_(&quot;$&quot;* #,##0.00_);_(&quot;$&quot;* \(#,##0.00\);_(&quot;$&quot;* &quot;-&quot;???_);_(@_)"/>
  </numFmts>
  <fonts count="40">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b/>
      <sz val="11"/>
      <name val="Calibri"/>
      <family val="2"/>
      <scheme val="minor"/>
    </font>
    <font>
      <u/>
      <sz val="11"/>
      <color theme="10"/>
      <name val="Calibri"/>
      <family val="2"/>
      <scheme val="minor"/>
    </font>
    <font>
      <sz val="9"/>
      <color indexed="81"/>
      <name val="Tahoma"/>
      <family val="2"/>
    </font>
    <font>
      <sz val="10"/>
      <color theme="1"/>
      <name val="Calibri"/>
      <family val="2"/>
      <scheme val="minor"/>
    </font>
    <font>
      <b/>
      <sz val="10"/>
      <color theme="1"/>
      <name val="Calibri"/>
      <family val="2"/>
      <scheme val="minor"/>
    </font>
    <font>
      <b/>
      <sz val="16"/>
      <color theme="0"/>
      <name val="Calibri"/>
      <family val="2"/>
      <scheme val="minor"/>
    </font>
    <font>
      <b/>
      <sz val="14"/>
      <color theme="0"/>
      <name val="Calibri"/>
      <family val="2"/>
      <scheme val="minor"/>
    </font>
    <font>
      <b/>
      <sz val="12"/>
      <color theme="1"/>
      <name val="Arial"/>
      <family val="2"/>
    </font>
    <font>
      <b/>
      <sz val="11"/>
      <color theme="9"/>
      <name val="Calibri"/>
      <family val="2"/>
      <scheme val="minor"/>
    </font>
    <font>
      <b/>
      <sz val="11"/>
      <color theme="0"/>
      <name val="Calibri"/>
      <family val="2"/>
      <scheme val="minor"/>
    </font>
    <font>
      <sz val="11"/>
      <color theme="0"/>
      <name val="Calibri"/>
      <family val="2"/>
      <scheme val="minor"/>
    </font>
    <font>
      <b/>
      <sz val="13"/>
      <color theme="0"/>
      <name val="Calibri"/>
      <family val="2"/>
      <scheme val="minor"/>
    </font>
    <font>
      <b/>
      <u/>
      <sz val="13"/>
      <color theme="0"/>
      <name val="Calibri"/>
      <family val="2"/>
      <scheme val="minor"/>
    </font>
    <font>
      <b/>
      <sz val="12"/>
      <color theme="0"/>
      <name val="Calibri"/>
      <family val="2"/>
      <scheme val="minor"/>
    </font>
    <font>
      <b/>
      <sz val="10"/>
      <color theme="0"/>
      <name val="Arial"/>
      <family val="2"/>
    </font>
    <font>
      <sz val="14"/>
      <color theme="0"/>
      <name val="Inherit"/>
    </font>
    <font>
      <sz val="14"/>
      <color theme="0"/>
      <name val="Calibri"/>
      <family val="2"/>
      <scheme val="minor"/>
    </font>
    <font>
      <b/>
      <sz val="11"/>
      <color theme="0"/>
      <name val="Calibri"/>
      <family val="2"/>
    </font>
    <font>
      <sz val="11"/>
      <color theme="0"/>
      <name val="Calibri"/>
      <family val="2"/>
    </font>
    <font>
      <sz val="10"/>
      <color theme="0"/>
      <name val="Times New Roman"/>
      <family val="1"/>
    </font>
    <font>
      <sz val="12"/>
      <color theme="0"/>
      <name val="Calibri"/>
      <family val="2"/>
      <scheme val="minor"/>
    </font>
    <font>
      <sz val="16"/>
      <color theme="0"/>
      <name val="Calibri"/>
      <family val="2"/>
      <scheme val="minor"/>
    </font>
    <font>
      <sz val="10"/>
      <color theme="0"/>
      <name val="Calibri"/>
      <family val="2"/>
      <scheme val="minor"/>
    </font>
    <font>
      <b/>
      <i/>
      <u/>
      <sz val="12"/>
      <color theme="0"/>
      <name val="Calibri"/>
      <family val="2"/>
      <scheme val="minor"/>
    </font>
    <font>
      <u/>
      <sz val="11"/>
      <color theme="0"/>
      <name val="Calibri"/>
      <family val="2"/>
      <scheme val="minor"/>
    </font>
    <font>
      <b/>
      <sz val="16"/>
      <color theme="0"/>
      <name val="Arial"/>
      <family val="2"/>
    </font>
    <font>
      <b/>
      <sz val="10"/>
      <color theme="0"/>
      <name val="Calibri"/>
      <family val="2"/>
      <scheme val="minor"/>
    </font>
    <font>
      <b/>
      <sz val="12"/>
      <name val="Calibri"/>
      <family val="2"/>
      <scheme val="minor"/>
    </font>
    <font>
      <b/>
      <sz val="10"/>
      <name val="Calibri"/>
      <family val="2"/>
      <scheme val="minor"/>
    </font>
    <font>
      <b/>
      <sz val="20"/>
      <color theme="1"/>
      <name val="Calibri"/>
      <family val="2"/>
      <scheme val="minor"/>
    </font>
    <font>
      <sz val="48"/>
      <color theme="0"/>
      <name val="Calibri"/>
      <family val="2"/>
      <scheme val="minor"/>
    </font>
    <font>
      <sz val="20"/>
      <color theme="1"/>
      <name val="Calibri"/>
      <family val="2"/>
      <scheme val="minor"/>
    </font>
    <font>
      <b/>
      <sz val="36"/>
      <color theme="1"/>
      <name val="Calibri"/>
      <family val="2"/>
      <scheme val="minor"/>
    </font>
  </fonts>
  <fills count="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C000"/>
        <bgColor indexed="64"/>
      </patternFill>
    </fill>
    <fill>
      <patternFill patternType="solid">
        <fgColor theme="1"/>
        <bgColor indexed="64"/>
      </patternFill>
    </fill>
    <fill>
      <patternFill patternType="solid">
        <fgColor theme="4" tint="0.59999389629810485"/>
        <bgColor indexed="64"/>
      </patternFill>
    </fill>
    <fill>
      <patternFill patternType="solid">
        <fgColor theme="4" tint="-0.499984740745262"/>
        <bgColor indexed="64"/>
      </patternFill>
    </fill>
  </fills>
  <borders count="31">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cellStyleXfs>
  <cellXfs count="285">
    <xf numFmtId="0" fontId="0" fillId="0" borderId="0" xfId="0"/>
    <xf numFmtId="0" fontId="4" fillId="3" borderId="3" xfId="0" applyFont="1" applyFill="1" applyBorder="1" applyAlignment="1" applyProtection="1">
      <alignment horizontal="center"/>
    </xf>
    <xf numFmtId="0" fontId="0" fillId="0" borderId="0" xfId="0" applyProtection="1"/>
    <xf numFmtId="0" fontId="12" fillId="2" borderId="0" xfId="3" applyNumberFormat="1" applyFont="1" applyFill="1" applyBorder="1" applyProtection="1">
      <protection locked="0"/>
    </xf>
    <xf numFmtId="0" fontId="6" fillId="0" borderId="0" xfId="0" applyFont="1" applyProtection="1"/>
    <xf numFmtId="0" fontId="4" fillId="3" borderId="12" xfId="0" applyFont="1" applyFill="1" applyBorder="1" applyAlignment="1" applyProtection="1">
      <alignment horizontal="center"/>
    </xf>
    <xf numFmtId="0" fontId="4" fillId="3" borderId="11" xfId="0" applyFont="1" applyFill="1" applyBorder="1" applyAlignment="1" applyProtection="1">
      <alignment horizontal="center"/>
    </xf>
    <xf numFmtId="0" fontId="17" fillId="2" borderId="0" xfId="0" applyFont="1" applyFill="1" applyBorder="1"/>
    <xf numFmtId="0" fontId="19" fillId="2" borderId="0" xfId="4" applyFont="1" applyFill="1" applyBorder="1" applyAlignment="1" applyProtection="1">
      <alignment horizontal="center"/>
      <protection locked="0"/>
    </xf>
    <xf numFmtId="0" fontId="11" fillId="2" borderId="0" xfId="0" applyFont="1" applyFill="1" applyBorder="1" applyAlignment="1" applyProtection="1"/>
    <xf numFmtId="0" fontId="16" fillId="2" borderId="0" xfId="0" applyFont="1" applyFill="1" applyBorder="1" applyAlignment="1">
      <alignment horizontal="center" wrapText="1"/>
    </xf>
    <xf numFmtId="0" fontId="17" fillId="2" borderId="0" xfId="0" applyFont="1" applyFill="1" applyBorder="1" applyAlignment="1">
      <alignment horizontal="center" wrapText="1"/>
    </xf>
    <xf numFmtId="0" fontId="16" fillId="2" borderId="0" xfId="0" applyFont="1" applyFill="1" applyBorder="1"/>
    <xf numFmtId="0" fontId="17" fillId="2" borderId="0" xfId="0" applyFont="1" applyFill="1" applyBorder="1" applyAlignment="1">
      <alignment wrapText="1"/>
    </xf>
    <xf numFmtId="0" fontId="16" fillId="2" borderId="0" xfId="0" applyFont="1" applyFill="1" applyBorder="1" applyAlignment="1">
      <alignment horizontal="right"/>
    </xf>
    <xf numFmtId="0" fontId="16" fillId="2" borderId="0" xfId="0" applyFont="1" applyFill="1" applyBorder="1" applyAlignment="1">
      <alignment horizontal="center"/>
    </xf>
    <xf numFmtId="0" fontId="17" fillId="2" borderId="0" xfId="0" applyFont="1" applyFill="1" applyBorder="1" applyAlignment="1">
      <alignment horizontal="center"/>
    </xf>
    <xf numFmtId="0" fontId="16" fillId="2" borderId="0" xfId="0" applyFont="1" applyFill="1" applyBorder="1" applyAlignment="1">
      <alignment horizontal="right" wrapText="1"/>
    </xf>
    <xf numFmtId="10" fontId="17" fillId="2" borderId="0" xfId="0" applyNumberFormat="1" applyFont="1" applyFill="1" applyBorder="1" applyAlignment="1">
      <alignment horizontal="center" wrapText="1"/>
    </xf>
    <xf numFmtId="9" fontId="17" fillId="2" borderId="0" xfId="0" applyNumberFormat="1" applyFont="1" applyFill="1" applyBorder="1" applyAlignment="1">
      <alignment horizontal="center" wrapText="1"/>
    </xf>
    <xf numFmtId="164" fontId="17" fillId="2" borderId="0" xfId="0" applyNumberFormat="1" applyFont="1" applyFill="1" applyBorder="1" applyAlignment="1">
      <alignment horizontal="center" wrapText="1"/>
    </xf>
    <xf numFmtId="167" fontId="17" fillId="2" borderId="0" xfId="0" applyNumberFormat="1" applyFont="1" applyFill="1" applyBorder="1" applyAlignment="1">
      <alignment horizontal="center" wrapText="1"/>
    </xf>
    <xf numFmtId="44" fontId="17" fillId="2" borderId="0" xfId="2" applyFont="1" applyFill="1" applyBorder="1" applyAlignment="1">
      <alignment horizontal="center" wrapText="1"/>
    </xf>
    <xf numFmtId="0" fontId="0" fillId="2" borderId="0" xfId="0" applyFill="1" applyProtection="1"/>
    <xf numFmtId="0" fontId="23" fillId="2" borderId="0" xfId="0" applyFont="1" applyFill="1" applyBorder="1" applyProtection="1"/>
    <xf numFmtId="0" fontId="25" fillId="2" borderId="0" xfId="0" applyFont="1" applyFill="1" applyBorder="1" applyAlignment="1" applyProtection="1">
      <alignment horizontal="center" vertical="center"/>
    </xf>
    <xf numFmtId="0" fontId="25" fillId="2" borderId="0" xfId="0" applyFont="1" applyFill="1" applyBorder="1" applyAlignment="1" applyProtection="1">
      <alignment vertical="center"/>
    </xf>
    <xf numFmtId="44" fontId="11" fillId="6" borderId="0" xfId="2" applyFont="1" applyFill="1" applyBorder="1" applyProtection="1"/>
    <xf numFmtId="44" fontId="14" fillId="6" borderId="0" xfId="2" applyFont="1" applyFill="1" applyBorder="1" applyProtection="1"/>
    <xf numFmtId="0" fontId="17" fillId="2" borderId="0" xfId="0" applyFont="1" applyFill="1" applyBorder="1" applyProtection="1"/>
    <xf numFmtId="0" fontId="0" fillId="2" borderId="0" xfId="0" applyFont="1" applyFill="1" applyBorder="1" applyProtection="1"/>
    <xf numFmtId="0" fontId="16" fillId="2" borderId="0" xfId="0" applyFont="1" applyFill="1" applyBorder="1" applyProtection="1"/>
    <xf numFmtId="0" fontId="21" fillId="2" borderId="0" xfId="0" applyFont="1" applyFill="1" applyBorder="1" applyAlignment="1" applyProtection="1"/>
    <xf numFmtId="44" fontId="17" fillId="2" borderId="0" xfId="2" applyFont="1" applyFill="1" applyBorder="1" applyProtection="1"/>
    <xf numFmtId="0" fontId="16" fillId="2" borderId="0" xfId="0" applyFont="1" applyFill="1" applyBorder="1" applyAlignment="1" applyProtection="1"/>
    <xf numFmtId="44" fontId="16" fillId="2" borderId="0" xfId="2" applyFont="1" applyFill="1" applyBorder="1" applyAlignment="1" applyProtection="1"/>
    <xf numFmtId="44" fontId="16" fillId="2" borderId="0" xfId="2" applyFont="1" applyFill="1" applyBorder="1" applyProtection="1"/>
    <xf numFmtId="44" fontId="16" fillId="2" borderId="0" xfId="2" applyNumberFormat="1" applyFont="1" applyFill="1" applyBorder="1" applyProtection="1"/>
    <xf numFmtId="165" fontId="16" fillId="2" borderId="0" xfId="0" applyNumberFormat="1" applyFont="1" applyFill="1" applyBorder="1" applyProtection="1"/>
    <xf numFmtId="164" fontId="16" fillId="2" borderId="0" xfId="0" applyNumberFormat="1" applyFont="1" applyFill="1" applyBorder="1" applyProtection="1"/>
    <xf numFmtId="0" fontId="20" fillId="2" borderId="0" xfId="0" applyFont="1" applyFill="1" applyBorder="1" applyAlignment="1" applyProtection="1"/>
    <xf numFmtId="0" fontId="16" fillId="2" borderId="0" xfId="0" applyFont="1" applyFill="1" applyBorder="1" applyAlignment="1" applyProtection="1">
      <alignment horizontal="left"/>
    </xf>
    <xf numFmtId="0" fontId="32" fillId="2" borderId="0" xfId="0" applyFont="1" applyFill="1" applyBorder="1" applyProtection="1"/>
    <xf numFmtId="8" fontId="12" fillId="2" borderId="0" xfId="0" applyNumberFormat="1" applyFont="1" applyFill="1" applyBorder="1" applyProtection="1"/>
    <xf numFmtId="44" fontId="28" fillId="2" borderId="0" xfId="0" applyNumberFormat="1" applyFont="1" applyFill="1" applyBorder="1" applyProtection="1"/>
    <xf numFmtId="167" fontId="12" fillId="2" borderId="0" xfId="0" applyNumberFormat="1" applyFont="1" applyFill="1" applyBorder="1" applyProtection="1"/>
    <xf numFmtId="0" fontId="33" fillId="2" borderId="0" xfId="0" applyFont="1" applyFill="1" applyBorder="1" applyProtection="1"/>
    <xf numFmtId="0" fontId="13" fillId="2" borderId="0" xfId="0" applyFont="1" applyFill="1" applyBorder="1" applyProtection="1"/>
    <xf numFmtId="5" fontId="13" fillId="2" borderId="0" xfId="0" applyNumberFormat="1" applyFont="1" applyFill="1" applyBorder="1" applyProtection="1"/>
    <xf numFmtId="7" fontId="13" fillId="2" borderId="0" xfId="0" applyNumberFormat="1" applyFont="1" applyFill="1" applyBorder="1" applyProtection="1"/>
    <xf numFmtId="0" fontId="2" fillId="6" borderId="0" xfId="0" applyFont="1" applyFill="1" applyBorder="1" applyAlignment="1" applyProtection="1">
      <alignment horizontal="center"/>
    </xf>
    <xf numFmtId="0" fontId="2" fillId="2" borderId="0" xfId="0" applyFont="1" applyFill="1" applyProtection="1"/>
    <xf numFmtId="44" fontId="0" fillId="0" borderId="24" xfId="0" applyNumberFormat="1" applyBorder="1" applyProtection="1"/>
    <xf numFmtId="44" fontId="0" fillId="0" borderId="25" xfId="0" applyNumberFormat="1" applyBorder="1" applyProtection="1"/>
    <xf numFmtId="44" fontId="0" fillId="0" borderId="26" xfId="2" applyFont="1" applyBorder="1" applyProtection="1"/>
    <xf numFmtId="44" fontId="0" fillId="0" borderId="24" xfId="2" applyFont="1" applyBorder="1" applyProtection="1"/>
    <xf numFmtId="0" fontId="0" fillId="0" borderId="25" xfId="0" applyFill="1" applyBorder="1" applyProtection="1"/>
    <xf numFmtId="0" fontId="0" fillId="0" borderId="24" xfId="0" applyFill="1" applyBorder="1" applyProtection="1"/>
    <xf numFmtId="40" fontId="2" fillId="6" borderId="0" xfId="0" applyNumberFormat="1" applyFont="1" applyFill="1" applyBorder="1" applyAlignment="1" applyProtection="1">
      <alignment horizontal="center" vertical="center"/>
    </xf>
    <xf numFmtId="40" fontId="0" fillId="2" borderId="0" xfId="0" applyNumberFormat="1" applyFill="1" applyProtection="1"/>
    <xf numFmtId="40" fontId="2" fillId="2" borderId="0" xfId="0" applyNumberFormat="1" applyFont="1" applyFill="1" applyProtection="1"/>
    <xf numFmtId="40" fontId="0" fillId="0" borderId="23" xfId="0" applyNumberFormat="1" applyBorder="1" applyProtection="1"/>
    <xf numFmtId="40" fontId="0" fillId="0" borderId="27" xfId="0" applyNumberFormat="1" applyBorder="1" applyProtection="1"/>
    <xf numFmtId="44" fontId="2" fillId="0" borderId="17" xfId="2" applyFont="1" applyFill="1" applyBorder="1" applyProtection="1"/>
    <xf numFmtId="40" fontId="15" fillId="0" borderId="23" xfId="0" applyNumberFormat="1" applyFont="1" applyBorder="1" applyProtection="1"/>
    <xf numFmtId="40" fontId="15" fillId="0" borderId="27" xfId="0" applyNumberFormat="1" applyFont="1" applyBorder="1" applyProtection="1"/>
    <xf numFmtId="44" fontId="2" fillId="0" borderId="17" xfId="0" applyNumberFormat="1" applyFont="1" applyFill="1" applyBorder="1" applyProtection="1"/>
    <xf numFmtId="44" fontId="7" fillId="4" borderId="3" xfId="0" applyNumberFormat="1" applyFont="1" applyFill="1" applyBorder="1" applyProtection="1"/>
    <xf numFmtId="44" fontId="2" fillId="0" borderId="27" xfId="2" applyFont="1" applyFill="1" applyBorder="1" applyProtection="1"/>
    <xf numFmtId="40" fontId="17" fillId="2" borderId="0" xfId="0" applyNumberFormat="1" applyFont="1" applyFill="1" applyBorder="1" applyProtection="1"/>
    <xf numFmtId="40" fontId="0" fillId="0" borderId="0" xfId="0" applyNumberFormat="1" applyProtection="1"/>
    <xf numFmtId="0" fontId="10" fillId="2" borderId="0" xfId="0" applyFont="1" applyFill="1" applyProtection="1"/>
    <xf numFmtId="0" fontId="2" fillId="0" borderId="3" xfId="0" applyFont="1" applyFill="1" applyBorder="1" applyAlignment="1" applyProtection="1">
      <alignment horizontal="center"/>
    </xf>
    <xf numFmtId="0" fontId="2" fillId="0" borderId="3" xfId="0" applyFont="1" applyBorder="1" applyAlignment="1" applyProtection="1">
      <alignment horizontal="center"/>
    </xf>
    <xf numFmtId="0" fontId="2" fillId="0" borderId="16" xfId="0" applyFont="1" applyBorder="1" applyAlignment="1" applyProtection="1">
      <alignment horizontal="center"/>
    </xf>
    <xf numFmtId="0" fontId="2" fillId="0" borderId="17" xfId="0" applyFont="1" applyBorder="1" applyAlignment="1" applyProtection="1">
      <alignment horizontal="center" vertical="center"/>
    </xf>
    <xf numFmtId="0" fontId="2" fillId="0" borderId="23" xfId="0" applyFont="1" applyBorder="1" applyAlignment="1" applyProtection="1">
      <alignment horizontal="center" vertical="center"/>
    </xf>
    <xf numFmtId="0" fontId="2" fillId="2" borderId="0" xfId="0" applyFont="1" applyFill="1" applyAlignment="1" applyProtection="1">
      <alignment horizontal="right"/>
    </xf>
    <xf numFmtId="44" fontId="0" fillId="0" borderId="22" xfId="2" applyFont="1" applyBorder="1" applyProtection="1"/>
    <xf numFmtId="44" fontId="0" fillId="0" borderId="0" xfId="2" applyFont="1" applyBorder="1" applyProtection="1"/>
    <xf numFmtId="44" fontId="0" fillId="0" borderId="4" xfId="2" applyFont="1" applyBorder="1" applyProtection="1"/>
    <xf numFmtId="44" fontId="0" fillId="0" borderId="25" xfId="2" applyFont="1" applyBorder="1" applyProtection="1"/>
    <xf numFmtId="44" fontId="0" fillId="0" borderId="26" xfId="0" applyNumberFormat="1" applyBorder="1" applyProtection="1"/>
    <xf numFmtId="44" fontId="7" fillId="4" borderId="18" xfId="0" applyNumberFormat="1" applyFont="1" applyFill="1" applyBorder="1" applyProtection="1"/>
    <xf numFmtId="44" fontId="0" fillId="0" borderId="22" xfId="0" applyNumberFormat="1" applyBorder="1" applyProtection="1"/>
    <xf numFmtId="44" fontId="0" fillId="0" borderId="0" xfId="0" applyNumberFormat="1" applyBorder="1" applyProtection="1"/>
    <xf numFmtId="44" fontId="0" fillId="0" borderId="4" xfId="0" applyNumberFormat="1" applyBorder="1" applyProtection="1"/>
    <xf numFmtId="44" fontId="2" fillId="0" borderId="4" xfId="2" applyFont="1" applyFill="1" applyBorder="1" applyProtection="1"/>
    <xf numFmtId="44" fontId="15" fillId="0" borderId="22" xfId="0" applyNumberFormat="1" applyFont="1" applyBorder="1" applyProtection="1"/>
    <xf numFmtId="44" fontId="15" fillId="0" borderId="0" xfId="0" applyNumberFormat="1" applyFont="1" applyBorder="1" applyProtection="1"/>
    <xf numFmtId="44" fontId="15" fillId="0" borderId="4" xfId="0" applyNumberFormat="1" applyFont="1" applyFill="1" applyBorder="1" applyProtection="1"/>
    <xf numFmtId="44" fontId="2" fillId="0" borderId="0" xfId="2" applyFont="1" applyFill="1" applyBorder="1" applyProtection="1"/>
    <xf numFmtId="44" fontId="5" fillId="6" borderId="16" xfId="2" applyFont="1" applyFill="1" applyBorder="1" applyAlignment="1" applyProtection="1">
      <alignment horizontal="center" vertical="center"/>
    </xf>
    <xf numFmtId="0" fontId="2" fillId="2" borderId="26" xfId="0" applyFont="1" applyFill="1" applyBorder="1" applyAlignment="1" applyProtection="1">
      <alignment horizontal="right"/>
    </xf>
    <xf numFmtId="44" fontId="0" fillId="0" borderId="22" xfId="2" applyFont="1" applyFill="1" applyBorder="1" applyProtection="1"/>
    <xf numFmtId="44" fontId="0" fillId="0" borderId="0" xfId="2" applyFont="1" applyFill="1" applyBorder="1" applyProtection="1"/>
    <xf numFmtId="44" fontId="0" fillId="0" borderId="4" xfId="2" applyFont="1" applyFill="1" applyBorder="1" applyProtection="1"/>
    <xf numFmtId="44" fontId="0" fillId="0" borderId="0" xfId="2" applyFont="1" applyFill="1" applyProtection="1"/>
    <xf numFmtId="44" fontId="5" fillId="6" borderId="28" xfId="2" applyFont="1" applyFill="1" applyBorder="1" applyAlignment="1" applyProtection="1">
      <alignment horizontal="center" vertical="center"/>
    </xf>
    <xf numFmtId="0" fontId="2" fillId="2" borderId="4" xfId="0" applyFont="1" applyFill="1" applyBorder="1" applyAlignment="1" applyProtection="1">
      <alignment horizontal="right"/>
    </xf>
    <xf numFmtId="44" fontId="5" fillId="6" borderId="18" xfId="2" applyFont="1" applyFill="1" applyBorder="1" applyAlignment="1" applyProtection="1">
      <alignment horizontal="center" vertical="center"/>
    </xf>
    <xf numFmtId="0" fontId="2" fillId="2" borderId="17" xfId="0" applyFont="1" applyFill="1" applyBorder="1" applyAlignment="1" applyProtection="1">
      <alignment horizontal="right"/>
    </xf>
    <xf numFmtId="0" fontId="10" fillId="6" borderId="0" xfId="0" applyFont="1" applyFill="1" applyProtection="1"/>
    <xf numFmtId="44" fontId="1" fillId="0" borderId="3" xfId="4" applyNumberFormat="1" applyFont="1" applyFill="1" applyBorder="1" applyAlignment="1" applyProtection="1"/>
    <xf numFmtId="40" fontId="2" fillId="6" borderId="26" xfId="0" applyNumberFormat="1" applyFont="1" applyFill="1" applyBorder="1" applyAlignment="1" applyProtection="1">
      <alignment horizontal="center"/>
    </xf>
    <xf numFmtId="40" fontId="0" fillId="0" borderId="22" xfId="0" applyNumberFormat="1" applyFill="1" applyBorder="1" applyProtection="1"/>
    <xf numFmtId="40" fontId="0" fillId="0" borderId="0" xfId="0" applyNumberFormat="1" applyFill="1" applyBorder="1" applyProtection="1"/>
    <xf numFmtId="40" fontId="0" fillId="0" borderId="4" xfId="0" applyNumberFormat="1" applyFill="1" applyBorder="1" applyProtection="1"/>
    <xf numFmtId="40" fontId="0" fillId="0" borderId="24" xfId="0" applyNumberFormat="1" applyFill="1" applyBorder="1" applyProtection="1"/>
    <xf numFmtId="40" fontId="0" fillId="0" borderId="25" xfId="0" applyNumberFormat="1" applyFill="1" applyBorder="1" applyProtection="1"/>
    <xf numFmtId="40" fontId="0" fillId="0" borderId="26" xfId="0" applyNumberFormat="1" applyFill="1" applyBorder="1" applyProtection="1"/>
    <xf numFmtId="40" fontId="0" fillId="0" borderId="0" xfId="0" applyNumberFormat="1" applyFill="1" applyProtection="1"/>
    <xf numFmtId="0" fontId="11" fillId="4" borderId="19" xfId="0" applyFont="1" applyFill="1" applyBorder="1" applyAlignment="1" applyProtection="1">
      <alignment vertical="center"/>
    </xf>
    <xf numFmtId="44" fontId="10" fillId="6" borderId="28" xfId="2" applyFont="1" applyFill="1" applyBorder="1" applyProtection="1"/>
    <xf numFmtId="0" fontId="11" fillId="4" borderId="20" xfId="0" applyFont="1" applyFill="1" applyBorder="1" applyAlignment="1" applyProtection="1">
      <alignment horizontal="left"/>
    </xf>
    <xf numFmtId="44" fontId="10" fillId="6" borderId="18" xfId="2" applyFont="1" applyFill="1" applyBorder="1" applyProtection="1"/>
    <xf numFmtId="40" fontId="0" fillId="0" borderId="23" xfId="0" applyNumberFormat="1" applyFill="1" applyBorder="1" applyProtection="1"/>
    <xf numFmtId="40" fontId="0" fillId="0" borderId="27" xfId="0" applyNumberFormat="1" applyFill="1" applyBorder="1" applyProtection="1"/>
    <xf numFmtId="40" fontId="0" fillId="0" borderId="17" xfId="0" applyNumberFormat="1" applyFill="1" applyBorder="1" applyProtection="1"/>
    <xf numFmtId="44" fontId="10" fillId="6" borderId="0" xfId="2" applyFont="1" applyFill="1" applyBorder="1" applyProtection="1"/>
    <xf numFmtId="0" fontId="2" fillId="2" borderId="0" xfId="0" applyNumberFormat="1" applyFont="1" applyFill="1" applyAlignment="1" applyProtection="1">
      <alignment horizontal="right"/>
    </xf>
    <xf numFmtId="40" fontId="0" fillId="2" borderId="0" xfId="0" applyNumberFormat="1" applyFill="1" applyBorder="1" applyProtection="1"/>
    <xf numFmtId="40" fontId="0" fillId="2" borderId="0" xfId="0" applyNumberFormat="1" applyFill="1" applyBorder="1" applyAlignment="1" applyProtection="1">
      <alignment horizontal="right"/>
    </xf>
    <xf numFmtId="0" fontId="11" fillId="2" borderId="5" xfId="0" applyFont="1" applyFill="1" applyBorder="1" applyProtection="1"/>
    <xf numFmtId="0" fontId="18" fillId="2" borderId="0" xfId="0" applyFont="1" applyFill="1" applyBorder="1" applyProtection="1"/>
    <xf numFmtId="0" fontId="11" fillId="2" borderId="0" xfId="0" applyFont="1" applyFill="1" applyBorder="1" applyAlignment="1" applyProtection="1">
      <alignment horizontal="left"/>
    </xf>
    <xf numFmtId="44" fontId="11" fillId="2" borderId="0" xfId="2" applyFont="1" applyFill="1" applyBorder="1" applyProtection="1"/>
    <xf numFmtId="0" fontId="0" fillId="2" borderId="0" xfId="0" applyFont="1" applyFill="1" applyProtection="1"/>
    <xf numFmtId="0" fontId="2" fillId="2" borderId="0" xfId="0" applyFont="1" applyFill="1" applyBorder="1" applyAlignment="1" applyProtection="1">
      <alignment vertical="center"/>
    </xf>
    <xf numFmtId="0" fontId="2" fillId="2" borderId="0" xfId="0" applyFont="1" applyFill="1" applyBorder="1" applyAlignment="1" applyProtection="1">
      <alignment horizontal="center" vertical="center"/>
    </xf>
    <xf numFmtId="0" fontId="16" fillId="2" borderId="0" xfId="0" applyFont="1" applyFill="1" applyBorder="1" applyAlignment="1" applyProtection="1">
      <alignment horizontal="center" vertical="center"/>
    </xf>
    <xf numFmtId="0" fontId="16" fillId="2" borderId="0" xfId="0" applyFont="1" applyFill="1" applyBorder="1" applyAlignment="1" applyProtection="1">
      <alignment vertical="center"/>
    </xf>
    <xf numFmtId="0" fontId="0" fillId="0" borderId="0" xfId="0" applyFont="1" applyProtection="1"/>
    <xf numFmtId="0" fontId="3" fillId="2" borderId="1" xfId="0" applyFont="1" applyFill="1" applyBorder="1" applyAlignment="1" applyProtection="1">
      <alignment vertical="center"/>
    </xf>
    <xf numFmtId="0" fontId="3" fillId="2" borderId="9" xfId="0" applyFont="1" applyFill="1" applyBorder="1" applyAlignment="1" applyProtection="1">
      <alignment vertical="center"/>
    </xf>
    <xf numFmtId="0" fontId="3" fillId="2" borderId="2" xfId="0" applyFont="1" applyFill="1" applyBorder="1" applyAlignment="1" applyProtection="1">
      <alignment vertical="center"/>
    </xf>
    <xf numFmtId="0" fontId="3" fillId="0" borderId="0" xfId="0" applyFont="1" applyFill="1" applyBorder="1" applyAlignment="1" applyProtection="1">
      <alignment vertical="center"/>
    </xf>
    <xf numFmtId="0" fontId="3" fillId="2" borderId="0" xfId="0" applyFont="1" applyFill="1" applyBorder="1" applyAlignment="1" applyProtection="1">
      <alignment vertical="center"/>
    </xf>
    <xf numFmtId="44" fontId="0" fillId="2" borderId="0" xfId="0" applyNumberFormat="1" applyFont="1" applyFill="1" applyProtection="1"/>
    <xf numFmtId="0" fontId="6" fillId="2" borderId="0" xfId="0" applyFont="1" applyFill="1" applyBorder="1" applyProtection="1"/>
    <xf numFmtId="44" fontId="17" fillId="2" borderId="0" xfId="0" applyNumberFormat="1" applyFont="1" applyFill="1" applyBorder="1" applyProtection="1"/>
    <xf numFmtId="0" fontId="6" fillId="2" borderId="0" xfId="0" applyFont="1" applyFill="1" applyProtection="1"/>
    <xf numFmtId="0" fontId="5" fillId="2" borderId="0" xfId="0" applyFont="1" applyFill="1" applyBorder="1" applyAlignment="1" applyProtection="1">
      <alignment vertical="center"/>
    </xf>
    <xf numFmtId="0" fontId="3" fillId="2" borderId="0" xfId="0" applyFont="1" applyFill="1" applyBorder="1" applyAlignment="1" applyProtection="1">
      <alignment vertical="center" wrapText="1"/>
    </xf>
    <xf numFmtId="44" fontId="6" fillId="2" borderId="0" xfId="0" applyNumberFormat="1" applyFont="1" applyFill="1" applyProtection="1"/>
    <xf numFmtId="0" fontId="27" fillId="2" borderId="0" xfId="0" applyFont="1" applyFill="1" applyBorder="1" applyProtection="1"/>
    <xf numFmtId="0" fontId="20" fillId="2" borderId="0" xfId="0" applyFont="1" applyFill="1" applyBorder="1" applyAlignment="1" applyProtection="1">
      <alignment horizontal="center" vertical="center"/>
    </xf>
    <xf numFmtId="0" fontId="20" fillId="2" borderId="0" xfId="0" applyFont="1" applyFill="1" applyBorder="1" applyAlignment="1" applyProtection="1">
      <alignment vertical="center"/>
    </xf>
    <xf numFmtId="44" fontId="27" fillId="2" borderId="0" xfId="0" applyNumberFormat="1" applyFont="1" applyFill="1" applyBorder="1" applyProtection="1"/>
    <xf numFmtId="0" fontId="5" fillId="2" borderId="0" xfId="0" applyFont="1" applyFill="1" applyBorder="1" applyAlignment="1" applyProtection="1">
      <alignment horizontal="center" vertical="center"/>
    </xf>
    <xf numFmtId="44" fontId="16" fillId="2" borderId="0" xfId="2" applyFont="1" applyFill="1" applyBorder="1" applyAlignment="1" applyProtection="1">
      <alignment horizontal="center" vertical="center"/>
    </xf>
    <xf numFmtId="2" fontId="17" fillId="2" borderId="0" xfId="0" applyNumberFormat="1" applyFont="1" applyFill="1" applyBorder="1" applyProtection="1"/>
    <xf numFmtId="0" fontId="17" fillId="2" borderId="0" xfId="0" applyFont="1" applyFill="1" applyBorder="1" applyAlignment="1" applyProtection="1">
      <alignment horizontal="center" vertical="center"/>
    </xf>
    <xf numFmtId="0" fontId="2" fillId="0" borderId="0" xfId="0" applyFont="1" applyFill="1" applyBorder="1" applyAlignment="1" applyProtection="1">
      <alignment vertical="center"/>
    </xf>
    <xf numFmtId="0" fontId="12" fillId="2" borderId="0" xfId="0" applyFont="1" applyFill="1" applyBorder="1" applyAlignment="1" applyProtection="1">
      <alignment vertical="center"/>
    </xf>
    <xf numFmtId="0" fontId="13" fillId="2" borderId="0" xfId="0" applyFont="1" applyFill="1" applyBorder="1" applyAlignment="1" applyProtection="1">
      <alignment vertical="center"/>
    </xf>
    <xf numFmtId="0" fontId="12" fillId="2" borderId="0" xfId="0" applyFont="1" applyFill="1" applyBorder="1" applyAlignment="1" applyProtection="1">
      <alignment vertical="center" wrapText="1"/>
    </xf>
    <xf numFmtId="0" fontId="29" fillId="2" borderId="0" xfId="0" applyFont="1" applyFill="1" applyBorder="1" applyProtection="1"/>
    <xf numFmtId="0" fontId="28" fillId="2" borderId="0" xfId="0" applyFont="1" applyFill="1" applyBorder="1" applyProtection="1"/>
    <xf numFmtId="0" fontId="13" fillId="2" borderId="0" xfId="0" applyFont="1" applyFill="1" applyBorder="1" applyAlignment="1" applyProtection="1">
      <alignment horizontal="center"/>
    </xf>
    <xf numFmtId="44" fontId="16" fillId="2" borderId="0" xfId="2" applyNumberFormat="1" applyFont="1" applyFill="1" applyBorder="1" applyAlignment="1" applyProtection="1"/>
    <xf numFmtId="44" fontId="17" fillId="2" borderId="0" xfId="2" applyFont="1" applyFill="1" applyBorder="1" applyAlignment="1" applyProtection="1"/>
    <xf numFmtId="8" fontId="16" fillId="2" borderId="0" xfId="2" applyNumberFormat="1" applyFont="1" applyFill="1" applyBorder="1" applyAlignment="1" applyProtection="1"/>
    <xf numFmtId="166" fontId="16" fillId="2" borderId="0" xfId="3" applyNumberFormat="1" applyFont="1" applyFill="1" applyBorder="1" applyAlignment="1" applyProtection="1">
      <alignment horizontal="center"/>
    </xf>
    <xf numFmtId="0" fontId="31" fillId="2" borderId="0" xfId="4" applyFont="1" applyFill="1" applyBorder="1" applyAlignment="1" applyProtection="1">
      <alignment horizontal="center"/>
    </xf>
    <xf numFmtId="0" fontId="12" fillId="2" borderId="0" xfId="0" applyFont="1" applyFill="1" applyBorder="1" applyAlignment="1" applyProtection="1">
      <alignment horizontal="center" vertical="center"/>
    </xf>
    <xf numFmtId="8" fontId="28" fillId="2" borderId="0" xfId="0" applyNumberFormat="1" applyFont="1" applyFill="1" applyBorder="1" applyProtection="1"/>
    <xf numFmtId="17" fontId="29" fillId="2" borderId="0" xfId="0" applyNumberFormat="1" applyFont="1" applyFill="1" applyBorder="1" applyProtection="1"/>
    <xf numFmtId="14" fontId="29" fillId="2" borderId="0" xfId="0" applyNumberFormat="1" applyFont="1" applyFill="1" applyBorder="1" applyProtection="1"/>
    <xf numFmtId="164" fontId="29" fillId="2" borderId="0" xfId="3" applyNumberFormat="1" applyFont="1" applyFill="1" applyBorder="1" applyProtection="1"/>
    <xf numFmtId="44" fontId="13" fillId="2" borderId="0" xfId="2" applyFont="1" applyFill="1" applyBorder="1" applyAlignment="1" applyProtection="1">
      <alignment horizontal="center" vertical="center"/>
    </xf>
    <xf numFmtId="0" fontId="13" fillId="2" borderId="0" xfId="0" applyFont="1" applyFill="1" applyBorder="1" applyAlignment="1" applyProtection="1">
      <alignment horizontal="center" vertical="center"/>
    </xf>
    <xf numFmtId="164" fontId="17" fillId="2" borderId="0" xfId="3" applyNumberFormat="1" applyFont="1" applyFill="1" applyBorder="1" applyProtection="1"/>
    <xf numFmtId="164" fontId="17" fillId="2" borderId="0" xfId="3" applyNumberFormat="1" applyFont="1" applyFill="1" applyBorder="1" applyAlignment="1" applyProtection="1">
      <alignment vertical="center"/>
    </xf>
    <xf numFmtId="10" fontId="29" fillId="2" borderId="0" xfId="3" applyNumberFormat="1" applyFont="1" applyFill="1" applyBorder="1" applyProtection="1"/>
    <xf numFmtId="44" fontId="33" fillId="2" borderId="0" xfId="2" applyFont="1" applyFill="1" applyBorder="1" applyProtection="1"/>
    <xf numFmtId="0" fontId="13" fillId="2" borderId="0" xfId="0" applyFont="1" applyFill="1" applyBorder="1" applyAlignment="1" applyProtection="1">
      <alignment horizontal="left" vertical="center"/>
    </xf>
    <xf numFmtId="166" fontId="13" fillId="2" borderId="0" xfId="3" applyNumberFormat="1" applyFont="1" applyFill="1" applyBorder="1" applyAlignment="1" applyProtection="1">
      <alignment horizontal="center"/>
    </xf>
    <xf numFmtId="0" fontId="13" fillId="2" borderId="0" xfId="0" applyFont="1" applyFill="1" applyBorder="1" applyAlignment="1" applyProtection="1">
      <alignment vertical="top" wrapText="1"/>
    </xf>
    <xf numFmtId="164" fontId="16" fillId="2" borderId="0" xfId="3" applyNumberFormat="1" applyFont="1" applyFill="1" applyBorder="1" applyProtection="1"/>
    <xf numFmtId="0" fontId="10" fillId="0" borderId="0" xfId="0" applyFont="1" applyProtection="1"/>
    <xf numFmtId="40" fontId="2" fillId="7" borderId="3" xfId="0" applyNumberFormat="1" applyFont="1" applyFill="1" applyBorder="1" applyAlignment="1" applyProtection="1">
      <alignment horizontal="center" vertical="center"/>
      <protection locked="0"/>
    </xf>
    <xf numFmtId="0" fontId="2" fillId="7" borderId="3" xfId="0" applyFont="1" applyFill="1" applyBorder="1" applyAlignment="1" applyProtection="1">
      <alignment horizontal="center"/>
      <protection locked="0"/>
    </xf>
    <xf numFmtId="44" fontId="10" fillId="7" borderId="3" xfId="2" applyFont="1" applyFill="1" applyBorder="1" applyProtection="1">
      <protection locked="0"/>
    </xf>
    <xf numFmtId="0" fontId="4" fillId="7" borderId="14" xfId="0" applyFont="1" applyFill="1" applyBorder="1" applyAlignment="1" applyProtection="1">
      <alignment horizontal="center"/>
      <protection locked="0"/>
    </xf>
    <xf numFmtId="0" fontId="4" fillId="7" borderId="15" xfId="0" applyFont="1" applyFill="1" applyBorder="1" applyAlignment="1" applyProtection="1">
      <alignment horizontal="center"/>
      <protection locked="0"/>
    </xf>
    <xf numFmtId="44" fontId="11" fillId="0" borderId="3" xfId="2" applyFont="1" applyFill="1" applyBorder="1" applyProtection="1"/>
    <xf numFmtId="0" fontId="24" fillId="2" borderId="0" xfId="0" applyFont="1" applyFill="1" applyBorder="1" applyAlignment="1" applyProtection="1">
      <alignment horizontal="center" vertical="center"/>
    </xf>
    <xf numFmtId="0" fontId="26" fillId="2" borderId="0" xfId="0" applyFont="1" applyFill="1" applyBorder="1" applyProtection="1"/>
    <xf numFmtId="0" fontId="22" fillId="2" borderId="0" xfId="0" applyFont="1" applyFill="1" applyBorder="1" applyAlignment="1" applyProtection="1">
      <alignment horizontal="left" vertical="center" wrapText="1" indent="1"/>
    </xf>
    <xf numFmtId="0" fontId="4" fillId="7" borderId="6" xfId="0" applyFont="1" applyFill="1" applyBorder="1" applyProtection="1">
      <protection locked="0"/>
    </xf>
    <xf numFmtId="0" fontId="4" fillId="7" borderId="13" xfId="0" applyFont="1" applyFill="1" applyBorder="1" applyProtection="1">
      <protection locked="0"/>
    </xf>
    <xf numFmtId="44" fontId="4" fillId="7" borderId="13" xfId="2" applyFont="1" applyFill="1" applyBorder="1" applyProtection="1">
      <protection locked="0"/>
    </xf>
    <xf numFmtId="43" fontId="4" fillId="7" borderId="13" xfId="1" applyFont="1" applyFill="1" applyBorder="1" applyProtection="1">
      <protection locked="0"/>
    </xf>
    <xf numFmtId="0" fontId="4" fillId="7" borderId="30" xfId="0" applyFont="1" applyFill="1" applyBorder="1" applyProtection="1">
      <protection locked="0"/>
    </xf>
    <xf numFmtId="0" fontId="4" fillId="7" borderId="10" xfId="0" applyFont="1" applyFill="1" applyBorder="1" applyProtection="1">
      <protection locked="0"/>
    </xf>
    <xf numFmtId="44" fontId="4" fillId="7" borderId="10" xfId="2" applyFont="1" applyFill="1" applyBorder="1" applyProtection="1">
      <protection locked="0"/>
    </xf>
    <xf numFmtId="43" fontId="4" fillId="7" borderId="10" xfId="1" applyFont="1" applyFill="1" applyBorder="1" applyProtection="1">
      <protection locked="0"/>
    </xf>
    <xf numFmtId="0" fontId="0" fillId="0" borderId="26" xfId="0" applyFill="1" applyBorder="1" applyProtection="1"/>
    <xf numFmtId="44" fontId="1" fillId="0" borderId="3" xfId="4" applyNumberFormat="1" applyFont="1" applyFill="1" applyBorder="1" applyProtection="1"/>
    <xf numFmtId="44" fontId="0" fillId="7" borderId="3" xfId="2" applyFont="1" applyFill="1" applyBorder="1" applyProtection="1">
      <protection locked="0"/>
    </xf>
    <xf numFmtId="0" fontId="2" fillId="7" borderId="3" xfId="0" applyNumberFormat="1" applyFont="1" applyFill="1" applyBorder="1" applyAlignment="1" applyProtection="1">
      <alignment horizontal="center"/>
      <protection locked="0"/>
    </xf>
    <xf numFmtId="0" fontId="2" fillId="7" borderId="18" xfId="0" applyNumberFormat="1" applyFont="1" applyFill="1" applyBorder="1" applyAlignment="1" applyProtection="1">
      <alignment horizontal="center"/>
      <protection locked="0"/>
    </xf>
    <xf numFmtId="0" fontId="35" fillId="4" borderId="3" xfId="0" applyFont="1" applyFill="1" applyBorder="1" applyAlignment="1" applyProtection="1"/>
    <xf numFmtId="0" fontId="35" fillId="4" borderId="1" xfId="0" applyFont="1" applyFill="1" applyBorder="1" applyAlignment="1" applyProtection="1"/>
    <xf numFmtId="44" fontId="5" fillId="5" borderId="21" xfId="2" applyFont="1" applyFill="1" applyBorder="1" applyProtection="1"/>
    <xf numFmtId="0" fontId="11" fillId="2" borderId="8" xfId="0" applyFont="1" applyFill="1" applyBorder="1" applyProtection="1"/>
    <xf numFmtId="44" fontId="11" fillId="7" borderId="3" xfId="2" applyFont="1" applyFill="1" applyBorder="1" applyAlignment="1" applyProtection="1">
      <alignment horizontal="center"/>
      <protection locked="0"/>
    </xf>
    <xf numFmtId="44" fontId="4" fillId="0" borderId="29" xfId="2" applyFont="1" applyFill="1" applyBorder="1" applyProtection="1"/>
    <xf numFmtId="0" fontId="4" fillId="0" borderId="29" xfId="0" applyFont="1" applyFill="1" applyBorder="1" applyProtection="1"/>
    <xf numFmtId="43" fontId="4" fillId="0" borderId="29" xfId="1" applyFont="1" applyFill="1" applyBorder="1" applyProtection="1"/>
    <xf numFmtId="0" fontId="4" fillId="0" borderId="7" xfId="0" applyFont="1" applyFill="1" applyBorder="1" applyAlignment="1" applyProtection="1">
      <alignment horizontal="center"/>
    </xf>
    <xf numFmtId="0" fontId="17" fillId="2" borderId="0" xfId="0" applyFont="1" applyFill="1" applyBorder="1" applyAlignment="1" applyProtection="1">
      <alignment horizontal="center"/>
    </xf>
    <xf numFmtId="0" fontId="20" fillId="2" borderId="0" xfId="0" applyFont="1" applyFill="1" applyBorder="1" applyAlignment="1" applyProtection="1">
      <alignment horizontal="center" vertical="center"/>
    </xf>
    <xf numFmtId="0" fontId="0" fillId="2" borderId="0" xfId="0" applyFill="1"/>
    <xf numFmtId="0" fontId="37" fillId="2" borderId="0" xfId="4" applyFont="1" applyFill="1" applyAlignment="1" applyProtection="1">
      <alignment vertical="center"/>
      <protection locked="0"/>
    </xf>
    <xf numFmtId="0" fontId="38" fillId="2" borderId="0" xfId="0" applyFont="1" applyFill="1"/>
    <xf numFmtId="0" fontId="38" fillId="7" borderId="3" xfId="0" applyFont="1" applyFill="1" applyBorder="1"/>
    <xf numFmtId="0" fontId="38" fillId="2" borderId="0" xfId="0" applyFont="1" applyFill="1" applyBorder="1"/>
    <xf numFmtId="0" fontId="38" fillId="2" borderId="0" xfId="0" applyFont="1" applyFill="1" applyAlignment="1">
      <alignment horizontal="right"/>
    </xf>
    <xf numFmtId="0" fontId="39" fillId="2" borderId="0" xfId="0" applyFont="1" applyFill="1" applyAlignment="1">
      <alignment horizontal="center"/>
    </xf>
    <xf numFmtId="0" fontId="37" fillId="8" borderId="0" xfId="4" applyFont="1" applyFill="1" applyAlignment="1" applyProtection="1">
      <alignment horizontal="center" vertical="center"/>
      <protection locked="0"/>
    </xf>
    <xf numFmtId="0" fontId="38" fillId="2" borderId="0" xfId="0" applyFont="1" applyFill="1" applyAlignment="1">
      <alignment horizontal="left" vertical="top" wrapText="1"/>
    </xf>
    <xf numFmtId="0" fontId="2" fillId="0" borderId="1" xfId="0" applyFont="1" applyBorder="1" applyAlignment="1" applyProtection="1">
      <alignment horizontal="center" vertical="center"/>
    </xf>
    <xf numFmtId="0" fontId="2" fillId="0" borderId="2" xfId="0" applyFont="1" applyBorder="1" applyAlignment="1" applyProtection="1">
      <alignment horizontal="center" vertical="center"/>
    </xf>
    <xf numFmtId="0" fontId="2" fillId="0" borderId="1" xfId="0" applyFont="1" applyBorder="1" applyAlignment="1" applyProtection="1">
      <alignment horizontal="center"/>
    </xf>
    <xf numFmtId="0" fontId="2" fillId="0" borderId="2" xfId="0" applyFont="1" applyBorder="1" applyAlignment="1" applyProtection="1">
      <alignment horizontal="center"/>
    </xf>
    <xf numFmtId="0" fontId="16" fillId="2" borderId="0" xfId="0" applyFont="1" applyFill="1" applyBorder="1" applyAlignment="1" applyProtection="1">
      <alignment horizontal="left"/>
    </xf>
    <xf numFmtId="44" fontId="16" fillId="2" borderId="0" xfId="2" applyFont="1" applyFill="1" applyBorder="1" applyAlignment="1" applyProtection="1">
      <alignment horizontal="left"/>
    </xf>
    <xf numFmtId="0" fontId="16" fillId="2" borderId="0" xfId="0" applyFont="1" applyFill="1" applyBorder="1" applyAlignment="1" applyProtection="1">
      <alignment horizontal="center"/>
    </xf>
    <xf numFmtId="0" fontId="2" fillId="0" borderId="9" xfId="0" applyFont="1" applyBorder="1" applyAlignment="1" applyProtection="1">
      <alignment horizontal="center"/>
    </xf>
    <xf numFmtId="40" fontId="0" fillId="0" borderId="22" xfId="0" applyNumberFormat="1" applyFill="1" applyBorder="1" applyAlignment="1" applyProtection="1">
      <alignment horizontal="right"/>
    </xf>
    <xf numFmtId="40" fontId="0" fillId="0" borderId="4" xfId="0" applyNumberFormat="1" applyFill="1" applyBorder="1" applyAlignment="1" applyProtection="1">
      <alignment horizontal="right"/>
    </xf>
    <xf numFmtId="40" fontId="0" fillId="0" borderId="23" xfId="0" applyNumberFormat="1" applyFill="1" applyBorder="1" applyAlignment="1" applyProtection="1">
      <alignment horizontal="right"/>
    </xf>
    <xf numFmtId="40" fontId="0" fillId="0" borderId="17" xfId="0" applyNumberFormat="1" applyFill="1" applyBorder="1" applyAlignment="1" applyProtection="1">
      <alignment horizontal="right"/>
    </xf>
    <xf numFmtId="168" fontId="0" fillId="0" borderId="24" xfId="0" applyNumberFormat="1" applyBorder="1" applyAlignment="1" applyProtection="1">
      <alignment horizontal="center"/>
    </xf>
    <xf numFmtId="168" fontId="0" fillId="0" borderId="26" xfId="0" applyNumberFormat="1" applyBorder="1" applyAlignment="1" applyProtection="1">
      <alignment horizontal="center"/>
    </xf>
    <xf numFmtId="0" fontId="0" fillId="0" borderId="28" xfId="0" applyBorder="1" applyAlignment="1" applyProtection="1">
      <alignment horizontal="center"/>
    </xf>
    <xf numFmtId="0" fontId="0" fillId="0" borderId="4" xfId="0" applyBorder="1" applyAlignment="1" applyProtection="1">
      <alignment horizontal="center"/>
    </xf>
    <xf numFmtId="44" fontId="0" fillId="0" borderId="22" xfId="2" applyFont="1" applyFill="1" applyBorder="1" applyProtection="1"/>
    <xf numFmtId="44" fontId="0" fillId="0" borderId="4" xfId="2" applyFont="1" applyFill="1" applyBorder="1" applyProtection="1"/>
    <xf numFmtId="0" fontId="2" fillId="0" borderId="9" xfId="0" applyFont="1" applyFill="1" applyBorder="1" applyAlignment="1" applyProtection="1">
      <alignment horizontal="center"/>
    </xf>
    <xf numFmtId="0" fontId="2" fillId="0" borderId="1" xfId="0" applyFont="1" applyFill="1" applyBorder="1" applyAlignment="1" applyProtection="1">
      <alignment horizontal="center"/>
    </xf>
    <xf numFmtId="0" fontId="2" fillId="0" borderId="2" xfId="0" applyFont="1" applyFill="1" applyBorder="1" applyAlignment="1" applyProtection="1">
      <alignment horizontal="center"/>
    </xf>
    <xf numFmtId="0" fontId="29" fillId="2" borderId="0" xfId="0" applyFont="1" applyFill="1" applyBorder="1" applyAlignment="1" applyProtection="1">
      <alignment horizontal="center"/>
    </xf>
    <xf numFmtId="0" fontId="2" fillId="2" borderId="1" xfId="0" applyFont="1" applyFill="1" applyBorder="1" applyAlignment="1" applyProtection="1">
      <alignment horizontal="center"/>
    </xf>
    <xf numFmtId="0" fontId="2" fillId="2" borderId="2" xfId="0" applyFont="1" applyFill="1" applyBorder="1" applyAlignment="1" applyProtection="1">
      <alignment horizontal="center"/>
    </xf>
    <xf numFmtId="40" fontId="2" fillId="2" borderId="1" xfId="0" applyNumberFormat="1" applyFont="1" applyFill="1" applyBorder="1" applyAlignment="1" applyProtection="1">
      <alignment horizontal="center"/>
    </xf>
    <xf numFmtId="40" fontId="2" fillId="2" borderId="2" xfId="0" applyNumberFormat="1" applyFont="1" applyFill="1" applyBorder="1" applyAlignment="1" applyProtection="1">
      <alignment horizontal="center"/>
    </xf>
    <xf numFmtId="0" fontId="11" fillId="2" borderId="16" xfId="0" applyFont="1" applyFill="1" applyBorder="1" applyAlignment="1" applyProtection="1">
      <alignment horizontal="center" vertical="center" wrapText="1"/>
    </xf>
    <xf numFmtId="0" fontId="11" fillId="2" borderId="28" xfId="0" applyFont="1" applyFill="1" applyBorder="1" applyAlignment="1" applyProtection="1">
      <alignment horizontal="center" vertical="center" wrapText="1"/>
    </xf>
    <xf numFmtId="0" fontId="11" fillId="2" borderId="18" xfId="0" applyFont="1" applyFill="1" applyBorder="1" applyAlignment="1" applyProtection="1">
      <alignment horizontal="center" vertical="center" wrapText="1"/>
    </xf>
    <xf numFmtId="0" fontId="2" fillId="2" borderId="9" xfId="0" applyFont="1" applyFill="1" applyBorder="1" applyAlignment="1" applyProtection="1">
      <alignment horizontal="center"/>
    </xf>
    <xf numFmtId="44" fontId="5" fillId="7" borderId="16" xfId="2" applyFont="1" applyFill="1" applyBorder="1" applyAlignment="1" applyProtection="1">
      <alignment horizontal="center" vertical="center"/>
      <protection locked="0"/>
    </xf>
    <xf numFmtId="44" fontId="5" fillId="7" borderId="28" xfId="2" applyFont="1" applyFill="1" applyBorder="1" applyAlignment="1" applyProtection="1">
      <alignment horizontal="center" vertical="center"/>
      <protection locked="0"/>
    </xf>
    <xf numFmtId="44" fontId="5" fillId="7" borderId="18" xfId="2" applyFont="1" applyFill="1" applyBorder="1" applyAlignment="1" applyProtection="1">
      <alignment horizontal="center" vertical="center"/>
      <protection locked="0"/>
    </xf>
    <xf numFmtId="44" fontId="16" fillId="2" borderId="0" xfId="2" applyFont="1" applyFill="1" applyBorder="1" applyAlignment="1" applyProtection="1">
      <alignment horizontal="center"/>
    </xf>
    <xf numFmtId="44" fontId="17" fillId="2" borderId="0" xfId="2" applyFont="1" applyFill="1" applyBorder="1" applyAlignment="1" applyProtection="1">
      <alignment horizontal="center"/>
    </xf>
    <xf numFmtId="44" fontId="16" fillId="2" borderId="0" xfId="0" applyNumberFormat="1" applyFont="1" applyFill="1" applyBorder="1" applyAlignment="1" applyProtection="1">
      <alignment horizontal="center"/>
    </xf>
    <xf numFmtId="44" fontId="0" fillId="2" borderId="1" xfId="2" applyFont="1" applyFill="1" applyBorder="1" applyAlignment="1" applyProtection="1">
      <alignment horizontal="center"/>
      <protection locked="0"/>
    </xf>
    <xf numFmtId="44" fontId="0" fillId="2" borderId="2" xfId="2" applyFont="1" applyFill="1" applyBorder="1" applyAlignment="1" applyProtection="1">
      <alignment horizontal="center"/>
      <protection locked="0"/>
    </xf>
    <xf numFmtId="0" fontId="20" fillId="2" borderId="0" xfId="0" applyFont="1" applyFill="1" applyBorder="1" applyAlignment="1" applyProtection="1">
      <alignment horizontal="left"/>
    </xf>
    <xf numFmtId="0" fontId="34" fillId="4" borderId="28" xfId="0" applyFont="1" applyFill="1" applyBorder="1" applyAlignment="1" applyProtection="1">
      <alignment horizontal="center" vertical="center" wrapText="1"/>
    </xf>
    <xf numFmtId="0" fontId="34" fillId="4" borderId="18" xfId="0" applyFont="1" applyFill="1" applyBorder="1" applyAlignment="1" applyProtection="1">
      <alignment horizontal="center" vertical="center" wrapText="1"/>
    </xf>
    <xf numFmtId="0" fontId="2" fillId="2" borderId="0" xfId="0" applyFont="1" applyFill="1" applyBorder="1" applyAlignment="1" applyProtection="1">
      <alignment horizontal="left" vertical="top" wrapText="1"/>
    </xf>
    <xf numFmtId="44" fontId="7" fillId="2" borderId="1" xfId="0" applyNumberFormat="1" applyFont="1" applyFill="1" applyBorder="1" applyAlignment="1" applyProtection="1">
      <alignment horizontal="center"/>
    </xf>
    <xf numFmtId="44" fontId="7" fillId="2" borderId="2" xfId="0" applyNumberFormat="1" applyFont="1" applyFill="1" applyBorder="1" applyAlignment="1" applyProtection="1">
      <alignment horizontal="center"/>
    </xf>
    <xf numFmtId="0" fontId="13" fillId="2" borderId="0" xfId="4" applyFont="1" applyFill="1" applyBorder="1" applyAlignment="1" applyProtection="1">
      <alignment horizontal="center" vertical="center"/>
    </xf>
    <xf numFmtId="0" fontId="17" fillId="2" borderId="0" xfId="0" applyFont="1" applyFill="1" applyBorder="1" applyAlignment="1" applyProtection="1">
      <alignment horizontal="center"/>
    </xf>
    <xf numFmtId="0" fontId="20" fillId="2" borderId="0" xfId="0" applyFont="1" applyFill="1" applyBorder="1" applyAlignment="1" applyProtection="1">
      <alignment horizontal="center" vertical="center"/>
    </xf>
    <xf numFmtId="0" fontId="13" fillId="2" borderId="0" xfId="4" applyFont="1" applyFill="1" applyBorder="1" applyAlignment="1" applyProtection="1">
      <alignment horizontal="center" vertical="center" wrapText="1"/>
    </xf>
    <xf numFmtId="0" fontId="13" fillId="2" borderId="0" xfId="0" applyFont="1" applyFill="1" applyBorder="1" applyAlignment="1" applyProtection="1">
      <alignment horizontal="center" vertical="center"/>
    </xf>
    <xf numFmtId="44" fontId="16" fillId="2" borderId="0" xfId="2" applyNumberFormat="1" applyFont="1" applyFill="1" applyBorder="1" applyAlignment="1" applyProtection="1">
      <alignment horizontal="center"/>
    </xf>
    <xf numFmtId="44" fontId="0" fillId="0" borderId="24" xfId="0" applyNumberFormat="1" applyFill="1" applyBorder="1" applyAlignment="1" applyProtection="1">
      <alignment horizontal="center"/>
    </xf>
    <xf numFmtId="44" fontId="0" fillId="0" borderId="26" xfId="0" applyNumberFormat="1" applyFill="1" applyBorder="1" applyAlignment="1" applyProtection="1">
      <alignment horizontal="center"/>
    </xf>
    <xf numFmtId="44" fontId="15" fillId="0" borderId="22" xfId="0" applyNumberFormat="1" applyFont="1" applyFill="1" applyBorder="1" applyAlignment="1" applyProtection="1">
      <alignment horizontal="center"/>
    </xf>
    <xf numFmtId="44" fontId="15" fillId="0" borderId="4" xfId="0" applyNumberFormat="1" applyFont="1" applyFill="1" applyBorder="1" applyAlignment="1" applyProtection="1">
      <alignment horizontal="center"/>
    </xf>
    <xf numFmtId="40" fontId="0" fillId="0" borderId="24" xfId="0" applyNumberFormat="1" applyFill="1" applyBorder="1" applyAlignment="1" applyProtection="1">
      <alignment horizontal="right"/>
    </xf>
    <xf numFmtId="40" fontId="0" fillId="0" borderId="26" xfId="0" applyNumberFormat="1" applyFill="1" applyBorder="1" applyAlignment="1" applyProtection="1">
      <alignment horizontal="right"/>
    </xf>
    <xf numFmtId="0" fontId="17" fillId="2" borderId="0" xfId="0" applyFont="1" applyFill="1" applyBorder="1" applyAlignment="1">
      <alignment horizontal="left" vertical="top" wrapText="1"/>
    </xf>
    <xf numFmtId="0" fontId="17" fillId="2" borderId="0" xfId="0" applyFont="1" applyFill="1" applyBorder="1" applyAlignment="1">
      <alignment horizontal="center"/>
    </xf>
    <xf numFmtId="0" fontId="16" fillId="2" borderId="0" xfId="0" applyFont="1" applyFill="1" applyBorder="1" applyAlignment="1">
      <alignment horizontal="center" wrapText="1"/>
    </xf>
    <xf numFmtId="0" fontId="13" fillId="2" borderId="0" xfId="0" applyFont="1" applyFill="1" applyBorder="1" applyAlignment="1">
      <alignment horizontal="center" wrapText="1"/>
    </xf>
    <xf numFmtId="0" fontId="13" fillId="2" borderId="0" xfId="0" applyFont="1" applyFill="1" applyBorder="1" applyAlignment="1">
      <alignment horizontal="center"/>
    </xf>
    <xf numFmtId="0" fontId="36" fillId="2" borderId="0" xfId="0" applyFont="1" applyFill="1" applyAlignment="1">
      <alignment horizontal="center"/>
    </xf>
  </cellXfs>
  <cellStyles count="5">
    <cellStyle name="Comma" xfId="1" builtinId="3"/>
    <cellStyle name="Currency" xfId="2" builtinId="4"/>
    <cellStyle name="Hyperlink" xfId="4" builtinId="8"/>
    <cellStyle name="Normal" xfId="0" builtinId="0"/>
    <cellStyle name="Percent" xfId="3" builtinId="5"/>
  </cellStyles>
  <dxfs count="97">
    <dxf>
      <fill>
        <patternFill>
          <bgColor rgb="FFFFFF00"/>
        </patternFill>
      </fill>
    </dxf>
    <dxf>
      <fill>
        <patternFill>
          <bgColor rgb="FFFFFF00"/>
        </patternFill>
      </fill>
    </dxf>
    <dxf>
      <fill>
        <patternFill>
          <bgColor rgb="FFFFFF00"/>
        </patternFill>
      </fill>
    </dxf>
    <dxf>
      <font>
        <color theme="0"/>
      </font>
      <fill>
        <patternFill>
          <bgColor theme="0"/>
        </patternFill>
      </fill>
    </dxf>
    <dxf>
      <font>
        <color theme="0"/>
      </font>
      <fill>
        <patternFill>
          <bgColor theme="0"/>
        </patternFill>
      </fill>
    </dxf>
    <dxf>
      <font>
        <color theme="0"/>
      </font>
      <fill>
        <patternFill>
          <bgColor theme="0"/>
        </patternFill>
      </fill>
      <border>
        <vertical/>
        <horizontal/>
      </border>
    </dxf>
    <dxf>
      <font>
        <color theme="0"/>
      </font>
      <fill>
        <patternFill>
          <bgColor rgb="FFFF0000"/>
        </patternFill>
      </fill>
    </dxf>
    <dxf>
      <font>
        <color theme="0"/>
      </font>
      <fill>
        <patternFill>
          <bgColor theme="0"/>
        </patternFill>
      </fill>
      <border>
        <left/>
        <right/>
        <top/>
        <bottom/>
      </border>
    </dxf>
    <dxf>
      <fill>
        <patternFill>
          <bgColor theme="0"/>
        </patternFill>
      </fill>
      <border>
        <left/>
        <right/>
        <top/>
        <bottom/>
        <vertical/>
        <horizontal/>
      </border>
    </dxf>
    <dxf>
      <font>
        <color theme="0"/>
      </font>
      <fill>
        <patternFill>
          <bgColor theme="0"/>
        </patternFill>
      </fill>
      <border>
        <left/>
        <right/>
        <top/>
        <bottom/>
      </border>
    </dxf>
    <dxf>
      <font>
        <color theme="0"/>
      </font>
      <fill>
        <patternFill>
          <bgColor theme="0"/>
        </patternFill>
      </fill>
    </dxf>
    <dxf>
      <font>
        <color theme="0"/>
      </font>
      <fill>
        <patternFill>
          <bgColor theme="0"/>
        </patternFill>
      </fill>
    </dxf>
    <dxf>
      <font>
        <color theme="1"/>
      </font>
      <fill>
        <patternFill>
          <bgColor rgb="FF0070C0"/>
        </patternFill>
      </fill>
      <border>
        <left style="thin">
          <color auto="1"/>
        </left>
        <right style="thin">
          <color auto="1"/>
        </right>
        <top style="thin">
          <color auto="1"/>
        </top>
        <bottom style="thin">
          <color auto="1"/>
        </bottom>
        <vertical/>
        <horizontal/>
      </border>
    </dxf>
    <dxf>
      <font>
        <color theme="0"/>
      </font>
      <fill>
        <patternFill>
          <bgColor rgb="FF0070C0"/>
        </patternFill>
      </fill>
      <border>
        <left style="thin">
          <color auto="1"/>
        </left>
        <right style="thin">
          <color auto="1"/>
        </right>
        <top style="thin">
          <color auto="1"/>
        </top>
        <bottom style="thin">
          <color auto="1"/>
        </bottom>
        <vertical/>
        <horizontal/>
      </border>
    </dxf>
    <dxf>
      <font>
        <color theme="1"/>
      </font>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rgb="FFFF0000"/>
        </patternFill>
      </fill>
    </dxf>
    <dxf>
      <font>
        <color rgb="FF00B050"/>
      </font>
      <fill>
        <patternFill patternType="none">
          <bgColor auto="1"/>
        </patternFill>
      </fill>
    </dxf>
    <dxf>
      <font>
        <color theme="0"/>
      </font>
      <fill>
        <patternFill>
          <bgColor rgb="FFFF0000"/>
        </patternFill>
      </fill>
    </dxf>
    <dxf>
      <font>
        <color theme="0"/>
      </font>
      <fill>
        <patternFill>
          <bgColor theme="0"/>
        </patternFill>
      </fill>
    </dxf>
    <dxf>
      <font>
        <color theme="0"/>
      </font>
      <fill>
        <patternFill>
          <bgColor theme="0"/>
        </patternFill>
      </fill>
    </dxf>
    <dxf>
      <font>
        <color theme="0"/>
      </font>
      <fill>
        <patternFill>
          <bgColor theme="0"/>
        </patternFill>
      </fill>
    </dxf>
    <dxf>
      <font>
        <color rgb="FFFF0000"/>
      </font>
      <fill>
        <patternFill>
          <bgColor theme="0"/>
        </patternFill>
      </fill>
    </dxf>
    <dxf>
      <font>
        <color theme="9"/>
      </font>
      <fill>
        <patternFill patternType="none">
          <bgColor auto="1"/>
        </patternFill>
      </fill>
    </dxf>
    <dxf>
      <font>
        <color theme="9"/>
      </font>
      <fill>
        <patternFill patternType="none">
          <bgColor auto="1"/>
        </patternFill>
      </fill>
    </dxf>
    <dxf>
      <font>
        <color rgb="FFFF0000"/>
      </font>
      <fill>
        <patternFill>
          <bgColor theme="0"/>
        </patternFill>
      </fill>
    </dxf>
    <dxf>
      <font>
        <color theme="0"/>
      </font>
      <fill>
        <patternFill>
          <bgColor rgb="FFFF0000"/>
        </patternFill>
      </fill>
    </dxf>
    <dxf>
      <font>
        <color rgb="FFFF0000"/>
      </font>
      <fill>
        <patternFill>
          <bgColor theme="0"/>
        </patternFill>
      </fill>
    </dxf>
    <dxf>
      <font>
        <color theme="9"/>
      </font>
      <fill>
        <patternFill patternType="none">
          <bgColor auto="1"/>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rgb="FFFF0000"/>
      </font>
      <fill>
        <patternFill patternType="none">
          <bgColor auto="1"/>
        </patternFill>
      </fill>
    </dxf>
    <dxf>
      <font>
        <color theme="9"/>
      </font>
      <fill>
        <patternFill patternType="none">
          <bgColor auto="1"/>
        </patternFill>
      </fill>
    </dxf>
    <dxf>
      <font>
        <color theme="0"/>
      </font>
      <fill>
        <patternFill>
          <bgColor theme="0"/>
        </patternFill>
      </fill>
    </dxf>
    <dxf>
      <font>
        <color theme="0"/>
      </font>
      <fill>
        <patternFill>
          <bgColor rgb="FFFF0000"/>
        </patternFill>
      </fill>
    </dxf>
    <dxf>
      <font>
        <color theme="0"/>
      </font>
      <fill>
        <patternFill>
          <bgColor theme="0"/>
        </patternFill>
      </fill>
    </dxf>
    <dxf>
      <font>
        <color theme="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7</xdr:col>
      <xdr:colOff>408990</xdr:colOff>
      <xdr:row>31</xdr:row>
      <xdr:rowOff>151690</xdr:rowOff>
    </xdr:to>
    <xdr:pic>
      <xdr:nvPicPr>
        <xdr:cNvPr id="3" name="Picture 2">
          <a:extLst>
            <a:ext uri="{FF2B5EF4-FFF2-40B4-BE49-F238E27FC236}">
              <a16:creationId xmlns:a16="http://schemas.microsoft.com/office/drawing/2014/main" id="{AF04FCB6-B17E-4566-9DA7-ED37AEACD078}"/>
            </a:ext>
          </a:extLst>
        </xdr:cNvPr>
        <xdr:cNvPicPr>
          <a:picLocks noChangeAspect="1"/>
        </xdr:cNvPicPr>
      </xdr:nvPicPr>
      <xdr:blipFill>
        <a:blip xmlns:r="http://schemas.openxmlformats.org/officeDocument/2006/relationships" r:embed="rId1"/>
        <a:stretch>
          <a:fillRect/>
        </a:stretch>
      </xdr:blipFill>
      <xdr:spPr>
        <a:xfrm>
          <a:off x="0" y="381000"/>
          <a:ext cx="4676190" cy="5676190"/>
        </a:xfrm>
        <a:prstGeom prst="rect">
          <a:avLst/>
        </a:prstGeom>
      </xdr:spPr>
    </xdr:pic>
    <xdr:clientData/>
  </xdr:twoCellAnchor>
  <xdr:twoCellAnchor editAs="oneCell">
    <xdr:from>
      <xdr:col>7</xdr:col>
      <xdr:colOff>371475</xdr:colOff>
      <xdr:row>21</xdr:row>
      <xdr:rowOff>104775</xdr:rowOff>
    </xdr:from>
    <xdr:to>
      <xdr:col>16</xdr:col>
      <xdr:colOff>608884</xdr:colOff>
      <xdr:row>31</xdr:row>
      <xdr:rowOff>95013</xdr:rowOff>
    </xdr:to>
    <xdr:pic>
      <xdr:nvPicPr>
        <xdr:cNvPr id="7" name="Picture 6">
          <a:extLst>
            <a:ext uri="{FF2B5EF4-FFF2-40B4-BE49-F238E27FC236}">
              <a16:creationId xmlns:a16="http://schemas.microsoft.com/office/drawing/2014/main" id="{9F8DC832-0695-4928-AC0A-3894FE512B97}"/>
            </a:ext>
          </a:extLst>
        </xdr:cNvPr>
        <xdr:cNvPicPr>
          <a:picLocks noChangeAspect="1"/>
        </xdr:cNvPicPr>
      </xdr:nvPicPr>
      <xdr:blipFill>
        <a:blip xmlns:r="http://schemas.openxmlformats.org/officeDocument/2006/relationships" r:embed="rId2"/>
        <a:stretch>
          <a:fillRect/>
        </a:stretch>
      </xdr:blipFill>
      <xdr:spPr>
        <a:xfrm>
          <a:off x="4638675" y="4105275"/>
          <a:ext cx="5723809" cy="1895238"/>
        </a:xfrm>
        <a:prstGeom prst="rect">
          <a:avLst/>
        </a:prstGeom>
      </xdr:spPr>
    </xdr:pic>
    <xdr:clientData/>
  </xdr:twoCellAnchor>
  <xdr:twoCellAnchor editAs="oneCell">
    <xdr:from>
      <xdr:col>16</xdr:col>
      <xdr:colOff>180975</xdr:colOff>
      <xdr:row>1</xdr:row>
      <xdr:rowOff>171450</xdr:rowOff>
    </xdr:from>
    <xdr:to>
      <xdr:col>23</xdr:col>
      <xdr:colOff>532823</xdr:colOff>
      <xdr:row>21</xdr:row>
      <xdr:rowOff>104307</xdr:rowOff>
    </xdr:to>
    <xdr:pic>
      <xdr:nvPicPr>
        <xdr:cNvPr id="10" name="Picture 9">
          <a:extLst>
            <a:ext uri="{FF2B5EF4-FFF2-40B4-BE49-F238E27FC236}">
              <a16:creationId xmlns:a16="http://schemas.microsoft.com/office/drawing/2014/main" id="{55BCD387-DF0D-4605-9509-3B5B0742E030}"/>
            </a:ext>
          </a:extLst>
        </xdr:cNvPr>
        <xdr:cNvPicPr>
          <a:picLocks noChangeAspect="1"/>
        </xdr:cNvPicPr>
      </xdr:nvPicPr>
      <xdr:blipFill>
        <a:blip xmlns:r="http://schemas.openxmlformats.org/officeDocument/2006/relationships" r:embed="rId3"/>
        <a:stretch>
          <a:fillRect/>
        </a:stretch>
      </xdr:blipFill>
      <xdr:spPr>
        <a:xfrm>
          <a:off x="9934575" y="361950"/>
          <a:ext cx="4619048" cy="3742857"/>
        </a:xfrm>
        <a:prstGeom prst="rect">
          <a:avLst/>
        </a:prstGeom>
      </xdr:spPr>
    </xdr:pic>
    <xdr:clientData/>
  </xdr:twoCellAnchor>
  <xdr:twoCellAnchor editAs="oneCell">
    <xdr:from>
      <xdr:col>7</xdr:col>
      <xdr:colOff>361950</xdr:colOff>
      <xdr:row>2</xdr:row>
      <xdr:rowOff>38100</xdr:rowOff>
    </xdr:from>
    <xdr:to>
      <xdr:col>16</xdr:col>
      <xdr:colOff>180312</xdr:colOff>
      <xdr:row>16</xdr:row>
      <xdr:rowOff>133005</xdr:rowOff>
    </xdr:to>
    <xdr:pic>
      <xdr:nvPicPr>
        <xdr:cNvPr id="11" name="Picture 10">
          <a:extLst>
            <a:ext uri="{FF2B5EF4-FFF2-40B4-BE49-F238E27FC236}">
              <a16:creationId xmlns:a16="http://schemas.microsoft.com/office/drawing/2014/main" id="{87959C67-C92E-4538-BD80-9F90D3B6FFA1}"/>
            </a:ext>
          </a:extLst>
        </xdr:cNvPr>
        <xdr:cNvPicPr>
          <a:picLocks noChangeAspect="1"/>
        </xdr:cNvPicPr>
      </xdr:nvPicPr>
      <xdr:blipFill>
        <a:blip xmlns:r="http://schemas.openxmlformats.org/officeDocument/2006/relationships" r:embed="rId4"/>
        <a:stretch>
          <a:fillRect/>
        </a:stretch>
      </xdr:blipFill>
      <xdr:spPr>
        <a:xfrm>
          <a:off x="4629150" y="419100"/>
          <a:ext cx="5304762" cy="276190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nlcloans-my.sharepoint.com/personal/garrett_silva_nlcloans_com/Documents/CRM%20STUFF/ORIGINATION%20SPREADSHEETS/THE%20VIS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EP2"/>
      <sheetName val="STEP3"/>
      <sheetName val="CREDIT REVIEW"/>
      <sheetName val="APPT-COMMIT-STEP 5 AND 6"/>
      <sheetName val="OPTION 1"/>
      <sheetName val="OPTION 2"/>
      <sheetName val="OPTION 3"/>
      <sheetName val="SALE PRESENTATION"/>
      <sheetName val="AM SCH 1"/>
      <sheetName val="AM SCH2"/>
      <sheetName val="AM SCH 3"/>
      <sheetName val="DROPDOWN KEY"/>
      <sheetName val="NOTES"/>
      <sheetName val="STATUS DETAILS (BOTTOM)"/>
      <sheetName val="COMMITMENT"/>
    </sheetNames>
    <sheetDataSet>
      <sheetData sheetId="0" refreshError="1"/>
      <sheetData sheetId="1" refreshError="1"/>
      <sheetData sheetId="2" refreshError="1"/>
      <sheetData sheetId="3" refreshError="1"/>
      <sheetData sheetId="4" refreshError="1">
        <row r="10">
          <cell r="B10">
            <v>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s://ratestar.archmi.com/ratestar/index.html?cust=MI" TargetMode="External"/><Relationship Id="rId7" Type="http://schemas.openxmlformats.org/officeDocument/2006/relationships/vmlDrawing" Target="../drawings/vmlDrawing1.vml"/><Relationship Id="rId2" Type="http://schemas.openxmlformats.org/officeDocument/2006/relationships/hyperlink" Target="https://www.optimalblue.com/OptimalLender/product_search.aspx" TargetMode="External"/><Relationship Id="rId1" Type="http://schemas.openxmlformats.org/officeDocument/2006/relationships/hyperlink" Target="https://quotelink.mtginfo.com/login.php?reason=timeout" TargetMode="External"/><Relationship Id="rId6" Type="http://schemas.openxmlformats.org/officeDocument/2006/relationships/printerSettings" Target="../printerSettings/printerSettings2.bin"/><Relationship Id="rId5" Type="http://schemas.openxmlformats.org/officeDocument/2006/relationships/hyperlink" Target="https://www.mgic.com/ratefinder/" TargetMode="External"/><Relationship Id="rId4" Type="http://schemas.openxmlformats.org/officeDocument/2006/relationships/hyperlink" Target="http://www.radian.biz/page?name=MIRateFinder"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18CE90-CE20-4D71-BEEB-6DF05EE71614}">
  <dimension ref="A1:Q18"/>
  <sheetViews>
    <sheetView tabSelected="1" workbookViewId="0">
      <selection activeCell="C15" sqref="C15:Q15"/>
    </sheetView>
  </sheetViews>
  <sheetFormatPr defaultRowHeight="26.25"/>
  <cols>
    <col min="1" max="16384" width="9.140625" style="216"/>
  </cols>
  <sheetData>
    <row r="1" spans="1:17">
      <c r="C1" s="220" t="s">
        <v>337</v>
      </c>
      <c r="D1" s="220"/>
      <c r="E1" s="220"/>
      <c r="F1" s="220"/>
      <c r="G1" s="220"/>
      <c r="H1" s="220"/>
      <c r="I1" s="220"/>
      <c r="J1" s="220"/>
      <c r="K1" s="220"/>
      <c r="L1" s="220"/>
      <c r="M1" s="220"/>
      <c r="N1" s="220"/>
      <c r="O1" s="220"/>
    </row>
    <row r="2" spans="1:17">
      <c r="C2" s="220"/>
      <c r="D2" s="220"/>
      <c r="E2" s="220"/>
      <c r="F2" s="220"/>
      <c r="G2" s="220"/>
      <c r="H2" s="220"/>
      <c r="I2" s="220"/>
      <c r="J2" s="220"/>
      <c r="K2" s="220"/>
      <c r="L2" s="220"/>
      <c r="M2" s="220"/>
      <c r="N2" s="220"/>
      <c r="O2" s="220"/>
    </row>
    <row r="3" spans="1:17" ht="6.75" customHeight="1"/>
    <row r="4" spans="1:17">
      <c r="B4" s="216" t="s">
        <v>341</v>
      </c>
      <c r="C4" s="222" t="s">
        <v>346</v>
      </c>
      <c r="D4" s="222"/>
      <c r="E4" s="222"/>
      <c r="F4" s="222"/>
      <c r="G4" s="222"/>
      <c r="H4" s="222"/>
      <c r="I4" s="222"/>
      <c r="J4" s="222"/>
      <c r="K4" s="222"/>
      <c r="L4" s="222"/>
      <c r="M4" s="222"/>
      <c r="N4" s="222"/>
      <c r="O4" s="222"/>
      <c r="P4" s="222"/>
    </row>
    <row r="5" spans="1:17">
      <c r="A5" s="216" t="s">
        <v>113</v>
      </c>
      <c r="C5" s="222"/>
      <c r="D5" s="222"/>
      <c r="E5" s="222"/>
      <c r="F5" s="222"/>
      <c r="G5" s="222"/>
      <c r="H5" s="222"/>
      <c r="I5" s="222"/>
      <c r="J5" s="222"/>
      <c r="K5" s="222"/>
      <c r="L5" s="222"/>
      <c r="M5" s="222"/>
      <c r="N5" s="222"/>
      <c r="O5" s="222"/>
      <c r="P5" s="222"/>
    </row>
    <row r="7" spans="1:17">
      <c r="B7" s="216" t="s">
        <v>342</v>
      </c>
      <c r="C7" s="216" t="s">
        <v>344</v>
      </c>
    </row>
    <row r="9" spans="1:17">
      <c r="B9" s="216" t="s">
        <v>343</v>
      </c>
      <c r="C9" s="216" t="s">
        <v>340</v>
      </c>
    </row>
    <row r="10" spans="1:17" ht="18.75" customHeight="1"/>
    <row r="11" spans="1:17" ht="27" thickBot="1">
      <c r="C11" s="216" t="s">
        <v>347</v>
      </c>
      <c r="D11" s="216" t="s">
        <v>349</v>
      </c>
      <c r="L11" s="218"/>
    </row>
    <row r="12" spans="1:17" ht="27" thickBot="1">
      <c r="C12" s="219" t="s">
        <v>350</v>
      </c>
      <c r="D12" s="216" t="s">
        <v>348</v>
      </c>
      <c r="L12" s="217"/>
      <c r="M12" s="216" t="s">
        <v>345</v>
      </c>
    </row>
    <row r="13" spans="1:17" ht="11.25" customHeight="1">
      <c r="L13" s="218"/>
    </row>
    <row r="15" spans="1:17" ht="61.5">
      <c r="C15" s="221" t="s">
        <v>353</v>
      </c>
      <c r="D15" s="221"/>
      <c r="E15" s="221"/>
      <c r="F15" s="221"/>
      <c r="G15" s="221"/>
      <c r="H15" s="221"/>
      <c r="I15" s="221"/>
      <c r="J15" s="221"/>
      <c r="K15" s="221"/>
      <c r="L15" s="221"/>
      <c r="M15" s="221"/>
      <c r="N15" s="221"/>
      <c r="O15" s="221"/>
      <c r="P15" s="221"/>
      <c r="Q15" s="221"/>
    </row>
    <row r="16" spans="1:17" ht="61.5">
      <c r="C16" s="215"/>
      <c r="D16" s="215"/>
      <c r="E16" s="215"/>
      <c r="F16" s="215"/>
      <c r="G16" s="215"/>
      <c r="H16" s="215"/>
      <c r="I16" s="215"/>
      <c r="J16" s="215"/>
    </row>
    <row r="17" spans="3:10" ht="61.5">
      <c r="C17" s="215"/>
      <c r="D17" s="215"/>
      <c r="E17" s="215"/>
      <c r="F17" s="215"/>
      <c r="G17" s="215"/>
      <c r="H17" s="215"/>
      <c r="I17" s="215"/>
      <c r="J17" s="215"/>
    </row>
    <row r="18" spans="3:10" ht="61.5">
      <c r="C18" s="215"/>
      <c r="D18" s="215"/>
      <c r="E18" s="215"/>
      <c r="F18" s="215"/>
      <c r="G18" s="215"/>
      <c r="H18" s="215"/>
      <c r="I18" s="215"/>
      <c r="J18" s="215"/>
    </row>
  </sheetData>
  <sheetProtection selectLockedCells="1"/>
  <mergeCells count="3">
    <mergeCell ref="C1:O2"/>
    <mergeCell ref="C15:Q15"/>
    <mergeCell ref="C4:P5"/>
  </mergeCells>
  <hyperlinks>
    <hyperlink ref="C15:Q15" location="Refi!A1" display="Click here to Begin" xr:uid="{56A06302-A44F-409B-91AF-B484D7413044}"/>
  </hyperlinks>
  <pageMargins left="0.7" right="0.7" top="0.75" bottom="0.75" header="0.3" footer="0.3"/>
  <pageSetup orientation="portrait" horizontalDpi="200" verticalDpi="2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X233"/>
  <sheetViews>
    <sheetView zoomScale="85" zoomScaleNormal="85" workbookViewId="0">
      <pane xSplit="5" ySplit="19" topLeftCell="F20" activePane="bottomRight" state="frozen"/>
      <selection pane="topRight" activeCell="F1" sqref="F1"/>
      <selection pane="bottomLeft" activeCell="A20" sqref="A20"/>
      <selection pane="bottomRight" activeCell="B2" sqref="B2"/>
    </sheetView>
  </sheetViews>
  <sheetFormatPr defaultRowHeight="15"/>
  <cols>
    <col min="1" max="1" width="18.85546875" style="180" customWidth="1"/>
    <col min="2" max="2" width="18.42578125" style="180" customWidth="1"/>
    <col min="3" max="3" width="0.7109375" style="180" customWidth="1"/>
    <col min="4" max="4" width="7.140625" style="180" customWidth="1"/>
    <col min="5" max="5" width="14.140625" style="180" customWidth="1"/>
    <col min="6" max="6" width="22.42578125" style="2" bestFit="1" customWidth="1"/>
    <col min="7" max="7" width="20.140625" style="2" bestFit="1" customWidth="1"/>
    <col min="8" max="8" width="20.5703125" style="2" customWidth="1"/>
    <col min="9" max="9" width="17.5703125" style="2" bestFit="1" customWidth="1"/>
    <col min="10" max="10" width="16.7109375" style="2" customWidth="1"/>
    <col min="11" max="11" width="18.140625" style="2" bestFit="1" customWidth="1"/>
    <col min="12" max="12" width="16" style="2" customWidth="1"/>
    <col min="13" max="13" width="10.5703125" style="2" customWidth="1"/>
    <col min="14" max="14" width="12.28515625" style="2" customWidth="1"/>
    <col min="15" max="15" width="14.7109375" style="2" customWidth="1"/>
    <col min="16" max="16" width="16" style="2" customWidth="1"/>
    <col min="17" max="17" width="10.7109375" style="2" customWidth="1"/>
    <col min="18" max="18" width="12.5703125" style="29" bestFit="1" customWidth="1"/>
    <col min="19" max="19" width="18.140625" style="29" bestFit="1" customWidth="1"/>
    <col min="20" max="20" width="13.42578125" style="29" bestFit="1" customWidth="1"/>
    <col min="21" max="21" width="16.7109375" style="29" customWidth="1"/>
    <col min="22" max="22" width="9.5703125" style="29" bestFit="1" customWidth="1"/>
    <col min="23" max="23" width="9.140625" style="29"/>
    <col min="24" max="24" width="9.28515625" style="29" bestFit="1" customWidth="1"/>
    <col min="25" max="25" width="9.140625" style="29"/>
    <col min="26" max="26" width="16.7109375" style="29" bestFit="1" customWidth="1"/>
    <col min="27" max="28" width="9.140625" style="29"/>
    <col min="29" max="29" width="16.85546875" style="29" bestFit="1" customWidth="1"/>
    <col min="30" max="30" width="12.42578125" style="29" bestFit="1" customWidth="1"/>
    <col min="31" max="31" width="16.7109375" style="29" bestFit="1" customWidth="1"/>
    <col min="32" max="32" width="9.42578125" style="29" bestFit="1" customWidth="1"/>
    <col min="33" max="33" width="14" style="29" bestFit="1" customWidth="1"/>
    <col min="34" max="34" width="14.5703125" style="29" bestFit="1" customWidth="1"/>
    <col min="35" max="35" width="9.28515625" style="29" bestFit="1" customWidth="1"/>
    <col min="36" max="102" width="9.140625" style="29"/>
    <col min="103" max="16384" width="9.140625" style="2"/>
  </cols>
  <sheetData>
    <row r="1" spans="1:102" ht="15.75" thickBot="1">
      <c r="A1" s="245" t="s">
        <v>321</v>
      </c>
      <c r="B1" s="246"/>
      <c r="C1" s="50"/>
      <c r="D1" s="9"/>
      <c r="E1" s="51" t="s">
        <v>0</v>
      </c>
      <c r="F1" s="52">
        <f>F6/0.95</f>
        <v>193744.21052631579</v>
      </c>
      <c r="G1" s="53">
        <f>G6/0.8</f>
        <v>230071.25</v>
      </c>
      <c r="H1" s="54">
        <f>IF(H7&lt;0,(H6-H7)/0.8,B3)</f>
        <v>250000</v>
      </c>
      <c r="I1" s="52">
        <f>I6/1.0175/0.9775</f>
        <v>188293.60613810737</v>
      </c>
      <c r="J1" s="53">
        <f>J6/1.0175/0.85</f>
        <v>216537.6470588235</v>
      </c>
      <c r="K1" s="54">
        <f>IF(K7&lt;0,((K6/1.0175)-K7)/0.85,B3)</f>
        <v>250000</v>
      </c>
      <c r="L1" s="259"/>
      <c r="M1" s="260"/>
      <c r="N1" s="55">
        <f>IF(B210="VA-3.3",N6/1.033,IF(B210="VA-2.15",N6/1.0215,IF(B210="DISABLED VA",N6)))</f>
        <v>184810.101010101</v>
      </c>
      <c r="O1" s="56"/>
      <c r="P1" s="57"/>
      <c r="Q1" s="198"/>
    </row>
    <row r="2" spans="1:102" s="70" customFormat="1" ht="15.75" thickBot="1">
      <c r="A2" s="203" t="s">
        <v>298</v>
      </c>
      <c r="B2" s="181" t="s">
        <v>297</v>
      </c>
      <c r="C2" s="58"/>
      <c r="D2" s="59"/>
      <c r="E2" s="60" t="s">
        <v>329</v>
      </c>
      <c r="F2" s="61">
        <f t="shared" ref="F2:I2" si="0">F5-F6</f>
        <v>53443</v>
      </c>
      <c r="G2" s="62">
        <f t="shared" si="0"/>
        <v>15943</v>
      </c>
      <c r="H2" s="63">
        <f>H6-D107-M205+M206+B9</f>
        <v>15943</v>
      </c>
      <c r="I2" s="64">
        <f t="shared" si="0"/>
        <v>61373.565000000031</v>
      </c>
      <c r="J2" s="65">
        <f>(J5/1.0175)-(J6/1.0175)</f>
        <v>28443.000000000029</v>
      </c>
      <c r="K2" s="66">
        <f>(K6/1.0175)-H107+G99-N205+N206</f>
        <v>28443</v>
      </c>
      <c r="L2" s="67" t="s">
        <v>301</v>
      </c>
      <c r="M2" s="200">
        <v>1894</v>
      </c>
      <c r="N2" s="64">
        <f>IF(B210="VA-3.3",(N5/Picklists!F51)-(N6/Picklists!F51),IF(B210="VA-2.15",(N5/Picklists!F52)-(N6/Picklists!F52),IF(B210="DISABLED VA",N5-N6)))</f>
        <v>65189.898989898997</v>
      </c>
      <c r="O2" s="68">
        <f>IF(B210="VA-3.3",((O6/Picklists!F51)-M107-(O6*0.01)-O205+O206+(K99)),IF(B210="VA-2.15",((O6/Picklists!F52)-M107-(O6*0.01)+(K99)-O205+O206),IF(B210="DISABLED VA",O6-M107-(O6*0.01)+K99-O205+O206)))</f>
        <v>64455.5</v>
      </c>
      <c r="P2" s="67" t="s">
        <v>301</v>
      </c>
      <c r="Q2" s="200">
        <v>0</v>
      </c>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row>
    <row r="3" spans="1:102" ht="15.75" thickBot="1">
      <c r="A3" s="204" t="s">
        <v>12</v>
      </c>
      <c r="B3" s="207">
        <v>250000</v>
      </c>
      <c r="C3" s="27"/>
      <c r="D3" s="71"/>
      <c r="E3" s="23"/>
      <c r="F3" s="225" t="s">
        <v>3</v>
      </c>
      <c r="G3" s="230"/>
      <c r="H3" s="226"/>
      <c r="I3" s="225" t="s">
        <v>4</v>
      </c>
      <c r="J3" s="230"/>
      <c r="K3" s="226"/>
      <c r="L3" s="225" t="s">
        <v>10</v>
      </c>
      <c r="M3" s="226"/>
      <c r="N3" s="225" t="s">
        <v>5</v>
      </c>
      <c r="O3" s="230"/>
      <c r="P3" s="223" t="s">
        <v>327</v>
      </c>
      <c r="Q3" s="224"/>
    </row>
    <row r="4" spans="1:102" ht="15" customHeight="1" thickBot="1">
      <c r="A4" s="204" t="s">
        <v>334</v>
      </c>
      <c r="B4" s="207">
        <v>179000</v>
      </c>
      <c r="C4" s="50"/>
      <c r="D4" s="71"/>
      <c r="E4" s="51"/>
      <c r="F4" s="72" t="s">
        <v>338</v>
      </c>
      <c r="G4" s="73" t="s">
        <v>8</v>
      </c>
      <c r="H4" s="73" t="s">
        <v>9</v>
      </c>
      <c r="I4" s="74" t="s">
        <v>338</v>
      </c>
      <c r="J4" s="74" t="s">
        <v>8</v>
      </c>
      <c r="K4" s="74" t="s">
        <v>9</v>
      </c>
      <c r="L4" s="265" t="s">
        <v>339</v>
      </c>
      <c r="M4" s="266"/>
      <c r="N4" s="75" t="s">
        <v>8</v>
      </c>
      <c r="O4" s="76" t="s">
        <v>9</v>
      </c>
      <c r="P4" s="225" t="s">
        <v>339</v>
      </c>
      <c r="Q4" s="226"/>
      <c r="CX4" s="2"/>
    </row>
    <row r="5" spans="1:102" ht="15.75" thickBot="1">
      <c r="A5" s="204" t="s">
        <v>299</v>
      </c>
      <c r="B5" s="182" t="s">
        <v>129</v>
      </c>
      <c r="C5" s="50"/>
      <c r="D5" s="71"/>
      <c r="E5" s="77" t="s">
        <v>14</v>
      </c>
      <c r="F5" s="78">
        <f>B3*Picklists!J29</f>
        <v>237500</v>
      </c>
      <c r="G5" s="79">
        <f>B3*Picklists!J30</f>
        <v>200000</v>
      </c>
      <c r="H5" s="80">
        <f>B3*Picklists!J30</f>
        <v>200000</v>
      </c>
      <c r="I5" s="55">
        <f>B3*Picklists!J31*Picklists!F49</f>
        <v>248651.56250000003</v>
      </c>
      <c r="J5" s="81">
        <f>B3*Picklists!J32*Picklists!F49</f>
        <v>216218.75000000003</v>
      </c>
      <c r="K5" s="82">
        <f>B3*Picklists!J32*Picklists!F49</f>
        <v>216218.75000000003</v>
      </c>
      <c r="L5" s="67" t="s">
        <v>319</v>
      </c>
      <c r="M5" s="201">
        <v>28</v>
      </c>
      <c r="N5" s="79">
        <f>IF(B210="VA-3.3",B3*Picklists!F51*Picklists!J33, IF(B210="VA-2.15",B3*Picklists!F52*Picklists!J33, IF(B210="DISABLED VA",B3*Picklists!J33)))</f>
        <v>258249.99999999997</v>
      </c>
      <c r="O5" s="79">
        <f>IF(B210="VA-3.3",B3*Picklists!F51*Picklists!J33, IF(B210="VA-2.15",B3*Picklists!F52*Picklists!J33, IF(B210="DISABLED VA",B3*Picklists!J33)))</f>
        <v>258249.99999999997</v>
      </c>
      <c r="P5" s="83" t="s">
        <v>319</v>
      </c>
      <c r="Q5" s="202">
        <v>27</v>
      </c>
    </row>
    <row r="6" spans="1:102" ht="15.75" thickBot="1">
      <c r="A6" s="204" t="s">
        <v>315</v>
      </c>
      <c r="B6" s="182" t="s">
        <v>129</v>
      </c>
      <c r="C6" s="50"/>
      <c r="D6" s="71"/>
      <c r="E6" s="77" t="s">
        <v>15</v>
      </c>
      <c r="F6" s="78">
        <f>D112</f>
        <v>184057</v>
      </c>
      <c r="G6" s="79">
        <f>D112</f>
        <v>184057</v>
      </c>
      <c r="H6" s="80">
        <f>H5</f>
        <v>200000</v>
      </c>
      <c r="I6" s="84">
        <f>H112</f>
        <v>187277.9975</v>
      </c>
      <c r="J6" s="85">
        <f>H112</f>
        <v>187277.9975</v>
      </c>
      <c r="K6" s="86">
        <f>K5</f>
        <v>216218.75000000003</v>
      </c>
      <c r="L6" s="273">
        <f>AG23*1.0175</f>
        <v>182030.75</v>
      </c>
      <c r="M6" s="274"/>
      <c r="N6" s="85">
        <f>M112</f>
        <v>190908.83434343431</v>
      </c>
      <c r="O6" s="79">
        <f>O5</f>
        <v>258249.99999999997</v>
      </c>
      <c r="P6" s="235">
        <f>P112</f>
        <v>185734.15151515149</v>
      </c>
      <c r="Q6" s="236"/>
    </row>
    <row r="7" spans="1:102" ht="15.75" thickBot="1">
      <c r="A7" s="204" t="s">
        <v>17</v>
      </c>
      <c r="B7" s="182" t="s">
        <v>16</v>
      </c>
      <c r="C7" s="50"/>
      <c r="D7" s="71"/>
      <c r="E7" s="77" t="s">
        <v>352</v>
      </c>
      <c r="F7" s="78">
        <f>B9</f>
        <v>0</v>
      </c>
      <c r="G7" s="79">
        <f>B9</f>
        <v>0</v>
      </c>
      <c r="H7" s="87">
        <f>H6-D107-M205+M206+B9</f>
        <v>15943</v>
      </c>
      <c r="I7" s="88">
        <f>B9</f>
        <v>0</v>
      </c>
      <c r="J7" s="89">
        <f>B9</f>
        <v>0</v>
      </c>
      <c r="K7" s="90">
        <f>(K6/1.0175)-H107+G99-N205+N206</f>
        <v>28443</v>
      </c>
      <c r="L7" s="275">
        <f>(AG22)-I24-(SUM(G90:G98))+M2+L194</f>
        <v>-263</v>
      </c>
      <c r="M7" s="276"/>
      <c r="N7" s="89">
        <f>B9</f>
        <v>0</v>
      </c>
      <c r="O7" s="91">
        <f>IF(B210="VA-3.3",((O6/1.033)-M107-(O6*0.01)-O205+O206+(K99)),IF(B210="VA-2.15",((O6/1.0215)-M107-(O6*0.01)+(K99)-O205+O206),IF(B210="DISABLED VA",O6-M107-(O6*0.01)+K99-O205+O206)))</f>
        <v>64455.5</v>
      </c>
      <c r="P7" s="237"/>
      <c r="Q7" s="238"/>
    </row>
    <row r="8" spans="1:102" ht="16.5" customHeight="1" thickBot="1">
      <c r="A8" s="204" t="s">
        <v>19</v>
      </c>
      <c r="B8" s="182" t="s">
        <v>129</v>
      </c>
      <c r="C8" s="92"/>
      <c r="D8" s="249" t="s">
        <v>325</v>
      </c>
      <c r="E8" s="93">
        <v>30</v>
      </c>
      <c r="F8" s="94">
        <f>PMT(B211/12,(E8*12),-(((F6))))+B16+B15+AE26</f>
        <v>1312.1284381475307</v>
      </c>
      <c r="G8" s="95">
        <f>PMT(B211/12,(E8*12),-(((G6))))+B16+B15</f>
        <v>1312.1284381475307</v>
      </c>
      <c r="H8" s="96">
        <f>PMT(B211/12,(E8*12),-(((H6))))+B16+B15</f>
        <v>1395.2946730062217</v>
      </c>
      <c r="I8" s="94">
        <f>PMT(B212/12,(E8*12),-(((I6))))+B16+B15+AC28</f>
        <v>1398.1471752506716</v>
      </c>
      <c r="J8" s="95">
        <f>PMT(B212/12,(E8*12),-(((J6))))+B16+B15+AC28</f>
        <v>1398.1471752506716</v>
      </c>
      <c r="K8" s="96">
        <f>PMT(B212/12,(E8*12),-(((K6))))+B16+B15+AD38</f>
        <v>1557.332949910088</v>
      </c>
      <c r="L8" s="239">
        <f>PMT(B212/12,(E8*12),-(((L6))))+B16+B15+AI40</f>
        <v>1368.8357066145006</v>
      </c>
      <c r="M8" s="240"/>
      <c r="N8" s="97">
        <f>PMT(B212/12,(E8*12),-(((N6))))+B16+B15</f>
        <v>1291.1567117302025</v>
      </c>
      <c r="O8" s="97">
        <f>PMT(B212/12,(E8*12),-(((O6))))+B16+B15</f>
        <v>1622.4347687127665</v>
      </c>
      <c r="P8" s="239">
        <f>PMT($B$212/12,(E8*12),-((($P$6))))+$B$16+$B$15</f>
        <v>1265.7003826610394</v>
      </c>
      <c r="Q8" s="240"/>
    </row>
    <row r="9" spans="1:102" ht="15" customHeight="1">
      <c r="A9" s="262" t="s">
        <v>351</v>
      </c>
      <c r="B9" s="253"/>
      <c r="C9" s="98"/>
      <c r="D9" s="250"/>
      <c r="E9" s="99">
        <v>25</v>
      </c>
      <c r="F9" s="94">
        <f>PMT(B211/12,(E9*12),-(((F6))))+B16+B15+AE26</f>
        <v>1401.340911837191</v>
      </c>
      <c r="G9" s="95">
        <f>PMT(B211/12,(E9*12),-(((G6))))+B16+B15</f>
        <v>1401.340911837191</v>
      </c>
      <c r="H9" s="96">
        <f>PMT(B211/12,(E9*12),-(((H6))))+B16+B15</f>
        <v>1492.2347227621779</v>
      </c>
      <c r="I9" s="94">
        <f>PMT(B212/12,(E9*12),-(((I6))))+B16+B15+AC28</f>
        <v>1491.4082655442473</v>
      </c>
      <c r="J9" s="95">
        <f>PMT(B212/12,(E9*12),-(((J6))))+B16+B15+AC28</f>
        <v>1491.4082655442473</v>
      </c>
      <c r="K9" s="96">
        <f>PMT(B212/12,(E9*12),-(((K6))))+B16+B15+AD38</f>
        <v>1665.0060168805637</v>
      </c>
      <c r="L9" s="239">
        <f>PMT(B212/12,(E9*12),-(((L6))))+B16+B15+AI40</f>
        <v>1459.4837615839974</v>
      </c>
      <c r="M9" s="240"/>
      <c r="N9" s="97">
        <f>PMT(B212/12,(E9*12),-(((N6))))+B16+B15</f>
        <v>1386.2258937762374</v>
      </c>
      <c r="O9" s="97">
        <f>PMT(B212/12,(E9*12),-(((O6))))+B16+B15</f>
        <v>1751.0386457822869</v>
      </c>
      <c r="P9" s="239">
        <f>PMT($B$212/12,(E9*12),-((($P$6))))+$B$16+$B$15</f>
        <v>1358.1926652905308</v>
      </c>
      <c r="Q9" s="240"/>
    </row>
    <row r="10" spans="1:102" ht="15.75" customHeight="1">
      <c r="A10" s="262"/>
      <c r="B10" s="254"/>
      <c r="C10" s="98"/>
      <c r="D10" s="250"/>
      <c r="E10" s="99">
        <v>20</v>
      </c>
      <c r="F10" s="94">
        <f>PMT(B211/12,(E10*12),-(((F6))))+B16+B15+AE26</f>
        <v>1541.4198225760829</v>
      </c>
      <c r="G10" s="95">
        <f>PMT(B211/12,(E10*12),-(((G6))))+B16+B15</f>
        <v>1541.4198225760829</v>
      </c>
      <c r="H10" s="96">
        <f>PMT(B211/12,(E10*12),-(((H6))))+B16+B15</f>
        <v>1644.4472555524464</v>
      </c>
      <c r="I10" s="94">
        <f>PMT(B212/12,(E10*12),-(((I6))))+B16+B15+AC28</f>
        <v>1636.5419120333122</v>
      </c>
      <c r="J10" s="95">
        <f>PMT(B212/12,(E10*12),-(((J6))))+B16+B15+AC28</f>
        <v>1636.5419120333122</v>
      </c>
      <c r="K10" s="96">
        <f>PMT(B212/12,(E10*12),-(((K6))))+B16+B15+AD38</f>
        <v>1832.5676954851608</v>
      </c>
      <c r="L10" s="239">
        <f>PMT(B212/12,(E10*12),-(((L6))))+B16+B15+AI40</f>
        <v>1600.550981830409</v>
      </c>
      <c r="M10" s="240"/>
      <c r="N10" s="97">
        <f>PMT(B212/12,(E10*12),-(((N6))))+B16+B15</f>
        <v>1534.173306954016</v>
      </c>
      <c r="O10" s="97">
        <f>PMT(B212/12,(E10*12),-(((O6))))+B16+B15</f>
        <v>1951.1730166434504</v>
      </c>
      <c r="P10" s="239">
        <f>PMT($B$212/12,(E10*12),-((($P$6))))+$B$16+$B$15</f>
        <v>1502.1298872108287</v>
      </c>
      <c r="Q10" s="240"/>
    </row>
    <row r="11" spans="1:102" ht="16.5" customHeight="1" thickBot="1">
      <c r="A11" s="263"/>
      <c r="B11" s="255"/>
      <c r="C11" s="100"/>
      <c r="D11" s="251"/>
      <c r="E11" s="101">
        <v>15</v>
      </c>
      <c r="F11" s="94">
        <f>PMT(B211/12,(E11*12),-(((F6))))+B16+B15+AE26</f>
        <v>1783.6540927800668</v>
      </c>
      <c r="G11" s="95">
        <f>PMT(B211/12,(E11*12),-(((F6))))+B16+B15</f>
        <v>1783.6540927800668</v>
      </c>
      <c r="H11" s="96">
        <f>PMT(B211/12,(E11*12),-(((H6))))+B16+B15</f>
        <v>1907.6638354206216</v>
      </c>
      <c r="I11" s="94">
        <f>PMT(B212/12,(E11*12),-(((I6))))+B16+B15+AC31</f>
        <v>1829.8733189502977</v>
      </c>
      <c r="J11" s="95">
        <f>PMT(B212/12,(E11*12),-(((J6))))+B16+B15+AC31</f>
        <v>1829.8733189502977</v>
      </c>
      <c r="K11" s="96">
        <f>PMT(B212/12,(E11*12),-(((K6))))+B16+B15+AD39</f>
        <v>2058.2544770203699</v>
      </c>
      <c r="L11" s="239">
        <f>PMT(B212/12,(E11*12),-(((L6))))+B16+B15+AI43</f>
        <v>1789.6395650803256</v>
      </c>
      <c r="M11" s="240"/>
      <c r="N11" s="97">
        <f>PMT(B212/12,(E11*12),-(((N6))))+B16+B15</f>
        <v>1788.1659456660559</v>
      </c>
      <c r="O11" s="97">
        <f>PMT(B212/12,(E11*12),-(((O6))))+B16+B15</f>
        <v>2294.758996689744</v>
      </c>
      <c r="P11" s="239">
        <f>PMT($B$212/12,(E11*12),-((($P$6))))+$B$16+$B$15</f>
        <v>1749.2379239055047</v>
      </c>
      <c r="Q11" s="240"/>
    </row>
    <row r="12" spans="1:102" ht="15.75" thickBot="1">
      <c r="A12" s="71"/>
      <c r="B12" s="71"/>
      <c r="C12" s="102"/>
      <c r="D12" s="252" t="s">
        <v>326</v>
      </c>
      <c r="E12" s="246"/>
      <c r="F12" s="242" t="s">
        <v>326</v>
      </c>
      <c r="G12" s="241"/>
      <c r="H12" s="243"/>
      <c r="I12" s="242" t="s">
        <v>326</v>
      </c>
      <c r="J12" s="241"/>
      <c r="K12" s="243"/>
      <c r="L12" s="67" t="s">
        <v>320</v>
      </c>
      <c r="M12" s="103">
        <f>AG28</f>
        <v>1400.7837612690837</v>
      </c>
      <c r="N12" s="241" t="s">
        <v>23</v>
      </c>
      <c r="O12" s="241"/>
      <c r="P12" s="67" t="s">
        <v>320</v>
      </c>
      <c r="Q12" s="199">
        <f>PMT($B$212/12,(Q5*12),-((($P$6))))+$B$16+$B$15</f>
        <v>1316.6325001549947</v>
      </c>
    </row>
    <row r="13" spans="1:102" s="111" customFormat="1" ht="15.75" thickBot="1">
      <c r="A13" s="247" t="s">
        <v>333</v>
      </c>
      <c r="B13" s="248"/>
      <c r="C13" s="104"/>
      <c r="D13" s="249" t="s">
        <v>325</v>
      </c>
      <c r="E13" s="93">
        <v>30</v>
      </c>
      <c r="F13" s="105">
        <f t="shared" ref="F13:K16" si="1">$B$19-F8</f>
        <v>310.53156185246939</v>
      </c>
      <c r="G13" s="106">
        <f t="shared" si="1"/>
        <v>310.53156185246939</v>
      </c>
      <c r="H13" s="107">
        <f t="shared" si="1"/>
        <v>227.36532699377835</v>
      </c>
      <c r="I13" s="108">
        <f t="shared" si="1"/>
        <v>224.5128247493285</v>
      </c>
      <c r="J13" s="109">
        <f t="shared" si="1"/>
        <v>224.5128247493285</v>
      </c>
      <c r="K13" s="110">
        <f t="shared" si="1"/>
        <v>65.327050089912063</v>
      </c>
      <c r="L13" s="277">
        <f>SUM(B14:B17)-L8</f>
        <v>253.82429338549946</v>
      </c>
      <c r="M13" s="278"/>
      <c r="N13" s="106">
        <f t="shared" ref="N13:O16" si="2">$B$19-N8</f>
        <v>331.50328826979762</v>
      </c>
      <c r="O13" s="106">
        <f t="shared" si="2"/>
        <v>0.22523128723355512</v>
      </c>
      <c r="P13" s="277">
        <f>SUM(B14:B17)-P8</f>
        <v>356.9596173389607</v>
      </c>
      <c r="Q13" s="278"/>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69"/>
      <c r="BB13" s="69"/>
      <c r="BC13" s="69"/>
      <c r="BD13" s="69"/>
      <c r="BE13" s="69"/>
      <c r="BF13" s="69"/>
      <c r="BG13" s="69"/>
      <c r="BH13" s="69"/>
      <c r="BI13" s="69"/>
      <c r="BJ13" s="69"/>
      <c r="BK13" s="69"/>
      <c r="BL13" s="69"/>
      <c r="BM13" s="69"/>
      <c r="BN13" s="69"/>
      <c r="BO13" s="69"/>
      <c r="BP13" s="69"/>
      <c r="BQ13" s="69"/>
      <c r="BR13" s="69"/>
      <c r="BS13" s="69"/>
      <c r="BT13" s="69"/>
      <c r="BU13" s="69"/>
      <c r="BV13" s="69"/>
      <c r="BW13" s="69"/>
      <c r="BX13" s="69"/>
      <c r="BY13" s="69"/>
      <c r="BZ13" s="69"/>
      <c r="CA13" s="69"/>
      <c r="CB13" s="69"/>
      <c r="CC13" s="69"/>
      <c r="CD13" s="69"/>
      <c r="CE13" s="69"/>
      <c r="CF13" s="69"/>
      <c r="CG13" s="69"/>
      <c r="CH13" s="69"/>
      <c r="CI13" s="69"/>
      <c r="CJ13" s="69"/>
      <c r="CK13" s="69"/>
      <c r="CL13" s="69"/>
      <c r="CM13" s="69"/>
      <c r="CN13" s="69"/>
      <c r="CO13" s="69"/>
      <c r="CP13" s="69"/>
      <c r="CQ13" s="69"/>
      <c r="CR13" s="69"/>
      <c r="CS13" s="69"/>
      <c r="CT13" s="69"/>
      <c r="CU13" s="69"/>
      <c r="CV13" s="69"/>
      <c r="CW13" s="69"/>
      <c r="CX13" s="69"/>
    </row>
    <row r="14" spans="1:102" s="111" customFormat="1" ht="15.75" thickBot="1">
      <c r="A14" s="112" t="s">
        <v>300</v>
      </c>
      <c r="B14" s="183">
        <v>1058.6600000000001</v>
      </c>
      <c r="C14" s="113"/>
      <c r="D14" s="250"/>
      <c r="E14" s="99">
        <v>25</v>
      </c>
      <c r="F14" s="105">
        <f t="shared" si="1"/>
        <v>221.31908816280907</v>
      </c>
      <c r="G14" s="106">
        <f t="shared" si="1"/>
        <v>221.31908816280907</v>
      </c>
      <c r="H14" s="107">
        <f t="shared" si="1"/>
        <v>130.42527723782223</v>
      </c>
      <c r="I14" s="105">
        <f t="shared" si="1"/>
        <v>131.25173445575274</v>
      </c>
      <c r="J14" s="106">
        <f t="shared" si="1"/>
        <v>131.25173445575274</v>
      </c>
      <c r="K14" s="107">
        <f t="shared" si="1"/>
        <v>-42.346016880563639</v>
      </c>
      <c r="L14" s="231">
        <f>SUM(B14:B17)-L9</f>
        <v>163.17623841600266</v>
      </c>
      <c r="M14" s="232"/>
      <c r="N14" s="106">
        <f t="shared" si="2"/>
        <v>236.43410622376268</v>
      </c>
      <c r="O14" s="106">
        <f t="shared" si="2"/>
        <v>-128.37864578228687</v>
      </c>
      <c r="P14" s="231">
        <f>SUM(B14:B17)-P9</f>
        <v>264.46733470946924</v>
      </c>
      <c r="Q14" s="232"/>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69"/>
      <c r="BK14" s="69"/>
      <c r="BL14" s="69"/>
      <c r="BM14" s="69"/>
      <c r="BN14" s="69"/>
      <c r="BO14" s="69"/>
      <c r="BP14" s="69"/>
      <c r="BQ14" s="69"/>
      <c r="BR14" s="69"/>
      <c r="BS14" s="69"/>
      <c r="BT14" s="69"/>
      <c r="BU14" s="69"/>
      <c r="BV14" s="69"/>
      <c r="BW14" s="69"/>
      <c r="BX14" s="69"/>
      <c r="BY14" s="69"/>
      <c r="BZ14" s="69"/>
      <c r="CA14" s="69"/>
      <c r="CB14" s="69"/>
      <c r="CC14" s="69"/>
      <c r="CD14" s="69"/>
      <c r="CE14" s="69"/>
      <c r="CF14" s="69"/>
      <c r="CG14" s="69"/>
      <c r="CH14" s="69"/>
      <c r="CI14" s="69"/>
      <c r="CJ14" s="69"/>
      <c r="CK14" s="69"/>
      <c r="CL14" s="69"/>
      <c r="CM14" s="69"/>
      <c r="CN14" s="69"/>
      <c r="CO14" s="69"/>
      <c r="CP14" s="69"/>
      <c r="CQ14" s="69"/>
      <c r="CR14" s="69"/>
      <c r="CS14" s="69"/>
      <c r="CT14" s="69"/>
      <c r="CU14" s="69"/>
      <c r="CV14" s="69"/>
      <c r="CW14" s="69"/>
      <c r="CX14" s="69"/>
    </row>
    <row r="15" spans="1:102" s="111" customFormat="1" ht="15.75" thickBot="1">
      <c r="A15" s="114" t="s">
        <v>322</v>
      </c>
      <c r="B15" s="183">
        <v>100</v>
      </c>
      <c r="C15" s="113"/>
      <c r="D15" s="250"/>
      <c r="E15" s="99">
        <v>20</v>
      </c>
      <c r="F15" s="105">
        <f t="shared" si="1"/>
        <v>81.240177423917203</v>
      </c>
      <c r="G15" s="106">
        <f t="shared" si="1"/>
        <v>81.240177423917203</v>
      </c>
      <c r="H15" s="107">
        <f t="shared" si="1"/>
        <v>-21.787255552446368</v>
      </c>
      <c r="I15" s="105">
        <f t="shared" si="1"/>
        <v>-13.881912033312119</v>
      </c>
      <c r="J15" s="106">
        <f t="shared" si="1"/>
        <v>-13.881912033312119</v>
      </c>
      <c r="K15" s="107">
        <f t="shared" si="1"/>
        <v>-209.90769548516073</v>
      </c>
      <c r="L15" s="231">
        <f>SUM(B14:B17)-L10</f>
        <v>22.109018169591081</v>
      </c>
      <c r="M15" s="232"/>
      <c r="N15" s="106">
        <f t="shared" si="2"/>
        <v>88.486693045984111</v>
      </c>
      <c r="O15" s="106">
        <f t="shared" si="2"/>
        <v>-328.51301664345033</v>
      </c>
      <c r="P15" s="231">
        <f>SUM(B14:B17)-P10</f>
        <v>120.53011278917143</v>
      </c>
      <c r="Q15" s="232"/>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69"/>
      <c r="BK15" s="69"/>
      <c r="BL15" s="69"/>
      <c r="BM15" s="69"/>
      <c r="BN15" s="69"/>
      <c r="BO15" s="69"/>
      <c r="BP15" s="69"/>
      <c r="BQ15" s="69"/>
      <c r="BR15" s="69"/>
      <c r="BS15" s="69"/>
      <c r="BT15" s="69"/>
      <c r="BU15" s="69"/>
      <c r="BV15" s="69"/>
      <c r="BW15" s="69"/>
      <c r="BX15" s="69"/>
      <c r="BY15" s="69"/>
      <c r="BZ15" s="69"/>
      <c r="CA15" s="69"/>
      <c r="CB15" s="69"/>
      <c r="CC15" s="69"/>
      <c r="CD15" s="69"/>
      <c r="CE15" s="69"/>
      <c r="CF15" s="69"/>
      <c r="CG15" s="69"/>
      <c r="CH15" s="69"/>
      <c r="CI15" s="69"/>
      <c r="CJ15" s="69"/>
      <c r="CK15" s="69"/>
      <c r="CL15" s="69"/>
      <c r="CM15" s="69"/>
      <c r="CN15" s="69"/>
      <c r="CO15" s="69"/>
      <c r="CP15" s="69"/>
      <c r="CQ15" s="69"/>
      <c r="CR15" s="69"/>
      <c r="CS15" s="69"/>
      <c r="CT15" s="69"/>
      <c r="CU15" s="69"/>
      <c r="CV15" s="69"/>
      <c r="CW15" s="69"/>
      <c r="CX15" s="69"/>
    </row>
    <row r="16" spans="1:102" s="70" customFormat="1" ht="15.75" thickBot="1">
      <c r="A16" s="114" t="s">
        <v>18</v>
      </c>
      <c r="B16" s="183">
        <v>252</v>
      </c>
      <c r="C16" s="115"/>
      <c r="D16" s="251"/>
      <c r="E16" s="101">
        <v>15</v>
      </c>
      <c r="F16" s="116">
        <f t="shared" si="1"/>
        <v>-160.99409278006669</v>
      </c>
      <c r="G16" s="117">
        <f t="shared" si="1"/>
        <v>-160.99409278006669</v>
      </c>
      <c r="H16" s="118">
        <f t="shared" si="1"/>
        <v>-285.0038354206215</v>
      </c>
      <c r="I16" s="116">
        <f t="shared" si="1"/>
        <v>-207.21331895029766</v>
      </c>
      <c r="J16" s="117">
        <f t="shared" si="1"/>
        <v>-207.21331895029766</v>
      </c>
      <c r="K16" s="118">
        <f t="shared" si="1"/>
        <v>-435.59447702036982</v>
      </c>
      <c r="L16" s="233">
        <f>SUM(B14:B17)-L11</f>
        <v>-166.97956508032553</v>
      </c>
      <c r="M16" s="234"/>
      <c r="N16" s="117">
        <f t="shared" si="2"/>
        <v>-165.50594566605582</v>
      </c>
      <c r="O16" s="117">
        <f t="shared" si="2"/>
        <v>-672.0989966897439</v>
      </c>
      <c r="P16" s="233">
        <f>SUM(B14:B17)-P11</f>
        <v>-126.57792390550458</v>
      </c>
      <c r="Q16" s="234"/>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69"/>
      <c r="BD16" s="69"/>
      <c r="BE16" s="69"/>
      <c r="BF16" s="69"/>
      <c r="BG16" s="69"/>
      <c r="BH16" s="69"/>
      <c r="BI16" s="69"/>
      <c r="BJ16" s="69"/>
      <c r="BK16" s="69"/>
      <c r="BL16" s="69"/>
      <c r="BM16" s="69"/>
      <c r="BN16" s="69"/>
      <c r="BO16" s="69"/>
      <c r="BP16" s="69"/>
      <c r="BQ16" s="69"/>
      <c r="BR16" s="69"/>
      <c r="BS16" s="69"/>
      <c r="BT16" s="69"/>
      <c r="BU16" s="69"/>
      <c r="BV16" s="69"/>
      <c r="BW16" s="69"/>
      <c r="BX16" s="69"/>
      <c r="BY16" s="69"/>
      <c r="BZ16" s="69"/>
      <c r="CA16" s="69"/>
      <c r="CB16" s="69"/>
      <c r="CC16" s="69"/>
      <c r="CD16" s="69"/>
      <c r="CE16" s="69"/>
      <c r="CF16" s="69"/>
      <c r="CG16" s="69"/>
      <c r="CH16" s="69"/>
      <c r="CI16" s="69"/>
      <c r="CJ16" s="69"/>
      <c r="CK16" s="69"/>
      <c r="CL16" s="69"/>
      <c r="CM16" s="69"/>
      <c r="CN16" s="69"/>
      <c r="CO16" s="69"/>
      <c r="CP16" s="69"/>
      <c r="CQ16" s="69"/>
      <c r="CR16" s="69"/>
      <c r="CS16" s="69"/>
      <c r="CT16" s="69"/>
      <c r="CU16" s="69"/>
      <c r="CV16" s="69"/>
      <c r="CW16" s="69"/>
      <c r="CX16" s="69"/>
    </row>
    <row r="17" spans="1:102" s="70" customFormat="1" ht="15.75" thickBot="1">
      <c r="A17" s="114" t="s">
        <v>323</v>
      </c>
      <c r="B17" s="183">
        <v>212</v>
      </c>
      <c r="C17" s="119"/>
      <c r="D17" s="59"/>
      <c r="E17" s="120"/>
      <c r="F17" s="121"/>
      <c r="G17" s="121"/>
      <c r="H17" s="121"/>
      <c r="I17" s="121"/>
      <c r="J17" s="121"/>
      <c r="K17" s="121"/>
      <c r="L17" s="122"/>
      <c r="M17" s="122"/>
      <c r="N17" s="121"/>
      <c r="O17" s="121"/>
      <c r="P17" s="122"/>
      <c r="Q17" s="122"/>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69"/>
      <c r="BC17" s="69"/>
      <c r="BD17" s="69"/>
      <c r="BE17" s="69"/>
      <c r="BF17" s="69"/>
      <c r="BG17" s="69"/>
      <c r="BH17" s="69"/>
      <c r="BI17" s="69"/>
      <c r="BJ17" s="69"/>
      <c r="BK17" s="69"/>
      <c r="BL17" s="69"/>
      <c r="BM17" s="69"/>
      <c r="BN17" s="69"/>
      <c r="BO17" s="69"/>
      <c r="BP17" s="69"/>
      <c r="BQ17" s="69"/>
      <c r="BR17" s="69"/>
      <c r="BS17" s="69"/>
      <c r="BT17" s="69"/>
      <c r="BU17" s="69"/>
      <c r="BV17" s="69"/>
      <c r="BW17" s="69"/>
      <c r="BX17" s="69"/>
      <c r="BY17" s="69"/>
      <c r="BZ17" s="69"/>
      <c r="CA17" s="69"/>
      <c r="CB17" s="69"/>
      <c r="CC17" s="69"/>
      <c r="CD17" s="69"/>
      <c r="CE17" s="69"/>
      <c r="CF17" s="69"/>
      <c r="CG17" s="69"/>
      <c r="CH17" s="69"/>
      <c r="CI17" s="69"/>
      <c r="CJ17" s="69"/>
      <c r="CK17" s="69"/>
      <c r="CL17" s="69"/>
      <c r="CM17" s="69"/>
      <c r="CN17" s="69"/>
      <c r="CO17" s="69"/>
      <c r="CP17" s="69"/>
      <c r="CQ17" s="69"/>
      <c r="CR17" s="69"/>
      <c r="CS17" s="69"/>
      <c r="CT17" s="69"/>
      <c r="CU17" s="69"/>
      <c r="CV17" s="69"/>
      <c r="CW17" s="69"/>
      <c r="CX17" s="69"/>
    </row>
    <row r="18" spans="1:102" s="70" customFormat="1" ht="15.75" thickBot="1">
      <c r="A18" s="123" t="s">
        <v>324</v>
      </c>
      <c r="B18" s="186">
        <f>SUM(M66:M73)</f>
        <v>0</v>
      </c>
      <c r="C18" s="27"/>
      <c r="D18" s="59"/>
      <c r="E18" s="120"/>
      <c r="F18" s="121"/>
      <c r="G18" s="121"/>
      <c r="H18" s="121"/>
      <c r="I18" s="121"/>
      <c r="J18" s="121"/>
      <c r="K18" s="121"/>
      <c r="L18" s="122"/>
      <c r="M18" s="122"/>
      <c r="N18" s="121"/>
      <c r="O18" s="121"/>
      <c r="P18" s="122"/>
      <c r="Q18" s="122"/>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BD18" s="69"/>
      <c r="BE18" s="69"/>
      <c r="BF18" s="69"/>
      <c r="BG18" s="69"/>
      <c r="BH18" s="69"/>
      <c r="BI18" s="69"/>
      <c r="BJ18" s="69"/>
      <c r="BK18" s="69"/>
      <c r="BL18" s="69"/>
      <c r="BM18" s="69"/>
      <c r="BN18" s="69"/>
      <c r="BO18" s="69"/>
      <c r="BP18" s="69"/>
      <c r="BQ18" s="69"/>
      <c r="BR18" s="69"/>
      <c r="BS18" s="69"/>
      <c r="BT18" s="69"/>
      <c r="BU18" s="69"/>
      <c r="BV18" s="69"/>
      <c r="BW18" s="69"/>
      <c r="BX18" s="69"/>
      <c r="BY18" s="69"/>
      <c r="BZ18" s="69"/>
      <c r="CA18" s="69"/>
      <c r="CB18" s="69"/>
      <c r="CC18" s="69"/>
      <c r="CD18" s="69"/>
      <c r="CE18" s="69"/>
      <c r="CF18" s="69"/>
      <c r="CG18" s="69"/>
      <c r="CH18" s="69"/>
      <c r="CI18" s="69"/>
      <c r="CJ18" s="69"/>
      <c r="CK18" s="69"/>
      <c r="CL18" s="69"/>
      <c r="CM18" s="69"/>
      <c r="CN18" s="69"/>
      <c r="CO18" s="69"/>
      <c r="CP18" s="69"/>
      <c r="CQ18" s="69"/>
      <c r="CR18" s="69"/>
      <c r="CS18" s="69"/>
      <c r="CT18" s="69"/>
      <c r="CU18" s="69"/>
      <c r="CV18" s="69"/>
      <c r="CW18" s="69"/>
      <c r="CX18" s="69"/>
    </row>
    <row r="19" spans="1:102" s="70" customFormat="1" ht="20.25" customHeight="1" thickBot="1">
      <c r="A19" s="206" t="s">
        <v>124</v>
      </c>
      <c r="B19" s="205">
        <f>SUM(B14:B18)</f>
        <v>1622.66</v>
      </c>
      <c r="C19" s="28"/>
      <c r="D19" s="59"/>
      <c r="E19" s="120"/>
      <c r="F19" s="121"/>
      <c r="G19" s="261" t="s">
        <v>328</v>
      </c>
      <c r="H19" s="261"/>
      <c r="I19" s="261"/>
      <c r="J19" s="124" t="s">
        <v>317</v>
      </c>
      <c r="K19" s="3">
        <v>0</v>
      </c>
      <c r="L19" s="122"/>
      <c r="M19" s="122"/>
      <c r="N19" s="121"/>
      <c r="O19" s="121"/>
      <c r="P19" s="122"/>
      <c r="Q19" s="122"/>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69"/>
      <c r="BC19" s="69"/>
      <c r="BD19" s="69"/>
      <c r="BE19" s="69"/>
      <c r="BF19" s="69"/>
      <c r="BG19" s="69"/>
      <c r="BH19" s="69"/>
      <c r="BI19" s="69"/>
      <c r="BJ19" s="69"/>
      <c r="BK19" s="69"/>
      <c r="BL19" s="69"/>
      <c r="BM19" s="69"/>
      <c r="BN19" s="69"/>
      <c r="BO19" s="69"/>
      <c r="BP19" s="69"/>
      <c r="BQ19" s="69"/>
      <c r="BR19" s="69"/>
      <c r="BS19" s="69"/>
      <c r="BT19" s="69"/>
      <c r="BU19" s="69"/>
      <c r="BV19" s="69"/>
      <c r="BW19" s="69"/>
      <c r="BX19" s="69"/>
      <c r="BY19" s="69"/>
      <c r="BZ19" s="69"/>
      <c r="CA19" s="69"/>
      <c r="CB19" s="69"/>
      <c r="CC19" s="69"/>
      <c r="CD19" s="69"/>
      <c r="CE19" s="69"/>
      <c r="CF19" s="69"/>
      <c r="CG19" s="69"/>
      <c r="CH19" s="69"/>
      <c r="CI19" s="69"/>
      <c r="CJ19" s="69"/>
      <c r="CK19" s="69"/>
      <c r="CL19" s="69"/>
      <c r="CM19" s="69"/>
      <c r="CN19" s="69"/>
      <c r="CO19" s="69"/>
      <c r="CP19" s="69"/>
      <c r="CQ19" s="69"/>
      <c r="CR19" s="69"/>
      <c r="CS19" s="69"/>
      <c r="CT19" s="69"/>
      <c r="CU19" s="69"/>
      <c r="CV19" s="69"/>
      <c r="CW19" s="69"/>
      <c r="CX19" s="69"/>
    </row>
    <row r="20" spans="1:102" s="70" customFormat="1" ht="21">
      <c r="A20" s="125"/>
      <c r="B20" s="126"/>
      <c r="C20" s="126"/>
      <c r="D20" s="59"/>
      <c r="E20" s="120"/>
      <c r="F20" s="121"/>
      <c r="G20" s="8" t="s">
        <v>48</v>
      </c>
      <c r="H20" s="8" t="s">
        <v>49</v>
      </c>
      <c r="I20" s="8" t="s">
        <v>50</v>
      </c>
      <c r="J20" s="124" t="s">
        <v>318</v>
      </c>
      <c r="K20" s="3">
        <v>0</v>
      </c>
      <c r="L20" s="122"/>
      <c r="M20" s="122"/>
      <c r="N20" s="121"/>
      <c r="O20" s="121"/>
      <c r="P20" s="122"/>
      <c r="Q20" s="122"/>
      <c r="R20" s="69"/>
      <c r="S20" s="69"/>
      <c r="T20" s="69"/>
      <c r="U20" s="69"/>
      <c r="V20" s="69"/>
      <c r="W20" s="69"/>
      <c r="X20" s="69"/>
      <c r="Y20" s="69"/>
      <c r="Z20" s="69"/>
      <c r="AA20" s="69"/>
      <c r="AB20" s="69"/>
      <c r="AC20" s="69"/>
      <c r="AD20" s="69"/>
      <c r="AE20" s="69"/>
      <c r="AF20" s="69"/>
      <c r="AG20" s="69"/>
      <c r="AH20" s="69"/>
      <c r="AI20" s="69"/>
      <c r="AJ20" s="69"/>
      <c r="AK20" s="69"/>
      <c r="AL20" s="69"/>
      <c r="AM20" s="69"/>
      <c r="AN20" s="69"/>
      <c r="AO20" s="69"/>
      <c r="AP20" s="69"/>
      <c r="AQ20" s="69"/>
      <c r="AR20" s="69"/>
      <c r="AS20" s="69"/>
      <c r="AT20" s="69"/>
      <c r="AU20" s="69"/>
      <c r="AV20" s="69"/>
      <c r="AW20" s="69"/>
      <c r="AX20" s="69"/>
      <c r="AY20" s="69"/>
      <c r="AZ20" s="69"/>
      <c r="BA20" s="69"/>
      <c r="BB20" s="69"/>
      <c r="BC20" s="69"/>
      <c r="BD20" s="69"/>
      <c r="BE20" s="69"/>
      <c r="BF20" s="69"/>
      <c r="BG20" s="69"/>
      <c r="BH20" s="69"/>
      <c r="BI20" s="69"/>
      <c r="BJ20" s="69"/>
      <c r="BK20" s="69"/>
      <c r="BL20" s="69"/>
      <c r="BM20" s="69"/>
      <c r="BN20" s="69"/>
      <c r="BO20" s="69"/>
      <c r="BP20" s="69"/>
      <c r="BQ20" s="69"/>
      <c r="BR20" s="69"/>
      <c r="BS20" s="69"/>
      <c r="BT20" s="69"/>
      <c r="BU20" s="69"/>
      <c r="BV20" s="69"/>
      <c r="BW20" s="69"/>
      <c r="BX20" s="69"/>
      <c r="BY20" s="69"/>
      <c r="BZ20" s="69"/>
      <c r="CA20" s="69"/>
      <c r="CB20" s="69"/>
      <c r="CC20" s="69"/>
      <c r="CD20" s="69"/>
      <c r="CE20" s="69"/>
      <c r="CF20" s="69"/>
      <c r="CG20" s="69"/>
      <c r="CH20" s="69"/>
      <c r="CI20" s="69"/>
      <c r="CJ20" s="69"/>
      <c r="CK20" s="69"/>
      <c r="CL20" s="69"/>
      <c r="CM20" s="69"/>
      <c r="CN20" s="69"/>
      <c r="CO20" s="69"/>
      <c r="CP20" s="69"/>
      <c r="CQ20" s="69"/>
      <c r="CR20" s="69"/>
      <c r="CS20" s="69"/>
      <c r="CT20" s="69"/>
      <c r="CU20" s="69"/>
      <c r="CV20" s="69"/>
      <c r="CW20" s="69"/>
      <c r="CX20" s="69"/>
    </row>
    <row r="21" spans="1:102" s="132" customFormat="1" ht="15.75" customHeight="1" thickBot="1">
      <c r="A21" s="264" t="s">
        <v>332</v>
      </c>
      <c r="B21" s="264"/>
      <c r="C21" s="264"/>
      <c r="D21" s="264"/>
      <c r="E21" s="128"/>
      <c r="F21" s="129"/>
      <c r="G21" s="129"/>
      <c r="H21" s="129"/>
      <c r="I21" s="129"/>
      <c r="J21" s="129"/>
      <c r="K21" s="129"/>
      <c r="L21" s="129"/>
      <c r="M21" s="129"/>
      <c r="N21" s="129"/>
      <c r="O21" s="127"/>
      <c r="P21" s="30"/>
      <c r="Q21" s="129"/>
      <c r="R21" s="130"/>
      <c r="S21" s="130"/>
      <c r="T21" s="130"/>
      <c r="U21" s="130"/>
      <c r="V21" s="130"/>
      <c r="W21" s="130"/>
      <c r="X21" s="131"/>
      <c r="Y21" s="29"/>
      <c r="Z21" s="29"/>
      <c r="AA21" s="29"/>
      <c r="AB21" s="29"/>
      <c r="AC21" s="29"/>
      <c r="AD21" s="29"/>
      <c r="AE21" s="29"/>
      <c r="AF21" s="29"/>
      <c r="AG21" s="29" t="s">
        <v>32</v>
      </c>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row>
    <row r="22" spans="1:102" s="132" customFormat="1" ht="21.75" customHeight="1" thickBot="1">
      <c r="A22" s="264"/>
      <c r="B22" s="264"/>
      <c r="C22" s="264"/>
      <c r="D22" s="264"/>
      <c r="E22" s="127"/>
      <c r="F22" s="128"/>
      <c r="G22" s="133" t="s">
        <v>335</v>
      </c>
      <c r="H22" s="134"/>
      <c r="I22" s="134"/>
      <c r="J22" s="134"/>
      <c r="K22" s="135"/>
      <c r="L22" s="136"/>
      <c r="M22" s="137"/>
      <c r="N22" s="138"/>
      <c r="O22" s="127"/>
      <c r="P22" s="139"/>
      <c r="Q22" s="30"/>
      <c r="R22" s="29"/>
      <c r="S22" s="29"/>
      <c r="T22" s="29"/>
      <c r="U22" s="29"/>
      <c r="V22" s="29"/>
      <c r="W22" s="130"/>
      <c r="X22" s="131"/>
      <c r="Y22" s="29"/>
      <c r="Z22" s="29"/>
      <c r="AA22" s="29"/>
      <c r="AB22" s="29"/>
      <c r="AC22" s="29"/>
      <c r="AD22" s="29"/>
      <c r="AE22" s="29"/>
      <c r="AF22" s="29"/>
      <c r="AG22" s="140">
        <f>I24-100</f>
        <v>178900</v>
      </c>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row>
    <row r="23" spans="1:102" s="4" customFormat="1" ht="16.5" customHeight="1" thickBot="1">
      <c r="A23" s="264"/>
      <c r="B23" s="264"/>
      <c r="C23" s="264"/>
      <c r="D23" s="264"/>
      <c r="E23" s="141"/>
      <c r="F23" s="142"/>
      <c r="G23" s="5" t="s">
        <v>121</v>
      </c>
      <c r="H23" s="6" t="s">
        <v>122</v>
      </c>
      <c r="I23" s="1" t="s">
        <v>314</v>
      </c>
      <c r="J23" s="1" t="s">
        <v>313</v>
      </c>
      <c r="K23" s="1" t="s">
        <v>316</v>
      </c>
      <c r="L23" s="143"/>
      <c r="M23" s="143"/>
      <c r="N23" s="144"/>
      <c r="O23" s="141"/>
      <c r="P23" s="139"/>
      <c r="Q23" s="141"/>
      <c r="R23" s="145"/>
      <c r="S23" s="145"/>
      <c r="T23" s="145"/>
      <c r="U23" s="145"/>
      <c r="V23" s="145"/>
      <c r="W23" s="146"/>
      <c r="X23" s="147"/>
      <c r="Y23" s="145"/>
      <c r="Z23" s="145"/>
      <c r="AA23" s="145"/>
      <c r="AB23" s="145"/>
      <c r="AC23" s="145"/>
      <c r="AD23" s="145"/>
      <c r="AE23" s="145"/>
      <c r="AF23" s="145"/>
      <c r="AG23" s="148">
        <f>AG22-L1</f>
        <v>178900</v>
      </c>
      <c r="AH23" s="145"/>
      <c r="AI23" s="145"/>
      <c r="AJ23" s="145"/>
      <c r="AK23" s="145"/>
      <c r="AL23" s="145"/>
      <c r="AM23" s="145"/>
      <c r="AN23" s="145"/>
      <c r="AO23" s="145"/>
      <c r="AP23" s="145"/>
      <c r="AQ23" s="145"/>
      <c r="AR23" s="145"/>
      <c r="AS23" s="145"/>
      <c r="AT23" s="145"/>
      <c r="AU23" s="145"/>
      <c r="AV23" s="145"/>
      <c r="AW23" s="145"/>
      <c r="AX23" s="145"/>
      <c r="AY23" s="145"/>
      <c r="AZ23" s="145"/>
      <c r="BA23" s="145"/>
      <c r="BB23" s="145"/>
      <c r="BC23" s="145"/>
      <c r="BD23" s="145"/>
      <c r="BE23" s="145"/>
      <c r="BF23" s="145"/>
      <c r="BG23" s="145"/>
      <c r="BH23" s="145"/>
      <c r="BI23" s="145"/>
      <c r="BJ23" s="145"/>
      <c r="BK23" s="145"/>
      <c r="BL23" s="145"/>
      <c r="BM23" s="145"/>
      <c r="BN23" s="145"/>
      <c r="BO23" s="145"/>
      <c r="BP23" s="145"/>
      <c r="BQ23" s="145"/>
      <c r="BR23" s="145"/>
      <c r="BS23" s="145"/>
      <c r="BT23" s="145"/>
      <c r="BU23" s="145"/>
      <c r="BV23" s="145"/>
      <c r="BW23" s="145"/>
      <c r="BX23" s="145"/>
      <c r="BY23" s="145"/>
      <c r="BZ23" s="145"/>
      <c r="CA23" s="145"/>
      <c r="CB23" s="145"/>
      <c r="CC23" s="145"/>
      <c r="CD23" s="145"/>
      <c r="CE23" s="145"/>
      <c r="CF23" s="145"/>
      <c r="CG23" s="145"/>
      <c r="CH23" s="145"/>
      <c r="CI23" s="145"/>
      <c r="CJ23" s="145"/>
      <c r="CK23" s="145"/>
      <c r="CL23" s="145"/>
      <c r="CM23" s="145"/>
      <c r="CN23" s="145"/>
      <c r="CO23" s="145"/>
      <c r="CP23" s="145"/>
      <c r="CQ23" s="145"/>
      <c r="CR23" s="145"/>
      <c r="CS23" s="145"/>
      <c r="CT23" s="145"/>
      <c r="CU23" s="145"/>
      <c r="CV23" s="145"/>
      <c r="CW23" s="145"/>
      <c r="CX23" s="145"/>
    </row>
    <row r="24" spans="1:102" s="4" customFormat="1" ht="19.5" customHeight="1">
      <c r="A24" s="141"/>
      <c r="B24" s="141"/>
      <c r="C24" s="141"/>
      <c r="D24" s="141"/>
      <c r="E24" s="141"/>
      <c r="F24" s="142"/>
      <c r="G24" s="190" t="s">
        <v>306</v>
      </c>
      <c r="H24" s="209" t="s">
        <v>305</v>
      </c>
      <c r="I24" s="208">
        <f>B4</f>
        <v>179000</v>
      </c>
      <c r="J24" s="210">
        <f>SUM(B14:B17)</f>
        <v>1622.66</v>
      </c>
      <c r="K24" s="211" t="s">
        <v>36</v>
      </c>
      <c r="L24" s="143"/>
      <c r="M24" s="143"/>
      <c r="N24" s="141"/>
      <c r="O24" s="141"/>
      <c r="P24" s="139"/>
      <c r="Q24" s="141"/>
      <c r="R24" s="145"/>
      <c r="S24" s="145"/>
      <c r="T24" s="145"/>
      <c r="U24" s="145"/>
      <c r="V24" s="145"/>
      <c r="W24" s="146"/>
      <c r="X24" s="147"/>
      <c r="Y24" s="145"/>
      <c r="Z24" s="145"/>
      <c r="AA24" s="145"/>
      <c r="AB24" s="29"/>
      <c r="AC24" s="29"/>
      <c r="AD24" s="29"/>
      <c r="AE24" s="29"/>
      <c r="AF24" s="145"/>
      <c r="AG24" s="145"/>
      <c r="AH24" s="145"/>
      <c r="AI24" s="145"/>
      <c r="AJ24" s="145"/>
      <c r="AK24" s="145"/>
      <c r="AL24" s="145"/>
      <c r="AM24" s="145"/>
      <c r="AN24" s="145"/>
      <c r="AO24" s="145"/>
      <c r="AP24" s="145"/>
      <c r="AQ24" s="145"/>
      <c r="AR24" s="145"/>
      <c r="AS24" s="145"/>
      <c r="AT24" s="145"/>
      <c r="AU24" s="145"/>
      <c r="AV24" s="145"/>
      <c r="AW24" s="145"/>
      <c r="AX24" s="145"/>
      <c r="AY24" s="145"/>
      <c r="AZ24" s="145"/>
      <c r="BA24" s="145"/>
      <c r="BB24" s="145"/>
      <c r="BC24" s="145"/>
      <c r="BD24" s="145"/>
      <c r="BE24" s="145"/>
      <c r="BF24" s="145"/>
      <c r="BG24" s="145"/>
      <c r="BH24" s="145"/>
      <c r="BI24" s="145"/>
      <c r="BJ24" s="145"/>
      <c r="BK24" s="145"/>
      <c r="BL24" s="145"/>
      <c r="BM24" s="145"/>
      <c r="BN24" s="145"/>
      <c r="BO24" s="145"/>
      <c r="BP24" s="145"/>
      <c r="BQ24" s="145"/>
      <c r="BR24" s="145"/>
      <c r="BS24" s="145"/>
      <c r="BT24" s="145"/>
      <c r="BU24" s="145"/>
      <c r="BV24" s="145"/>
      <c r="BW24" s="145"/>
      <c r="BX24" s="145"/>
      <c r="BY24" s="145"/>
      <c r="BZ24" s="145"/>
      <c r="CA24" s="145"/>
      <c r="CB24" s="145"/>
      <c r="CC24" s="145"/>
      <c r="CD24" s="145"/>
      <c r="CE24" s="145"/>
      <c r="CF24" s="145"/>
      <c r="CG24" s="145"/>
      <c r="CH24" s="145"/>
      <c r="CI24" s="145"/>
      <c r="CJ24" s="145"/>
      <c r="CK24" s="145"/>
      <c r="CL24" s="145"/>
      <c r="CM24" s="145"/>
      <c r="CN24" s="145"/>
      <c r="CO24" s="145"/>
      <c r="CP24" s="145"/>
      <c r="CQ24" s="145"/>
      <c r="CR24" s="145"/>
      <c r="CS24" s="145"/>
      <c r="CT24" s="145"/>
      <c r="CU24" s="145"/>
      <c r="CV24" s="145"/>
      <c r="CW24" s="145"/>
      <c r="CX24" s="145"/>
    </row>
    <row r="25" spans="1:102" s="4" customFormat="1" ht="19.5" customHeight="1">
      <c r="A25" s="141"/>
      <c r="B25" s="141"/>
      <c r="C25" s="141"/>
      <c r="D25" s="141"/>
      <c r="E25" s="141"/>
      <c r="F25" s="142"/>
      <c r="G25" s="190"/>
      <c r="H25" s="191"/>
      <c r="I25" s="192"/>
      <c r="J25" s="193"/>
      <c r="K25" s="184"/>
      <c r="L25" s="143"/>
      <c r="M25" s="143"/>
      <c r="N25" s="141"/>
      <c r="O25" s="141"/>
      <c r="P25" s="139"/>
      <c r="Q25" s="141"/>
      <c r="R25" s="145"/>
      <c r="S25" s="145"/>
      <c r="T25" s="145"/>
      <c r="U25" s="145"/>
      <c r="V25" s="145"/>
      <c r="W25" s="146"/>
      <c r="X25" s="147"/>
      <c r="Y25" s="145"/>
      <c r="Z25" s="145"/>
      <c r="AA25" s="145"/>
      <c r="AB25" s="29"/>
      <c r="AC25" s="29" t="s">
        <v>37</v>
      </c>
      <c r="AD25" s="29" t="s">
        <v>38</v>
      </c>
      <c r="AE25" s="140">
        <f>D107*K19/100</f>
        <v>0</v>
      </c>
      <c r="AF25" s="145"/>
      <c r="AG25" s="145" t="s">
        <v>39</v>
      </c>
      <c r="AH25" s="145"/>
      <c r="AI25" s="145"/>
      <c r="AJ25" s="145"/>
      <c r="AK25" s="145"/>
      <c r="AL25" s="145"/>
      <c r="AM25" s="145"/>
      <c r="AN25" s="145"/>
      <c r="AO25" s="145"/>
      <c r="AP25" s="145"/>
      <c r="AQ25" s="145"/>
      <c r="AR25" s="145"/>
      <c r="AS25" s="145"/>
      <c r="AT25" s="145"/>
      <c r="AU25" s="145"/>
      <c r="AV25" s="145"/>
      <c r="AW25" s="145"/>
      <c r="AX25" s="145"/>
      <c r="AY25" s="145"/>
      <c r="AZ25" s="145"/>
      <c r="BA25" s="145"/>
      <c r="BB25" s="145"/>
      <c r="BC25" s="145"/>
      <c r="BD25" s="145"/>
      <c r="BE25" s="145"/>
      <c r="BF25" s="145"/>
      <c r="BG25" s="145"/>
      <c r="BH25" s="145"/>
      <c r="BI25" s="145"/>
      <c r="BJ25" s="145"/>
      <c r="BK25" s="145"/>
      <c r="BL25" s="145"/>
      <c r="BM25" s="145"/>
      <c r="BN25" s="145"/>
      <c r="BO25" s="145"/>
      <c r="BP25" s="145"/>
      <c r="BQ25" s="145"/>
      <c r="BR25" s="145"/>
      <c r="BS25" s="145"/>
      <c r="BT25" s="145"/>
      <c r="BU25" s="145"/>
      <c r="BV25" s="145"/>
      <c r="BW25" s="145"/>
      <c r="BX25" s="145"/>
      <c r="BY25" s="145"/>
      <c r="BZ25" s="145"/>
      <c r="CA25" s="145"/>
      <c r="CB25" s="145"/>
      <c r="CC25" s="145"/>
      <c r="CD25" s="145"/>
      <c r="CE25" s="145"/>
      <c r="CF25" s="145"/>
      <c r="CG25" s="145"/>
      <c r="CH25" s="145"/>
      <c r="CI25" s="145"/>
      <c r="CJ25" s="145"/>
      <c r="CK25" s="145"/>
      <c r="CL25" s="145"/>
      <c r="CM25" s="145"/>
      <c r="CN25" s="145"/>
      <c r="CO25" s="145"/>
      <c r="CP25" s="145"/>
      <c r="CQ25" s="145"/>
      <c r="CR25" s="145"/>
      <c r="CS25" s="145"/>
      <c r="CT25" s="145"/>
      <c r="CU25" s="145"/>
      <c r="CV25" s="145"/>
      <c r="CW25" s="145"/>
      <c r="CX25" s="145"/>
    </row>
    <row r="26" spans="1:102" s="4" customFormat="1" ht="18.75">
      <c r="A26" s="141"/>
      <c r="B26" s="141"/>
      <c r="C26" s="141"/>
      <c r="D26" s="141"/>
      <c r="E26" s="141"/>
      <c r="F26" s="142"/>
      <c r="G26" s="190"/>
      <c r="H26" s="191"/>
      <c r="I26" s="192"/>
      <c r="J26" s="193"/>
      <c r="K26" s="184"/>
      <c r="L26" s="149"/>
      <c r="M26" s="149"/>
      <c r="N26" s="141"/>
      <c r="O26" s="141"/>
      <c r="P26" s="141"/>
      <c r="Q26" s="141"/>
      <c r="R26" s="145"/>
      <c r="S26" s="145"/>
      <c r="T26" s="145"/>
      <c r="U26" s="145"/>
      <c r="V26" s="145"/>
      <c r="W26" s="146"/>
      <c r="X26" s="147"/>
      <c r="Y26" s="145"/>
      <c r="Z26" s="145"/>
      <c r="AA26" s="145"/>
      <c r="AB26" s="29" t="s">
        <v>40</v>
      </c>
      <c r="AC26" s="150" t="str">
        <f>IF(H107/B3&gt;0.95,H107*Picklists!L16/12," ")</f>
        <v xml:space="preserve"> </v>
      </c>
      <c r="AD26" s="29" t="s">
        <v>41</v>
      </c>
      <c r="AE26" s="140">
        <f>D109*K20/1200</f>
        <v>0</v>
      </c>
      <c r="AF26" s="145"/>
      <c r="AG26" s="151">
        <f>IF(M5&gt;15,(PMT(B212/12,(M5*12),-(((L6))))+B16+B15+AI40))</f>
        <v>1400.7837612690837</v>
      </c>
      <c r="AH26" s="145"/>
      <c r="AI26" s="145"/>
      <c r="AJ26" s="145"/>
      <c r="AK26" s="145"/>
      <c r="AL26" s="145"/>
      <c r="AM26" s="145"/>
      <c r="AN26" s="145"/>
      <c r="AO26" s="145"/>
      <c r="AP26" s="145"/>
      <c r="AQ26" s="145"/>
      <c r="AR26" s="145"/>
      <c r="AS26" s="145"/>
      <c r="AT26" s="145"/>
      <c r="AU26" s="145"/>
      <c r="AV26" s="145"/>
      <c r="AW26" s="145"/>
      <c r="AX26" s="145"/>
      <c r="AY26" s="145"/>
      <c r="AZ26" s="145"/>
      <c r="BA26" s="145"/>
      <c r="BB26" s="145"/>
      <c r="BC26" s="145"/>
      <c r="BD26" s="145"/>
      <c r="BE26" s="145"/>
      <c r="BF26" s="145"/>
      <c r="BG26" s="145"/>
      <c r="BH26" s="145"/>
      <c r="BI26" s="145"/>
      <c r="BJ26" s="145"/>
      <c r="BK26" s="145"/>
      <c r="BL26" s="145"/>
      <c r="BM26" s="145"/>
      <c r="BN26" s="145"/>
      <c r="BO26" s="145"/>
      <c r="BP26" s="145"/>
      <c r="BQ26" s="145"/>
      <c r="BR26" s="145"/>
      <c r="BS26" s="145"/>
      <c r="BT26" s="145"/>
      <c r="BU26" s="145"/>
      <c r="BV26" s="145"/>
      <c r="BW26" s="145"/>
      <c r="BX26" s="145"/>
      <c r="BY26" s="145"/>
      <c r="BZ26" s="145"/>
      <c r="CA26" s="145"/>
      <c r="CB26" s="145"/>
      <c r="CC26" s="145"/>
      <c r="CD26" s="145"/>
      <c r="CE26" s="145"/>
      <c r="CF26" s="145"/>
      <c r="CG26" s="145"/>
      <c r="CH26" s="145"/>
      <c r="CI26" s="145"/>
      <c r="CJ26" s="145"/>
      <c r="CK26" s="145"/>
      <c r="CL26" s="145"/>
      <c r="CM26" s="145"/>
      <c r="CN26" s="145"/>
      <c r="CO26" s="145"/>
      <c r="CP26" s="145"/>
      <c r="CQ26" s="145"/>
      <c r="CR26" s="145"/>
      <c r="CS26" s="145"/>
      <c r="CT26" s="145"/>
      <c r="CU26" s="145"/>
      <c r="CV26" s="145"/>
      <c r="CW26" s="145"/>
      <c r="CX26" s="145"/>
    </row>
    <row r="27" spans="1:102" s="4" customFormat="1" ht="18.75">
      <c r="A27" s="141"/>
      <c r="B27" s="141"/>
      <c r="C27" s="141"/>
      <c r="D27" s="141"/>
      <c r="E27" s="141"/>
      <c r="F27" s="142"/>
      <c r="G27" s="190"/>
      <c r="H27" s="191"/>
      <c r="I27" s="192"/>
      <c r="J27" s="193"/>
      <c r="K27" s="184"/>
      <c r="L27" s="149"/>
      <c r="M27" s="149"/>
      <c r="N27" s="141"/>
      <c r="O27" s="141"/>
      <c r="P27" s="141"/>
      <c r="Q27" s="141"/>
      <c r="R27" s="145"/>
      <c r="S27" s="145"/>
      <c r="T27" s="145"/>
      <c r="U27" s="145"/>
      <c r="V27" s="145"/>
      <c r="W27" s="146"/>
      <c r="X27" s="147"/>
      <c r="Y27" s="145"/>
      <c r="Z27" s="145"/>
      <c r="AA27" s="145"/>
      <c r="AB27" s="29" t="s">
        <v>42</v>
      </c>
      <c r="AC27" s="150">
        <f>IF(H107/B3&lt;=0.95,H112*Picklists!L17/12," ")</f>
        <v>124.85199833333333</v>
      </c>
      <c r="AD27" s="29"/>
      <c r="AE27" s="29"/>
      <c r="AF27" s="145"/>
      <c r="AG27" s="152" t="b">
        <f>IF(M5&lt;=15,(PMT(B212/12,(M5*12),-(((L6))))+B16+B15+AI43))</f>
        <v>0</v>
      </c>
      <c r="AH27" s="145"/>
      <c r="AI27" s="145"/>
      <c r="AJ27" s="145"/>
      <c r="AK27" s="145"/>
      <c r="AL27" s="145"/>
      <c r="AM27" s="145"/>
      <c r="AN27" s="145"/>
      <c r="AO27" s="145"/>
      <c r="AP27" s="145"/>
      <c r="AQ27" s="145"/>
      <c r="AR27" s="145"/>
      <c r="AS27" s="145"/>
      <c r="AT27" s="145"/>
      <c r="AU27" s="145"/>
      <c r="AV27" s="145"/>
      <c r="AW27" s="145"/>
      <c r="AX27" s="145"/>
      <c r="AY27" s="145"/>
      <c r="AZ27" s="145"/>
      <c r="BA27" s="145"/>
      <c r="BB27" s="145"/>
      <c r="BC27" s="145"/>
      <c r="BD27" s="145"/>
      <c r="BE27" s="145"/>
      <c r="BF27" s="145"/>
      <c r="BG27" s="145"/>
      <c r="BH27" s="145"/>
      <c r="BI27" s="145"/>
      <c r="BJ27" s="145"/>
      <c r="BK27" s="145"/>
      <c r="BL27" s="145"/>
      <c r="BM27" s="145"/>
      <c r="BN27" s="145"/>
      <c r="BO27" s="145"/>
      <c r="BP27" s="145"/>
      <c r="BQ27" s="145"/>
      <c r="BR27" s="145"/>
      <c r="BS27" s="145"/>
      <c r="BT27" s="145"/>
      <c r="BU27" s="145"/>
      <c r="BV27" s="145"/>
      <c r="BW27" s="145"/>
      <c r="BX27" s="145"/>
      <c r="BY27" s="145"/>
      <c r="BZ27" s="145"/>
      <c r="CA27" s="145"/>
      <c r="CB27" s="145"/>
      <c r="CC27" s="145"/>
      <c r="CD27" s="145"/>
      <c r="CE27" s="145"/>
      <c r="CF27" s="145"/>
      <c r="CG27" s="145"/>
      <c r="CH27" s="145"/>
      <c r="CI27" s="145"/>
      <c r="CJ27" s="145"/>
      <c r="CK27" s="145"/>
      <c r="CL27" s="145"/>
      <c r="CM27" s="145"/>
      <c r="CN27" s="145"/>
      <c r="CO27" s="145"/>
      <c r="CP27" s="145"/>
      <c r="CQ27" s="145"/>
      <c r="CR27" s="145"/>
      <c r="CS27" s="145"/>
      <c r="CT27" s="145"/>
      <c r="CU27" s="145"/>
      <c r="CV27" s="145"/>
      <c r="CW27" s="145"/>
      <c r="CX27" s="145"/>
    </row>
    <row r="28" spans="1:102" s="4" customFormat="1" ht="18.75">
      <c r="A28" s="141"/>
      <c r="B28" s="141"/>
      <c r="C28" s="141"/>
      <c r="D28" s="141"/>
      <c r="E28" s="141"/>
      <c r="F28" s="142"/>
      <c r="G28" s="190"/>
      <c r="H28" s="191"/>
      <c r="I28" s="192"/>
      <c r="J28" s="193"/>
      <c r="K28" s="184"/>
      <c r="L28" s="149"/>
      <c r="M28" s="149"/>
      <c r="N28" s="141"/>
      <c r="O28" s="141"/>
      <c r="P28" s="141"/>
      <c r="R28" s="145"/>
      <c r="S28" s="145"/>
      <c r="T28" s="145"/>
      <c r="U28" s="145"/>
      <c r="V28" s="145"/>
      <c r="W28" s="146"/>
      <c r="X28" s="147"/>
      <c r="Y28" s="145"/>
      <c r="Z28" s="145"/>
      <c r="AA28" s="145"/>
      <c r="AB28" s="29" t="s">
        <v>44</v>
      </c>
      <c r="AC28" s="150">
        <f>SUM(AC26:AC27)</f>
        <v>124.85199833333333</v>
      </c>
      <c r="AD28" s="29"/>
      <c r="AE28" s="29"/>
      <c r="AF28" s="145"/>
      <c r="AG28" s="148">
        <f>SUM(AG26:AG27)</f>
        <v>1400.7837612690837</v>
      </c>
      <c r="AH28" s="145"/>
      <c r="AI28" s="145"/>
      <c r="AJ28" s="145"/>
      <c r="AK28" s="145"/>
      <c r="AL28" s="145"/>
      <c r="AM28" s="145"/>
      <c r="AN28" s="145"/>
      <c r="AO28" s="145"/>
      <c r="AP28" s="145"/>
      <c r="AQ28" s="145"/>
      <c r="AR28" s="145"/>
      <c r="AS28" s="145"/>
      <c r="AT28" s="145"/>
      <c r="AU28" s="145"/>
      <c r="AV28" s="145"/>
      <c r="AW28" s="145"/>
      <c r="AX28" s="145"/>
      <c r="AY28" s="145"/>
      <c r="AZ28" s="145"/>
      <c r="BA28" s="145"/>
      <c r="BB28" s="145"/>
      <c r="BC28" s="145"/>
      <c r="BD28" s="145"/>
      <c r="BE28" s="145"/>
      <c r="BF28" s="145"/>
      <c r="BG28" s="145"/>
      <c r="BH28" s="145"/>
      <c r="BI28" s="145"/>
      <c r="BJ28" s="145"/>
      <c r="BK28" s="145"/>
      <c r="BL28" s="145"/>
      <c r="BM28" s="145"/>
      <c r="BN28" s="145"/>
      <c r="BO28" s="145"/>
      <c r="BP28" s="145"/>
      <c r="BQ28" s="145"/>
      <c r="BR28" s="145"/>
      <c r="BS28" s="145"/>
      <c r="BT28" s="145"/>
      <c r="BU28" s="145"/>
      <c r="BV28" s="145"/>
      <c r="BW28" s="145"/>
      <c r="BX28" s="145"/>
      <c r="BY28" s="145"/>
      <c r="BZ28" s="145"/>
      <c r="CA28" s="145"/>
      <c r="CB28" s="145"/>
      <c r="CC28" s="145"/>
      <c r="CD28" s="145"/>
      <c r="CE28" s="145"/>
      <c r="CF28" s="145"/>
      <c r="CG28" s="145"/>
      <c r="CH28" s="145"/>
      <c r="CI28" s="145"/>
      <c r="CJ28" s="145"/>
      <c r="CK28" s="145"/>
      <c r="CL28" s="145"/>
      <c r="CM28" s="145"/>
      <c r="CN28" s="145"/>
      <c r="CO28" s="145"/>
      <c r="CP28" s="145"/>
      <c r="CQ28" s="145"/>
      <c r="CR28" s="145"/>
      <c r="CS28" s="145"/>
      <c r="CT28" s="145"/>
      <c r="CU28" s="145"/>
      <c r="CV28" s="145"/>
      <c r="CW28" s="145"/>
      <c r="CX28" s="145"/>
    </row>
    <row r="29" spans="1:102" s="4" customFormat="1" ht="18.75">
      <c r="A29" s="141"/>
      <c r="B29" s="141"/>
      <c r="C29" s="141"/>
      <c r="D29" s="141"/>
      <c r="E29" s="141"/>
      <c r="F29" s="142"/>
      <c r="G29" s="190"/>
      <c r="H29" s="191"/>
      <c r="I29" s="192"/>
      <c r="J29" s="193"/>
      <c r="K29" s="184"/>
      <c r="L29" s="149"/>
      <c r="M29" s="149"/>
      <c r="N29" s="141"/>
      <c r="O29" s="141"/>
      <c r="P29" s="141"/>
      <c r="Q29" s="141"/>
      <c r="R29" s="145"/>
      <c r="S29" s="145"/>
      <c r="T29" s="145"/>
      <c r="U29" s="145"/>
      <c r="V29" s="145"/>
      <c r="W29" s="146"/>
      <c r="X29" s="147"/>
      <c r="Y29" s="145"/>
      <c r="Z29" s="145"/>
      <c r="AA29" s="145"/>
      <c r="AB29" s="29" t="s">
        <v>45</v>
      </c>
      <c r="AC29" s="150" t="str">
        <f>IF(H107/B3&gt;0.9,H107*Picklists!L18/12," ")</f>
        <v xml:space="preserve"> </v>
      </c>
      <c r="AD29" s="29"/>
      <c r="AE29" s="29"/>
      <c r="AF29" s="145"/>
      <c r="AG29" s="145"/>
      <c r="AH29" s="145"/>
      <c r="AI29" s="145"/>
      <c r="AJ29" s="145"/>
      <c r="AK29" s="145"/>
      <c r="AL29" s="145"/>
      <c r="AM29" s="145"/>
      <c r="AN29" s="145"/>
      <c r="AO29" s="145"/>
      <c r="AP29" s="145"/>
      <c r="AQ29" s="145"/>
      <c r="AR29" s="145"/>
      <c r="AS29" s="145"/>
      <c r="AT29" s="145"/>
      <c r="AU29" s="145"/>
      <c r="AV29" s="145"/>
      <c r="AW29" s="145"/>
      <c r="AX29" s="145"/>
      <c r="AY29" s="145"/>
      <c r="AZ29" s="145"/>
      <c r="BA29" s="145"/>
      <c r="BB29" s="145"/>
      <c r="BC29" s="145"/>
      <c r="BD29" s="145"/>
      <c r="BE29" s="145"/>
      <c r="BF29" s="145"/>
      <c r="BG29" s="145"/>
      <c r="BH29" s="145"/>
      <c r="BI29" s="145"/>
      <c r="BJ29" s="145"/>
      <c r="BK29" s="145"/>
      <c r="BL29" s="145"/>
      <c r="BM29" s="145"/>
      <c r="BN29" s="145"/>
      <c r="BO29" s="145"/>
      <c r="BP29" s="145"/>
      <c r="BQ29" s="145"/>
      <c r="BR29" s="145"/>
      <c r="BS29" s="145"/>
      <c r="BT29" s="145"/>
      <c r="BU29" s="145"/>
      <c r="BV29" s="145"/>
      <c r="BW29" s="145"/>
      <c r="BX29" s="145"/>
      <c r="BY29" s="145"/>
      <c r="BZ29" s="145"/>
      <c r="CA29" s="145"/>
      <c r="CB29" s="145"/>
      <c r="CC29" s="145"/>
      <c r="CD29" s="145"/>
      <c r="CE29" s="145"/>
      <c r="CF29" s="145"/>
      <c r="CG29" s="145"/>
      <c r="CH29" s="145"/>
      <c r="CI29" s="145"/>
      <c r="CJ29" s="145"/>
      <c r="CK29" s="145"/>
      <c r="CL29" s="145"/>
      <c r="CM29" s="145"/>
      <c r="CN29" s="145"/>
      <c r="CO29" s="145"/>
      <c r="CP29" s="145"/>
      <c r="CQ29" s="145"/>
      <c r="CR29" s="145"/>
      <c r="CS29" s="145"/>
      <c r="CT29" s="145"/>
      <c r="CU29" s="145"/>
      <c r="CV29" s="145"/>
      <c r="CW29" s="145"/>
      <c r="CX29" s="145"/>
    </row>
    <row r="30" spans="1:102" s="4" customFormat="1" ht="18.75">
      <c r="A30" s="141"/>
      <c r="B30" s="141"/>
      <c r="C30" s="141"/>
      <c r="D30" s="141"/>
      <c r="E30" s="141"/>
      <c r="F30" s="142"/>
      <c r="G30" s="190"/>
      <c r="H30" s="191"/>
      <c r="I30" s="192"/>
      <c r="J30" s="193"/>
      <c r="K30" s="184"/>
      <c r="L30" s="149"/>
      <c r="M30" s="149"/>
      <c r="N30" s="141"/>
      <c r="O30" s="141"/>
      <c r="P30" s="141"/>
      <c r="Q30" s="141"/>
      <c r="R30" s="145"/>
      <c r="S30" s="145"/>
      <c r="T30" s="145"/>
      <c r="U30" s="145"/>
      <c r="V30" s="145"/>
      <c r="W30" s="146"/>
      <c r="X30" s="147"/>
      <c r="Y30" s="145"/>
      <c r="Z30" s="145"/>
      <c r="AA30" s="145"/>
      <c r="AB30" s="29" t="s">
        <v>46</v>
      </c>
      <c r="AC30" s="150">
        <f>IF(H107/B3&lt;=0.9,H107*Picklists!L19/12," ")</f>
        <v>69.021374999999992</v>
      </c>
      <c r="AD30" s="29"/>
      <c r="AE30" s="29"/>
      <c r="AF30" s="145"/>
      <c r="AG30" s="145"/>
      <c r="AH30" s="145"/>
      <c r="AI30" s="145"/>
      <c r="AJ30" s="145"/>
      <c r="AK30" s="145"/>
      <c r="AL30" s="145"/>
      <c r="AM30" s="145"/>
      <c r="AN30" s="145"/>
      <c r="AO30" s="145"/>
      <c r="AP30" s="145"/>
      <c r="AQ30" s="145"/>
      <c r="AR30" s="145"/>
      <c r="AS30" s="145"/>
      <c r="AT30" s="145"/>
      <c r="AU30" s="145"/>
      <c r="AV30" s="145"/>
      <c r="AW30" s="145"/>
      <c r="AX30" s="145"/>
      <c r="AY30" s="145"/>
      <c r="AZ30" s="145"/>
      <c r="BA30" s="145"/>
      <c r="BB30" s="145"/>
      <c r="BC30" s="145"/>
      <c r="BD30" s="145"/>
      <c r="BE30" s="145"/>
      <c r="BF30" s="145"/>
      <c r="BG30" s="145"/>
      <c r="BH30" s="145"/>
      <c r="BI30" s="145"/>
      <c r="BJ30" s="145"/>
      <c r="BK30" s="145"/>
      <c r="BL30" s="145"/>
      <c r="BM30" s="145"/>
      <c r="BN30" s="145"/>
      <c r="BO30" s="145"/>
      <c r="BP30" s="145"/>
      <c r="BQ30" s="145"/>
      <c r="BR30" s="145"/>
      <c r="BS30" s="145"/>
      <c r="BT30" s="145"/>
      <c r="BU30" s="145"/>
      <c r="BV30" s="145"/>
      <c r="BW30" s="145"/>
      <c r="BX30" s="145"/>
      <c r="BY30" s="145"/>
      <c r="BZ30" s="145"/>
      <c r="CA30" s="145"/>
      <c r="CB30" s="145"/>
      <c r="CC30" s="145"/>
      <c r="CD30" s="145"/>
      <c r="CE30" s="145"/>
      <c r="CF30" s="145"/>
      <c r="CG30" s="145"/>
      <c r="CH30" s="145"/>
      <c r="CI30" s="145"/>
      <c r="CJ30" s="145"/>
      <c r="CK30" s="145"/>
      <c r="CL30" s="145"/>
      <c r="CM30" s="145"/>
      <c r="CN30" s="145"/>
      <c r="CO30" s="145"/>
      <c r="CP30" s="145"/>
      <c r="CQ30" s="145"/>
      <c r="CR30" s="145"/>
      <c r="CS30" s="145"/>
      <c r="CT30" s="145"/>
      <c r="CU30" s="145"/>
      <c r="CV30" s="145"/>
      <c r="CW30" s="145"/>
      <c r="CX30" s="145"/>
    </row>
    <row r="31" spans="1:102" s="4" customFormat="1" ht="18.75">
      <c r="A31" s="141"/>
      <c r="B31" s="141"/>
      <c r="C31" s="141"/>
      <c r="D31" s="141"/>
      <c r="E31" s="141"/>
      <c r="F31" s="142"/>
      <c r="G31" s="190"/>
      <c r="H31" s="191"/>
      <c r="I31" s="192"/>
      <c r="J31" s="193"/>
      <c r="K31" s="184"/>
      <c r="L31" s="149"/>
      <c r="M31" s="149"/>
      <c r="N31" s="141"/>
      <c r="O31" s="141"/>
      <c r="P31" s="141"/>
      <c r="Q31" s="141"/>
      <c r="R31" s="145"/>
      <c r="S31" s="145"/>
      <c r="T31" s="145"/>
      <c r="U31" s="145"/>
      <c r="V31" s="145"/>
      <c r="W31" s="146"/>
      <c r="X31" s="147"/>
      <c r="Y31" s="145"/>
      <c r="Z31" s="145"/>
      <c r="AA31" s="145"/>
      <c r="AB31" s="29" t="s">
        <v>47</v>
      </c>
      <c r="AC31" s="140">
        <f>SUM(AC29:AC30)</f>
        <v>69.021374999999992</v>
      </c>
      <c r="AD31" s="29"/>
      <c r="AE31" s="29"/>
      <c r="AF31" s="145"/>
      <c r="AG31" s="145"/>
      <c r="AH31" s="145"/>
      <c r="AI31" s="145"/>
      <c r="AJ31" s="145"/>
      <c r="AK31" s="145"/>
      <c r="AL31" s="145"/>
      <c r="AM31" s="145"/>
      <c r="AN31" s="145"/>
      <c r="AO31" s="145"/>
      <c r="AP31" s="145"/>
      <c r="AQ31" s="145"/>
      <c r="AR31" s="145"/>
      <c r="AS31" s="145"/>
      <c r="AT31" s="145"/>
      <c r="AU31" s="145"/>
      <c r="AV31" s="145"/>
      <c r="AW31" s="145"/>
      <c r="AX31" s="145"/>
      <c r="AY31" s="145"/>
      <c r="AZ31" s="145"/>
      <c r="BA31" s="145"/>
      <c r="BB31" s="145"/>
      <c r="BC31" s="145"/>
      <c r="BD31" s="145"/>
      <c r="BE31" s="145"/>
      <c r="BF31" s="145"/>
      <c r="BG31" s="145"/>
      <c r="BH31" s="145"/>
      <c r="BI31" s="145"/>
      <c r="BJ31" s="145"/>
      <c r="BK31" s="145"/>
      <c r="BL31" s="145"/>
      <c r="BM31" s="145"/>
      <c r="BN31" s="145"/>
      <c r="BO31" s="145"/>
      <c r="BP31" s="145"/>
      <c r="BQ31" s="145"/>
      <c r="BR31" s="145"/>
      <c r="BS31" s="145"/>
      <c r="BT31" s="145"/>
      <c r="BU31" s="145"/>
      <c r="BV31" s="145"/>
      <c r="BW31" s="145"/>
      <c r="BX31" s="145"/>
      <c r="BY31" s="145"/>
      <c r="BZ31" s="145"/>
      <c r="CA31" s="145"/>
      <c r="CB31" s="145"/>
      <c r="CC31" s="145"/>
      <c r="CD31" s="145"/>
      <c r="CE31" s="145"/>
      <c r="CF31" s="145"/>
      <c r="CG31" s="145"/>
      <c r="CH31" s="145"/>
      <c r="CI31" s="145"/>
      <c r="CJ31" s="145"/>
      <c r="CK31" s="145"/>
      <c r="CL31" s="145"/>
      <c r="CM31" s="145"/>
      <c r="CN31" s="145"/>
      <c r="CO31" s="145"/>
      <c r="CP31" s="145"/>
      <c r="CQ31" s="145"/>
      <c r="CR31" s="145"/>
      <c r="CS31" s="145"/>
      <c r="CT31" s="145"/>
      <c r="CU31" s="145"/>
      <c r="CV31" s="145"/>
      <c r="CW31" s="145"/>
      <c r="CX31" s="145"/>
    </row>
    <row r="32" spans="1:102" s="4" customFormat="1" ht="19.5" thickBot="1">
      <c r="A32" s="141"/>
      <c r="B32" s="141"/>
      <c r="C32" s="141"/>
      <c r="D32" s="141"/>
      <c r="E32" s="141"/>
      <c r="F32" s="142"/>
      <c r="G32" s="194"/>
      <c r="H32" s="195"/>
      <c r="I32" s="196"/>
      <c r="J32" s="197"/>
      <c r="K32" s="185"/>
      <c r="L32" s="149"/>
      <c r="M32" s="149"/>
      <c r="N32" s="141"/>
      <c r="O32" s="141"/>
      <c r="P32" s="141"/>
      <c r="Q32" s="141"/>
      <c r="R32" s="145"/>
      <c r="S32" s="145"/>
      <c r="T32" s="145"/>
      <c r="U32" s="145"/>
      <c r="V32" s="145"/>
      <c r="W32" s="146"/>
      <c r="X32" s="147"/>
      <c r="Y32" s="145"/>
      <c r="Z32" s="145"/>
      <c r="AA32" s="145"/>
      <c r="AB32" s="29"/>
      <c r="AC32" s="29"/>
      <c r="AD32" s="29"/>
      <c r="AE32" s="29"/>
      <c r="AF32" s="145"/>
      <c r="AG32" s="145"/>
      <c r="AH32" s="145"/>
      <c r="AI32" s="145"/>
      <c r="AJ32" s="145"/>
      <c r="AK32" s="145"/>
      <c r="AL32" s="145"/>
      <c r="AM32" s="145"/>
      <c r="AN32" s="145"/>
      <c r="AO32" s="145"/>
      <c r="AP32" s="145"/>
      <c r="AQ32" s="145"/>
      <c r="AR32" s="145"/>
      <c r="AS32" s="145"/>
      <c r="AT32" s="145"/>
      <c r="AU32" s="145"/>
      <c r="AV32" s="145"/>
      <c r="AW32" s="145"/>
      <c r="AX32" s="145"/>
      <c r="AY32" s="145"/>
      <c r="AZ32" s="145"/>
      <c r="BA32" s="145"/>
      <c r="BB32" s="145"/>
      <c r="BC32" s="145"/>
      <c r="BD32" s="145"/>
      <c r="BE32" s="145"/>
      <c r="BF32" s="145"/>
      <c r="BG32" s="145"/>
      <c r="BH32" s="145"/>
      <c r="BI32" s="145"/>
      <c r="BJ32" s="145"/>
      <c r="BK32" s="145"/>
      <c r="BL32" s="145"/>
      <c r="BM32" s="145"/>
      <c r="BN32" s="145"/>
      <c r="BO32" s="145"/>
      <c r="BP32" s="145"/>
      <c r="BQ32" s="145"/>
      <c r="BR32" s="145"/>
      <c r="BS32" s="145"/>
      <c r="BT32" s="145"/>
      <c r="BU32" s="145"/>
      <c r="BV32" s="145"/>
      <c r="BW32" s="145"/>
      <c r="BX32" s="145"/>
      <c r="BY32" s="145"/>
      <c r="BZ32" s="145"/>
      <c r="CA32" s="145"/>
      <c r="CB32" s="145"/>
      <c r="CC32" s="145"/>
      <c r="CD32" s="145"/>
      <c r="CE32" s="145"/>
      <c r="CF32" s="145"/>
      <c r="CG32" s="145"/>
      <c r="CH32" s="145"/>
      <c r="CI32" s="145"/>
      <c r="CJ32" s="145"/>
      <c r="CK32" s="145"/>
      <c r="CL32" s="145"/>
      <c r="CM32" s="145"/>
      <c r="CN32" s="145"/>
      <c r="CO32" s="145"/>
      <c r="CP32" s="145"/>
      <c r="CQ32" s="145"/>
      <c r="CR32" s="145"/>
      <c r="CS32" s="145"/>
      <c r="CT32" s="145"/>
      <c r="CU32" s="145"/>
      <c r="CV32" s="145"/>
      <c r="CW32" s="145"/>
      <c r="CX32" s="145"/>
    </row>
    <row r="33" spans="5:102" s="127" customFormat="1" ht="15.75">
      <c r="E33" s="153"/>
      <c r="F33" s="129"/>
      <c r="G33" s="129"/>
      <c r="H33" s="129"/>
      <c r="I33" s="129"/>
      <c r="J33" s="129"/>
      <c r="K33" s="129"/>
      <c r="L33" s="129"/>
      <c r="M33" s="129"/>
      <c r="R33" s="29"/>
      <c r="S33" s="29"/>
      <c r="T33" s="29"/>
      <c r="U33" s="29"/>
      <c r="V33" s="29"/>
      <c r="W33" s="130"/>
      <c r="X33" s="131"/>
      <c r="Y33" s="29"/>
      <c r="Z33" s="29"/>
      <c r="AA33" s="145"/>
      <c r="AB33" s="29"/>
      <c r="AC33" s="29"/>
      <c r="AD33" s="29"/>
      <c r="AE33" s="29"/>
      <c r="AF33" s="145"/>
      <c r="AG33" s="145"/>
      <c r="AH33" s="145"/>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row>
    <row r="34" spans="5:102" s="29" customFormat="1" ht="15.75">
      <c r="M34" s="130"/>
      <c r="N34" s="130"/>
      <c r="O34" s="130"/>
      <c r="P34" s="130"/>
      <c r="Q34" s="130"/>
      <c r="R34" s="130"/>
      <c r="S34" s="130"/>
      <c r="T34" s="130"/>
      <c r="U34" s="130"/>
      <c r="V34" s="130"/>
      <c r="W34" s="130"/>
      <c r="X34" s="131"/>
      <c r="AB34" s="145"/>
      <c r="AG34" s="145"/>
      <c r="AH34" s="145"/>
      <c r="AI34" s="145"/>
    </row>
    <row r="35" spans="5:102" s="29" customFormat="1" ht="15.75">
      <c r="M35" s="130"/>
      <c r="N35" s="130"/>
      <c r="O35" s="130"/>
      <c r="P35" s="130"/>
      <c r="Q35" s="130"/>
      <c r="R35" s="130"/>
      <c r="S35" s="130"/>
      <c r="T35" s="130"/>
      <c r="U35" s="130"/>
      <c r="V35" s="130"/>
      <c r="W35" s="130"/>
      <c r="X35" s="131"/>
      <c r="AB35" s="145"/>
      <c r="AG35" s="145"/>
    </row>
    <row r="36" spans="5:102" s="29" customFormat="1">
      <c r="F36" s="130"/>
      <c r="G36" s="130"/>
      <c r="H36" s="130"/>
      <c r="I36" s="130"/>
      <c r="J36" s="130"/>
      <c r="K36" s="130"/>
      <c r="L36" s="130"/>
      <c r="M36" s="130"/>
      <c r="N36" s="130"/>
      <c r="O36" s="130"/>
      <c r="P36" s="130"/>
      <c r="Q36" s="130"/>
      <c r="R36" s="130"/>
      <c r="S36" s="130"/>
      <c r="T36" s="130"/>
      <c r="U36" s="130"/>
      <c r="V36" s="130"/>
      <c r="W36" s="130"/>
      <c r="X36" s="131"/>
    </row>
    <row r="37" spans="5:102" s="29" customFormat="1" ht="21">
      <c r="J37" s="154"/>
      <c r="L37" s="155"/>
      <c r="M37" s="155"/>
      <c r="O37" s="130"/>
      <c r="P37" s="130"/>
      <c r="Q37" s="130"/>
      <c r="R37" s="130"/>
      <c r="S37" s="130"/>
      <c r="T37" s="130"/>
      <c r="U37" s="130"/>
      <c r="V37" s="130"/>
      <c r="W37" s="130"/>
      <c r="X37" s="131"/>
      <c r="AD37" s="29" t="s">
        <v>51</v>
      </c>
      <c r="AH37" s="268" t="s">
        <v>52</v>
      </c>
      <c r="AI37" s="268"/>
    </row>
    <row r="38" spans="5:102" s="29" customFormat="1">
      <c r="S38" s="130"/>
      <c r="T38" s="130"/>
      <c r="U38" s="130"/>
      <c r="V38" s="130"/>
      <c r="W38" s="130"/>
      <c r="X38" s="131"/>
      <c r="AC38" s="29" t="s">
        <v>53</v>
      </c>
      <c r="AD38" s="140">
        <f>B3*0.85*Picklists!L17/12</f>
        <v>141.66666666666666</v>
      </c>
      <c r="AH38" s="29" t="s">
        <v>40</v>
      </c>
      <c r="AI38" s="150" t="str">
        <f>IF(AG23/B3&gt;0.95,L6*Picklists!L16/12," ")</f>
        <v xml:space="preserve"> </v>
      </c>
    </row>
    <row r="39" spans="5:102" s="29" customFormat="1">
      <c r="S39" s="130"/>
      <c r="T39" s="130"/>
      <c r="U39" s="130"/>
      <c r="V39" s="130"/>
      <c r="W39" s="130"/>
      <c r="X39" s="131"/>
      <c r="AC39" s="29" t="s">
        <v>56</v>
      </c>
      <c r="AD39" s="140">
        <f>B3*0.85*Picklists!L19/12</f>
        <v>79.687499999999986</v>
      </c>
      <c r="AH39" s="29" t="s">
        <v>42</v>
      </c>
      <c r="AI39" s="150">
        <f>IF(AG23/B3&lt;=0.95,L6*Picklists!L17/12," ")</f>
        <v>121.35383333333334</v>
      </c>
    </row>
    <row r="40" spans="5:102" s="29" customFormat="1" ht="21.75" customHeight="1">
      <c r="T40" s="130"/>
      <c r="U40" s="130"/>
      <c r="V40" s="130"/>
      <c r="W40" s="130"/>
      <c r="X40" s="131"/>
      <c r="AH40" s="29" t="s">
        <v>44</v>
      </c>
      <c r="AI40" s="150">
        <f>SUM(AI38:AI39)</f>
        <v>121.35383333333334</v>
      </c>
    </row>
    <row r="41" spans="5:102" s="29" customFormat="1" ht="23.25" customHeight="1">
      <c r="T41" s="130"/>
      <c r="U41" s="130"/>
      <c r="V41" s="130"/>
      <c r="W41" s="130"/>
      <c r="X41" s="131"/>
      <c r="AH41" s="29" t="s">
        <v>45</v>
      </c>
      <c r="AI41" s="150" t="str">
        <f>IF(AG23/B3&gt;0.9,L6*Picklists!L18/12," ")</f>
        <v xml:space="preserve"> </v>
      </c>
    </row>
    <row r="42" spans="5:102" s="29" customFormat="1">
      <c r="F42" s="131"/>
      <c r="G42" s="130"/>
      <c r="H42" s="130"/>
      <c r="I42" s="130"/>
      <c r="J42" s="130"/>
      <c r="K42" s="130"/>
      <c r="L42" s="130"/>
      <c r="M42" s="130"/>
      <c r="N42" s="130"/>
      <c r="X42" s="130"/>
      <c r="Y42" s="131"/>
      <c r="AH42" s="29" t="s">
        <v>46</v>
      </c>
      <c r="AI42" s="150">
        <f>IF(AG23/B3&lt;=0.9,L6*Picklists!L19/12," ")</f>
        <v>68.26153124999999</v>
      </c>
    </row>
    <row r="43" spans="5:102" s="29" customFormat="1">
      <c r="F43" s="131"/>
      <c r="G43" s="130"/>
      <c r="H43" s="130"/>
      <c r="I43" s="130"/>
      <c r="J43" s="130"/>
      <c r="K43" s="130"/>
      <c r="L43" s="130"/>
      <c r="M43" s="130"/>
      <c r="N43" s="130"/>
      <c r="X43" s="130"/>
      <c r="Y43" s="131"/>
      <c r="AH43" s="29" t="s">
        <v>47</v>
      </c>
      <c r="AI43" s="140">
        <f>SUM(AI41:AI42)</f>
        <v>68.26153124999999</v>
      </c>
    </row>
    <row r="44" spans="5:102" s="29" customFormat="1">
      <c r="F44" s="131"/>
      <c r="G44" s="130"/>
      <c r="H44" s="130"/>
      <c r="I44" s="130"/>
      <c r="J44" s="130"/>
      <c r="K44" s="130"/>
      <c r="L44" s="130"/>
      <c r="M44" s="130"/>
      <c r="N44" s="130"/>
      <c r="X44" s="130"/>
      <c r="Y44" s="131"/>
    </row>
    <row r="45" spans="5:102" s="29" customFormat="1">
      <c r="F45" s="131"/>
      <c r="G45" s="130"/>
      <c r="H45" s="130"/>
      <c r="I45" s="130"/>
      <c r="J45" s="130"/>
      <c r="K45" s="130"/>
      <c r="L45" s="130"/>
      <c r="M45" s="130"/>
      <c r="N45" s="130"/>
      <c r="X45" s="130"/>
      <c r="Y45" s="131"/>
    </row>
    <row r="46" spans="5:102" s="29" customFormat="1">
      <c r="F46" s="131"/>
      <c r="G46" s="130"/>
      <c r="H46" s="130"/>
      <c r="I46" s="130"/>
      <c r="J46" s="130"/>
      <c r="K46" s="130"/>
      <c r="L46" s="130"/>
      <c r="M46" s="130"/>
      <c r="N46" s="130"/>
      <c r="X46" s="130"/>
      <c r="Y46" s="131"/>
    </row>
    <row r="47" spans="5:102" s="29" customFormat="1">
      <c r="F47" s="131"/>
      <c r="G47" s="130"/>
      <c r="H47" s="130"/>
      <c r="I47" s="130"/>
      <c r="J47" s="130"/>
      <c r="K47" s="130"/>
      <c r="L47" s="130"/>
      <c r="M47" s="130"/>
      <c r="N47" s="130"/>
      <c r="X47" s="130"/>
      <c r="Y47" s="131"/>
    </row>
    <row r="48" spans="5:102" s="29" customFormat="1">
      <c r="F48" s="131"/>
      <c r="G48" s="130"/>
      <c r="H48" s="130"/>
      <c r="I48" s="130"/>
      <c r="J48" s="130"/>
      <c r="K48" s="130"/>
      <c r="L48" s="130"/>
      <c r="M48" s="130"/>
      <c r="N48" s="130"/>
      <c r="X48" s="130"/>
      <c r="Y48" s="131"/>
    </row>
    <row r="49" spans="6:25" s="29" customFormat="1">
      <c r="F49" s="131"/>
      <c r="G49" s="130"/>
      <c r="H49" s="130"/>
      <c r="I49" s="130"/>
      <c r="J49" s="130"/>
      <c r="K49" s="130"/>
      <c r="L49" s="130"/>
      <c r="M49" s="130"/>
      <c r="N49" s="130"/>
      <c r="X49" s="130"/>
      <c r="Y49" s="131"/>
    </row>
    <row r="50" spans="6:25" s="29" customFormat="1">
      <c r="F50" s="131"/>
      <c r="G50" s="130"/>
      <c r="H50" s="130"/>
      <c r="I50" s="130"/>
      <c r="J50" s="130"/>
      <c r="K50" s="130"/>
      <c r="L50" s="130"/>
      <c r="M50" s="130"/>
      <c r="N50" s="130"/>
      <c r="X50" s="130"/>
      <c r="Y50" s="131"/>
    </row>
    <row r="51" spans="6:25" s="29" customFormat="1">
      <c r="F51" s="131"/>
      <c r="G51" s="130"/>
      <c r="H51" s="130"/>
      <c r="I51" s="130"/>
      <c r="J51" s="130"/>
      <c r="K51" s="130"/>
      <c r="L51" s="130"/>
      <c r="M51" s="130"/>
      <c r="N51" s="130"/>
      <c r="X51" s="130"/>
      <c r="Y51" s="131"/>
    </row>
    <row r="52" spans="6:25" s="29" customFormat="1">
      <c r="F52" s="131"/>
      <c r="G52" s="130"/>
      <c r="H52" s="130"/>
      <c r="I52" s="130"/>
      <c r="J52" s="130"/>
      <c r="K52" s="130"/>
      <c r="L52" s="130"/>
      <c r="M52" s="130"/>
      <c r="N52" s="130"/>
      <c r="X52" s="130"/>
      <c r="Y52" s="131"/>
    </row>
    <row r="53" spans="6:25" s="29" customFormat="1">
      <c r="F53" s="131"/>
      <c r="G53" s="130"/>
      <c r="H53" s="130"/>
      <c r="I53" s="130"/>
      <c r="J53" s="130"/>
      <c r="K53" s="130"/>
      <c r="L53" s="130"/>
      <c r="M53" s="130"/>
      <c r="N53" s="130"/>
      <c r="X53" s="130"/>
      <c r="Y53" s="131"/>
    </row>
    <row r="54" spans="6:25" s="29" customFormat="1">
      <c r="F54" s="131"/>
      <c r="G54" s="130"/>
      <c r="H54" s="130"/>
      <c r="I54" s="130"/>
      <c r="J54" s="130"/>
      <c r="K54" s="130"/>
      <c r="L54" s="130"/>
      <c r="M54" s="130"/>
      <c r="N54" s="130"/>
      <c r="X54" s="130"/>
      <c r="Y54" s="131"/>
    </row>
    <row r="55" spans="6:25" s="29" customFormat="1">
      <c r="F55" s="131"/>
      <c r="G55" s="130"/>
      <c r="H55" s="130"/>
      <c r="I55" s="130"/>
      <c r="J55" s="130"/>
      <c r="K55" s="130"/>
      <c r="L55" s="130"/>
      <c r="M55" s="130"/>
      <c r="N55" s="130"/>
      <c r="X55" s="130"/>
      <c r="Y55" s="131"/>
    </row>
    <row r="56" spans="6:25" s="29" customFormat="1">
      <c r="F56" s="131"/>
      <c r="G56" s="130"/>
      <c r="H56" s="130"/>
      <c r="I56" s="130"/>
      <c r="J56" s="130"/>
      <c r="K56" s="130"/>
      <c r="L56" s="130"/>
      <c r="M56" s="130"/>
      <c r="N56" s="130"/>
      <c r="X56" s="130"/>
      <c r="Y56" s="131"/>
    </row>
    <row r="57" spans="6:25" s="29" customFormat="1">
      <c r="F57" s="131"/>
      <c r="G57" s="130"/>
      <c r="H57" s="130"/>
      <c r="I57" s="130"/>
      <c r="J57" s="130"/>
      <c r="K57" s="130"/>
      <c r="L57" s="130"/>
      <c r="M57" s="130"/>
      <c r="N57" s="130"/>
      <c r="X57" s="130"/>
      <c r="Y57" s="131"/>
    </row>
    <row r="58" spans="6:25" s="29" customFormat="1">
      <c r="F58" s="131"/>
      <c r="G58" s="130"/>
      <c r="H58" s="130"/>
      <c r="I58" s="130"/>
      <c r="J58" s="130"/>
      <c r="K58" s="130"/>
      <c r="L58" s="130"/>
      <c r="M58" s="130"/>
      <c r="N58" s="130"/>
      <c r="X58" s="130"/>
      <c r="Y58" s="131"/>
    </row>
    <row r="59" spans="6:25" s="29" customFormat="1">
      <c r="F59" s="131"/>
      <c r="G59" s="130"/>
      <c r="H59" s="130"/>
      <c r="I59" s="130"/>
      <c r="J59" s="130"/>
      <c r="K59" s="130"/>
      <c r="L59" s="130"/>
      <c r="M59" s="130"/>
      <c r="N59" s="130"/>
      <c r="X59" s="130"/>
      <c r="Y59" s="131"/>
    </row>
    <row r="60" spans="6:25" s="29" customFormat="1">
      <c r="F60" s="131"/>
      <c r="G60" s="130"/>
      <c r="H60" s="130"/>
      <c r="I60" s="130"/>
      <c r="J60" s="130"/>
      <c r="K60" s="130"/>
      <c r="L60" s="130"/>
      <c r="M60" s="130"/>
      <c r="N60" s="130"/>
      <c r="X60" s="130"/>
      <c r="Y60" s="131"/>
    </row>
    <row r="61" spans="6:25" s="29" customFormat="1">
      <c r="F61" s="131"/>
      <c r="G61" s="130"/>
      <c r="H61" s="130"/>
      <c r="I61" s="130"/>
      <c r="J61" s="130"/>
      <c r="K61" s="130"/>
      <c r="L61" s="130"/>
      <c r="M61" s="130"/>
      <c r="N61" s="130"/>
      <c r="X61" s="130"/>
      <c r="Y61" s="131"/>
    </row>
    <row r="62" spans="6:25" s="29" customFormat="1">
      <c r="F62" s="131"/>
      <c r="G62" s="130"/>
      <c r="H62" s="130"/>
      <c r="I62" s="130"/>
      <c r="J62" s="130"/>
      <c r="K62" s="130"/>
      <c r="L62" s="130"/>
      <c r="M62" s="130"/>
      <c r="N62" s="130"/>
      <c r="X62" s="130"/>
      <c r="Y62" s="131"/>
    </row>
    <row r="63" spans="6:25" s="29" customFormat="1" ht="21">
      <c r="F63" s="131"/>
      <c r="G63" s="154"/>
      <c r="H63" s="154"/>
      <c r="I63" s="154"/>
      <c r="L63" s="130"/>
      <c r="M63" s="130"/>
      <c r="N63" s="130"/>
      <c r="X63" s="130"/>
      <c r="Y63" s="131"/>
    </row>
    <row r="64" spans="6:25" s="29" customFormat="1" ht="21">
      <c r="F64" s="131"/>
      <c r="G64" s="156"/>
      <c r="H64" s="31" t="s">
        <v>70</v>
      </c>
      <c r="I64" s="31" t="s">
        <v>35</v>
      </c>
      <c r="J64" s="31" t="s">
        <v>71</v>
      </c>
      <c r="K64" s="145"/>
      <c r="L64" s="31" t="s">
        <v>72</v>
      </c>
      <c r="M64" s="31" t="s">
        <v>73</v>
      </c>
      <c r="N64" s="146"/>
      <c r="O64" s="130"/>
      <c r="P64" s="31"/>
      <c r="Q64" s="31"/>
      <c r="S64" s="31"/>
      <c r="T64" s="130"/>
      <c r="U64" s="130"/>
      <c r="V64" s="130"/>
      <c r="W64" s="130"/>
      <c r="X64" s="130"/>
      <c r="Y64" s="131"/>
    </row>
    <row r="65" spans="1:25" s="29" customFormat="1" ht="21">
      <c r="F65" s="131"/>
      <c r="G65" s="156"/>
      <c r="H65" s="29">
        <f>IF(K24&lt;&gt;"X",J24,0)</f>
        <v>0</v>
      </c>
      <c r="I65" s="29" t="e">
        <f>IF(#REF!="X",0,J24)</f>
        <v>#REF!</v>
      </c>
      <c r="J65" s="29" t="e">
        <f>IF(OR(H65&lt;1,I65&lt;1),0,J24)</f>
        <v>#REF!</v>
      </c>
      <c r="K65" s="145"/>
      <c r="L65" s="33">
        <f t="shared" ref="L65:L73" si="3">IF(K24="X",I24,0)</f>
        <v>179000</v>
      </c>
      <c r="M65" s="29">
        <f t="shared" ref="M65:M73" si="4">IF(K24="X",J24,0)</f>
        <v>1622.66</v>
      </c>
      <c r="N65" s="146"/>
      <c r="O65" s="130"/>
      <c r="P65" s="31"/>
      <c r="Q65" s="31"/>
      <c r="S65" s="31"/>
      <c r="T65" s="130"/>
      <c r="U65" s="130"/>
      <c r="V65" s="130"/>
      <c r="W65" s="130"/>
      <c r="X65" s="130"/>
      <c r="Y65" s="131"/>
    </row>
    <row r="66" spans="1:25" s="29" customFormat="1" ht="21">
      <c r="F66" s="131"/>
      <c r="G66" s="156"/>
      <c r="H66" s="29">
        <f>IF(K25&lt;&gt;"X",J25,0)</f>
        <v>0</v>
      </c>
      <c r="I66" s="29" t="e">
        <f>IF(#REF!="X",0,J25)</f>
        <v>#REF!</v>
      </c>
      <c r="J66" s="29" t="e">
        <f>IF(OR(H66&lt;1,I66&lt;1),0,J25)</f>
        <v>#REF!</v>
      </c>
      <c r="K66" s="145"/>
      <c r="L66" s="33">
        <f t="shared" si="3"/>
        <v>0</v>
      </c>
      <c r="M66" s="29">
        <f t="shared" si="4"/>
        <v>0</v>
      </c>
      <c r="N66" s="146"/>
      <c r="O66" s="130"/>
      <c r="P66" s="31"/>
      <c r="Q66" s="31"/>
      <c r="S66" s="31"/>
      <c r="T66" s="130"/>
      <c r="U66" s="130"/>
      <c r="V66" s="130"/>
      <c r="W66" s="130"/>
      <c r="X66" s="130"/>
      <c r="Y66" s="131"/>
    </row>
    <row r="67" spans="1:25" s="29" customFormat="1" ht="15.75">
      <c r="F67" s="131"/>
      <c r="G67" s="146"/>
      <c r="K67" s="145"/>
      <c r="L67" s="33">
        <f t="shared" si="3"/>
        <v>0</v>
      </c>
      <c r="M67" s="29">
        <f t="shared" si="4"/>
        <v>0</v>
      </c>
      <c r="N67" s="146"/>
      <c r="O67" s="130"/>
      <c r="P67" s="31"/>
      <c r="Q67" s="31"/>
      <c r="S67" s="31"/>
      <c r="T67" s="130"/>
      <c r="U67" s="130"/>
      <c r="V67" s="130"/>
      <c r="W67" s="130"/>
      <c r="X67" s="130"/>
      <c r="Y67" s="131"/>
    </row>
    <row r="68" spans="1:25" s="29" customFormat="1" ht="15.75">
      <c r="F68" s="131"/>
      <c r="G68" s="146"/>
      <c r="H68" s="29">
        <f t="shared" ref="H68:H74" si="5">IF(K26&lt;&gt;"X",J26,0)</f>
        <v>0</v>
      </c>
      <c r="I68" s="29" t="e">
        <f>IF(#REF!="X",0,J26)</f>
        <v>#REF!</v>
      </c>
      <c r="J68" s="29" t="e">
        <f t="shared" ref="J68:J74" si="6">IF(OR(H68&lt;1,I68&lt;1),0,J26)</f>
        <v>#REF!</v>
      </c>
      <c r="K68" s="145"/>
      <c r="L68" s="33">
        <f t="shared" si="3"/>
        <v>0</v>
      </c>
      <c r="M68" s="29">
        <f t="shared" si="4"/>
        <v>0</v>
      </c>
      <c r="N68" s="146"/>
      <c r="O68" s="130"/>
      <c r="P68" s="31"/>
      <c r="Q68" s="31"/>
      <c r="S68" s="31"/>
      <c r="T68" s="130"/>
      <c r="U68" s="130"/>
      <c r="V68" s="130"/>
      <c r="W68" s="130"/>
      <c r="X68" s="130"/>
      <c r="Y68" s="131"/>
    </row>
    <row r="69" spans="1:25" s="29" customFormat="1" ht="15.75">
      <c r="F69" s="131"/>
      <c r="G69" s="146"/>
      <c r="H69" s="29">
        <f t="shared" si="5"/>
        <v>0</v>
      </c>
      <c r="I69" s="29" t="e">
        <f>IF(#REF!="X",0,J27)</f>
        <v>#REF!</v>
      </c>
      <c r="J69" s="29" t="e">
        <f t="shared" si="6"/>
        <v>#REF!</v>
      </c>
      <c r="K69" s="146"/>
      <c r="L69" s="33">
        <f t="shared" si="3"/>
        <v>0</v>
      </c>
      <c r="M69" s="29">
        <f t="shared" si="4"/>
        <v>0</v>
      </c>
      <c r="N69" s="146"/>
      <c r="O69" s="130"/>
      <c r="P69" s="31"/>
      <c r="Q69" s="31"/>
      <c r="S69" s="31"/>
      <c r="T69" s="130"/>
      <c r="U69" s="130"/>
      <c r="V69" s="130"/>
      <c r="W69" s="130"/>
      <c r="X69" s="130"/>
      <c r="Y69" s="131"/>
    </row>
    <row r="70" spans="1:25" s="29" customFormat="1" ht="15.75">
      <c r="F70" s="131"/>
      <c r="G70" s="146"/>
      <c r="H70" s="29">
        <f t="shared" si="5"/>
        <v>0</v>
      </c>
      <c r="I70" s="29" t="e">
        <f>IF(#REF!="X",0,J28)</f>
        <v>#REF!</v>
      </c>
      <c r="J70" s="29" t="e">
        <f t="shared" si="6"/>
        <v>#REF!</v>
      </c>
      <c r="K70" s="146"/>
      <c r="L70" s="33">
        <f t="shared" si="3"/>
        <v>0</v>
      </c>
      <c r="M70" s="29">
        <f t="shared" si="4"/>
        <v>0</v>
      </c>
      <c r="N70" s="146"/>
      <c r="O70" s="130"/>
      <c r="P70" s="31"/>
      <c r="Q70" s="31"/>
      <c r="S70" s="31"/>
      <c r="T70" s="130"/>
      <c r="U70" s="130"/>
      <c r="V70" s="130"/>
      <c r="W70" s="130"/>
      <c r="X70" s="130"/>
      <c r="Y70" s="131"/>
    </row>
    <row r="71" spans="1:25" s="29" customFormat="1" ht="15.75">
      <c r="F71" s="131"/>
      <c r="G71" s="146"/>
      <c r="H71" s="29">
        <f t="shared" si="5"/>
        <v>0</v>
      </c>
      <c r="I71" s="29" t="e">
        <f>IF(#REF!="X",0,J29)</f>
        <v>#REF!</v>
      </c>
      <c r="J71" s="29" t="e">
        <f t="shared" si="6"/>
        <v>#REF!</v>
      </c>
      <c r="K71" s="146"/>
      <c r="L71" s="33">
        <f t="shared" si="3"/>
        <v>0</v>
      </c>
      <c r="M71" s="29">
        <f t="shared" si="4"/>
        <v>0</v>
      </c>
      <c r="N71" s="146"/>
      <c r="O71" s="130"/>
      <c r="P71" s="31"/>
      <c r="Q71" s="31"/>
      <c r="S71" s="31"/>
      <c r="T71" s="130"/>
      <c r="U71" s="130"/>
      <c r="V71" s="130"/>
      <c r="W71" s="130"/>
      <c r="X71" s="130"/>
      <c r="Y71" s="131"/>
    </row>
    <row r="72" spans="1:25" s="29" customFormat="1" ht="15.75">
      <c r="F72" s="131"/>
      <c r="G72" s="146"/>
      <c r="H72" s="29">
        <f t="shared" si="5"/>
        <v>0</v>
      </c>
      <c r="I72" s="29" t="e">
        <f>IF(#REF!="X",0,J30)</f>
        <v>#REF!</v>
      </c>
      <c r="J72" s="29" t="e">
        <f t="shared" si="6"/>
        <v>#REF!</v>
      </c>
      <c r="K72" s="146"/>
      <c r="L72" s="33">
        <f t="shared" si="3"/>
        <v>0</v>
      </c>
      <c r="M72" s="29">
        <f t="shared" si="4"/>
        <v>0</v>
      </c>
      <c r="N72" s="146"/>
      <c r="O72" s="130"/>
      <c r="P72" s="31"/>
      <c r="Q72" s="31"/>
      <c r="S72" s="31"/>
      <c r="T72" s="130"/>
      <c r="U72" s="130"/>
      <c r="V72" s="130"/>
      <c r="W72" s="130"/>
      <c r="X72" s="130"/>
      <c r="Y72" s="131"/>
    </row>
    <row r="73" spans="1:25" s="29" customFormat="1" ht="15.75">
      <c r="A73" s="157"/>
      <c r="B73" s="157"/>
      <c r="C73" s="157"/>
      <c r="D73" s="157"/>
      <c r="E73" s="157"/>
      <c r="F73" s="131"/>
      <c r="G73" s="146"/>
      <c r="H73" s="29">
        <f t="shared" si="5"/>
        <v>0</v>
      </c>
      <c r="I73" s="29" t="e">
        <f>IF(#REF!="X",0,J31)</f>
        <v>#REF!</v>
      </c>
      <c r="J73" s="29" t="e">
        <f t="shared" si="6"/>
        <v>#REF!</v>
      </c>
      <c r="K73" s="146"/>
      <c r="L73" s="33">
        <f t="shared" si="3"/>
        <v>0</v>
      </c>
      <c r="M73" s="29">
        <f t="shared" si="4"/>
        <v>0</v>
      </c>
      <c r="N73" s="146"/>
      <c r="O73" s="130"/>
      <c r="P73" s="31"/>
      <c r="Q73" s="31"/>
      <c r="S73" s="31"/>
      <c r="T73" s="130"/>
      <c r="U73" s="130"/>
      <c r="V73" s="130"/>
      <c r="W73" s="130"/>
      <c r="X73" s="130"/>
      <c r="Y73" s="131"/>
    </row>
    <row r="74" spans="1:25" s="29" customFormat="1">
      <c r="A74" s="157"/>
      <c r="B74" s="157"/>
      <c r="C74" s="157"/>
      <c r="D74" s="157"/>
      <c r="E74" s="157"/>
      <c r="F74" s="131"/>
      <c r="G74" s="130"/>
      <c r="H74" s="29">
        <f t="shared" si="5"/>
        <v>0</v>
      </c>
      <c r="I74" s="29" t="e">
        <f>IF(#REF!="X",0,J32)</f>
        <v>#REF!</v>
      </c>
      <c r="J74" s="29" t="e">
        <f t="shared" si="6"/>
        <v>#REF!</v>
      </c>
      <c r="K74" s="130"/>
      <c r="L74" s="31">
        <f>SUM(L65:L73)</f>
        <v>179000</v>
      </c>
      <c r="M74" s="31">
        <f>SUM(M65:M73)</f>
        <v>1622.66</v>
      </c>
      <c r="N74" s="130"/>
      <c r="O74" s="130"/>
      <c r="P74" s="31"/>
      <c r="Q74" s="31"/>
      <c r="S74" s="31"/>
      <c r="T74" s="130"/>
      <c r="U74" s="130"/>
      <c r="V74" s="130"/>
      <c r="W74" s="130"/>
      <c r="X74" s="130"/>
      <c r="Y74" s="131"/>
    </row>
    <row r="75" spans="1:25" s="29" customFormat="1">
      <c r="A75" s="157"/>
      <c r="B75" s="157"/>
      <c r="C75" s="157"/>
      <c r="D75" s="157"/>
      <c r="E75" s="157"/>
      <c r="F75" s="131"/>
      <c r="G75" s="130"/>
      <c r="H75" s="31">
        <f>SUM(H65:H74)</f>
        <v>0</v>
      </c>
      <c r="J75" s="31" t="e">
        <f>SUM(J65:J74)</f>
        <v>#REF!</v>
      </c>
      <c r="K75" s="130"/>
      <c r="L75" s="130"/>
      <c r="M75" s="130"/>
      <c r="N75" s="130"/>
      <c r="O75" s="130"/>
      <c r="P75" s="31"/>
      <c r="Q75" s="31"/>
      <c r="S75" s="31"/>
      <c r="T75" s="130"/>
      <c r="U75" s="130"/>
      <c r="V75" s="130"/>
      <c r="W75" s="130"/>
      <c r="X75" s="130"/>
      <c r="Y75" s="131"/>
    </row>
    <row r="76" spans="1:25" s="29" customFormat="1">
      <c r="A76" s="157"/>
      <c r="B76" s="157"/>
      <c r="C76" s="157"/>
      <c r="D76" s="157"/>
      <c r="E76" s="157"/>
      <c r="F76" s="131"/>
      <c r="G76" s="130"/>
      <c r="H76" s="31"/>
      <c r="J76" s="31"/>
      <c r="K76" s="130"/>
      <c r="L76" s="130"/>
      <c r="M76" s="130"/>
      <c r="N76" s="130"/>
      <c r="O76" s="130"/>
      <c r="P76" s="31"/>
      <c r="Q76" s="31"/>
      <c r="S76" s="31"/>
      <c r="T76" s="130"/>
      <c r="U76" s="130"/>
      <c r="V76" s="130"/>
      <c r="W76" s="130"/>
      <c r="X76" s="130"/>
      <c r="Y76" s="131"/>
    </row>
    <row r="77" spans="1:25" s="29" customFormat="1">
      <c r="A77" s="157"/>
      <c r="B77" s="157"/>
      <c r="C77" s="157"/>
      <c r="D77" s="157"/>
      <c r="E77" s="157"/>
      <c r="F77" s="131"/>
      <c r="G77" s="130"/>
      <c r="H77" s="31"/>
      <c r="J77" s="31"/>
      <c r="K77" s="130"/>
      <c r="L77" s="130"/>
      <c r="M77" s="130"/>
      <c r="N77" s="130"/>
      <c r="O77" s="130"/>
      <c r="P77" s="31"/>
      <c r="Q77" s="31"/>
      <c r="S77" s="31"/>
      <c r="T77" s="130"/>
      <c r="U77" s="130"/>
      <c r="V77" s="130"/>
      <c r="W77" s="130"/>
      <c r="X77" s="130"/>
      <c r="Y77" s="131"/>
    </row>
    <row r="78" spans="1:25" s="29" customFormat="1">
      <c r="E78" s="131"/>
      <c r="F78" s="130"/>
      <c r="G78" s="130"/>
      <c r="H78" s="130"/>
      <c r="I78" s="130"/>
      <c r="J78" s="130"/>
      <c r="K78" s="130"/>
      <c r="L78" s="130"/>
      <c r="M78" s="130"/>
      <c r="N78" s="130"/>
      <c r="O78" s="130"/>
      <c r="P78" s="130"/>
      <c r="Q78" s="130"/>
      <c r="R78" s="130"/>
      <c r="S78" s="130"/>
      <c r="T78" s="130"/>
      <c r="U78" s="130"/>
      <c r="V78" s="130"/>
      <c r="W78" s="130"/>
      <c r="X78" s="131"/>
    </row>
    <row r="79" spans="1:25" s="29" customFormat="1">
      <c r="E79" s="131"/>
      <c r="F79" s="130"/>
      <c r="G79" s="130"/>
      <c r="H79" s="130"/>
      <c r="I79" s="130"/>
      <c r="J79" s="130"/>
      <c r="K79" s="130"/>
      <c r="L79" s="130"/>
      <c r="M79" s="130"/>
      <c r="N79" s="130"/>
      <c r="O79" s="130"/>
      <c r="P79" s="130"/>
      <c r="Q79" s="130"/>
      <c r="R79" s="130"/>
      <c r="S79" s="130"/>
      <c r="T79" s="130"/>
      <c r="U79" s="130"/>
      <c r="V79" s="130"/>
      <c r="W79" s="130"/>
      <c r="X79" s="131"/>
    </row>
    <row r="80" spans="1:25" s="29" customFormat="1">
      <c r="A80" s="157"/>
      <c r="B80" s="157"/>
      <c r="C80" s="157"/>
      <c r="D80" s="157"/>
      <c r="E80" s="157"/>
      <c r="F80" s="131"/>
      <c r="G80" s="130"/>
      <c r="H80" s="130"/>
      <c r="I80" s="130"/>
      <c r="J80" s="130"/>
      <c r="K80" s="130"/>
      <c r="L80" s="130"/>
      <c r="M80" s="130"/>
      <c r="N80" s="130"/>
      <c r="O80" s="130"/>
      <c r="P80" s="31"/>
      <c r="Q80" s="31"/>
      <c r="S80" s="31"/>
      <c r="T80" s="130"/>
      <c r="U80" s="130"/>
      <c r="V80" s="130"/>
      <c r="W80" s="130"/>
      <c r="X80" s="130"/>
      <c r="Y80" s="131"/>
    </row>
    <row r="81" spans="1:35" s="29" customFormat="1">
      <c r="A81" s="157"/>
      <c r="B81" s="157"/>
      <c r="C81" s="157"/>
      <c r="D81" s="157"/>
      <c r="E81" s="157"/>
      <c r="F81" s="131"/>
      <c r="G81" s="130"/>
      <c r="H81" s="130"/>
      <c r="I81" s="130"/>
      <c r="J81" s="130"/>
      <c r="K81" s="130"/>
      <c r="L81" s="130"/>
      <c r="M81" s="130"/>
      <c r="N81" s="130"/>
      <c r="O81" s="130"/>
      <c r="P81" s="31"/>
      <c r="Q81" s="31"/>
      <c r="S81" s="31"/>
      <c r="T81" s="130"/>
      <c r="U81" s="130"/>
      <c r="V81" s="130"/>
      <c r="W81" s="130"/>
      <c r="X81" s="130"/>
      <c r="Y81" s="131"/>
      <c r="AI81" s="140"/>
    </row>
    <row r="82" spans="1:35" s="29" customFormat="1">
      <c r="A82" s="157"/>
      <c r="B82" s="157"/>
      <c r="C82" s="157"/>
      <c r="D82" s="157"/>
      <c r="E82" s="157"/>
      <c r="F82" s="131"/>
      <c r="G82" s="130"/>
      <c r="H82" s="130"/>
      <c r="I82" s="130"/>
      <c r="J82" s="130"/>
      <c r="K82" s="130"/>
      <c r="N82" s="130"/>
      <c r="O82" s="31"/>
      <c r="R82" s="31"/>
      <c r="S82" s="130"/>
      <c r="T82" s="130"/>
      <c r="U82" s="130"/>
      <c r="V82" s="130"/>
      <c r="W82" s="130"/>
      <c r="X82" s="131"/>
    </row>
    <row r="83" spans="1:35" s="29" customFormat="1">
      <c r="A83" s="157"/>
      <c r="B83" s="157"/>
      <c r="C83" s="157"/>
      <c r="D83" s="157"/>
      <c r="E83" s="157"/>
      <c r="F83" s="131"/>
      <c r="G83" s="130"/>
      <c r="H83" s="130"/>
      <c r="I83" s="130"/>
      <c r="J83" s="130"/>
      <c r="K83" s="130"/>
      <c r="N83" s="130"/>
      <c r="O83" s="130"/>
      <c r="R83" s="31"/>
      <c r="S83" s="130"/>
      <c r="T83" s="130"/>
      <c r="U83" s="130"/>
      <c r="V83" s="130"/>
      <c r="W83" s="130"/>
      <c r="X83" s="131"/>
    </row>
    <row r="84" spans="1:35" s="29" customFormat="1">
      <c r="A84" s="157"/>
      <c r="B84" s="157"/>
      <c r="C84" s="157"/>
      <c r="D84" s="157"/>
      <c r="E84" s="157"/>
      <c r="F84" s="131"/>
      <c r="G84" s="130"/>
      <c r="H84" s="130"/>
      <c r="I84" s="130"/>
      <c r="J84" s="130"/>
      <c r="K84" s="130"/>
      <c r="N84" s="130"/>
      <c r="O84" s="31"/>
      <c r="R84" s="31"/>
      <c r="S84" s="130"/>
      <c r="T84" s="130"/>
      <c r="U84" s="130"/>
      <c r="V84" s="130"/>
      <c r="W84" s="130"/>
      <c r="X84" s="131"/>
    </row>
    <row r="85" spans="1:35" s="29" customFormat="1">
      <c r="A85" s="157"/>
      <c r="B85" s="157"/>
      <c r="C85" s="157"/>
      <c r="D85" s="157"/>
      <c r="E85" s="157"/>
      <c r="F85" s="131"/>
      <c r="G85" s="130"/>
      <c r="H85" s="130"/>
      <c r="I85" s="130"/>
      <c r="J85" s="130"/>
      <c r="K85" s="31"/>
      <c r="L85" s="130"/>
      <c r="M85" s="31"/>
      <c r="N85" s="130"/>
      <c r="O85" s="130"/>
      <c r="P85" s="130"/>
      <c r="Q85" s="130"/>
      <c r="R85" s="130"/>
      <c r="S85" s="130"/>
      <c r="T85" s="131"/>
    </row>
    <row r="86" spans="1:35" s="29" customFormat="1" ht="21">
      <c r="A86" s="157"/>
      <c r="B86" s="157"/>
      <c r="C86" s="157"/>
      <c r="D86" s="157"/>
      <c r="E86" s="157"/>
      <c r="F86" s="131"/>
      <c r="G86" s="130"/>
      <c r="H86" s="130"/>
      <c r="I86" s="130"/>
      <c r="J86" s="130"/>
      <c r="K86" s="31"/>
      <c r="M86" s="31"/>
      <c r="N86" s="130"/>
      <c r="O86" s="130"/>
      <c r="P86" s="130"/>
      <c r="Q86" s="130"/>
      <c r="R86" s="130"/>
      <c r="S86" s="130"/>
      <c r="T86" s="131"/>
      <c r="X86" s="158"/>
      <c r="Y86" s="158"/>
      <c r="Z86" s="269" t="s">
        <v>74</v>
      </c>
      <c r="AA86" s="269"/>
    </row>
    <row r="87" spans="1:35" s="29" customFormat="1" ht="18.75">
      <c r="A87" s="159" t="s">
        <v>33</v>
      </c>
      <c r="B87" s="159"/>
      <c r="C87" s="159"/>
      <c r="D87" s="159"/>
      <c r="E87" s="159"/>
      <c r="F87" s="271" t="s">
        <v>4</v>
      </c>
      <c r="G87" s="271"/>
      <c r="H87" s="271"/>
      <c r="I87" s="271"/>
      <c r="J87" s="271" t="s">
        <v>5</v>
      </c>
      <c r="K87" s="271"/>
      <c r="L87" s="271"/>
      <c r="M87" s="271"/>
      <c r="N87" s="155"/>
      <c r="O87" s="155"/>
      <c r="P87" s="131"/>
      <c r="Q87" s="131"/>
      <c r="W87" s="146" t="s">
        <v>75</v>
      </c>
      <c r="X87" s="146" t="str">
        <f>IF(AND(G9="CONV",G10="R/T"),J9*'[1]DROPDOWN KEY'!H53," ")</f>
        <v xml:space="preserve"> </v>
      </c>
    </row>
    <row r="88" spans="1:35" s="29" customFormat="1" ht="15.75">
      <c r="A88" s="34" t="s">
        <v>76</v>
      </c>
      <c r="B88" s="34"/>
      <c r="C88" s="34"/>
      <c r="D88" s="229" t="s">
        <v>77</v>
      </c>
      <c r="E88" s="229"/>
      <c r="F88" s="34" t="s">
        <v>76</v>
      </c>
      <c r="G88" s="34"/>
      <c r="H88" s="229" t="s">
        <v>77</v>
      </c>
      <c r="I88" s="229"/>
      <c r="J88" s="34" t="s">
        <v>76</v>
      </c>
      <c r="K88" s="34"/>
      <c r="L88" s="229" t="s">
        <v>77</v>
      </c>
      <c r="M88" s="229"/>
      <c r="U88" s="146" t="s">
        <v>78</v>
      </c>
      <c r="V88" s="146" t="str">
        <f>IF(AND(G9="CONV",G10="Cashout"),J9*'[1]DROPDOWN KEY'!H54," ")</f>
        <v xml:space="preserve"> </v>
      </c>
    </row>
    <row r="89" spans="1:35" s="29" customFormat="1" ht="15.75">
      <c r="A89" s="34" t="s">
        <v>79</v>
      </c>
      <c r="B89" s="35">
        <f>SUM(L65:L73)</f>
        <v>179000</v>
      </c>
      <c r="C89" s="35"/>
      <c r="D89" s="31" t="s">
        <v>80</v>
      </c>
      <c r="E89" s="36">
        <f>B89</f>
        <v>179000</v>
      </c>
      <c r="F89" s="34" t="s">
        <v>79</v>
      </c>
      <c r="G89" s="35">
        <f>SUM(L65:L73)</f>
        <v>179000</v>
      </c>
      <c r="H89" s="31" t="s">
        <v>80</v>
      </c>
      <c r="I89" s="36">
        <f>G89</f>
        <v>179000</v>
      </c>
      <c r="J89" s="34" t="s">
        <v>79</v>
      </c>
      <c r="K89" s="35">
        <f>SUM(L65:L73)</f>
        <v>179000</v>
      </c>
      <c r="L89" s="31" t="s">
        <v>80</v>
      </c>
      <c r="M89" s="36">
        <f>K89</f>
        <v>179000</v>
      </c>
      <c r="U89" s="146" t="s">
        <v>81</v>
      </c>
      <c r="V89" s="146" t="str">
        <f>IF(AND(G9="FHA",G10="R/T"),(J9*'[1]DROPDOWN KEY'!H55*'[1]DROPDOWN KEY'!J55)," ")</f>
        <v xml:space="preserve"> </v>
      </c>
    </row>
    <row r="90" spans="1:35" s="29" customFormat="1" ht="15.75">
      <c r="A90" s="34" t="s">
        <v>82</v>
      </c>
      <c r="B90" s="160">
        <v>1095</v>
      </c>
      <c r="C90" s="160"/>
      <c r="D90" s="31" t="s">
        <v>83</v>
      </c>
      <c r="E90" s="36">
        <f>SUM(B93:B96)</f>
        <v>2554</v>
      </c>
      <c r="F90" s="34" t="s">
        <v>82</v>
      </c>
      <c r="G90" s="160">
        <v>1095</v>
      </c>
      <c r="H90" s="31" t="s">
        <v>83</v>
      </c>
      <c r="I90" s="36">
        <f>SUM(G93:G96)</f>
        <v>2554</v>
      </c>
      <c r="J90" s="34" t="s">
        <v>82</v>
      </c>
      <c r="K90" s="160"/>
      <c r="L90" s="31" t="s">
        <v>83</v>
      </c>
      <c r="M90" s="36">
        <f>SUM(K93:K96)</f>
        <v>2554</v>
      </c>
      <c r="U90" s="146" t="s">
        <v>84</v>
      </c>
      <c r="V90" s="146" t="str">
        <f>IF(AND(G9="FHA",G10="Cashout"),(J9*'[1]DROPDOWN KEY'!H56*'[1]DROPDOWN KEY'!J56)," ")</f>
        <v xml:space="preserve"> </v>
      </c>
    </row>
    <row r="91" spans="1:35" s="29" customFormat="1" ht="15.75">
      <c r="A91" s="34" t="s">
        <v>85</v>
      </c>
      <c r="B91" s="35">
        <v>75</v>
      </c>
      <c r="C91" s="35"/>
      <c r="D91" s="31" t="s">
        <v>86</v>
      </c>
      <c r="E91" s="37">
        <f>B90+B92+B91+B97+B98+D110</f>
        <v>2503</v>
      </c>
      <c r="F91" s="34" t="s">
        <v>85</v>
      </c>
      <c r="G91" s="35">
        <v>75</v>
      </c>
      <c r="H91" s="31" t="s">
        <v>86</v>
      </c>
      <c r="I91" s="37">
        <f>G90+G92+G91+G97+G98+H110</f>
        <v>2503</v>
      </c>
      <c r="J91" s="34" t="s">
        <v>85</v>
      </c>
      <c r="K91" s="35">
        <v>75</v>
      </c>
      <c r="L91" s="31" t="s">
        <v>86</v>
      </c>
      <c r="M91" s="37">
        <f>K90+K92+K91+K97+K98+M110</f>
        <v>1408</v>
      </c>
      <c r="U91" s="146" t="s">
        <v>87</v>
      </c>
      <c r="V91" s="146" t="str">
        <f>IF(G9="VA-3.3",'[1]OPTION 1'!B10*'[1]DROPDOWN KEY'!H57*'[1]DROPDOWN KEY'!J57," ")</f>
        <v xml:space="preserve"> </v>
      </c>
    </row>
    <row r="92" spans="1:35" s="29" customFormat="1" ht="15.75">
      <c r="A92" s="34" t="s">
        <v>88</v>
      </c>
      <c r="B92" s="35">
        <v>8</v>
      </c>
      <c r="C92" s="35"/>
      <c r="D92" s="31" t="s">
        <v>89</v>
      </c>
      <c r="E92" s="36">
        <f>D108</f>
        <v>0</v>
      </c>
      <c r="F92" s="34" t="s">
        <v>88</v>
      </c>
      <c r="G92" s="35">
        <v>8</v>
      </c>
      <c r="H92" s="31" t="s">
        <v>89</v>
      </c>
      <c r="I92" s="36">
        <f>H108</f>
        <v>3220.9975000000004</v>
      </c>
      <c r="J92" s="34" t="s">
        <v>88</v>
      </c>
      <c r="K92" s="35">
        <v>8</v>
      </c>
      <c r="L92" s="31" t="s">
        <v>89</v>
      </c>
      <c r="M92" s="36">
        <f>M108</f>
        <v>190908.83434343431</v>
      </c>
      <c r="U92" s="146" t="s">
        <v>90</v>
      </c>
      <c r="V92" s="146" t="str">
        <f>IF(G9="VA-2.15",J9*'[1]DROPDOWN KEY'!H58*'[1]DROPDOWN KEY'!J58," ")</f>
        <v xml:space="preserve"> </v>
      </c>
    </row>
    <row r="93" spans="1:35" s="29" customFormat="1" ht="15.75">
      <c r="A93" s="34" t="s">
        <v>91</v>
      </c>
      <c r="B93" s="161">
        <v>442</v>
      </c>
      <c r="C93" s="161"/>
      <c r="D93" s="31" t="s">
        <v>92</v>
      </c>
      <c r="E93" s="38">
        <f>G125</f>
        <v>0</v>
      </c>
      <c r="F93" s="34" t="s">
        <v>91</v>
      </c>
      <c r="G93" s="161">
        <v>442</v>
      </c>
      <c r="H93" s="31" t="s">
        <v>92</v>
      </c>
      <c r="I93" s="38">
        <f>L125</f>
        <v>0</v>
      </c>
      <c r="J93" s="34" t="s">
        <v>93</v>
      </c>
      <c r="K93" s="161">
        <v>442</v>
      </c>
      <c r="L93" s="31" t="s">
        <v>92</v>
      </c>
      <c r="M93" s="38">
        <f>T125</f>
        <v>0</v>
      </c>
      <c r="U93" s="146" t="s">
        <v>26</v>
      </c>
      <c r="V93" s="146" t="str">
        <f>IF(G9="DISABLED VA",J9*'[1]DROPDOWN KEY'!J59," ")</f>
        <v xml:space="preserve"> </v>
      </c>
    </row>
    <row r="94" spans="1:35" s="29" customFormat="1" ht="15.75">
      <c r="A94" s="34" t="s">
        <v>94</v>
      </c>
      <c r="B94" s="161">
        <v>0</v>
      </c>
      <c r="C94" s="161"/>
      <c r="D94" s="31" t="s">
        <v>95</v>
      </c>
      <c r="E94" s="36">
        <f>B99</f>
        <v>0</v>
      </c>
      <c r="F94" s="34" t="s">
        <v>94</v>
      </c>
      <c r="G94" s="161">
        <v>0</v>
      </c>
      <c r="H94" s="31" t="s">
        <v>95</v>
      </c>
      <c r="I94" s="36">
        <f>G99</f>
        <v>0</v>
      </c>
      <c r="J94" s="34" t="s">
        <v>94</v>
      </c>
      <c r="K94" s="161">
        <v>0</v>
      </c>
      <c r="L94" s="31" t="s">
        <v>95</v>
      </c>
      <c r="M94" s="36">
        <f>K99</f>
        <v>0</v>
      </c>
      <c r="U94" s="145" t="s">
        <v>96</v>
      </c>
      <c r="V94" s="145">
        <f>SUM(X87:X93)</f>
        <v>0</v>
      </c>
      <c r="X94" s="29" t="b">
        <f>IF(AND(X139="FHA",X136&gt;180,A19&lt;95),X134*0.008/12,IF(AND(X139="FHA",X136&gt;180,A19&lt;95),X134*0.0085/12,IF(AND(X139="FHA",X136&lt;=180,A19&lt;90),X134*0.0045/12,IF(AND(X139="FHA",X136&lt;=180,A19&gt;90),X134*0.007/12))))</f>
        <v>0</v>
      </c>
    </row>
    <row r="95" spans="1:35" s="29" customFormat="1">
      <c r="A95" s="34" t="s">
        <v>97</v>
      </c>
      <c r="B95" s="161">
        <v>0</v>
      </c>
      <c r="C95" s="161"/>
      <c r="D95" s="31" t="s">
        <v>98</v>
      </c>
      <c r="E95" s="38">
        <f>G126</f>
        <v>0</v>
      </c>
      <c r="F95" s="34" t="s">
        <v>97</v>
      </c>
      <c r="G95" s="161">
        <v>0</v>
      </c>
      <c r="H95" s="31" t="s">
        <v>98</v>
      </c>
      <c r="I95" s="38">
        <f>L126</f>
        <v>0</v>
      </c>
      <c r="J95" s="34" t="s">
        <v>97</v>
      </c>
      <c r="K95" s="161">
        <v>0</v>
      </c>
      <c r="L95" s="31" t="s">
        <v>98</v>
      </c>
      <c r="M95" s="38">
        <f>T126</f>
        <v>0</v>
      </c>
    </row>
    <row r="96" spans="1:35" s="29" customFormat="1">
      <c r="A96" s="34" t="s">
        <v>99</v>
      </c>
      <c r="B96" s="35">
        <f>SUM((B15*6)+(B16*6))</f>
        <v>2112</v>
      </c>
      <c r="C96" s="35"/>
      <c r="E96" s="31"/>
      <c r="F96" s="34" t="s">
        <v>99</v>
      </c>
      <c r="G96" s="35">
        <f>SUM((B15*6)+(B16*6))</f>
        <v>2112</v>
      </c>
      <c r="I96" s="31"/>
      <c r="J96" s="34" t="s">
        <v>99</v>
      </c>
      <c r="K96" s="35">
        <f>SUM((B15*6)+(B16*6))</f>
        <v>2112</v>
      </c>
      <c r="M96" s="31"/>
    </row>
    <row r="97" spans="1:17" s="29" customFormat="1">
      <c r="A97" s="34" t="s">
        <v>100</v>
      </c>
      <c r="B97" s="161">
        <f>M151</f>
        <v>1125</v>
      </c>
      <c r="C97" s="161"/>
      <c r="D97" s="31" t="s">
        <v>101</v>
      </c>
      <c r="E97" s="38">
        <f>S134</f>
        <v>0</v>
      </c>
      <c r="F97" s="34" t="s">
        <v>100</v>
      </c>
      <c r="G97" s="161">
        <f>M151</f>
        <v>1125</v>
      </c>
      <c r="H97" s="31" t="s">
        <v>101</v>
      </c>
      <c r="I97" s="38">
        <f>X134</f>
        <v>0</v>
      </c>
      <c r="J97" s="34" t="s">
        <v>100</v>
      </c>
      <c r="K97" s="161">
        <f>M151</f>
        <v>1125</v>
      </c>
      <c r="L97" s="31" t="s">
        <v>101</v>
      </c>
      <c r="M97" s="38">
        <f>AE137</f>
        <v>0</v>
      </c>
    </row>
    <row r="98" spans="1:17" s="29" customFormat="1">
      <c r="A98" s="34" t="s">
        <v>102</v>
      </c>
      <c r="B98" s="161">
        <f>M152</f>
        <v>200</v>
      </c>
      <c r="C98" s="161"/>
      <c r="D98" s="31" t="s">
        <v>103</v>
      </c>
      <c r="E98" s="39"/>
      <c r="F98" s="34" t="s">
        <v>102</v>
      </c>
      <c r="G98" s="161">
        <f>M152</f>
        <v>200</v>
      </c>
      <c r="H98" s="31" t="s">
        <v>103</v>
      </c>
      <c r="I98" s="39">
        <f>X135</f>
        <v>0</v>
      </c>
      <c r="J98" s="34" t="s">
        <v>102</v>
      </c>
      <c r="K98" s="161">
        <f>M152</f>
        <v>200</v>
      </c>
      <c r="L98" s="31" t="s">
        <v>103</v>
      </c>
      <c r="M98" s="39">
        <f>AE138</f>
        <v>0</v>
      </c>
    </row>
    <row r="99" spans="1:17" s="29" customFormat="1" ht="15.75">
      <c r="A99" s="40" t="s">
        <v>331</v>
      </c>
      <c r="B99" s="162">
        <f>B9</f>
        <v>0</v>
      </c>
      <c r="C99" s="162"/>
      <c r="F99" s="40" t="s">
        <v>331</v>
      </c>
      <c r="G99" s="160">
        <f>B9</f>
        <v>0</v>
      </c>
      <c r="J99" s="40" t="s">
        <v>331</v>
      </c>
      <c r="K99" s="160">
        <f>B9</f>
        <v>0</v>
      </c>
    </row>
    <row r="100" spans="1:17" s="29" customFormat="1"/>
    <row r="101" spans="1:17" s="29" customFormat="1"/>
    <row r="102" spans="1:17" s="29" customFormat="1">
      <c r="A102" s="31" t="s">
        <v>104</v>
      </c>
      <c r="B102" s="31">
        <f>(S134*S135/365)</f>
        <v>0</v>
      </c>
      <c r="C102" s="31"/>
      <c r="F102" s="31" t="s">
        <v>104</v>
      </c>
      <c r="G102" s="31">
        <f>(X134*X135/365)</f>
        <v>0</v>
      </c>
      <c r="J102" s="31" t="s">
        <v>104</v>
      </c>
      <c r="K102" s="31">
        <f>(B211*M108/365)</f>
        <v>24.844300359762002</v>
      </c>
    </row>
    <row r="103" spans="1:17" s="29" customFormat="1">
      <c r="A103" s="31" t="s">
        <v>105</v>
      </c>
      <c r="B103" s="29">
        <v>15</v>
      </c>
      <c r="F103" s="31" t="s">
        <v>105</v>
      </c>
      <c r="G103" s="29">
        <v>15</v>
      </c>
      <c r="J103" s="31" t="s">
        <v>105</v>
      </c>
      <c r="K103" s="29">
        <v>15</v>
      </c>
    </row>
    <row r="104" spans="1:17" s="29" customFormat="1">
      <c r="A104" s="31" t="s">
        <v>106</v>
      </c>
      <c r="B104" s="29">
        <f>B102*B103</f>
        <v>0</v>
      </c>
      <c r="F104" s="31" t="s">
        <v>106</v>
      </c>
      <c r="G104" s="29">
        <f>G102*G103</f>
        <v>0</v>
      </c>
      <c r="J104" s="31" t="s">
        <v>106</v>
      </c>
      <c r="K104" s="33">
        <f>K102*K103</f>
        <v>372.66450539643006</v>
      </c>
      <c r="N104" s="151"/>
    </row>
    <row r="105" spans="1:17" s="29" customFormat="1">
      <c r="A105" s="31"/>
      <c r="B105" s="163"/>
      <c r="C105" s="163"/>
      <c r="F105" s="31"/>
      <c r="G105" s="163"/>
      <c r="I105" s="164"/>
      <c r="M105" s="164"/>
    </row>
    <row r="106" spans="1:17" s="29" customFormat="1"/>
    <row r="107" spans="1:17" s="29" customFormat="1">
      <c r="A107" s="227" t="s">
        <v>107</v>
      </c>
      <c r="B107" s="227"/>
      <c r="C107" s="41"/>
      <c r="D107" s="258">
        <f>SUM(B89:B99)</f>
        <v>184057</v>
      </c>
      <c r="E107" s="258"/>
      <c r="F107" s="227" t="s">
        <v>107</v>
      </c>
      <c r="G107" s="227"/>
      <c r="H107" s="258">
        <f>SUM(G89:G99)</f>
        <v>184057</v>
      </c>
      <c r="I107" s="258"/>
      <c r="J107" s="140"/>
      <c r="K107" s="227" t="s">
        <v>107</v>
      </c>
      <c r="L107" s="227"/>
      <c r="M107" s="258">
        <f>SUM(K89:K99)</f>
        <v>182962</v>
      </c>
      <c r="N107" s="258"/>
      <c r="O107" s="140"/>
    </row>
    <row r="108" spans="1:17" s="29" customFormat="1" ht="15.75">
      <c r="A108" s="227" t="s">
        <v>108</v>
      </c>
      <c r="B108" s="227"/>
      <c r="C108" s="41"/>
      <c r="D108" s="257">
        <f>D107*Picklists!B31</f>
        <v>0</v>
      </c>
      <c r="E108" s="257"/>
      <c r="F108" s="227" t="s">
        <v>108</v>
      </c>
      <c r="G108" s="227"/>
      <c r="H108" s="257">
        <f>H107*Picklists!G31</f>
        <v>3220.9975000000004</v>
      </c>
      <c r="I108" s="257"/>
      <c r="J108" s="140">
        <f>M107/0.99/100</f>
        <v>1848.1010101010099</v>
      </c>
      <c r="K108" s="227" t="s">
        <v>109</v>
      </c>
      <c r="L108" s="227"/>
      <c r="M108" s="272">
        <f>IF(B210="VA-3.3",M107/0.99*Picklists!G29,IF(B210="VA-2.15",M107*Picklists!G30/0.99, IF(B210="DISABLED VA",M107/0.99)))</f>
        <v>190908.83434343431</v>
      </c>
      <c r="N108" s="272"/>
      <c r="P108" s="148">
        <f>I24+SUM(K91:K98)-Q2</f>
        <v>182962</v>
      </c>
      <c r="Q108" s="148"/>
    </row>
    <row r="109" spans="1:17" s="29" customFormat="1" ht="15.75">
      <c r="A109" s="227" t="s">
        <v>110</v>
      </c>
      <c r="B109" s="227"/>
      <c r="C109" s="41"/>
      <c r="D109" s="258">
        <f>SUM(D107:D108)+AE25</f>
        <v>184057</v>
      </c>
      <c r="E109" s="258"/>
      <c r="F109" s="227" t="s">
        <v>110</v>
      </c>
      <c r="G109" s="227"/>
      <c r="H109" s="258">
        <f>SUM(H107:H108)</f>
        <v>187277.9975</v>
      </c>
      <c r="I109" s="258"/>
      <c r="J109" s="140">
        <f>(J108+M107)*0.033</f>
        <v>6098.7333333333336</v>
      </c>
      <c r="K109" s="227" t="s">
        <v>110</v>
      </c>
      <c r="L109" s="227"/>
      <c r="M109" s="258"/>
      <c r="N109" s="258"/>
      <c r="P109" s="148">
        <f>IF(B210="DISABLED VA",P108/0.99,IF(B210="VA-3.3",P108*1.005/0.99,IF(B210="VA-2.15",P108*1.005/0.99)))</f>
        <v>185734.15151515149</v>
      </c>
      <c r="Q109" s="148"/>
    </row>
    <row r="110" spans="1:17" s="29" customFormat="1">
      <c r="A110" s="227"/>
      <c r="B110" s="227"/>
      <c r="C110" s="41"/>
      <c r="D110" s="228"/>
      <c r="E110" s="228"/>
      <c r="F110" s="227"/>
      <c r="G110" s="227"/>
      <c r="H110" s="228" t="str">
        <f>IF(OR(X139="VA-3.3",X139="DISABLED VA",X139="VA-2.15"),H109*0.01,"0")</f>
        <v>0</v>
      </c>
      <c r="I110" s="228"/>
      <c r="J110" s="140">
        <f>M107+J108+J109</f>
        <v>190908.83434343434</v>
      </c>
      <c r="K110" s="227" t="s">
        <v>111</v>
      </c>
      <c r="L110" s="227"/>
      <c r="M110" s="228"/>
      <c r="N110" s="228"/>
      <c r="P110" s="140"/>
      <c r="Q110" s="140"/>
    </row>
    <row r="111" spans="1:17" s="29" customFormat="1">
      <c r="J111" s="140"/>
    </row>
    <row r="112" spans="1:17" s="29" customFormat="1">
      <c r="A112" s="227" t="s">
        <v>112</v>
      </c>
      <c r="B112" s="227"/>
      <c r="C112" s="41"/>
      <c r="D112" s="256">
        <f>D109+J205-J206</f>
        <v>184057</v>
      </c>
      <c r="E112" s="256"/>
      <c r="F112" s="227" t="s">
        <v>112</v>
      </c>
      <c r="G112" s="227"/>
      <c r="H112" s="256">
        <f>H109+(Picklists!F49*K205)-(Picklists!F49*K206)</f>
        <v>187277.9975</v>
      </c>
      <c r="I112" s="256"/>
      <c r="K112" s="227" t="s">
        <v>112</v>
      </c>
      <c r="L112" s="227"/>
      <c r="M112" s="256">
        <f>IF(B210="VA-3.3",M108+(L205*Picklists!G29)*((100+H205)/99)-(L206*Picklists!G29)*((100-H206)/99),IF(B210="VA-2.15",M108+(L205*Picklists!G30)*((100+H205)/99)-(L206*Picklists!G30)*((100-H206)/99),IF(B210="DISABLED VA",M108+L205/0.99-L206/0.99)))</f>
        <v>190908.83434343431</v>
      </c>
      <c r="N112" s="256"/>
      <c r="P112" s="33">
        <f>IF(B210="VA-3.3",P109+(Q205*1.005)*((100+H205)/99)-(Q206*1.005)*((100-H206)/99),IF(B210="VA-2.15",P109+(Q205*1.0005)*((100+H205)/99)-(Q206*1.005)*((100-H206)/99),IF(B210="DISABLED VA",P109+Q205/0.99-Q206/0.99)))</f>
        <v>185734.15151515149</v>
      </c>
      <c r="Q112" s="33"/>
    </row>
    <row r="113" spans="1:18" s="29" customFormat="1">
      <c r="A113" s="157"/>
      <c r="B113" s="157"/>
      <c r="C113" s="157"/>
      <c r="D113" s="157"/>
      <c r="E113" s="157"/>
      <c r="R113" s="29" t="s">
        <v>113</v>
      </c>
    </row>
    <row r="114" spans="1:18" s="29" customFormat="1">
      <c r="A114" s="157"/>
      <c r="B114" s="157"/>
      <c r="C114" s="157"/>
      <c r="D114" s="157"/>
      <c r="E114" s="157"/>
    </row>
    <row r="115" spans="1:18" s="29" customFormat="1">
      <c r="A115" s="157"/>
      <c r="B115" s="157"/>
      <c r="C115" s="157"/>
      <c r="D115" s="157"/>
      <c r="E115" s="157"/>
    </row>
    <row r="116" spans="1:18" s="29" customFormat="1">
      <c r="A116" s="157"/>
      <c r="B116" s="157"/>
      <c r="C116" s="157"/>
      <c r="D116" s="157"/>
      <c r="E116" s="157"/>
    </row>
    <row r="117" spans="1:18" s="29" customFormat="1">
      <c r="A117" s="157"/>
      <c r="B117" s="157"/>
      <c r="C117" s="157"/>
      <c r="D117" s="157"/>
      <c r="E117" s="157"/>
    </row>
    <row r="118" spans="1:18" s="29" customFormat="1" ht="21">
      <c r="A118" s="157"/>
      <c r="B118" s="165" t="s">
        <v>114</v>
      </c>
      <c r="C118" s="165"/>
      <c r="D118" s="165"/>
      <c r="E118" s="157"/>
    </row>
    <row r="119" spans="1:18" s="29" customFormat="1" ht="21">
      <c r="A119" s="157"/>
      <c r="B119" s="42" t="s">
        <v>13</v>
      </c>
      <c r="C119" s="42"/>
      <c r="D119" s="43" t="e">
        <f>PMT(#REF!/12,(E9*12),-((P121)))</f>
        <v>#REF!</v>
      </c>
      <c r="E119" s="157"/>
    </row>
    <row r="120" spans="1:18" s="29" customFormat="1" ht="21">
      <c r="A120" s="157"/>
      <c r="B120" s="42" t="s">
        <v>115</v>
      </c>
      <c r="C120" s="42"/>
      <c r="D120" s="166"/>
      <c r="E120" s="157"/>
    </row>
    <row r="121" spans="1:18" s="29" customFormat="1" ht="21">
      <c r="A121" s="157"/>
      <c r="B121" s="42" t="s">
        <v>116</v>
      </c>
      <c r="C121" s="42"/>
      <c r="D121" s="43" t="e">
        <f>#REF!</f>
        <v>#REF!</v>
      </c>
      <c r="E121" s="157"/>
    </row>
    <row r="122" spans="1:18" s="29" customFormat="1" ht="21">
      <c r="A122" s="157"/>
      <c r="B122" s="42" t="s">
        <v>18</v>
      </c>
      <c r="C122" s="42"/>
      <c r="D122" s="43" t="e">
        <f>#REF!</f>
        <v>#REF!</v>
      </c>
      <c r="E122" s="157"/>
    </row>
    <row r="123" spans="1:18" s="29" customFormat="1" ht="21">
      <c r="A123" s="157"/>
      <c r="B123" s="42" t="s">
        <v>117</v>
      </c>
      <c r="C123" s="42"/>
      <c r="D123" s="43" t="b">
        <f>IF(A15="CONV",X23, IF(A15="FHA",N68))</f>
        <v>0</v>
      </c>
      <c r="E123" s="157"/>
    </row>
    <row r="124" spans="1:18" s="29" customFormat="1" ht="21">
      <c r="A124" s="157"/>
      <c r="B124" s="42" t="s">
        <v>118</v>
      </c>
      <c r="C124" s="42"/>
      <c r="D124" s="44" t="e">
        <f>#REF!</f>
        <v>#REF!</v>
      </c>
      <c r="E124" s="157"/>
    </row>
    <row r="125" spans="1:18" s="29" customFormat="1" ht="21">
      <c r="A125" s="157"/>
      <c r="B125" s="42" t="s">
        <v>119</v>
      </c>
      <c r="C125" s="42"/>
      <c r="D125" s="166"/>
      <c r="E125" s="157"/>
    </row>
    <row r="126" spans="1:18" s="29" customFormat="1" ht="21">
      <c r="A126" s="157"/>
      <c r="B126" s="158"/>
      <c r="C126" s="158"/>
      <c r="D126" s="158"/>
      <c r="E126" s="157"/>
    </row>
    <row r="127" spans="1:18" s="29" customFormat="1" ht="21">
      <c r="A127" s="157"/>
      <c r="B127" s="42" t="s">
        <v>120</v>
      </c>
      <c r="C127" s="42"/>
      <c r="D127" s="45" t="e">
        <f>SUM(D119:D126)</f>
        <v>#REF!</v>
      </c>
      <c r="E127" s="157"/>
    </row>
    <row r="128" spans="1:18" s="29" customFormat="1">
      <c r="A128" s="157"/>
      <c r="B128" s="157"/>
      <c r="C128" s="157"/>
      <c r="D128" s="157"/>
      <c r="E128" s="157"/>
    </row>
    <row r="129" spans="1:5" s="29" customFormat="1">
      <c r="A129" s="157"/>
      <c r="B129" s="157"/>
      <c r="C129" s="157"/>
      <c r="D129" s="157"/>
      <c r="E129" s="157"/>
    </row>
    <row r="130" spans="1:5" s="29" customFormat="1">
      <c r="A130" s="157"/>
      <c r="B130" s="157"/>
      <c r="C130" s="157"/>
      <c r="D130" s="157"/>
      <c r="E130" s="157"/>
    </row>
    <row r="131" spans="1:5" s="29" customFormat="1">
      <c r="A131" s="157"/>
      <c r="B131" s="157"/>
      <c r="C131" s="157"/>
      <c r="D131" s="157"/>
      <c r="E131" s="157"/>
    </row>
    <row r="132" spans="1:5" s="29" customFormat="1">
      <c r="A132" s="157"/>
      <c r="B132" s="32" t="s">
        <v>20</v>
      </c>
      <c r="C132" s="32"/>
      <c r="D132" s="167"/>
      <c r="E132" s="157"/>
    </row>
    <row r="133" spans="1:5" s="29" customFormat="1">
      <c r="A133" s="157"/>
      <c r="B133" s="32" t="s">
        <v>21</v>
      </c>
      <c r="C133" s="32"/>
      <c r="D133" s="167"/>
      <c r="E133" s="157"/>
    </row>
    <row r="134" spans="1:5" s="29" customFormat="1">
      <c r="A134" s="157"/>
      <c r="B134" s="32" t="s">
        <v>22</v>
      </c>
      <c r="C134" s="32"/>
      <c r="D134" s="167"/>
      <c r="E134" s="157"/>
    </row>
    <row r="135" spans="1:5" s="29" customFormat="1">
      <c r="A135" s="157"/>
      <c r="B135" s="32" t="s">
        <v>24</v>
      </c>
      <c r="C135" s="32"/>
      <c r="D135" s="167"/>
      <c r="E135" s="157"/>
    </row>
    <row r="136" spans="1:5" s="29" customFormat="1">
      <c r="A136" s="157"/>
      <c r="B136" s="32" t="s">
        <v>27</v>
      </c>
      <c r="C136" s="32"/>
      <c r="D136" s="167"/>
      <c r="E136" s="157"/>
    </row>
    <row r="137" spans="1:5" s="29" customFormat="1">
      <c r="A137" s="157"/>
      <c r="B137" s="32" t="s">
        <v>29</v>
      </c>
      <c r="C137" s="32"/>
      <c r="D137" s="69"/>
      <c r="E137" s="157"/>
    </row>
    <row r="138" spans="1:5" s="29" customFormat="1">
      <c r="A138" s="157"/>
      <c r="B138" s="32" t="s">
        <v>31</v>
      </c>
      <c r="C138" s="32"/>
      <c r="D138" s="168">
        <f ca="1">TODAY()</f>
        <v>43156</v>
      </c>
      <c r="E138" s="157"/>
    </row>
    <row r="139" spans="1:5" s="29" customFormat="1">
      <c r="A139" s="157"/>
      <c r="B139" s="157"/>
      <c r="C139" s="157"/>
      <c r="D139" s="157"/>
      <c r="E139" s="157"/>
    </row>
    <row r="140" spans="1:5" s="29" customFormat="1">
      <c r="A140" s="157"/>
      <c r="B140" s="157"/>
      <c r="C140" s="157"/>
      <c r="D140" s="157"/>
      <c r="E140" s="157"/>
    </row>
    <row r="141" spans="1:5" s="29" customFormat="1">
      <c r="A141" s="157"/>
      <c r="B141" s="157"/>
      <c r="C141" s="157"/>
      <c r="D141" s="157"/>
      <c r="E141" s="157"/>
    </row>
    <row r="142" spans="1:5" s="29" customFormat="1">
      <c r="A142" s="157"/>
      <c r="B142" s="157"/>
      <c r="C142" s="157"/>
      <c r="D142" s="157"/>
      <c r="E142" s="157"/>
    </row>
    <row r="143" spans="1:5" s="29" customFormat="1">
      <c r="A143" s="157"/>
      <c r="B143" s="157"/>
      <c r="C143" s="157"/>
      <c r="D143" s="157"/>
      <c r="E143" s="157"/>
    </row>
    <row r="144" spans="1:5" s="29" customFormat="1">
      <c r="A144" s="157"/>
      <c r="B144" s="157"/>
      <c r="C144" s="157"/>
      <c r="D144" s="157"/>
      <c r="E144" s="157"/>
    </row>
    <row r="145" spans="1:13" s="29" customFormat="1">
      <c r="A145" s="157"/>
      <c r="B145" s="157"/>
      <c r="C145" s="157"/>
      <c r="D145" s="157"/>
      <c r="E145" s="157"/>
    </row>
    <row r="146" spans="1:13" s="29" customFormat="1">
      <c r="A146" s="157"/>
      <c r="B146" s="157"/>
      <c r="C146" s="157"/>
      <c r="D146" s="157"/>
      <c r="E146" s="157"/>
    </row>
    <row r="147" spans="1:13" s="29" customFormat="1">
      <c r="A147" s="157"/>
      <c r="B147" s="157"/>
      <c r="C147" s="157"/>
      <c r="D147" s="157"/>
      <c r="E147" s="157"/>
    </row>
    <row r="148" spans="1:13" s="29" customFormat="1">
      <c r="A148" s="157"/>
      <c r="B148" s="157"/>
      <c r="C148" s="157"/>
      <c r="D148" s="157"/>
      <c r="E148" s="157"/>
    </row>
    <row r="149" spans="1:13" s="29" customFormat="1">
      <c r="A149" s="157"/>
      <c r="B149" s="244" t="s">
        <v>33</v>
      </c>
      <c r="C149" s="244"/>
      <c r="D149" s="244"/>
      <c r="E149" s="244"/>
    </row>
    <row r="150" spans="1:13" s="29" customFormat="1" ht="15.75">
      <c r="A150" s="145"/>
      <c r="B150" s="244" t="s">
        <v>34</v>
      </c>
      <c r="C150" s="244"/>
      <c r="D150" s="244"/>
      <c r="E150" s="244"/>
    </row>
    <row r="151" spans="1:13" s="29" customFormat="1" ht="18.75">
      <c r="A151" s="145"/>
      <c r="B151" s="157">
        <v>30</v>
      </c>
      <c r="C151" s="157"/>
      <c r="D151" s="169" t="e">
        <f>(F8+#REF!)/$D$195</f>
        <v>#REF!</v>
      </c>
      <c r="E151" s="169" t="e">
        <f>(F8+#REF!+$J$75)/$D$195</f>
        <v>#REF!</v>
      </c>
      <c r="J151" s="270" t="s">
        <v>54</v>
      </c>
      <c r="K151" s="270"/>
      <c r="L151" s="155" t="s">
        <v>55</v>
      </c>
      <c r="M151" s="170">
        <f>_xlfn.IFS(B2="AL",1125,B2="AK",1700,B2="AZ",900,B2="AR",1300,B2="CT",1500,B2="DE",1500,B2="FL",2000,B2="GA",1300,B2="HI",1600,B2="ID",1500,B2="IL",1100,B2="IN",1100,B2="IA",1200,B2="KS",1000,B2="LA",1900,B2="ME",1700,B2="MD",1500,B2="MA",1300,B2="MI",1000,B2="MN",1900,B2="MS",1450,B2="MO",1100,B2="MT",900,B2="NE",1000,B2="NH",1300,B2="NJ",1800,B2="NM",2200,B2="NY",2200,B2="NV",1450,B2="NC",1500,B2="ND",1600,B2="OH",1000,B2="OK",2450,B2="OR",1625,B2="PA",2300,B2="RI",1300,B2="SC",1450,B2="SD",1300,B2="TN",1100,B2="UT",1475,B2="VT",1100,B2="VA",1100,B2="WA",1000,B2="DC",1000,B2="WV",1300,B2="WI",1100,B2="WY",1700,B2="CA",1100,B2="CO",1300,B2="KY",1200,B2="TX",1800)</f>
        <v>1125</v>
      </c>
    </row>
    <row r="152" spans="1:13" s="29" customFormat="1" ht="18.75">
      <c r="A152" s="157"/>
      <c r="B152" s="157">
        <v>25</v>
      </c>
      <c r="C152" s="157"/>
      <c r="D152" s="169" t="e">
        <f>(F9+#REF!)/$D$195</f>
        <v>#REF!</v>
      </c>
      <c r="E152" s="169" t="e">
        <f>(F9+#REF!+$J$75)/$D$195</f>
        <v>#REF!</v>
      </c>
      <c r="J152" s="171"/>
      <c r="K152" s="171"/>
      <c r="L152" s="155" t="s">
        <v>57</v>
      </c>
      <c r="M152" s="170">
        <f>_xlfn.IFS(B2="AL",200,B2="AK",250,B2="AZ",200,B2="AR",200,B2="CT",400,B2="DE",400,B2="FL",1500,B2="GA",500,B2="HI",300,B2="ID",200,B2="IL",200,B2="IN",200,B2="IA",200,B2="KS",600,B2="LA",200,B2="ME",400,B2="MD",300,B2="MA",400,B2="MI",250,B2="MN",450,B2="MS",300,B2="MO",200,B2="MT",200,B2="NE",200,B2="NH",200,B2="NJ",200,B2="NM",300,B2="NY",2200,B2="NV",200,B2="NC",200,B2="ND",200,B2="OH",350,B2="OK",200,B2="OR",250,B2="PA",200,B2="RI",500,B2="SC",200,B2="SD",200,B2="TN",500,B2="UT",200,B2="VT",200,B2="VA",250,B2="WA",350,B2="DC",350,B2="WV",200,B2="WI",300,B2="WY",300,B2="CA",250,B2="CO",300,B2="KY",250,B2="TX",200)</f>
        <v>200</v>
      </c>
    </row>
    <row r="153" spans="1:13" s="29" customFormat="1">
      <c r="A153" s="157"/>
      <c r="B153" s="157">
        <v>20</v>
      </c>
      <c r="C153" s="157"/>
      <c r="D153" s="169" t="e">
        <f>(F10+#REF!)/$D$195</f>
        <v>#REF!</v>
      </c>
      <c r="E153" s="169" t="e">
        <f>(F10+#REF!+$J$75)/$D$195</f>
        <v>#REF!</v>
      </c>
    </row>
    <row r="154" spans="1:13" s="29" customFormat="1">
      <c r="A154" s="157"/>
      <c r="B154" s="157">
        <v>15</v>
      </c>
      <c r="C154" s="157"/>
      <c r="D154" s="169" t="e">
        <f>(F11+#REF!)/$D$195</f>
        <v>#REF!</v>
      </c>
      <c r="E154" s="169" t="e">
        <f>(F11+#REF!+$J$75)/$D$195</f>
        <v>#REF!</v>
      </c>
    </row>
    <row r="155" spans="1:13" s="29" customFormat="1">
      <c r="A155" s="157"/>
      <c r="B155" s="244" t="s">
        <v>43</v>
      </c>
      <c r="C155" s="244"/>
      <c r="D155" s="244"/>
      <c r="E155" s="244"/>
    </row>
    <row r="156" spans="1:13" s="29" customFormat="1">
      <c r="A156" s="157"/>
      <c r="B156" s="157">
        <v>30</v>
      </c>
      <c r="C156" s="157"/>
      <c r="D156" s="172" t="e">
        <f>(H8+#REF!)/$D$195</f>
        <v>#REF!</v>
      </c>
      <c r="E156" s="173" t="e">
        <f>(H8+#REF!+$J$75)/$D$195</f>
        <v>#REF!</v>
      </c>
    </row>
    <row r="157" spans="1:13" s="29" customFormat="1">
      <c r="A157" s="157"/>
      <c r="B157" s="157">
        <v>25</v>
      </c>
      <c r="C157" s="157"/>
      <c r="D157" s="172" t="e">
        <f>(H9+#REF!)/$D$195</f>
        <v>#REF!</v>
      </c>
      <c r="E157" s="173" t="e">
        <f>(H9+#REF!+$J$75)/$D$195</f>
        <v>#REF!</v>
      </c>
    </row>
    <row r="158" spans="1:13" s="29" customFormat="1">
      <c r="A158" s="157"/>
      <c r="B158" s="157">
        <v>20</v>
      </c>
      <c r="C158" s="157"/>
      <c r="D158" s="172" t="e">
        <f>(H10+#REF!)/$D$195</f>
        <v>#REF!</v>
      </c>
      <c r="E158" s="173" t="e">
        <f>(H10+#REF!+$J$75)/$D$195</f>
        <v>#REF!</v>
      </c>
    </row>
    <row r="159" spans="1:13" s="29" customFormat="1">
      <c r="A159" s="157"/>
      <c r="B159" s="157">
        <v>15</v>
      </c>
      <c r="C159" s="157"/>
      <c r="D159" s="172" t="e">
        <f>(H11+#REF!)/$D$195</f>
        <v>#REF!</v>
      </c>
      <c r="E159" s="173" t="e">
        <f>(H11+#REF!+$J$75)/$D$195</f>
        <v>#REF!</v>
      </c>
    </row>
    <row r="160" spans="1:13" s="29" customFormat="1">
      <c r="A160" s="157"/>
      <c r="B160" s="268" t="s">
        <v>4</v>
      </c>
      <c r="C160" s="268"/>
      <c r="D160" s="268"/>
      <c r="E160" s="268"/>
    </row>
    <row r="161" spans="1:5" s="29" customFormat="1">
      <c r="B161" s="268" t="s">
        <v>34</v>
      </c>
      <c r="C161" s="268"/>
      <c r="D161" s="268"/>
      <c r="E161" s="268"/>
    </row>
    <row r="162" spans="1:5" s="29" customFormat="1">
      <c r="B162" s="29">
        <v>30</v>
      </c>
      <c r="D162" s="172" t="e">
        <f>(I8+#REF!)/$D$195</f>
        <v>#REF!</v>
      </c>
      <c r="E162" s="172" t="e">
        <f>(J8+#REF!+$J$75)/$D$195</f>
        <v>#REF!</v>
      </c>
    </row>
    <row r="163" spans="1:5" s="29" customFormat="1">
      <c r="B163" s="29">
        <v>25</v>
      </c>
      <c r="D163" s="172" t="e">
        <f>(I9+#REF!)/$D$195</f>
        <v>#REF!</v>
      </c>
      <c r="E163" s="172" t="e">
        <f>(J9+#REF!+$J$75)/$D$195</f>
        <v>#REF!</v>
      </c>
    </row>
    <row r="164" spans="1:5" s="29" customFormat="1">
      <c r="B164" s="29">
        <v>20</v>
      </c>
      <c r="D164" s="172" t="e">
        <f>(I10+#REF!)/$D$195</f>
        <v>#REF!</v>
      </c>
      <c r="E164" s="172" t="e">
        <f>(J10+#REF!+$J$75)/$D$195</f>
        <v>#REF!</v>
      </c>
    </row>
    <row r="165" spans="1:5" s="29" customFormat="1">
      <c r="B165" s="29">
        <v>15</v>
      </c>
      <c r="D165" s="172" t="e">
        <f>(I11+#REF!)/$D$195</f>
        <v>#REF!</v>
      </c>
      <c r="E165" s="172" t="e">
        <f>(J11+#REF!+$J$75)/$D$195</f>
        <v>#REF!</v>
      </c>
    </row>
    <row r="166" spans="1:5" s="29" customFormat="1">
      <c r="B166" s="268" t="s">
        <v>43</v>
      </c>
      <c r="C166" s="268"/>
      <c r="D166" s="268"/>
      <c r="E166" s="268"/>
    </row>
    <row r="167" spans="1:5" s="29" customFormat="1">
      <c r="B167" s="29">
        <v>30</v>
      </c>
      <c r="D167" s="172" t="e">
        <f>(K8+#REF!)/$D$195</f>
        <v>#REF!</v>
      </c>
      <c r="E167" s="173" t="e">
        <f>(K8+#REF!+$J$75)/$D$195</f>
        <v>#REF!</v>
      </c>
    </row>
    <row r="168" spans="1:5" s="29" customFormat="1">
      <c r="B168" s="29">
        <v>25</v>
      </c>
      <c r="D168" s="172" t="e">
        <f>(K9+#REF!)/$D$195</f>
        <v>#REF!</v>
      </c>
      <c r="E168" s="173" t="e">
        <f>(K9+#REF!+$J$75)/$D$195</f>
        <v>#REF!</v>
      </c>
    </row>
    <row r="169" spans="1:5" s="29" customFormat="1">
      <c r="A169" s="157"/>
      <c r="B169" s="29">
        <v>20</v>
      </c>
      <c r="D169" s="172" t="e">
        <f>(K10+#REF!)/$D$195</f>
        <v>#REF!</v>
      </c>
      <c r="E169" s="173" t="e">
        <f>(K10+#REF!+$J$75)/$D$195</f>
        <v>#REF!</v>
      </c>
    </row>
    <row r="170" spans="1:5" s="29" customFormat="1">
      <c r="A170" s="157"/>
      <c r="B170" s="29">
        <v>15</v>
      </c>
      <c r="D170" s="172" t="e">
        <f>(K11+#REF!)/$D$195</f>
        <v>#REF!</v>
      </c>
      <c r="E170" s="173" t="e">
        <f>(K11+#REF!+$J$75)/$D$195</f>
        <v>#REF!</v>
      </c>
    </row>
    <row r="171" spans="1:5" s="29" customFormat="1">
      <c r="A171" s="157"/>
      <c r="B171" s="244" t="s">
        <v>5</v>
      </c>
      <c r="C171" s="244"/>
      <c r="D171" s="244"/>
      <c r="E171" s="244"/>
    </row>
    <row r="172" spans="1:5" s="29" customFormat="1">
      <c r="A172" s="157"/>
      <c r="B172" s="268" t="s">
        <v>34</v>
      </c>
      <c r="C172" s="268"/>
      <c r="D172" s="268"/>
      <c r="E172" s="268"/>
    </row>
    <row r="173" spans="1:5" s="29" customFormat="1">
      <c r="A173" s="157"/>
      <c r="B173" s="29">
        <v>30</v>
      </c>
      <c r="D173" s="169" t="e">
        <f>(N8+#REF!)/$D$195</f>
        <v>#REF!</v>
      </c>
      <c r="E173" s="169" t="e">
        <f>(N8+#REF!+$J$75)/$D$195</f>
        <v>#REF!</v>
      </c>
    </row>
    <row r="174" spans="1:5" s="29" customFormat="1">
      <c r="A174" s="157"/>
      <c r="B174" s="29">
        <v>25</v>
      </c>
      <c r="D174" s="169" t="e">
        <f>(N9+#REF!)/$D$195</f>
        <v>#REF!</v>
      </c>
      <c r="E174" s="169" t="e">
        <f>(N9+#REF!+$J$75)/$D$195</f>
        <v>#REF!</v>
      </c>
    </row>
    <row r="175" spans="1:5" s="29" customFormat="1">
      <c r="A175" s="157"/>
      <c r="B175" s="29">
        <v>20</v>
      </c>
      <c r="D175" s="169" t="e">
        <f>(N10+#REF!)/$D$195</f>
        <v>#REF!</v>
      </c>
      <c r="E175" s="169" t="e">
        <f>(N10+#REF!+$J$75)/$D$195</f>
        <v>#REF!</v>
      </c>
    </row>
    <row r="176" spans="1:5" s="29" customFormat="1">
      <c r="A176" s="157"/>
      <c r="B176" s="29">
        <v>15</v>
      </c>
      <c r="D176" s="169" t="e">
        <f>(N11+#REF!)/$D$195</f>
        <v>#REF!</v>
      </c>
      <c r="E176" s="169" t="e">
        <f>(N11+#REF!+$J$75)/$D$195</f>
        <v>#REF!</v>
      </c>
    </row>
    <row r="177" spans="1:5" s="29" customFormat="1">
      <c r="A177" s="157"/>
      <c r="B177" s="268" t="s">
        <v>43</v>
      </c>
      <c r="C177" s="268"/>
      <c r="D177" s="268"/>
      <c r="E177" s="268"/>
    </row>
    <row r="178" spans="1:5" s="29" customFormat="1">
      <c r="A178" s="157"/>
      <c r="B178" s="29">
        <v>30</v>
      </c>
      <c r="D178" s="169" t="e">
        <f>(O8+#REF!)/$D$195</f>
        <v>#REF!</v>
      </c>
      <c r="E178" s="169" t="e">
        <f>(O8+#REF!+$J$75)/$D$195</f>
        <v>#REF!</v>
      </c>
    </row>
    <row r="179" spans="1:5" s="29" customFormat="1">
      <c r="A179" s="157"/>
      <c r="B179" s="29">
        <v>25</v>
      </c>
      <c r="D179" s="169" t="e">
        <f>(O9+#REF!)/$D$195</f>
        <v>#REF!</v>
      </c>
      <c r="E179" s="169" t="e">
        <f>(O9+#REF!+$J$75)/$D$195</f>
        <v>#REF!</v>
      </c>
    </row>
    <row r="180" spans="1:5" s="29" customFormat="1">
      <c r="A180" s="157"/>
      <c r="B180" s="29">
        <v>20</v>
      </c>
      <c r="D180" s="169" t="e">
        <f>(O10+#REF!)/$D$195</f>
        <v>#REF!</v>
      </c>
      <c r="E180" s="169" t="e">
        <f>(O10+#REF!+$J$75)/$D$195</f>
        <v>#REF!</v>
      </c>
    </row>
    <row r="181" spans="1:5" s="29" customFormat="1">
      <c r="A181" s="157"/>
      <c r="B181" s="29">
        <v>15</v>
      </c>
      <c r="D181" s="169" t="e">
        <f>(O11+#REF!)/$D$195</f>
        <v>#REF!</v>
      </c>
      <c r="E181" s="169" t="e">
        <f>(O11+#REF!+$J$75)/$D$195</f>
        <v>#REF!</v>
      </c>
    </row>
    <row r="182" spans="1:5" s="29" customFormat="1">
      <c r="A182" s="157"/>
      <c r="D182" s="174"/>
      <c r="E182" s="174"/>
    </row>
    <row r="183" spans="1:5" s="29" customFormat="1">
      <c r="A183" s="157"/>
      <c r="D183" s="174"/>
      <c r="E183" s="174"/>
    </row>
    <row r="184" spans="1:5" s="29" customFormat="1">
      <c r="A184" s="157"/>
      <c r="B184" s="157"/>
      <c r="C184" s="157"/>
      <c r="D184" s="157"/>
      <c r="E184" s="157"/>
    </row>
    <row r="185" spans="1:5" s="29" customFormat="1">
      <c r="A185" s="157"/>
      <c r="B185" s="32" t="s">
        <v>65</v>
      </c>
      <c r="C185" s="32"/>
      <c r="D185" s="157" t="str">
        <f>IF(D132&lt;&gt;"",($D$138-D132)/365*12, "")</f>
        <v/>
      </c>
      <c r="E185" s="157"/>
    </row>
    <row r="186" spans="1:5" s="29" customFormat="1">
      <c r="A186" s="157"/>
      <c r="B186" s="32" t="s">
        <v>66</v>
      </c>
      <c r="C186" s="32"/>
      <c r="D186" s="157" t="str">
        <f>IF(D133&lt;&gt;"",($D$138-D133)/365*12, "")</f>
        <v/>
      </c>
      <c r="E186" s="157"/>
    </row>
    <row r="187" spans="1:5" s="29" customFormat="1">
      <c r="A187" s="157"/>
      <c r="B187" s="32" t="s">
        <v>67</v>
      </c>
      <c r="C187" s="32"/>
      <c r="D187" s="157" t="str">
        <f>IF(D134&lt;&gt;"",($D$138-D134)/365*12, "")</f>
        <v/>
      </c>
      <c r="E187" s="157"/>
    </row>
    <row r="188" spans="1:5" s="29" customFormat="1">
      <c r="A188" s="157"/>
      <c r="B188" s="32" t="s">
        <v>68</v>
      </c>
      <c r="C188" s="32"/>
      <c r="D188" s="157" t="str">
        <f>IF(D135&lt;&gt;"",($D$138-D135)/365*12, "")</f>
        <v/>
      </c>
      <c r="E188" s="157"/>
    </row>
    <row r="189" spans="1:5" s="29" customFormat="1">
      <c r="A189" s="157"/>
      <c r="B189" s="32" t="s">
        <v>69</v>
      </c>
      <c r="C189" s="32"/>
      <c r="D189" s="157" t="str">
        <f>IF(D136&lt;&gt;"",($D$138-D136)/365*12, "")</f>
        <v/>
      </c>
      <c r="E189" s="157"/>
    </row>
    <row r="190" spans="1:5" s="29" customFormat="1">
      <c r="A190" s="157"/>
      <c r="B190" s="157"/>
      <c r="C190" s="157"/>
      <c r="D190" s="157"/>
      <c r="E190" s="157"/>
    </row>
    <row r="191" spans="1:5" s="29" customFormat="1">
      <c r="A191" s="157"/>
      <c r="B191" s="157"/>
      <c r="C191" s="157"/>
      <c r="D191" s="157"/>
      <c r="E191" s="157"/>
    </row>
    <row r="192" spans="1:5" s="29" customFormat="1">
      <c r="A192" s="157"/>
      <c r="B192" s="157"/>
      <c r="C192" s="157"/>
      <c r="D192" s="157"/>
      <c r="E192" s="157"/>
    </row>
    <row r="193" spans="1:17" s="29" customFormat="1">
      <c r="A193" s="157"/>
      <c r="B193" s="157"/>
      <c r="C193" s="157"/>
      <c r="D193" s="157"/>
      <c r="E193" s="157"/>
    </row>
    <row r="194" spans="1:17" s="29" customFormat="1">
      <c r="A194" s="157"/>
      <c r="B194" s="157"/>
      <c r="C194" s="157"/>
      <c r="D194" s="157"/>
      <c r="E194" s="157"/>
      <c r="L194" s="33">
        <v>3000</v>
      </c>
    </row>
    <row r="195" spans="1:17" s="29" customFormat="1">
      <c r="A195" s="157"/>
      <c r="B195" s="32" t="s">
        <v>1</v>
      </c>
      <c r="C195" s="32"/>
      <c r="D195" s="175">
        <v>25000</v>
      </c>
      <c r="E195" s="157"/>
    </row>
    <row r="196" spans="1:17" s="29" customFormat="1">
      <c r="A196" s="157"/>
      <c r="B196" s="32" t="s">
        <v>2</v>
      </c>
      <c r="C196" s="32"/>
      <c r="D196" s="46">
        <v>662</v>
      </c>
      <c r="E196" s="157"/>
    </row>
    <row r="197" spans="1:17" s="29" customFormat="1">
      <c r="A197" s="157"/>
      <c r="B197" s="32" t="s">
        <v>6</v>
      </c>
      <c r="C197" s="32"/>
      <c r="D197" s="46">
        <v>312</v>
      </c>
      <c r="E197" s="157"/>
    </row>
    <row r="198" spans="1:17" s="29" customFormat="1">
      <c r="A198" s="157"/>
      <c r="B198" s="157"/>
      <c r="C198" s="157"/>
      <c r="D198" s="157"/>
      <c r="E198" s="157"/>
    </row>
    <row r="199" spans="1:17" s="29" customFormat="1">
      <c r="A199" s="157"/>
      <c r="B199" s="157"/>
      <c r="C199" s="157"/>
      <c r="D199" s="157"/>
      <c r="E199" s="157"/>
    </row>
    <row r="200" spans="1:17" s="29" customFormat="1">
      <c r="A200" s="157"/>
      <c r="B200" s="157"/>
      <c r="C200" s="157"/>
      <c r="D200" s="157"/>
      <c r="E200" s="157"/>
    </row>
    <row r="201" spans="1:17" s="29" customFormat="1">
      <c r="A201" s="157"/>
      <c r="B201" s="157"/>
      <c r="C201" s="157"/>
      <c r="D201" s="157"/>
      <c r="E201" s="157"/>
    </row>
    <row r="202" spans="1:17" s="29" customFormat="1">
      <c r="A202" s="157"/>
      <c r="B202" s="157"/>
      <c r="C202" s="157"/>
      <c r="D202" s="157"/>
      <c r="E202" s="157"/>
    </row>
    <row r="203" spans="1:17" s="29" customFormat="1" ht="18.75">
      <c r="A203" s="157"/>
      <c r="B203" s="157"/>
      <c r="C203" s="157"/>
      <c r="D203" s="157"/>
      <c r="I203" s="130"/>
      <c r="K203" s="155"/>
      <c r="L203" s="155"/>
      <c r="N203" s="130"/>
      <c r="O203" s="130"/>
      <c r="P203" s="130"/>
      <c r="Q203" s="130"/>
    </row>
    <row r="204" spans="1:17" s="29" customFormat="1" ht="15.75">
      <c r="A204" s="157"/>
      <c r="B204" s="157"/>
      <c r="C204" s="157"/>
      <c r="D204" s="157"/>
      <c r="E204" s="130"/>
      <c r="F204" s="130"/>
      <c r="G204" s="130"/>
      <c r="H204" s="130"/>
      <c r="I204" s="130"/>
      <c r="J204" s="146" t="s">
        <v>33</v>
      </c>
      <c r="K204" s="146" t="s">
        <v>4</v>
      </c>
      <c r="L204" s="146" t="s">
        <v>5</v>
      </c>
      <c r="M204" s="146" t="s">
        <v>58</v>
      </c>
      <c r="N204" s="146" t="s">
        <v>59</v>
      </c>
      <c r="O204" s="146" t="s">
        <v>60</v>
      </c>
      <c r="P204" s="146"/>
      <c r="Q204" s="146" t="s">
        <v>11</v>
      </c>
    </row>
    <row r="205" spans="1:17" s="29" customFormat="1" ht="18.75">
      <c r="A205" s="157"/>
      <c r="B205" s="157"/>
      <c r="C205" s="157"/>
      <c r="D205" s="157"/>
      <c r="E205" s="267" t="s">
        <v>61</v>
      </c>
      <c r="F205" s="267"/>
      <c r="G205" s="176" t="s">
        <v>62</v>
      </c>
      <c r="H205" s="177">
        <v>0</v>
      </c>
      <c r="I205" s="47" t="s">
        <v>63</v>
      </c>
      <c r="J205" s="48">
        <f>$D$109*H205*(100+H205)/10000</f>
        <v>0</v>
      </c>
      <c r="K205" s="48">
        <f>($H$109*H205*(100+H205)/10000)</f>
        <v>0</v>
      </c>
      <c r="L205" s="49">
        <f>M108*H205*(100+H205)/10000</f>
        <v>0</v>
      </c>
      <c r="M205" s="48">
        <f>H6*H205/100</f>
        <v>0</v>
      </c>
      <c r="N205" s="48">
        <f>K6*H205/100</f>
        <v>0</v>
      </c>
      <c r="O205" s="48">
        <f>O6*H205/100</f>
        <v>0</v>
      </c>
      <c r="P205" s="48"/>
      <c r="Q205" s="48">
        <f>P109*H205*(100+H205)/10000</f>
        <v>0</v>
      </c>
    </row>
    <row r="206" spans="1:17" s="29" customFormat="1" ht="18.75">
      <c r="A206" s="157"/>
      <c r="B206" s="157"/>
      <c r="C206" s="157"/>
      <c r="D206" s="157"/>
      <c r="E206" s="178"/>
      <c r="F206" s="178"/>
      <c r="G206" s="176" t="s">
        <v>64</v>
      </c>
      <c r="H206" s="177">
        <v>0</v>
      </c>
      <c r="I206" s="47">
        <v>0</v>
      </c>
      <c r="J206" s="48">
        <f>$D$109*H206*(100-H206)/10000</f>
        <v>0</v>
      </c>
      <c r="K206" s="48">
        <f>($H$109*H206*(100-H206)/10000)</f>
        <v>0</v>
      </c>
      <c r="L206" s="48">
        <f>((M108)*H206*(100-H206))/10000</f>
        <v>0</v>
      </c>
      <c r="M206" s="48">
        <f>H6*H206/100</f>
        <v>0</v>
      </c>
      <c r="N206" s="48">
        <f>K6*H206/100</f>
        <v>0</v>
      </c>
      <c r="O206" s="48">
        <f>((O6)*H206)/100</f>
        <v>0</v>
      </c>
      <c r="P206" s="48"/>
      <c r="Q206" s="48">
        <f>((P109)*H206*(100-H206))/10000</f>
        <v>0</v>
      </c>
    </row>
    <row r="207" spans="1:17" s="29" customFormat="1">
      <c r="A207" s="157"/>
      <c r="B207" s="157"/>
      <c r="C207" s="157"/>
      <c r="D207" s="157"/>
      <c r="E207" s="157"/>
    </row>
    <row r="208" spans="1:17" s="29" customFormat="1">
      <c r="A208" s="157"/>
      <c r="B208" s="157"/>
      <c r="C208" s="157"/>
      <c r="D208" s="157"/>
      <c r="E208" s="157"/>
    </row>
    <row r="209" spans="1:5" s="29" customFormat="1">
      <c r="A209" s="157"/>
      <c r="B209" s="157"/>
      <c r="C209" s="157"/>
      <c r="D209" s="157"/>
      <c r="E209" s="157"/>
    </row>
    <row r="210" spans="1:5" s="29" customFormat="1">
      <c r="A210" s="32" t="s">
        <v>25</v>
      </c>
      <c r="B210" s="31" t="str">
        <f>IF(B6="YES","DISABLED VA","VA-3.3")</f>
        <v>VA-3.3</v>
      </c>
      <c r="C210" s="31"/>
      <c r="D210" s="157"/>
      <c r="E210" s="157"/>
    </row>
    <row r="211" spans="1:5" s="29" customFormat="1">
      <c r="A211" s="32" t="s">
        <v>28</v>
      </c>
      <c r="B211" s="179">
        <v>4.7500000000000001E-2</v>
      </c>
      <c r="C211" s="179"/>
      <c r="D211" s="157"/>
      <c r="E211" s="157"/>
    </row>
    <row r="212" spans="1:5" s="29" customFormat="1">
      <c r="A212" s="32" t="s">
        <v>30</v>
      </c>
      <c r="B212" s="179">
        <v>4.2500000000000003E-2</v>
      </c>
      <c r="C212" s="179"/>
      <c r="D212" s="157"/>
      <c r="E212" s="157"/>
    </row>
    <row r="213" spans="1:5" s="29" customFormat="1">
      <c r="A213" s="157"/>
      <c r="B213" s="157"/>
      <c r="C213" s="157"/>
      <c r="D213" s="157"/>
      <c r="E213" s="157"/>
    </row>
    <row r="214" spans="1:5" s="29" customFormat="1">
      <c r="A214" s="157"/>
      <c r="B214" s="157"/>
      <c r="C214" s="157"/>
      <c r="D214" s="157"/>
      <c r="E214" s="157"/>
    </row>
    <row r="215" spans="1:5" s="29" customFormat="1">
      <c r="A215" s="157"/>
      <c r="B215" s="157"/>
      <c r="C215" s="157"/>
      <c r="D215" s="157"/>
      <c r="E215" s="157"/>
    </row>
    <row r="216" spans="1:5" s="29" customFormat="1">
      <c r="A216" s="157"/>
      <c r="B216" s="157"/>
      <c r="C216" s="157"/>
      <c r="D216" s="157"/>
      <c r="E216" s="157"/>
    </row>
    <row r="217" spans="1:5" s="29" customFormat="1">
      <c r="A217" s="157"/>
      <c r="B217" s="157"/>
      <c r="C217" s="157"/>
      <c r="D217" s="157"/>
      <c r="E217" s="157"/>
    </row>
    <row r="218" spans="1:5" s="29" customFormat="1">
      <c r="A218" s="157"/>
      <c r="B218" s="157"/>
      <c r="C218" s="157"/>
      <c r="D218" s="157"/>
      <c r="E218" s="157"/>
    </row>
    <row r="219" spans="1:5" s="29" customFormat="1">
      <c r="A219" s="157"/>
      <c r="B219" s="157"/>
      <c r="C219" s="157"/>
      <c r="D219" s="157"/>
      <c r="E219" s="157"/>
    </row>
    <row r="220" spans="1:5" s="29" customFormat="1">
      <c r="A220" s="157"/>
      <c r="B220" s="157"/>
      <c r="C220" s="157"/>
      <c r="D220" s="157"/>
      <c r="E220" s="157"/>
    </row>
    <row r="221" spans="1:5" s="29" customFormat="1">
      <c r="A221" s="157"/>
      <c r="B221" s="157"/>
      <c r="C221" s="157"/>
      <c r="D221" s="157"/>
      <c r="E221" s="157"/>
    </row>
    <row r="222" spans="1:5" s="29" customFormat="1">
      <c r="A222" s="157"/>
      <c r="B222" s="157"/>
      <c r="C222" s="157"/>
      <c r="D222" s="157"/>
      <c r="E222" s="157"/>
    </row>
    <row r="223" spans="1:5" s="29" customFormat="1">
      <c r="A223" s="157"/>
      <c r="B223" s="157"/>
      <c r="C223" s="157"/>
      <c r="D223" s="157"/>
      <c r="E223" s="157"/>
    </row>
    <row r="224" spans="1:5" s="29" customFormat="1">
      <c r="A224" s="157"/>
      <c r="B224" s="157"/>
      <c r="C224" s="157"/>
      <c r="D224" s="157"/>
      <c r="E224" s="157"/>
    </row>
    <row r="225" spans="1:5" s="29" customFormat="1">
      <c r="A225" s="157"/>
      <c r="B225" s="157"/>
      <c r="C225" s="157"/>
      <c r="D225" s="157"/>
      <c r="E225" s="157"/>
    </row>
    <row r="226" spans="1:5" s="29" customFormat="1">
      <c r="A226" s="157"/>
      <c r="B226" s="157"/>
      <c r="C226" s="157"/>
      <c r="D226" s="157"/>
      <c r="E226" s="157"/>
    </row>
    <row r="227" spans="1:5" s="29" customFormat="1">
      <c r="A227" s="157"/>
      <c r="B227" s="157"/>
      <c r="C227" s="157"/>
      <c r="D227" s="157"/>
      <c r="E227" s="157"/>
    </row>
    <row r="228" spans="1:5" s="29" customFormat="1">
      <c r="A228" s="157"/>
      <c r="B228" s="157"/>
      <c r="C228" s="157"/>
      <c r="D228" s="157"/>
      <c r="E228" s="157"/>
    </row>
    <row r="229" spans="1:5" s="29" customFormat="1">
      <c r="A229" s="157"/>
      <c r="B229" s="157"/>
      <c r="C229" s="157"/>
      <c r="D229" s="157"/>
      <c r="E229" s="157"/>
    </row>
    <row r="230" spans="1:5" s="29" customFormat="1">
      <c r="A230" s="157"/>
      <c r="B230" s="157"/>
      <c r="C230" s="157"/>
      <c r="D230" s="157"/>
      <c r="E230" s="157"/>
    </row>
    <row r="231" spans="1:5" s="29" customFormat="1">
      <c r="A231" s="157"/>
      <c r="B231" s="157"/>
      <c r="C231" s="157"/>
      <c r="D231" s="157"/>
      <c r="E231" s="157"/>
    </row>
    <row r="232" spans="1:5" s="29" customFormat="1">
      <c r="A232" s="157"/>
      <c r="B232" s="157"/>
      <c r="C232" s="157"/>
      <c r="D232" s="157"/>
      <c r="E232" s="157"/>
    </row>
    <row r="233" spans="1:5" s="29" customFormat="1">
      <c r="A233" s="157"/>
      <c r="B233" s="157"/>
      <c r="C233" s="157"/>
      <c r="D233" s="157"/>
      <c r="E233" s="157"/>
    </row>
  </sheetData>
  <sheetProtection algorithmName="SHA-512" hashValue="G6uf87gPWykk12WsL5mGYUFQQx7uOBsoxR3j78F7DPi8Hj1DemhjcCRzunrdlCspK1UkgxnyEUw63GEqVty0iQ==" saltValue="aEwLW9gYAnMorl5MXpymIg==" spinCount="100000" sheet="1" selectLockedCells="1"/>
  <protectedRanges>
    <protectedRange sqref="B97:C99 G103 G93:G95 G97:G99 G105 K103 K93:K95 K97:K99 B105:C105 B103:C103 B93:C95 K24:K32" name="Range1_2_7"/>
    <protectedRange sqref="B11:C11 B20:C20 B14:C17 C9" name="Range1_2"/>
    <protectedRange sqref="H205:H206" name="Range1_2_2"/>
  </protectedRanges>
  <mergeCells count="88">
    <mergeCell ref="AH37:AI37"/>
    <mergeCell ref="L6:M6"/>
    <mergeCell ref="L7:M7"/>
    <mergeCell ref="L8:M8"/>
    <mergeCell ref="L9:M9"/>
    <mergeCell ref="L10:M10"/>
    <mergeCell ref="L11:M11"/>
    <mergeCell ref="L13:M13"/>
    <mergeCell ref="L14:M14"/>
    <mergeCell ref="L15:M15"/>
    <mergeCell ref="L16:M16"/>
    <mergeCell ref="P9:Q9"/>
    <mergeCell ref="P10:Q10"/>
    <mergeCell ref="P11:Q11"/>
    <mergeCell ref="P13:Q13"/>
    <mergeCell ref="P14:Q14"/>
    <mergeCell ref="Z86:AA86"/>
    <mergeCell ref="J151:K151"/>
    <mergeCell ref="H88:I88"/>
    <mergeCell ref="F87:I87"/>
    <mergeCell ref="J87:M87"/>
    <mergeCell ref="K112:L112"/>
    <mergeCell ref="M112:N112"/>
    <mergeCell ref="K107:L107"/>
    <mergeCell ref="M107:N107"/>
    <mergeCell ref="K108:L108"/>
    <mergeCell ref="M108:N108"/>
    <mergeCell ref="K109:L109"/>
    <mergeCell ref="M109:N109"/>
    <mergeCell ref="H112:I112"/>
    <mergeCell ref="H107:I107"/>
    <mergeCell ref="H108:I108"/>
    <mergeCell ref="E205:F205"/>
    <mergeCell ref="D88:E88"/>
    <mergeCell ref="B160:E160"/>
    <mergeCell ref="B155:E155"/>
    <mergeCell ref="B161:E161"/>
    <mergeCell ref="B166:E166"/>
    <mergeCell ref="B177:E177"/>
    <mergeCell ref="B171:E171"/>
    <mergeCell ref="B172:E172"/>
    <mergeCell ref="D110:E110"/>
    <mergeCell ref="A112:B112"/>
    <mergeCell ref="F112:G112"/>
    <mergeCell ref="F107:G107"/>
    <mergeCell ref="F108:G108"/>
    <mergeCell ref="F109:G109"/>
    <mergeCell ref="A110:B110"/>
    <mergeCell ref="L1:M1"/>
    <mergeCell ref="F110:G110"/>
    <mergeCell ref="H110:I110"/>
    <mergeCell ref="G19:I19"/>
    <mergeCell ref="A107:B107"/>
    <mergeCell ref="D107:E107"/>
    <mergeCell ref="A9:A11"/>
    <mergeCell ref="A21:D23"/>
    <mergeCell ref="L4:M4"/>
    <mergeCell ref="F3:H3"/>
    <mergeCell ref="F12:H12"/>
    <mergeCell ref="H109:I109"/>
    <mergeCell ref="B150:E150"/>
    <mergeCell ref="A1:B1"/>
    <mergeCell ref="A13:B13"/>
    <mergeCell ref="D8:D11"/>
    <mergeCell ref="D13:D16"/>
    <mergeCell ref="D12:E12"/>
    <mergeCell ref="B149:E149"/>
    <mergeCell ref="B9:B11"/>
    <mergeCell ref="D112:E112"/>
    <mergeCell ref="A108:B108"/>
    <mergeCell ref="D108:E108"/>
    <mergeCell ref="A109:B109"/>
    <mergeCell ref="D109:E109"/>
    <mergeCell ref="P3:Q3"/>
    <mergeCell ref="L3:M3"/>
    <mergeCell ref="K110:L110"/>
    <mergeCell ref="M110:N110"/>
    <mergeCell ref="L88:M88"/>
    <mergeCell ref="I3:K3"/>
    <mergeCell ref="P15:Q15"/>
    <mergeCell ref="P16:Q16"/>
    <mergeCell ref="P6:Q6"/>
    <mergeCell ref="P7:Q7"/>
    <mergeCell ref="P8:Q8"/>
    <mergeCell ref="N12:O12"/>
    <mergeCell ref="I12:K12"/>
    <mergeCell ref="N3:O3"/>
    <mergeCell ref="P4:Q4"/>
  </mergeCells>
  <conditionalFormatting sqref="G8:G11 G13:G18">
    <cfRule type="expression" dxfId="96" priority="157">
      <formula>$G$6&gt;($G$5+1000)</formula>
    </cfRule>
  </conditionalFormatting>
  <conditionalFormatting sqref="J8:J11 J13:J18">
    <cfRule type="expression" dxfId="95" priority="136">
      <formula>$J$6&gt;($J$5+1000)</formula>
    </cfRule>
  </conditionalFormatting>
  <conditionalFormatting sqref="H7 K7:L7">
    <cfRule type="cellIs" dxfId="94" priority="776" operator="lessThan">
      <formula>-1*$L$8</formula>
    </cfRule>
  </conditionalFormatting>
  <conditionalFormatting sqref="N8:N11 N13:N20">
    <cfRule type="expression" dxfId="93" priority="144">
      <formula>$N$6&gt;($N$5+1000)</formula>
    </cfRule>
  </conditionalFormatting>
  <conditionalFormatting sqref="H7 O7 K7:L7">
    <cfRule type="cellIs" dxfId="92" priority="794" operator="greaterThan">
      <formula>500</formula>
    </cfRule>
    <cfRule type="cellIs" dxfId="91" priority="863" operator="between">
      <formula>0</formula>
      <formula>-1999.99</formula>
    </cfRule>
  </conditionalFormatting>
  <conditionalFormatting sqref="B151:C151 F13:G13 D151:E154 F8:G8">
    <cfRule type="expression" dxfId="90" priority="798">
      <formula>$E$151&gt;0.5</formula>
    </cfRule>
  </conditionalFormatting>
  <conditionalFormatting sqref="B156:C156 H8 H13 D156:E159">
    <cfRule type="expression" dxfId="89" priority="150">
      <formula>$E$156&gt;0.5</formula>
    </cfRule>
  </conditionalFormatting>
  <conditionalFormatting sqref="B162:C162 I8:J8 I13:J13 D162:E165">
    <cfRule type="expression" dxfId="88" priority="840">
      <formula>$E$162&gt;0.56999</formula>
    </cfRule>
  </conditionalFormatting>
  <conditionalFormatting sqref="B163:C163 I9:J9 I14:J14">
    <cfRule type="expression" dxfId="87" priority="213">
      <formula>$E$163&gt;0.56999</formula>
    </cfRule>
  </conditionalFormatting>
  <conditionalFormatting sqref="B164:C164 I10:J10 I15:J15">
    <cfRule type="expression" dxfId="86" priority="192">
      <formula>$E$164&gt;0.56999</formula>
    </cfRule>
  </conditionalFormatting>
  <conditionalFormatting sqref="B165:C165 I11:J11 I16:J18">
    <cfRule type="expression" dxfId="85" priority="187">
      <formula>$E$165&gt;0.56999</formula>
    </cfRule>
  </conditionalFormatting>
  <conditionalFormatting sqref="B167:C167 D167:E170 K8 K13">
    <cfRule type="expression" dxfId="84" priority="132">
      <formula>$E$167&gt;0.56999</formula>
    </cfRule>
  </conditionalFormatting>
  <conditionalFormatting sqref="B168:C168 K9 K14">
    <cfRule type="expression" dxfId="83" priority="131">
      <formula>$E$168&gt;0.56999</formula>
    </cfRule>
  </conditionalFormatting>
  <conditionalFormatting sqref="B169:C169 K10 K15">
    <cfRule type="expression" dxfId="82" priority="130">
      <formula>$E$169&gt;0.56999</formula>
    </cfRule>
  </conditionalFormatting>
  <conditionalFormatting sqref="B170:C170 K11 K16:K18">
    <cfRule type="expression" dxfId="81" priority="129">
      <formula>$E$170&gt;0.56999</formula>
    </cfRule>
  </conditionalFormatting>
  <conditionalFormatting sqref="B173:C173 N8 N13 D173:E176">
    <cfRule type="expression" dxfId="80" priority="793">
      <formula>$E$173&gt;0.6</formula>
    </cfRule>
  </conditionalFormatting>
  <conditionalFormatting sqref="B174:C174 N9 N14">
    <cfRule type="expression" dxfId="79" priority="215">
      <formula>$E$174&gt;0.6</formula>
    </cfRule>
  </conditionalFormatting>
  <conditionalFormatting sqref="B175:C175 N10 N15">
    <cfRule type="expression" dxfId="78" priority="184">
      <formula>$E$175&gt;0.6</formula>
    </cfRule>
  </conditionalFormatting>
  <conditionalFormatting sqref="B176:C176 N11 N16:N20">
    <cfRule type="expression" dxfId="77" priority="149">
      <formula>$E$176&gt;0.6</formula>
    </cfRule>
  </conditionalFormatting>
  <conditionalFormatting sqref="B178:C178 O8 O13:P13 D178:E181">
    <cfRule type="expression" dxfId="76" priority="139">
      <formula>$E$178&gt;0.6</formula>
    </cfRule>
  </conditionalFormatting>
  <conditionalFormatting sqref="B179:C179 O9 O14:P14">
    <cfRule type="expression" dxfId="75" priority="128">
      <formula>$E$179&gt;0.6</formula>
    </cfRule>
  </conditionalFormatting>
  <conditionalFormatting sqref="B180:C180 O10 O15:P15">
    <cfRule type="expression" dxfId="74" priority="127">
      <formula>$E$180&gt;0.6</formula>
    </cfRule>
  </conditionalFormatting>
  <conditionalFormatting sqref="B181:C181 O11 O16:P20">
    <cfRule type="expression" dxfId="73" priority="125">
      <formula>$E$181&gt;0.6</formula>
    </cfRule>
  </conditionalFormatting>
  <conditionalFormatting sqref="B152:C152 F9:G9 F14:G14">
    <cfRule type="expression" dxfId="72" priority="141">
      <formula>$E$152&gt;0.5</formula>
    </cfRule>
  </conditionalFormatting>
  <conditionalFormatting sqref="B153:C153 F15:G15 F10:G10">
    <cfRule type="expression" dxfId="71" priority="104">
      <formula>$E$153&gt;0.5</formula>
    </cfRule>
  </conditionalFormatting>
  <conditionalFormatting sqref="B154:C154 F11:G11 F16:G18 F19:F20">
    <cfRule type="expression" dxfId="70" priority="103">
      <formula>$E$154&gt;0.5</formula>
    </cfRule>
  </conditionalFormatting>
  <conditionalFormatting sqref="B157:C157 H9 H14">
    <cfRule type="expression" dxfId="69" priority="100">
      <formula>$E$157&gt;0.5</formula>
    </cfRule>
  </conditionalFormatting>
  <conditionalFormatting sqref="B158:C158">
    <cfRule type="expression" dxfId="68" priority="99">
      <formula>$E$158&gt;0.5</formula>
    </cfRule>
  </conditionalFormatting>
  <conditionalFormatting sqref="B159:C159 H11 H16:H18">
    <cfRule type="expression" dxfId="67" priority="97">
      <formula>$E$159&gt;0.5</formula>
    </cfRule>
  </conditionalFormatting>
  <conditionalFormatting sqref="H2">
    <cfRule type="cellIs" dxfId="66" priority="232" operator="lessThan">
      <formula>-2000</formula>
    </cfRule>
  </conditionalFormatting>
  <conditionalFormatting sqref="H2">
    <cfRule type="cellIs" dxfId="65" priority="95" operator="greaterThan">
      <formula>500</formula>
    </cfRule>
    <cfRule type="cellIs" dxfId="64" priority="115" operator="between">
      <formula>0</formula>
      <formula>-1999.99</formula>
    </cfRule>
  </conditionalFormatting>
  <conditionalFormatting sqref="K2">
    <cfRule type="cellIs" dxfId="63" priority="720" operator="lessThan">
      <formula>-2000</formula>
    </cfRule>
  </conditionalFormatting>
  <conditionalFormatting sqref="K2">
    <cfRule type="cellIs" dxfId="62" priority="159" operator="between">
      <formula>0</formula>
      <formula>-1999.99</formula>
    </cfRule>
    <cfRule type="cellIs" dxfId="61" priority="714" operator="greaterThan">
      <formula>500</formula>
    </cfRule>
  </conditionalFormatting>
  <conditionalFormatting sqref="O2">
    <cfRule type="cellIs" dxfId="60" priority="123" operator="greaterThan">
      <formula>500</formula>
    </cfRule>
    <cfRule type="cellIs" dxfId="59" priority="124" operator="between">
      <formula>0</formula>
      <formula>-1999.99</formula>
    </cfRule>
  </conditionalFormatting>
  <conditionalFormatting sqref="F1:F2 F5:F11 F13:F20">
    <cfRule type="expression" dxfId="58" priority="158">
      <formula>OR($K$25="X",$K$26="X",$K$27="X",$K$28="X",$K$29="X",$K$30="X",$K$31="X",$K$32="X")</formula>
    </cfRule>
  </conditionalFormatting>
  <conditionalFormatting sqref="F8:F11 F13:F20">
    <cfRule type="expression" dxfId="57" priority="230">
      <formula>$F$6&gt;$F$5</formula>
    </cfRule>
  </conditionalFormatting>
  <conditionalFormatting sqref="I8:I11 I13:I18">
    <cfRule type="expression" dxfId="56" priority="202">
      <formula>$I$6&gt;$I$5</formula>
    </cfRule>
  </conditionalFormatting>
  <conditionalFormatting sqref="O2 O7">
    <cfRule type="expression" dxfId="55" priority="118">
      <formula>$O$7&lt;-2000</formula>
    </cfRule>
  </conditionalFormatting>
  <conditionalFormatting sqref="F19:F20 L19:Q20 F13:Q18">
    <cfRule type="cellIs" dxfId="54" priority="1163" operator="greaterThan">
      <formula>0</formula>
    </cfRule>
  </conditionalFormatting>
  <conditionalFormatting sqref="H10 H15">
    <cfRule type="expression" dxfId="53" priority="736">
      <formula>$E$158&gt;0.45</formula>
    </cfRule>
  </conditionalFormatting>
  <conditionalFormatting sqref="P1:Q1 Q2 Q5 N5:O11 P6:Q11 Q12 N13:Q20 J1:K2 N1:O2">
    <cfRule type="expression" dxfId="52" priority="795">
      <formula>$D$185&lt;=24</formula>
    </cfRule>
  </conditionalFormatting>
  <conditionalFormatting sqref="H2">
    <cfRule type="expression" dxfId="51" priority="785">
      <formula>$D$186&lt;=48</formula>
    </cfRule>
    <cfRule type="expression" dxfId="50" priority="786">
      <formula>$D$189&lt;=84</formula>
    </cfRule>
    <cfRule type="expression" dxfId="49" priority="787">
      <formula>$D$188&lt;=24</formula>
    </cfRule>
    <cfRule type="expression" dxfId="48" priority="788">
      <formula>$D$187&lt;=48</formula>
    </cfRule>
    <cfRule type="expression" dxfId="47" priority="789">
      <formula>$D$185&lt;=48</formula>
    </cfRule>
  </conditionalFormatting>
  <conditionalFormatting sqref="O2 P3">
    <cfRule type="expression" dxfId="46" priority="796">
      <formula>$D$189&lt;=24</formula>
    </cfRule>
    <cfRule type="expression" dxfId="45" priority="797">
      <formula>$D$188&lt;=0</formula>
    </cfRule>
    <cfRule type="expression" dxfId="44" priority="814">
      <formula>$D$187&lt;=24</formula>
    </cfRule>
    <cfRule type="expression" dxfId="43" priority="815">
      <formula>$D$186&lt;=12</formula>
    </cfRule>
    <cfRule type="expression" dxfId="42" priority="816">
      <formula>$D$185&lt;=24</formula>
    </cfRule>
  </conditionalFormatting>
  <conditionalFormatting sqref="F1:H2 F5:H11 F13:H18 F19:F20">
    <cfRule type="expression" dxfId="41" priority="799">
      <formula>$D$186&lt;=48</formula>
    </cfRule>
    <cfRule type="expression" dxfId="40" priority="800">
      <formula>$D$189&lt;=84</formula>
    </cfRule>
    <cfRule type="expression" dxfId="39" priority="801">
      <formula>$D$188&lt;=24</formula>
    </cfRule>
    <cfRule type="expression" dxfId="38" priority="883">
      <formula>$D$187&lt;=48</formula>
    </cfRule>
  </conditionalFormatting>
  <conditionalFormatting sqref="Q5">
    <cfRule type="expression" dxfId="37" priority="817">
      <formula>$D$189&lt;=36</formula>
    </cfRule>
    <cfRule type="expression" dxfId="36" priority="818">
      <formula>$D$188&lt;=0</formula>
    </cfRule>
    <cfRule type="expression" dxfId="35" priority="836">
      <formula>$D$187&lt;=24</formula>
    </cfRule>
    <cfRule type="expression" dxfId="34" priority="842">
      <formula>$D$186&lt;=12</formula>
    </cfRule>
    <cfRule type="expression" dxfId="33" priority="844">
      <formula>$D$185&lt;=24</formula>
    </cfRule>
  </conditionalFormatting>
  <conditionalFormatting sqref="I5:K11 I1:K2 L6:M11 M12 I13:M18 L19:M20 M5 L194 M2 L1">
    <cfRule type="expression" dxfId="32" priority="1157">
      <formula>$D$189&lt;=36</formula>
    </cfRule>
  </conditionalFormatting>
  <conditionalFormatting sqref="J1:K2 N1:O2 P1:Q1 Q2 Q5 P6:Q11 N5:O11 N13:Q20 Q12">
    <cfRule type="expression" dxfId="31" priority="851">
      <formula>$D$188&lt;=0</formula>
    </cfRule>
  </conditionalFormatting>
  <conditionalFormatting sqref="J1:K2 N1:O2 P1:Q1 Q2 Q5 P6:Q11 N5:O11 Q12 N13:Q20">
    <cfRule type="expression" dxfId="30" priority="868">
      <formula>$D$187&lt;=24</formula>
    </cfRule>
  </conditionalFormatting>
  <conditionalFormatting sqref="J1:K2 N1:O2 P1:Q1 Q2 Q5 P6:Q11 N5:O11 N13:Q20 Q12">
    <cfRule type="expression" dxfId="29" priority="925">
      <formula>$D$186&lt;=12</formula>
    </cfRule>
  </conditionalFormatting>
  <conditionalFormatting sqref="I1:K2 I5:K11 I13:K18">
    <cfRule type="expression" dxfId="28" priority="852">
      <formula>$D$188&lt;=0</formula>
    </cfRule>
    <cfRule type="expression" dxfId="27" priority="853">
      <formula>$D$187&lt;=24</formula>
    </cfRule>
    <cfRule type="expression" dxfId="26" priority="854">
      <formula>$D$186&lt;=12</formula>
    </cfRule>
    <cfRule type="expression" dxfId="25" priority="870">
      <formula>$D$185&lt;=24</formula>
    </cfRule>
  </conditionalFormatting>
  <conditionalFormatting sqref="N1:O2 P1:Q1 Q2 N5:O11 Q5 P6:Q11 Q12 N13:Q20">
    <cfRule type="expression" dxfId="24" priority="936">
      <formula>$D$189&lt;=24</formula>
    </cfRule>
  </conditionalFormatting>
  <conditionalFormatting sqref="L6:M11 J13:M18 J1:K2 J5:K11 Q5 Q2 L19:M20 M5 L194 M2 L1">
    <cfRule type="expression" dxfId="23" priority="1174">
      <formula>$D$137&gt;0</formula>
    </cfRule>
  </conditionalFormatting>
  <conditionalFormatting sqref="H2">
    <cfRule type="expression" dxfId="22" priority="869">
      <formula>$D$196&lt;620</formula>
    </cfRule>
  </conditionalFormatting>
  <conditionalFormatting sqref="I1:K2 I5:K11 M5:O5 L6:L11 I13:L18 Q12 N6:P11 N13:P20 Q5 Q2 L19:L20 M2:O2 L194 N1:Q1 L1">
    <cfRule type="expression" dxfId="21" priority="1180">
      <formula>$D$196&lt;580</formula>
    </cfRule>
  </conditionalFormatting>
  <conditionalFormatting sqref="F1:H2 F5:H11 F13:H18 F19:F20">
    <cfRule type="expression" dxfId="20" priority="884">
      <formula>$D$196&lt;620</formula>
    </cfRule>
    <cfRule type="expression" dxfId="19" priority="889">
      <formula>$D$185&lt;=48</formula>
    </cfRule>
  </conditionalFormatting>
  <conditionalFormatting sqref="F8:F11 F13:F20">
    <cfRule type="expression" dxfId="18" priority="945">
      <formula>$F$6/$B$3&gt;0.95</formula>
    </cfRule>
  </conditionalFormatting>
  <conditionalFormatting sqref="A6:A7">
    <cfRule type="expression" dxfId="17" priority="934">
      <formula>$B$5="NO"</formula>
    </cfRule>
  </conditionalFormatting>
  <conditionalFormatting sqref="B6:B7">
    <cfRule type="expression" dxfId="16" priority="935">
      <formula>$B$5="NO"</formula>
    </cfRule>
  </conditionalFormatting>
  <conditionalFormatting sqref="P1:Q3 P5:Q20">
    <cfRule type="expression" dxfId="15" priority="146">
      <formula>$B$7="NO"</formula>
    </cfRule>
  </conditionalFormatting>
  <conditionalFormatting sqref="J20 G19:J19">
    <cfRule type="expression" dxfId="14" priority="1137">
      <formula>$I$24/$B$3&gt;0.8</formula>
    </cfRule>
  </conditionalFormatting>
  <conditionalFormatting sqref="G20:I20">
    <cfRule type="expression" dxfId="13" priority="1139">
      <formula>$I24/$B$3&gt;0.8</formula>
    </cfRule>
  </conditionalFormatting>
  <conditionalFormatting sqref="K19:K20">
    <cfRule type="expression" dxfId="12" priority="1140">
      <formula>$I$24/$B$3&gt;0.8</formula>
    </cfRule>
  </conditionalFormatting>
  <conditionalFormatting sqref="F5:F11 F13 F14 F15 F16">
    <cfRule type="expression" dxfId="11" priority="102">
      <formula>$B$9&gt;2000</formula>
    </cfRule>
  </conditionalFormatting>
  <conditionalFormatting sqref="I5:I11 I13:I18 I1:I2">
    <cfRule type="expression" dxfId="10" priority="1165">
      <formula>OR($K$26="X",$K$27="X",$K$28="X",$K$29="X",$K$30="X",$K$31="X",$K$32="X",$K$25="X")</formula>
    </cfRule>
  </conditionalFormatting>
  <conditionalFormatting sqref="L2:M3 L5:M20 L4 L194 L1">
    <cfRule type="expression" dxfId="9" priority="715">
      <formula>$B$8="NO"</formula>
    </cfRule>
  </conditionalFormatting>
  <conditionalFormatting sqref="R3">
    <cfRule type="expression" dxfId="8" priority="1179">
      <formula>$B$7="NO"</formula>
    </cfRule>
  </conditionalFormatting>
  <conditionalFormatting sqref="N1:Q16">
    <cfRule type="expression" dxfId="7" priority="108">
      <formula>$B$5="NO"</formula>
    </cfRule>
  </conditionalFormatting>
  <conditionalFormatting sqref="O2">
    <cfRule type="expression" dxfId="6" priority="1181">
      <formula>$B$5="NO"</formula>
    </cfRule>
  </conditionalFormatting>
  <conditionalFormatting sqref="P4:Q4">
    <cfRule type="expression" dxfId="5" priority="1188">
      <formula>$B$7="NO"</formula>
    </cfRule>
  </conditionalFormatting>
  <conditionalFormatting sqref="I1:I2 I5:I11">
    <cfRule type="expression" dxfId="4" priority="1166">
      <formula>$B$9&gt;500</formula>
    </cfRule>
  </conditionalFormatting>
  <conditionalFormatting sqref="I13:I16">
    <cfRule type="expression" dxfId="3" priority="4">
      <formula>$B$9&gt;500</formula>
    </cfRule>
  </conditionalFormatting>
  <conditionalFormatting sqref="G1">
    <cfRule type="expression" dxfId="2" priority="3">
      <formula>$G$6&gt;$G$5</formula>
    </cfRule>
  </conditionalFormatting>
  <conditionalFormatting sqref="J1">
    <cfRule type="expression" dxfId="1" priority="2">
      <formula>$J$6&gt;$J$5</formula>
    </cfRule>
  </conditionalFormatting>
  <conditionalFormatting sqref="N1">
    <cfRule type="expression" dxfId="0" priority="1">
      <formula>$N$6&gt;$N$5</formula>
    </cfRule>
  </conditionalFormatting>
  <hyperlinks>
    <hyperlink ref="J151" r:id="rId1" xr:uid="{00000000-0004-0000-0000-000000000000}"/>
    <hyperlink ref="E205" r:id="rId2" xr:uid="{00000000-0004-0000-0000-000001000000}"/>
    <hyperlink ref="G20" r:id="rId3" location="/Login" display="ARCH MI QUOTE" xr:uid="{00000000-0004-0000-0000-000002000000}"/>
    <hyperlink ref="I20" r:id="rId4" display="RADIAN MI QUOTE" xr:uid="{00000000-0004-0000-0000-000003000000}"/>
    <hyperlink ref="H20" r:id="rId5" display="MGIC MI QUOTE" xr:uid="{00000000-0004-0000-0000-000004000000}"/>
    <hyperlink ref="M12" location="FHASTREAMCUST" display="FHASTREAMCUST" xr:uid="{00000000-0004-0000-0000-000021000000}"/>
    <hyperlink ref="Q12" location="VAIRRRLCUST" display="VAIRRRLCUST" xr:uid="{00000000-0004-0000-0000-00002C000000}"/>
  </hyperlinks>
  <pageMargins left="0.7" right="0.7" top="0.75" bottom="0.75" header="0.3" footer="0.3"/>
  <pageSetup orientation="portrait" horizontalDpi="200" verticalDpi="200" r:id="rId6"/>
  <legacyDrawing r:id="rId7"/>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0000000}">
          <x14:formula1>
            <xm:f>Picklists!$A$6:$A$7</xm:f>
          </x14:formula1>
          <xm:sqref>K24:K32</xm:sqref>
        </x14:dataValidation>
        <x14:dataValidation type="list" allowBlank="1" showInputMessage="1" showErrorMessage="1" xr:uid="{281DCCB0-5A6E-42F9-83C0-3DA72D5C95B3}">
          <x14:formula1>
            <xm:f>Picklists!$N$2:$N$52</xm:f>
          </x14:formula1>
          <xm:sqref>B2:C2</xm:sqref>
        </x14:dataValidation>
        <x14:dataValidation type="list" allowBlank="1" showInputMessage="1" showErrorMessage="1" xr:uid="{0ADFC502-52A5-4E89-96F0-0768824A3B3C}">
          <x14:formula1>
            <xm:f>Picklists!$I$49:$I$57</xm:f>
          </x14:formula1>
          <xm:sqref>G24:G32</xm:sqref>
        </x14:dataValidation>
        <x14:dataValidation type="list" allowBlank="1" showInputMessage="1" showErrorMessage="1" xr:uid="{00000000-0002-0000-0000-000001000000}">
          <x14:formula1>
            <xm:f>Picklists!$A$9:$A$10</xm:f>
          </x14:formula1>
          <xm:sqref>C4:C7 B5:B8</xm:sqref>
        </x14:dataValidation>
        <x14:dataValidation type="list" allowBlank="1" showInputMessage="1" showErrorMessage="1" xr:uid="{B1B220BB-0762-4B00-A99A-8E80F24629CD}">
          <x14:formula1>
            <xm:f>Picklists!$I$3:$I$9</xm:f>
          </x14:formula1>
          <xm:sqref>H24:H32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O57"/>
  <sheetViews>
    <sheetView topLeftCell="B1" zoomScale="70" zoomScaleNormal="70" workbookViewId="0">
      <selection activeCell="B1" sqref="A1:XFD1048576"/>
    </sheetView>
  </sheetViews>
  <sheetFormatPr defaultColWidth="9.140625" defaultRowHeight="18.75"/>
  <cols>
    <col min="1" max="1" width="17.85546875" style="29" bestFit="1" customWidth="1"/>
    <col min="2" max="2" width="9.140625" style="29"/>
    <col min="3" max="3" width="23.85546875" style="29" bestFit="1" customWidth="1"/>
    <col min="4" max="4" width="18.85546875" style="29" bestFit="1" customWidth="1"/>
    <col min="5" max="5" width="11.28515625" style="29" bestFit="1" customWidth="1"/>
    <col min="6" max="6" width="17.140625" style="29" bestFit="1" customWidth="1"/>
    <col min="7" max="8" width="9.140625" style="29"/>
    <col min="9" max="9" width="17.85546875" style="29" bestFit="1" customWidth="1"/>
    <col min="10" max="10" width="9.140625" style="29"/>
    <col min="11" max="11" width="14.7109375" style="29" bestFit="1" customWidth="1"/>
    <col min="12" max="13" width="9.140625" style="29"/>
    <col min="14" max="14" width="7.140625" style="24" bestFit="1" customWidth="1"/>
    <col min="15" max="15" width="4.140625" style="24" bestFit="1" customWidth="1"/>
    <col min="16" max="16384" width="9.140625" style="29"/>
  </cols>
  <sheetData>
    <row r="2" spans="1:15" ht="18">
      <c r="N2" s="189" t="s">
        <v>297</v>
      </c>
      <c r="O2" s="189">
        <v>3</v>
      </c>
    </row>
    <row r="3" spans="1:15">
      <c r="C3" s="29" t="s">
        <v>125</v>
      </c>
      <c r="D3" s="29" t="s">
        <v>33</v>
      </c>
      <c r="F3" s="29" t="s">
        <v>33</v>
      </c>
      <c r="I3" s="24" t="s">
        <v>305</v>
      </c>
      <c r="N3" s="189" t="s">
        <v>296</v>
      </c>
      <c r="O3" s="189">
        <v>3</v>
      </c>
    </row>
    <row r="4" spans="1:15">
      <c r="A4" s="29" t="s">
        <v>126</v>
      </c>
      <c r="D4" s="29" t="s">
        <v>4</v>
      </c>
      <c r="F4" s="29" t="s">
        <v>4</v>
      </c>
      <c r="I4" s="24" t="s">
        <v>115</v>
      </c>
      <c r="N4" s="189" t="s">
        <v>295</v>
      </c>
      <c r="O4" s="189">
        <v>1</v>
      </c>
    </row>
    <row r="5" spans="1:15">
      <c r="I5" s="24" t="s">
        <v>302</v>
      </c>
      <c r="N5" s="189" t="s">
        <v>294</v>
      </c>
      <c r="O5" s="189">
        <v>3</v>
      </c>
    </row>
    <row r="6" spans="1:15">
      <c r="D6" s="29" t="s">
        <v>87</v>
      </c>
      <c r="F6" s="29" t="s">
        <v>5</v>
      </c>
      <c r="I6" s="24" t="s">
        <v>303</v>
      </c>
      <c r="N6" s="189" t="s">
        <v>293</v>
      </c>
      <c r="O6" s="189">
        <v>1</v>
      </c>
    </row>
    <row r="7" spans="1:15">
      <c r="A7" s="29" t="s">
        <v>36</v>
      </c>
      <c r="D7" s="29" t="s">
        <v>90</v>
      </c>
      <c r="F7" s="29" t="s">
        <v>127</v>
      </c>
      <c r="I7" s="24" t="s">
        <v>304</v>
      </c>
      <c r="N7" s="189" t="s">
        <v>292</v>
      </c>
      <c r="O7" s="189">
        <v>1</v>
      </c>
    </row>
    <row r="8" spans="1:15">
      <c r="D8" s="29" t="s">
        <v>26</v>
      </c>
      <c r="F8" s="29" t="s">
        <v>128</v>
      </c>
      <c r="I8" s="24" t="s">
        <v>336</v>
      </c>
      <c r="N8" s="189" t="s">
        <v>291</v>
      </c>
      <c r="O8" s="189">
        <v>3</v>
      </c>
    </row>
    <row r="9" spans="1:15">
      <c r="A9" s="29" t="s">
        <v>16</v>
      </c>
      <c r="D9" s="29" t="s">
        <v>127</v>
      </c>
      <c r="I9" s="24" t="s">
        <v>119</v>
      </c>
      <c r="N9" s="189" t="s">
        <v>290</v>
      </c>
      <c r="O9" s="189">
        <v>3</v>
      </c>
    </row>
    <row r="10" spans="1:15" ht="18">
      <c r="A10" s="29" t="s">
        <v>129</v>
      </c>
      <c r="C10" s="29" t="s">
        <v>130</v>
      </c>
      <c r="D10" s="29" t="s">
        <v>7</v>
      </c>
      <c r="N10" s="189" t="s">
        <v>289</v>
      </c>
      <c r="O10" s="189">
        <v>1</v>
      </c>
    </row>
    <row r="11" spans="1:15" ht="18">
      <c r="D11" s="29" t="s">
        <v>8</v>
      </c>
      <c r="F11" s="29" t="s">
        <v>131</v>
      </c>
      <c r="N11" s="189" t="s">
        <v>288</v>
      </c>
      <c r="O11" s="189">
        <v>1</v>
      </c>
    </row>
    <row r="12" spans="1:15" ht="18">
      <c r="D12" s="29" t="s">
        <v>132</v>
      </c>
      <c r="F12" s="29" t="s">
        <v>133</v>
      </c>
      <c r="N12" s="189" t="s">
        <v>287</v>
      </c>
      <c r="O12" s="189">
        <v>1</v>
      </c>
    </row>
    <row r="13" spans="1:15" ht="18">
      <c r="F13" s="29" t="s">
        <v>134</v>
      </c>
      <c r="N13" s="189" t="s">
        <v>286</v>
      </c>
      <c r="O13" s="189">
        <v>1</v>
      </c>
    </row>
    <row r="14" spans="1:15" ht="18">
      <c r="N14" s="189" t="s">
        <v>285</v>
      </c>
      <c r="O14" s="189">
        <v>1</v>
      </c>
    </row>
    <row r="15" spans="1:15" ht="18">
      <c r="C15" s="29" t="s">
        <v>135</v>
      </c>
      <c r="D15" s="29" t="s">
        <v>136</v>
      </c>
      <c r="K15" s="268" t="s">
        <v>37</v>
      </c>
      <c r="L15" s="268"/>
      <c r="M15" s="212"/>
      <c r="N15" s="189" t="s">
        <v>284</v>
      </c>
      <c r="O15" s="189">
        <v>3</v>
      </c>
    </row>
    <row r="16" spans="1:15" ht="18">
      <c r="D16" s="29" t="s">
        <v>137</v>
      </c>
      <c r="K16" s="29" t="s">
        <v>40</v>
      </c>
      <c r="L16" s="29">
        <v>8.5000000000000006E-3</v>
      </c>
      <c r="N16" s="189" t="s">
        <v>283</v>
      </c>
      <c r="O16" s="189">
        <v>2</v>
      </c>
    </row>
    <row r="17" spans="3:15" ht="18">
      <c r="D17" s="29" t="s">
        <v>138</v>
      </c>
      <c r="K17" s="29" t="s">
        <v>42</v>
      </c>
      <c r="L17" s="29">
        <v>8.0000000000000002E-3</v>
      </c>
      <c r="N17" s="189" t="s">
        <v>282</v>
      </c>
      <c r="O17" s="189">
        <v>3</v>
      </c>
    </row>
    <row r="18" spans="3:15" ht="18">
      <c r="D18" s="29" t="s">
        <v>128</v>
      </c>
      <c r="K18" s="29" t="s">
        <v>45</v>
      </c>
      <c r="L18" s="29">
        <v>7.0000000000000001E-3</v>
      </c>
      <c r="N18" s="189" t="s">
        <v>281</v>
      </c>
      <c r="O18" s="189">
        <v>2</v>
      </c>
    </row>
    <row r="19" spans="3:15" ht="18">
      <c r="K19" s="29" t="s">
        <v>46</v>
      </c>
      <c r="L19" s="29">
        <v>4.4999999999999997E-3</v>
      </c>
      <c r="N19" s="189" t="s">
        <v>280</v>
      </c>
      <c r="O19" s="189">
        <v>2</v>
      </c>
    </row>
    <row r="20" spans="3:15" ht="18">
      <c r="N20" s="189" t="s">
        <v>279</v>
      </c>
      <c r="O20" s="189">
        <v>2</v>
      </c>
    </row>
    <row r="21" spans="3:15" ht="18">
      <c r="N21" s="189" t="s">
        <v>278</v>
      </c>
      <c r="O21" s="189">
        <v>3</v>
      </c>
    </row>
    <row r="22" spans="3:15" ht="18">
      <c r="C22" s="187" t="s">
        <v>139</v>
      </c>
      <c r="D22" s="26" t="s">
        <v>140</v>
      </c>
      <c r="N22" s="189" t="s">
        <v>277</v>
      </c>
      <c r="O22" s="189">
        <v>3</v>
      </c>
    </row>
    <row r="23" spans="3:15" ht="18">
      <c r="C23" s="25"/>
      <c r="D23" s="26" t="s">
        <v>141</v>
      </c>
      <c r="N23" s="189" t="s">
        <v>276</v>
      </c>
      <c r="O23" s="189">
        <v>2</v>
      </c>
    </row>
    <row r="24" spans="3:15" ht="18">
      <c r="C24" s="25"/>
      <c r="D24" s="26" t="s">
        <v>142</v>
      </c>
      <c r="N24" s="189" t="s">
        <v>275</v>
      </c>
      <c r="O24" s="189">
        <v>1</v>
      </c>
    </row>
    <row r="25" spans="3:15" ht="18">
      <c r="C25" s="25"/>
      <c r="D25" s="26" t="s">
        <v>143</v>
      </c>
      <c r="N25" s="189" t="s">
        <v>274</v>
      </c>
      <c r="O25" s="189">
        <v>1</v>
      </c>
    </row>
    <row r="26" spans="3:15" ht="18">
      <c r="C26" s="25"/>
      <c r="D26" s="26" t="s">
        <v>144</v>
      </c>
      <c r="I26" s="29" t="s">
        <v>123</v>
      </c>
      <c r="N26" s="189" t="s">
        <v>273</v>
      </c>
      <c r="O26" s="189">
        <v>3</v>
      </c>
    </row>
    <row r="27" spans="3:15" ht="18">
      <c r="C27" s="25"/>
      <c r="D27" s="26" t="s">
        <v>145</v>
      </c>
      <c r="I27" s="140">
        <v>1095</v>
      </c>
      <c r="N27" s="189" t="s">
        <v>272</v>
      </c>
      <c r="O27" s="189">
        <v>2</v>
      </c>
    </row>
    <row r="28" spans="3:15" ht="18">
      <c r="C28" s="25"/>
      <c r="D28" s="26" t="s">
        <v>146</v>
      </c>
      <c r="F28" s="268" t="s">
        <v>147</v>
      </c>
      <c r="G28" s="268"/>
      <c r="J28" s="212"/>
      <c r="N28" s="189" t="s">
        <v>271</v>
      </c>
      <c r="O28" s="189">
        <v>2</v>
      </c>
    </row>
    <row r="29" spans="3:15" ht="18">
      <c r="C29" s="25"/>
      <c r="D29" s="26" t="s">
        <v>119</v>
      </c>
      <c r="F29" s="29" t="s">
        <v>5</v>
      </c>
      <c r="G29" s="29">
        <v>1.0329999999999999</v>
      </c>
      <c r="I29" s="212" t="s">
        <v>148</v>
      </c>
      <c r="J29" s="29">
        <v>0.95</v>
      </c>
      <c r="N29" s="189" t="s">
        <v>270</v>
      </c>
      <c r="O29" s="189">
        <v>2</v>
      </c>
    </row>
    <row r="30" spans="3:15" ht="18">
      <c r="C30" s="188"/>
      <c r="D30" s="26"/>
      <c r="G30" s="29">
        <v>1.0215000000000001</v>
      </c>
      <c r="I30" s="29" t="s">
        <v>75</v>
      </c>
      <c r="J30" s="29">
        <v>0.8</v>
      </c>
      <c r="N30" s="189" t="s">
        <v>269</v>
      </c>
      <c r="O30" s="189">
        <v>1</v>
      </c>
    </row>
    <row r="31" spans="3:15" ht="18">
      <c r="C31" s="187" t="s">
        <v>149</v>
      </c>
      <c r="D31" s="188"/>
      <c r="F31" s="29" t="s">
        <v>4</v>
      </c>
      <c r="G31" s="29">
        <v>1.7500000000000002E-2</v>
      </c>
      <c r="I31" s="29" t="s">
        <v>78</v>
      </c>
      <c r="J31" s="29">
        <v>0.97750000000000004</v>
      </c>
      <c r="N31" s="189" t="s">
        <v>268</v>
      </c>
      <c r="O31" s="189">
        <v>2</v>
      </c>
    </row>
    <row r="32" spans="3:15" ht="18">
      <c r="C32" s="25"/>
      <c r="D32" s="26" t="s">
        <v>150</v>
      </c>
      <c r="F32" s="29" t="s">
        <v>127</v>
      </c>
      <c r="G32" s="29">
        <v>0.02</v>
      </c>
      <c r="I32" s="29" t="s">
        <v>81</v>
      </c>
      <c r="J32" s="29">
        <v>0.85</v>
      </c>
      <c r="N32" s="189" t="s">
        <v>267</v>
      </c>
      <c r="O32" s="189">
        <v>3</v>
      </c>
    </row>
    <row r="33" spans="3:15" ht="18">
      <c r="C33" s="25"/>
      <c r="I33" s="29" t="s">
        <v>84</v>
      </c>
      <c r="J33" s="29">
        <v>1</v>
      </c>
      <c r="N33" s="189" t="s">
        <v>266</v>
      </c>
      <c r="O33" s="189">
        <v>3</v>
      </c>
    </row>
    <row r="34" spans="3:15" ht="18">
      <c r="I34" s="29" t="s">
        <v>5</v>
      </c>
      <c r="N34" s="189" t="s">
        <v>265</v>
      </c>
      <c r="O34" s="189">
        <v>3</v>
      </c>
    </row>
    <row r="35" spans="3:15" ht="18">
      <c r="N35" s="189" t="s">
        <v>264</v>
      </c>
      <c r="O35" s="189">
        <v>1</v>
      </c>
    </row>
    <row r="36" spans="3:15" ht="18">
      <c r="C36" s="29" t="s">
        <v>151</v>
      </c>
      <c r="N36" s="189" t="s">
        <v>263</v>
      </c>
      <c r="O36" s="189">
        <v>2</v>
      </c>
    </row>
    <row r="37" spans="3:15" ht="18">
      <c r="C37" s="29" t="s">
        <v>152</v>
      </c>
      <c r="N37" s="189" t="s">
        <v>262</v>
      </c>
      <c r="O37" s="189">
        <v>2</v>
      </c>
    </row>
    <row r="38" spans="3:15" ht="18">
      <c r="N38" s="189" t="s">
        <v>261</v>
      </c>
      <c r="O38" s="189">
        <v>2</v>
      </c>
    </row>
    <row r="39" spans="3:15" ht="18">
      <c r="N39" s="189" t="s">
        <v>260</v>
      </c>
      <c r="O39" s="189">
        <v>1</v>
      </c>
    </row>
    <row r="40" spans="3:15" ht="18">
      <c r="C40" s="29" t="s">
        <v>153</v>
      </c>
      <c r="N40" s="189" t="s">
        <v>259</v>
      </c>
      <c r="O40" s="189">
        <v>3</v>
      </c>
    </row>
    <row r="41" spans="3:15" ht="18">
      <c r="C41" s="29" t="s">
        <v>7</v>
      </c>
      <c r="N41" s="189" t="s">
        <v>258</v>
      </c>
      <c r="O41" s="189">
        <v>2</v>
      </c>
    </row>
    <row r="42" spans="3:15" ht="18">
      <c r="C42" s="29" t="s">
        <v>154</v>
      </c>
      <c r="N42" s="189" t="s">
        <v>257</v>
      </c>
      <c r="O42" s="189">
        <v>2</v>
      </c>
    </row>
    <row r="43" spans="3:15" ht="18">
      <c r="C43" s="29" t="s">
        <v>155</v>
      </c>
      <c r="N43" s="189" t="s">
        <v>256</v>
      </c>
      <c r="O43" s="189">
        <v>2</v>
      </c>
    </row>
    <row r="44" spans="3:15" ht="18">
      <c r="I44" s="29">
        <v>1</v>
      </c>
      <c r="N44" s="189" t="s">
        <v>255</v>
      </c>
      <c r="O44" s="189">
        <v>1</v>
      </c>
    </row>
    <row r="45" spans="3:15" ht="18">
      <c r="N45" s="189" t="s">
        <v>254</v>
      </c>
      <c r="O45" s="189">
        <v>1</v>
      </c>
    </row>
    <row r="46" spans="3:15" ht="18">
      <c r="C46" s="269" t="s">
        <v>74</v>
      </c>
      <c r="D46" s="269"/>
      <c r="E46" s="269"/>
      <c r="F46" s="269"/>
      <c r="N46" s="189" t="s">
        <v>253</v>
      </c>
      <c r="O46" s="189">
        <v>1</v>
      </c>
    </row>
    <row r="47" spans="3:15" ht="18">
      <c r="C47" s="213" t="s">
        <v>75</v>
      </c>
      <c r="D47" s="213">
        <v>0.95</v>
      </c>
      <c r="N47" s="189" t="s">
        <v>252</v>
      </c>
      <c r="O47" s="189">
        <v>3</v>
      </c>
    </row>
    <row r="48" spans="3:15" ht="18">
      <c r="C48" s="213" t="s">
        <v>78</v>
      </c>
      <c r="D48" s="213">
        <v>0.8</v>
      </c>
      <c r="N48" s="189" t="s">
        <v>5</v>
      </c>
      <c r="O48" s="189">
        <v>3</v>
      </c>
    </row>
    <row r="49" spans="3:15" ht="18">
      <c r="C49" s="213" t="s">
        <v>81</v>
      </c>
      <c r="D49" s="213">
        <v>0.97750000000000004</v>
      </c>
      <c r="E49" s="29" t="s">
        <v>156</v>
      </c>
      <c r="F49" s="29">
        <v>1.0175000000000001</v>
      </c>
      <c r="I49" s="29" t="s">
        <v>330</v>
      </c>
      <c r="N49" s="189" t="s">
        <v>251</v>
      </c>
      <c r="O49" s="189">
        <v>1</v>
      </c>
    </row>
    <row r="50" spans="3:15" ht="18">
      <c r="C50" s="213" t="s">
        <v>84</v>
      </c>
      <c r="D50" s="213">
        <v>0.85</v>
      </c>
      <c r="E50" s="29" t="s">
        <v>156</v>
      </c>
      <c r="F50" s="29">
        <v>1.0175000000000001</v>
      </c>
      <c r="I50" s="29" t="s">
        <v>306</v>
      </c>
      <c r="N50" s="189" t="s">
        <v>250</v>
      </c>
      <c r="O50" s="189">
        <v>3</v>
      </c>
    </row>
    <row r="51" spans="3:15" ht="18">
      <c r="C51" s="213" t="s">
        <v>87</v>
      </c>
      <c r="D51" s="213">
        <v>1</v>
      </c>
      <c r="E51" s="29" t="s">
        <v>157</v>
      </c>
      <c r="F51" s="29">
        <v>1.0329999999999999</v>
      </c>
      <c r="I51" s="29" t="s">
        <v>307</v>
      </c>
      <c r="N51" s="189" t="s">
        <v>249</v>
      </c>
      <c r="O51" s="189">
        <v>2</v>
      </c>
    </row>
    <row r="52" spans="3:15" ht="18">
      <c r="C52" s="213" t="s">
        <v>90</v>
      </c>
      <c r="D52" s="213">
        <v>1</v>
      </c>
      <c r="E52" s="29" t="s">
        <v>157</v>
      </c>
      <c r="F52" s="29">
        <v>1.0215000000000001</v>
      </c>
      <c r="I52" s="29" t="s">
        <v>308</v>
      </c>
      <c r="N52" s="189" t="s">
        <v>248</v>
      </c>
      <c r="O52" s="189">
        <v>3</v>
      </c>
    </row>
    <row r="53" spans="3:15">
      <c r="C53" s="213" t="s">
        <v>26</v>
      </c>
      <c r="D53" s="213">
        <v>1</v>
      </c>
      <c r="E53" s="29" t="s">
        <v>157</v>
      </c>
      <c r="F53" s="29">
        <v>1</v>
      </c>
      <c r="I53" s="29" t="s">
        <v>309</v>
      </c>
    </row>
    <row r="54" spans="3:15">
      <c r="I54" s="29" t="s">
        <v>310</v>
      </c>
    </row>
    <row r="55" spans="3:15">
      <c r="I55" s="29" t="s">
        <v>311</v>
      </c>
    </row>
    <row r="56" spans="3:15">
      <c r="I56" s="29" t="s">
        <v>312</v>
      </c>
    </row>
    <row r="57" spans="3:15">
      <c r="I57" s="29" t="s">
        <v>119</v>
      </c>
    </row>
  </sheetData>
  <sheetProtection algorithmName="SHA-512" hashValue="zs0vt5bRJZf7qcSUigpOiWi+iIG/cBGSW82GLqJAQzh7ULDacp0SI7NYpZzw4h5MjWdmLAx1qy/i/6AQoVXqNQ==" saltValue="xg6/q39XvOg+ol3y2PNM5w==" spinCount="100000" sheet="1" objects="1" scenarios="1" selectLockedCells="1"/>
  <mergeCells count="3">
    <mergeCell ref="K15:L15"/>
    <mergeCell ref="F28:G28"/>
    <mergeCell ref="C46:F46"/>
  </mergeCells>
  <pageMargins left="0.7" right="0.7" top="0.75" bottom="0.75" header="0.3" footer="0.3"/>
  <pageSetup orientation="portrait" horizontalDpi="200" verticalDpi="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Q32"/>
  <sheetViews>
    <sheetView workbookViewId="0">
      <pane xSplit="2" ySplit="7" topLeftCell="C8" activePane="bottomRight" state="frozen"/>
      <selection pane="topRight" activeCell="C1" sqref="C1"/>
      <selection pane="bottomLeft" activeCell="A8" sqref="A8"/>
      <selection pane="bottomRight" activeCell="C16" sqref="C16"/>
    </sheetView>
  </sheetViews>
  <sheetFormatPr defaultRowHeight="15"/>
  <cols>
    <col min="1" max="1" width="9.140625" style="7"/>
    <col min="2" max="2" width="27.5703125" style="12" bestFit="1" customWidth="1"/>
    <col min="3" max="3" width="17.5703125" style="7" customWidth="1"/>
    <col min="4" max="4" width="17.42578125" style="7" customWidth="1"/>
    <col min="5" max="5" width="17.7109375" style="7" customWidth="1"/>
    <col min="6" max="6" width="16.7109375" style="7" customWidth="1"/>
    <col min="7" max="7" width="15.85546875" style="7" customWidth="1"/>
    <col min="8" max="10" width="16.140625" style="7" bestFit="1" customWidth="1"/>
    <col min="11" max="11" width="15.85546875" style="7" customWidth="1"/>
    <col min="12" max="13" width="16.140625" style="7" bestFit="1" customWidth="1"/>
    <col min="14" max="14" width="18.85546875" style="7" customWidth="1"/>
    <col min="15" max="15" width="19.7109375" style="7" customWidth="1"/>
    <col min="16" max="16" width="22.140625" style="7" customWidth="1"/>
    <col min="17" max="16384" width="9.140625" style="7"/>
  </cols>
  <sheetData>
    <row r="2" spans="2:16">
      <c r="C2" s="280" t="s">
        <v>158</v>
      </c>
      <c r="D2" s="280"/>
      <c r="E2" s="280"/>
      <c r="F2" s="280"/>
      <c r="G2" s="280"/>
      <c r="H2" s="280"/>
      <c r="I2" s="280"/>
      <c r="J2" s="280"/>
      <c r="K2" s="280"/>
      <c r="L2" s="280"/>
      <c r="M2" s="280"/>
      <c r="N2" s="280"/>
      <c r="O2" s="280"/>
      <c r="P2" s="280"/>
    </row>
    <row r="3" spans="2:16">
      <c r="C3" s="13"/>
      <c r="D3" s="13"/>
      <c r="E3" s="13"/>
      <c r="F3" s="13"/>
      <c r="G3" s="13"/>
      <c r="H3" s="13"/>
      <c r="I3" s="13"/>
      <c r="J3" s="13"/>
      <c r="K3" s="13"/>
      <c r="L3" s="13"/>
      <c r="M3" s="13"/>
    </row>
    <row r="4" spans="2:16" ht="18.75">
      <c r="C4" s="282" t="s">
        <v>4</v>
      </c>
      <c r="D4" s="282"/>
      <c r="E4" s="282"/>
      <c r="F4" s="282"/>
      <c r="G4" s="282"/>
      <c r="H4" s="282" t="s">
        <v>33</v>
      </c>
      <c r="I4" s="282"/>
      <c r="J4" s="282"/>
      <c r="K4" s="282"/>
      <c r="L4" s="282"/>
      <c r="M4" s="282"/>
      <c r="N4" s="283" t="s">
        <v>5</v>
      </c>
      <c r="O4" s="283"/>
      <c r="P4" s="283"/>
    </row>
    <row r="5" spans="2:16">
      <c r="C5" s="281" t="s">
        <v>159</v>
      </c>
      <c r="D5" s="281"/>
      <c r="E5" s="281" t="s">
        <v>160</v>
      </c>
      <c r="F5" s="281"/>
      <c r="G5" s="10" t="s">
        <v>161</v>
      </c>
      <c r="H5" s="281" t="s">
        <v>159</v>
      </c>
      <c r="I5" s="281"/>
      <c r="J5" s="281"/>
      <c r="K5" s="281" t="s">
        <v>160</v>
      </c>
      <c r="L5" s="281"/>
      <c r="M5" s="281"/>
      <c r="N5" s="281" t="s">
        <v>160</v>
      </c>
      <c r="O5" s="281"/>
      <c r="P5" s="10" t="s">
        <v>162</v>
      </c>
    </row>
    <row r="6" spans="2:16" ht="18.75" customHeight="1">
      <c r="B6" s="14" t="s">
        <v>163</v>
      </c>
      <c r="C6" s="10" t="s">
        <v>164</v>
      </c>
      <c r="D6" s="10" t="s">
        <v>165</v>
      </c>
      <c r="E6" s="10" t="s">
        <v>164</v>
      </c>
      <c r="F6" s="10" t="s">
        <v>165</v>
      </c>
      <c r="G6" s="10" t="s">
        <v>166</v>
      </c>
      <c r="H6" s="10" t="s">
        <v>164</v>
      </c>
      <c r="I6" s="10" t="s">
        <v>164</v>
      </c>
      <c r="J6" s="10" t="s">
        <v>164</v>
      </c>
      <c r="K6" s="10" t="s">
        <v>164</v>
      </c>
      <c r="L6" s="10" t="s">
        <v>164</v>
      </c>
      <c r="M6" s="10" t="s">
        <v>164</v>
      </c>
      <c r="N6" s="10" t="s">
        <v>164</v>
      </c>
      <c r="O6" s="10" t="s">
        <v>165</v>
      </c>
      <c r="P6" s="15" t="s">
        <v>166</v>
      </c>
    </row>
    <row r="7" spans="2:16" ht="30">
      <c r="B7" s="14" t="s">
        <v>167</v>
      </c>
      <c r="C7" s="11" t="s">
        <v>168</v>
      </c>
      <c r="D7" s="11" t="s">
        <v>168</v>
      </c>
      <c r="E7" s="11" t="s">
        <v>168</v>
      </c>
      <c r="F7" s="11" t="s">
        <v>168</v>
      </c>
      <c r="G7" s="11" t="s">
        <v>169</v>
      </c>
      <c r="H7" s="11" t="s">
        <v>170</v>
      </c>
      <c r="I7" s="11" t="s">
        <v>171</v>
      </c>
      <c r="J7" s="11" t="s">
        <v>172</v>
      </c>
      <c r="K7" s="11" t="s">
        <v>170</v>
      </c>
      <c r="L7" s="11" t="s">
        <v>171</v>
      </c>
      <c r="M7" s="11" t="s">
        <v>172</v>
      </c>
      <c r="N7" s="11" t="s">
        <v>170</v>
      </c>
      <c r="O7" s="11" t="s">
        <v>170</v>
      </c>
      <c r="P7" s="11" t="s">
        <v>169</v>
      </c>
    </row>
    <row r="8" spans="2:16" ht="30">
      <c r="B8" s="14" t="s">
        <v>173</v>
      </c>
      <c r="C8" s="11" t="s">
        <v>174</v>
      </c>
      <c r="D8" s="11" t="s">
        <v>174</v>
      </c>
      <c r="E8" s="11" t="s">
        <v>174</v>
      </c>
      <c r="F8" s="11" t="s">
        <v>174</v>
      </c>
      <c r="G8" s="11"/>
      <c r="H8" s="11"/>
      <c r="I8" s="11"/>
      <c r="J8" s="11" t="s">
        <v>175</v>
      </c>
      <c r="K8" s="11"/>
      <c r="L8" s="11"/>
      <c r="M8" s="11" t="s">
        <v>175</v>
      </c>
      <c r="N8" s="11" t="s">
        <v>176</v>
      </c>
      <c r="O8" s="11" t="s">
        <v>176</v>
      </c>
      <c r="P8" s="16"/>
    </row>
    <row r="9" spans="2:16" ht="45">
      <c r="B9" s="14" t="s">
        <v>177</v>
      </c>
      <c r="C9" s="11" t="s">
        <v>178</v>
      </c>
      <c r="D9" s="11" t="s">
        <v>178</v>
      </c>
      <c r="E9" s="11" t="s">
        <v>178</v>
      </c>
      <c r="F9" s="11" t="s">
        <v>178</v>
      </c>
      <c r="G9" s="11" t="s">
        <v>178</v>
      </c>
      <c r="H9" s="11" t="s">
        <v>179</v>
      </c>
      <c r="I9" s="11" t="s">
        <v>179</v>
      </c>
      <c r="J9" s="11" t="s">
        <v>179</v>
      </c>
      <c r="K9" s="11" t="s">
        <v>179</v>
      </c>
      <c r="L9" s="11" t="s">
        <v>179</v>
      </c>
      <c r="M9" s="11" t="s">
        <v>179</v>
      </c>
      <c r="N9" s="11" t="s">
        <v>180</v>
      </c>
      <c r="O9" s="11" t="s">
        <v>180</v>
      </c>
      <c r="P9" s="11" t="s">
        <v>180</v>
      </c>
    </row>
    <row r="10" spans="2:16" ht="45">
      <c r="B10" s="14" t="s">
        <v>181</v>
      </c>
      <c r="C10" s="11" t="s">
        <v>178</v>
      </c>
      <c r="D10" s="11" t="s">
        <v>178</v>
      </c>
      <c r="E10" s="11" t="s">
        <v>178</v>
      </c>
      <c r="F10" s="11" t="s">
        <v>178</v>
      </c>
      <c r="G10" s="11" t="s">
        <v>178</v>
      </c>
      <c r="H10" s="11" t="s">
        <v>179</v>
      </c>
      <c r="I10" s="11" t="s">
        <v>179</v>
      </c>
      <c r="J10" s="11" t="s">
        <v>179</v>
      </c>
      <c r="K10" s="11" t="s">
        <v>179</v>
      </c>
      <c r="L10" s="11" t="s">
        <v>179</v>
      </c>
      <c r="M10" s="11" t="s">
        <v>179</v>
      </c>
      <c r="N10" s="11" t="s">
        <v>182</v>
      </c>
      <c r="O10" s="11" t="s">
        <v>182</v>
      </c>
      <c r="P10" s="11" t="s">
        <v>182</v>
      </c>
    </row>
    <row r="11" spans="2:16" ht="89.25" customHeight="1">
      <c r="B11" s="14" t="s">
        <v>183</v>
      </c>
      <c r="C11" s="11" t="s">
        <v>184</v>
      </c>
      <c r="D11" s="11" t="s">
        <v>185</v>
      </c>
      <c r="E11" s="11" t="s">
        <v>185</v>
      </c>
      <c r="F11" s="11" t="s">
        <v>185</v>
      </c>
      <c r="G11" s="11" t="s">
        <v>186</v>
      </c>
      <c r="H11" s="11" t="s">
        <v>187</v>
      </c>
      <c r="I11" s="11" t="s">
        <v>187</v>
      </c>
      <c r="J11" s="11" t="s">
        <v>187</v>
      </c>
      <c r="K11" s="11" t="s">
        <v>187</v>
      </c>
      <c r="L11" s="11" t="s">
        <v>187</v>
      </c>
      <c r="M11" s="11" t="s">
        <v>187</v>
      </c>
      <c r="N11" s="11" t="s">
        <v>185</v>
      </c>
      <c r="O11" s="11" t="s">
        <v>185</v>
      </c>
      <c r="P11" s="11" t="s">
        <v>185</v>
      </c>
    </row>
    <row r="12" spans="2:16" ht="30">
      <c r="B12" s="14" t="s">
        <v>188</v>
      </c>
      <c r="C12" s="11" t="s">
        <v>189</v>
      </c>
      <c r="D12" s="11" t="s">
        <v>189</v>
      </c>
      <c r="E12" s="11" t="s">
        <v>189</v>
      </c>
      <c r="F12" s="11" t="s">
        <v>189</v>
      </c>
      <c r="G12" s="11" t="s">
        <v>186</v>
      </c>
      <c r="H12" s="11" t="s">
        <v>190</v>
      </c>
      <c r="I12" s="11" t="s">
        <v>190</v>
      </c>
      <c r="J12" s="11" t="s">
        <v>190</v>
      </c>
      <c r="K12" s="11" t="s">
        <v>190</v>
      </c>
      <c r="L12" s="11" t="s">
        <v>190</v>
      </c>
      <c r="M12" s="11" t="s">
        <v>190</v>
      </c>
      <c r="N12" s="11" t="s">
        <v>189</v>
      </c>
      <c r="O12" s="11" t="s">
        <v>189</v>
      </c>
      <c r="P12" s="11" t="s">
        <v>189</v>
      </c>
    </row>
    <row r="13" spans="2:16" ht="45">
      <c r="B13" s="17" t="s">
        <v>191</v>
      </c>
      <c r="C13" s="11" t="s">
        <v>192</v>
      </c>
      <c r="D13" s="11" t="s">
        <v>193</v>
      </c>
      <c r="E13" s="11" t="s">
        <v>193</v>
      </c>
      <c r="F13" s="11" t="s">
        <v>193</v>
      </c>
      <c r="G13" s="11" t="s">
        <v>194</v>
      </c>
      <c r="H13" s="11" t="s">
        <v>195</v>
      </c>
      <c r="I13" s="11" t="s">
        <v>195</v>
      </c>
      <c r="J13" s="11" t="s">
        <v>195</v>
      </c>
      <c r="K13" s="11" t="s">
        <v>195</v>
      </c>
      <c r="L13" s="11" t="s">
        <v>195</v>
      </c>
      <c r="M13" s="11" t="s">
        <v>195</v>
      </c>
      <c r="N13" s="11" t="s">
        <v>196</v>
      </c>
      <c r="O13" s="11" t="s">
        <v>193</v>
      </c>
      <c r="P13" s="16"/>
    </row>
    <row r="14" spans="2:16" ht="30">
      <c r="B14" s="17" t="s">
        <v>197</v>
      </c>
      <c r="C14" s="11" t="s">
        <v>180</v>
      </c>
      <c r="D14" s="11" t="s">
        <v>192</v>
      </c>
      <c r="E14" s="11" t="s">
        <v>180</v>
      </c>
      <c r="F14" s="11" t="s">
        <v>192</v>
      </c>
      <c r="G14" s="11" t="s">
        <v>180</v>
      </c>
      <c r="H14" s="11" t="s">
        <v>195</v>
      </c>
      <c r="I14" s="11" t="s">
        <v>195</v>
      </c>
      <c r="J14" s="11" t="s">
        <v>195</v>
      </c>
      <c r="K14" s="11" t="s">
        <v>195</v>
      </c>
      <c r="L14" s="11" t="s">
        <v>195</v>
      </c>
      <c r="M14" s="11" t="s">
        <v>195</v>
      </c>
      <c r="N14" s="11" t="s">
        <v>180</v>
      </c>
      <c r="O14" s="11" t="s">
        <v>180</v>
      </c>
      <c r="P14" s="11" t="s">
        <v>180</v>
      </c>
    </row>
    <row r="15" spans="2:16" ht="32.25" customHeight="1">
      <c r="B15" s="14" t="s">
        <v>198</v>
      </c>
      <c r="C15" s="11" t="s">
        <v>199</v>
      </c>
      <c r="D15" s="11" t="s">
        <v>199</v>
      </c>
      <c r="E15" s="11" t="s">
        <v>199</v>
      </c>
      <c r="F15" s="11" t="s">
        <v>199</v>
      </c>
      <c r="G15" s="11" t="s">
        <v>166</v>
      </c>
      <c r="H15" s="11" t="s">
        <v>166</v>
      </c>
      <c r="I15" s="11" t="s">
        <v>166</v>
      </c>
      <c r="J15" s="11" t="s">
        <v>166</v>
      </c>
      <c r="K15" s="11" t="s">
        <v>166</v>
      </c>
      <c r="L15" s="11" t="s">
        <v>166</v>
      </c>
      <c r="M15" s="11" t="s">
        <v>166</v>
      </c>
      <c r="N15" s="11" t="s">
        <v>166</v>
      </c>
      <c r="O15" s="11" t="s">
        <v>166</v>
      </c>
      <c r="P15" s="11" t="s">
        <v>166</v>
      </c>
    </row>
    <row r="16" spans="2:16" ht="45">
      <c r="B16" s="14" t="s">
        <v>200</v>
      </c>
      <c r="C16" s="11" t="s">
        <v>201</v>
      </c>
      <c r="D16" s="11" t="s">
        <v>201</v>
      </c>
      <c r="E16" s="11" t="s">
        <v>201</v>
      </c>
      <c r="F16" s="11" t="s">
        <v>201</v>
      </c>
      <c r="G16" s="11" t="s">
        <v>201</v>
      </c>
      <c r="H16" s="11" t="s">
        <v>201</v>
      </c>
      <c r="I16" s="11" t="s">
        <v>201</v>
      </c>
      <c r="J16" s="11" t="s">
        <v>201</v>
      </c>
      <c r="K16" s="11" t="s">
        <v>201</v>
      </c>
      <c r="L16" s="11" t="s">
        <v>201</v>
      </c>
      <c r="M16" s="11" t="s">
        <v>201</v>
      </c>
      <c r="N16" s="11" t="s">
        <v>201</v>
      </c>
      <c r="O16" s="11" t="s">
        <v>201</v>
      </c>
      <c r="P16" s="11" t="s">
        <v>201</v>
      </c>
    </row>
    <row r="17" spans="2:17">
      <c r="B17" s="14" t="s">
        <v>202</v>
      </c>
      <c r="C17" s="11">
        <v>580</v>
      </c>
      <c r="D17" s="11">
        <v>600</v>
      </c>
      <c r="E17" s="11">
        <v>580</v>
      </c>
      <c r="F17" s="11">
        <v>600</v>
      </c>
      <c r="G17" s="11">
        <v>550</v>
      </c>
      <c r="H17" s="11">
        <v>620</v>
      </c>
      <c r="I17" s="11">
        <v>620</v>
      </c>
      <c r="J17" s="11">
        <v>620</v>
      </c>
      <c r="K17" s="11">
        <v>620</v>
      </c>
      <c r="L17" s="11">
        <v>620</v>
      </c>
      <c r="M17" s="11">
        <v>620</v>
      </c>
      <c r="N17" s="11">
        <v>580</v>
      </c>
      <c r="O17" s="11">
        <v>580</v>
      </c>
      <c r="P17" s="16">
        <v>550</v>
      </c>
    </row>
    <row r="18" spans="2:17">
      <c r="B18" s="14" t="s">
        <v>203</v>
      </c>
      <c r="C18" s="18">
        <v>0.97750000000000004</v>
      </c>
      <c r="D18" s="18">
        <v>0.97750000000000004</v>
      </c>
      <c r="E18" s="19">
        <v>0.85</v>
      </c>
      <c r="F18" s="19">
        <v>0.85</v>
      </c>
      <c r="G18" s="18">
        <v>0.97750000000000004</v>
      </c>
      <c r="H18" s="19" t="s">
        <v>204</v>
      </c>
      <c r="I18" s="19" t="s">
        <v>205</v>
      </c>
      <c r="J18" s="20" t="s">
        <v>206</v>
      </c>
      <c r="K18" s="19" t="s">
        <v>207</v>
      </c>
      <c r="L18" s="19" t="s">
        <v>208</v>
      </c>
      <c r="M18" s="19" t="s">
        <v>208</v>
      </c>
      <c r="N18" s="19" t="s">
        <v>209</v>
      </c>
      <c r="O18" s="19" t="s">
        <v>209</v>
      </c>
      <c r="P18" s="16" t="s">
        <v>210</v>
      </c>
      <c r="Q18" s="11" t="s">
        <v>211</v>
      </c>
    </row>
    <row r="19" spans="2:17">
      <c r="B19" s="14" t="s">
        <v>212</v>
      </c>
      <c r="C19" s="21">
        <v>500</v>
      </c>
      <c r="D19" s="21">
        <v>500</v>
      </c>
      <c r="E19" s="11" t="s">
        <v>213</v>
      </c>
      <c r="F19" s="11" t="s">
        <v>213</v>
      </c>
      <c r="G19" s="21" t="s">
        <v>166</v>
      </c>
      <c r="H19" s="21">
        <v>2000</v>
      </c>
      <c r="I19" s="21">
        <v>2000</v>
      </c>
      <c r="J19" s="21">
        <v>2000</v>
      </c>
      <c r="K19" s="11" t="s">
        <v>213</v>
      </c>
      <c r="L19" s="11" t="s">
        <v>213</v>
      </c>
      <c r="M19" s="11" t="s">
        <v>213</v>
      </c>
      <c r="N19" s="11" t="s">
        <v>213</v>
      </c>
      <c r="O19" s="11" t="s">
        <v>213</v>
      </c>
      <c r="P19" s="16" t="s">
        <v>166</v>
      </c>
    </row>
    <row r="20" spans="2:17">
      <c r="B20" s="14" t="s">
        <v>214</v>
      </c>
      <c r="C20" s="11" t="s">
        <v>180</v>
      </c>
      <c r="D20" s="11" t="s">
        <v>180</v>
      </c>
      <c r="E20" s="11" t="s">
        <v>180</v>
      </c>
      <c r="F20" s="11" t="s">
        <v>180</v>
      </c>
      <c r="G20" s="11" t="s">
        <v>180</v>
      </c>
      <c r="H20" s="11" t="s">
        <v>180</v>
      </c>
      <c r="I20" s="11" t="s">
        <v>180</v>
      </c>
      <c r="J20" s="11" t="s">
        <v>180</v>
      </c>
      <c r="K20" s="11" t="s">
        <v>180</v>
      </c>
      <c r="L20" s="11" t="s">
        <v>180</v>
      </c>
      <c r="M20" s="11" t="s">
        <v>180</v>
      </c>
      <c r="N20" s="11" t="s">
        <v>180</v>
      </c>
      <c r="O20" s="11" t="s">
        <v>180</v>
      </c>
      <c r="P20" s="16" t="s">
        <v>166</v>
      </c>
    </row>
    <row r="21" spans="2:17">
      <c r="B21" s="14" t="s">
        <v>215</v>
      </c>
      <c r="C21" s="11" t="s">
        <v>180</v>
      </c>
      <c r="D21" s="11" t="s">
        <v>180</v>
      </c>
      <c r="E21" s="11" t="s">
        <v>180</v>
      </c>
      <c r="F21" s="11" t="s">
        <v>180</v>
      </c>
      <c r="G21" s="11" t="s">
        <v>180</v>
      </c>
      <c r="H21" s="11" t="s">
        <v>180</v>
      </c>
      <c r="I21" s="11" t="s">
        <v>180</v>
      </c>
      <c r="J21" s="11" t="s">
        <v>180</v>
      </c>
      <c r="K21" s="11" t="s">
        <v>180</v>
      </c>
      <c r="L21" s="11" t="s">
        <v>180</v>
      </c>
      <c r="M21" s="11" t="s">
        <v>180</v>
      </c>
      <c r="N21" s="11" t="s">
        <v>180</v>
      </c>
      <c r="O21" s="11" t="s">
        <v>180</v>
      </c>
      <c r="P21" s="16" t="s">
        <v>166</v>
      </c>
    </row>
    <row r="22" spans="2:17" ht="47.25" customHeight="1">
      <c r="B22" s="14" t="s">
        <v>216</v>
      </c>
      <c r="C22" s="11" t="s">
        <v>217</v>
      </c>
      <c r="D22" s="11" t="s">
        <v>217</v>
      </c>
      <c r="E22" s="11" t="s">
        <v>218</v>
      </c>
      <c r="F22" s="11" t="s">
        <v>218</v>
      </c>
      <c r="G22" s="11" t="s">
        <v>219</v>
      </c>
      <c r="H22" s="11" t="s">
        <v>220</v>
      </c>
      <c r="I22" s="11" t="s">
        <v>220</v>
      </c>
      <c r="J22" s="11" t="s">
        <v>220</v>
      </c>
      <c r="K22" s="11" t="s">
        <v>218</v>
      </c>
      <c r="L22" s="11" t="s">
        <v>218</v>
      </c>
      <c r="M22" s="11" t="s">
        <v>218</v>
      </c>
      <c r="N22" s="11" t="s">
        <v>218</v>
      </c>
      <c r="O22" s="11" t="s">
        <v>218</v>
      </c>
      <c r="P22" s="11" t="s">
        <v>221</v>
      </c>
    </row>
    <row r="23" spans="2:17">
      <c r="B23" s="14" t="s">
        <v>222</v>
      </c>
      <c r="C23" s="19">
        <v>0.56999999999999995</v>
      </c>
      <c r="D23" s="19" t="s">
        <v>223</v>
      </c>
      <c r="E23" s="19">
        <v>0.56999999999999995</v>
      </c>
      <c r="F23" s="19" t="s">
        <v>223</v>
      </c>
      <c r="G23" s="19" t="s">
        <v>166</v>
      </c>
      <c r="H23" s="19">
        <v>0.45</v>
      </c>
      <c r="I23" s="19">
        <v>0.45</v>
      </c>
      <c r="J23" s="19">
        <v>0.45</v>
      </c>
      <c r="K23" s="19">
        <v>0.45</v>
      </c>
      <c r="L23" s="19">
        <v>0.45</v>
      </c>
      <c r="M23" s="19">
        <v>0.45</v>
      </c>
      <c r="N23" s="19">
        <v>0.65</v>
      </c>
      <c r="O23" s="19">
        <v>0.5</v>
      </c>
      <c r="P23" s="16" t="s">
        <v>166</v>
      </c>
    </row>
    <row r="24" spans="2:17">
      <c r="B24" s="14" t="s">
        <v>224</v>
      </c>
      <c r="C24" s="11" t="s">
        <v>180</v>
      </c>
      <c r="D24" s="11" t="s">
        <v>180</v>
      </c>
      <c r="E24" s="11" t="s">
        <v>180</v>
      </c>
      <c r="F24" s="11" t="s">
        <v>180</v>
      </c>
      <c r="G24" s="11" t="s">
        <v>180</v>
      </c>
      <c r="H24" s="11" t="s">
        <v>225</v>
      </c>
      <c r="I24" s="11" t="s">
        <v>225</v>
      </c>
      <c r="J24" s="11" t="s">
        <v>225</v>
      </c>
      <c r="K24" s="11" t="s">
        <v>226</v>
      </c>
      <c r="L24" s="11" t="s">
        <v>226</v>
      </c>
      <c r="M24" s="11" t="s">
        <v>226</v>
      </c>
      <c r="N24" s="11" t="s">
        <v>180</v>
      </c>
      <c r="O24" s="11" t="s">
        <v>180</v>
      </c>
      <c r="P24" s="11" t="s">
        <v>180</v>
      </c>
    </row>
    <row r="25" spans="2:17">
      <c r="B25" s="14" t="s">
        <v>227</v>
      </c>
      <c r="C25" s="22">
        <v>1095</v>
      </c>
      <c r="D25" s="22">
        <v>1095</v>
      </c>
      <c r="E25" s="22">
        <v>1095</v>
      </c>
      <c r="F25" s="22">
        <v>1095</v>
      </c>
      <c r="G25" s="22">
        <v>1095</v>
      </c>
      <c r="H25" s="22">
        <v>1095</v>
      </c>
      <c r="I25" s="22">
        <v>1095</v>
      </c>
      <c r="J25" s="22">
        <v>1095</v>
      </c>
      <c r="K25" s="22">
        <v>1095</v>
      </c>
      <c r="L25" s="22">
        <v>1095</v>
      </c>
      <c r="M25" s="22">
        <v>1095</v>
      </c>
      <c r="N25" s="11" t="s">
        <v>228</v>
      </c>
      <c r="O25" s="11" t="s">
        <v>228</v>
      </c>
      <c r="P25" s="11" t="s">
        <v>228</v>
      </c>
    </row>
    <row r="26" spans="2:17">
      <c r="B26" s="14" t="s">
        <v>229</v>
      </c>
      <c r="C26" s="11" t="s">
        <v>180</v>
      </c>
      <c r="D26" s="11" t="s">
        <v>180</v>
      </c>
      <c r="E26" s="11" t="s">
        <v>180</v>
      </c>
      <c r="F26" s="11" t="s">
        <v>180</v>
      </c>
      <c r="G26" s="11" t="s">
        <v>180</v>
      </c>
      <c r="H26" s="11" t="s">
        <v>225</v>
      </c>
      <c r="I26" s="11" t="s">
        <v>225</v>
      </c>
      <c r="J26" s="11" t="s">
        <v>225</v>
      </c>
      <c r="K26" s="11" t="s">
        <v>193</v>
      </c>
      <c r="L26" s="11" t="s">
        <v>193</v>
      </c>
      <c r="M26" s="11" t="s">
        <v>193</v>
      </c>
      <c r="N26" s="11" t="s">
        <v>193</v>
      </c>
      <c r="O26" s="11" t="s">
        <v>193</v>
      </c>
      <c r="P26" s="11" t="s">
        <v>193</v>
      </c>
    </row>
    <row r="27" spans="2:17">
      <c r="B27" s="14" t="s">
        <v>230</v>
      </c>
      <c r="C27" s="11" t="s">
        <v>180</v>
      </c>
      <c r="D27" s="11" t="s">
        <v>180</v>
      </c>
      <c r="E27" s="11" t="s">
        <v>180</v>
      </c>
      <c r="F27" s="11" t="s">
        <v>180</v>
      </c>
      <c r="G27" s="11" t="s">
        <v>180</v>
      </c>
      <c r="H27" s="11" t="s">
        <v>225</v>
      </c>
      <c r="I27" s="11" t="s">
        <v>225</v>
      </c>
      <c r="J27" s="11" t="s">
        <v>225</v>
      </c>
      <c r="K27" s="11" t="s">
        <v>193</v>
      </c>
      <c r="L27" s="11" t="s">
        <v>193</v>
      </c>
      <c r="M27" s="11" t="s">
        <v>193</v>
      </c>
      <c r="N27" s="11" t="s">
        <v>231</v>
      </c>
      <c r="O27" s="11" t="s">
        <v>231</v>
      </c>
      <c r="P27" s="11" t="s">
        <v>231</v>
      </c>
    </row>
    <row r="28" spans="2:17" ht="60">
      <c r="B28" s="14" t="s">
        <v>145</v>
      </c>
      <c r="C28" s="11" t="s">
        <v>193</v>
      </c>
      <c r="D28" s="11" t="s">
        <v>232</v>
      </c>
      <c r="E28" s="11" t="s">
        <v>166</v>
      </c>
      <c r="F28" s="11" t="s">
        <v>232</v>
      </c>
      <c r="G28" s="11" t="s">
        <v>233</v>
      </c>
      <c r="H28" s="11" t="s">
        <v>166</v>
      </c>
      <c r="I28" s="11" t="s">
        <v>234</v>
      </c>
      <c r="J28" s="11" t="s">
        <v>235</v>
      </c>
      <c r="K28" s="11" t="s">
        <v>166</v>
      </c>
      <c r="L28" s="11" t="s">
        <v>234</v>
      </c>
      <c r="M28" s="11" t="s">
        <v>235</v>
      </c>
      <c r="N28" s="11"/>
      <c r="O28" s="11" t="s">
        <v>232</v>
      </c>
      <c r="P28" s="16"/>
    </row>
    <row r="29" spans="2:17">
      <c r="B29" s="14" t="s">
        <v>236</v>
      </c>
      <c r="C29" s="11" t="s">
        <v>193</v>
      </c>
      <c r="D29" s="11" t="s">
        <v>180</v>
      </c>
      <c r="E29" s="11" t="s">
        <v>193</v>
      </c>
      <c r="F29" s="11" t="s">
        <v>180</v>
      </c>
      <c r="G29" s="11" t="s">
        <v>193</v>
      </c>
      <c r="H29" s="11" t="s">
        <v>193</v>
      </c>
      <c r="I29" s="11" t="s">
        <v>193</v>
      </c>
      <c r="J29" s="11" t="s">
        <v>193</v>
      </c>
      <c r="K29" s="11" t="s">
        <v>193</v>
      </c>
      <c r="L29" s="11" t="s">
        <v>193</v>
      </c>
      <c r="M29" s="11" t="s">
        <v>193</v>
      </c>
      <c r="N29" s="11" t="s">
        <v>193</v>
      </c>
      <c r="O29" s="11" t="s">
        <v>180</v>
      </c>
      <c r="P29" s="11" t="s">
        <v>193</v>
      </c>
    </row>
    <row r="30" spans="2:17" ht="45">
      <c r="B30" s="14" t="s">
        <v>237</v>
      </c>
      <c r="C30" s="11" t="s">
        <v>238</v>
      </c>
      <c r="D30" s="11" t="s">
        <v>238</v>
      </c>
      <c r="E30" s="11" t="s">
        <v>238</v>
      </c>
      <c r="F30" s="11" t="s">
        <v>238</v>
      </c>
      <c r="G30" s="11"/>
      <c r="H30" s="11" t="s">
        <v>238</v>
      </c>
      <c r="I30" s="11" t="s">
        <v>238</v>
      </c>
      <c r="J30" s="11" t="s">
        <v>238</v>
      </c>
      <c r="K30" s="11" t="s">
        <v>238</v>
      </c>
      <c r="L30" s="11" t="s">
        <v>238</v>
      </c>
      <c r="M30" s="11" t="s">
        <v>238</v>
      </c>
      <c r="N30" s="11" t="s">
        <v>238</v>
      </c>
      <c r="O30" s="11" t="s">
        <v>238</v>
      </c>
      <c r="P30" s="11" t="s">
        <v>238</v>
      </c>
    </row>
    <row r="31" spans="2:17" ht="180">
      <c r="B31" s="14" t="s">
        <v>239</v>
      </c>
      <c r="C31" s="11"/>
      <c r="D31" s="11"/>
      <c r="E31" s="11" t="s">
        <v>240</v>
      </c>
      <c r="F31" s="11" t="s">
        <v>240</v>
      </c>
      <c r="G31" s="11" t="s">
        <v>241</v>
      </c>
      <c r="H31" s="11" t="s">
        <v>242</v>
      </c>
      <c r="I31" s="11" t="s">
        <v>242</v>
      </c>
      <c r="J31" s="11" t="s">
        <v>243</v>
      </c>
      <c r="K31" s="11" t="s">
        <v>244</v>
      </c>
      <c r="L31" s="11" t="s">
        <v>244</v>
      </c>
      <c r="M31" s="11"/>
      <c r="N31" s="11" t="s">
        <v>245</v>
      </c>
      <c r="O31" s="11" t="s">
        <v>245</v>
      </c>
      <c r="P31" s="11" t="s">
        <v>246</v>
      </c>
    </row>
    <row r="32" spans="2:17" ht="30" customHeight="1">
      <c r="H32" s="279" t="s">
        <v>247</v>
      </c>
      <c r="I32" s="279"/>
      <c r="J32" s="279"/>
    </row>
  </sheetData>
  <mergeCells count="10">
    <mergeCell ref="H32:J32"/>
    <mergeCell ref="C2:P2"/>
    <mergeCell ref="C5:D5"/>
    <mergeCell ref="E5:F5"/>
    <mergeCell ref="N5:O5"/>
    <mergeCell ref="C4:G4"/>
    <mergeCell ref="H5:J5"/>
    <mergeCell ref="K5:M5"/>
    <mergeCell ref="N4:P4"/>
    <mergeCell ref="H4:M4"/>
  </mergeCells>
  <pageMargins left="0.7" right="0.7" top="0.75" bottom="0.75" header="0.3" footer="0.3"/>
  <pageSetup orientation="portrait" horizontalDpi="200" verticalDpi="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131E29-C1AF-4798-940E-81B6EB8F4DDC}">
  <dimension ref="A1:R19"/>
  <sheetViews>
    <sheetView workbookViewId="0">
      <selection activeCell="I18" sqref="I18:P21"/>
    </sheetView>
  </sheetViews>
  <sheetFormatPr defaultRowHeight="15"/>
  <cols>
    <col min="1" max="16384" width="9.140625" style="214"/>
  </cols>
  <sheetData>
    <row r="1" spans="1:18">
      <c r="F1" s="284" t="s">
        <v>337</v>
      </c>
      <c r="G1" s="284"/>
      <c r="H1" s="284"/>
      <c r="I1" s="284"/>
      <c r="J1" s="284"/>
      <c r="K1" s="284"/>
      <c r="L1" s="284"/>
      <c r="M1" s="284"/>
      <c r="N1" s="284"/>
      <c r="O1" s="284"/>
      <c r="P1" s="284"/>
      <c r="Q1" s="284"/>
      <c r="R1" s="284"/>
    </row>
    <row r="2" spans="1:18">
      <c r="F2" s="284"/>
      <c r="G2" s="284"/>
      <c r="H2" s="284"/>
      <c r="I2" s="284"/>
      <c r="J2" s="284"/>
      <c r="K2" s="284"/>
      <c r="L2" s="284"/>
      <c r="M2" s="284"/>
      <c r="N2" s="284"/>
      <c r="O2" s="284"/>
      <c r="P2" s="284"/>
      <c r="Q2" s="284"/>
      <c r="R2" s="284"/>
    </row>
    <row r="3" spans="1:18">
      <c r="A3"/>
    </row>
    <row r="18" ht="15" customHeight="1"/>
    <row r="19" ht="15" customHeight="1"/>
  </sheetData>
  <sheetProtection selectLockedCells="1"/>
  <mergeCells count="1">
    <mergeCell ref="F1:R2"/>
  </mergeCells>
  <pageMargins left="0.7" right="0.7" top="0.75" bottom="0.75" header="0.3" footer="0.3"/>
  <pageSetup orientation="portrait" horizontalDpi="200" verticalDpi="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Refi</vt:lpstr>
      <vt:lpstr>Picklists</vt:lpstr>
      <vt:lpstr>Business Rules</vt:lpstr>
      <vt:lpstr>Intro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Garrett Silva</dc:creator>
  <cp:keywords/>
  <dc:description/>
  <cp:lastModifiedBy>Garrett Silva</cp:lastModifiedBy>
  <cp:revision/>
  <dcterms:created xsi:type="dcterms:W3CDTF">2017-01-17T01:24:40Z</dcterms:created>
  <dcterms:modified xsi:type="dcterms:W3CDTF">2018-02-26T02:59:11Z</dcterms:modified>
  <cp:category/>
  <cp:contentStatus/>
</cp:coreProperties>
</file>