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Calcualtors\2025 update\FINAL\"/>
    </mc:Choice>
  </mc:AlternateContent>
  <xr:revisionPtr revIDLastSave="0" documentId="8_{63AFBE24-F1C4-4BB5-A379-07493D7E333D}" xr6:coauthVersionLast="47" xr6:coauthVersionMax="47" xr10:uidLastSave="{00000000-0000-0000-0000-000000000000}"/>
  <bookViews>
    <workbookView xWindow="-120" yWindow="-120" windowWidth="29040" windowHeight="15720" xr2:uid="{3A980CAE-3273-4F04-9358-0AD281661711}"/>
  </bookViews>
  <sheets>
    <sheet name="2026" sheetId="11" r:id="rId1"/>
    <sheet name="2025" sheetId="10" r:id="rId2"/>
    <sheet name="2024" sheetId="4" r:id="rId3"/>
    <sheet name="2023" sheetId="1" r:id="rId4"/>
    <sheet name="2022" sheetId="6" r:id="rId5"/>
    <sheet name="2021" sheetId="7" r:id="rId6"/>
    <sheet name="2020" sheetId="9" r:id="rId7"/>
    <sheet name="2019" sheetId="8" r:id="rId8"/>
    <sheet name="2018" sheetId="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11" l="1"/>
  <c r="R15" i="11"/>
  <c r="R12" i="11"/>
  <c r="L6" i="11"/>
  <c r="J10" i="11"/>
  <c r="L5" i="11"/>
  <c r="R20" i="10"/>
  <c r="R15" i="10"/>
  <c r="J21" i="10"/>
  <c r="R12" i="10"/>
  <c r="L6" i="10"/>
  <c r="J10" i="10"/>
  <c r="L5" i="10"/>
  <c r="J21" i="11" l="1"/>
  <c r="L7" i="11"/>
  <c r="K16" i="11" s="1"/>
  <c r="L7" i="10"/>
  <c r="K16" i="10" s="1"/>
  <c r="R20" i="5"/>
  <c r="R15" i="5"/>
  <c r="R12" i="5"/>
  <c r="J10" i="5"/>
  <c r="J10" i="8"/>
  <c r="J10" i="9"/>
  <c r="J10" i="7"/>
  <c r="R20" i="8"/>
  <c r="R15" i="8"/>
  <c r="R12" i="8"/>
  <c r="L6" i="8"/>
  <c r="R20" i="9"/>
  <c r="R15" i="9"/>
  <c r="R12" i="9"/>
  <c r="L6" i="9"/>
  <c r="R20" i="7"/>
  <c r="R15" i="6"/>
  <c r="R15" i="7"/>
  <c r="R12" i="7"/>
  <c r="L6" i="7"/>
  <c r="R20" i="6"/>
  <c r="R12" i="6"/>
  <c r="J10" i="6"/>
  <c r="L6" i="6"/>
  <c r="R20" i="4"/>
  <c r="R15" i="4"/>
  <c r="R12" i="4"/>
  <c r="J10" i="4"/>
  <c r="L5" i="9"/>
  <c r="L5" i="8"/>
  <c r="L5" i="7"/>
  <c r="L5" i="6"/>
  <c r="L5" i="5"/>
  <c r="L6" i="5" s="1"/>
  <c r="L5" i="4"/>
  <c r="L6" i="4" s="1"/>
  <c r="J10" i="1"/>
  <c r="L5" i="1"/>
  <c r="R12" i="1"/>
  <c r="R20" i="1"/>
  <c r="R15" i="1"/>
  <c r="L7" i="9" l="1"/>
  <c r="K16" i="9" s="1"/>
  <c r="J21" i="9"/>
  <c r="L7" i="8"/>
  <c r="K16" i="8" s="1"/>
  <c r="J21" i="8"/>
  <c r="L7" i="7"/>
  <c r="K16" i="7" s="1"/>
  <c r="J21" i="7"/>
  <c r="L7" i="6"/>
  <c r="K16" i="6" s="1"/>
  <c r="J21" i="6"/>
  <c r="J21" i="5"/>
  <c r="L7" i="5"/>
  <c r="K16" i="5" s="1"/>
  <c r="L7" i="4"/>
  <c r="K16" i="4" s="1"/>
  <c r="J21" i="4"/>
  <c r="L6" i="1" l="1"/>
  <c r="J21" i="1" s="1"/>
  <c r="L7" i="1" l="1"/>
  <c r="K16" i="1" s="1"/>
</calcChain>
</file>

<file path=xl/sharedStrings.xml><?xml version="1.0" encoding="utf-8"?>
<sst xmlns="http://schemas.openxmlformats.org/spreadsheetml/2006/main" count="252" uniqueCount="38">
  <si>
    <t>Total Monthly Premium:</t>
  </si>
  <si>
    <t>Employee Portion:</t>
  </si>
  <si>
    <t xml:space="preserve">Employer Portion: </t>
  </si>
  <si>
    <t xml:space="preserve">Instructions: </t>
  </si>
  <si>
    <t>Rate of Pay Safe Harbor (2H)</t>
  </si>
  <si>
    <t>Hourly Rate of pay</t>
  </si>
  <si>
    <t xml:space="preserve">Maximum Monthly Premium </t>
  </si>
  <si>
    <t>Monthly Salary</t>
  </si>
  <si>
    <t>W2 Safe Harbor (2F)</t>
  </si>
  <si>
    <t>Box 1 Earnings</t>
  </si>
  <si>
    <t>Months employed</t>
  </si>
  <si>
    <t>Monthly Maximum</t>
  </si>
  <si>
    <t>2023 - ACA Premium Affordability Calcualtor</t>
  </si>
  <si>
    <t>Qualify for FPL (2G)?</t>
  </si>
  <si>
    <t xml:space="preserve">2. If your premium is below the FPL Safe Harbor threshold (2G), "Qualify for FPL" will be highllghted green and show Yes.
If your premium does not meet FPL: 
"W2 Box 1 minimum/mo" shows the lowest Box 1 earnings for a Full-Time employee to be considered affordable based on the number of months employed using the W2 Safe Harbor (2F). It will default to 12 months. Change the number in the orange box to see the minimum for employees who worked fewer than 12 months.
"Rate of Pay Hourly Minimum" shows the lowest hourly rate a full time employee can make to be considered affordable using the Rate of Pay Safe Harbor (2H).
</t>
  </si>
  <si>
    <t>Months Employed</t>
  </si>
  <si>
    <t>W2 Box 1 minimum amount</t>
  </si>
  <si>
    <t>Lowest hourly wage for a Full Time employee:</t>
  </si>
  <si>
    <t>To Qualify for
Rate of Pay Safe Harbor (2H)</t>
  </si>
  <si>
    <t>To Qualify for 
W2 Safe Harbor (2F)</t>
  </si>
  <si>
    <t>For Hourly Employees:</t>
  </si>
  <si>
    <t>For Salary Employees:</t>
  </si>
  <si>
    <r>
      <rPr>
        <b/>
        <u/>
        <sz val="11"/>
        <color theme="1"/>
        <rFont val="Calibri"/>
        <family val="2"/>
        <scheme val="minor"/>
      </rPr>
      <t>Rate of Pay Safe Harbor</t>
    </r>
    <r>
      <rPr>
        <sz val="11"/>
        <color theme="1"/>
        <rFont val="Calibri"/>
        <family val="2"/>
        <scheme val="minor"/>
      </rPr>
      <t xml:space="preserve"> - Line 16 code </t>
    </r>
    <r>
      <rPr>
        <b/>
        <sz val="11"/>
        <color theme="1"/>
        <rFont val="Calibri"/>
        <family val="2"/>
        <scheme val="minor"/>
      </rPr>
      <t>2H</t>
    </r>
    <r>
      <rPr>
        <sz val="11"/>
        <color theme="1"/>
        <rFont val="Calibri"/>
        <family val="2"/>
        <scheme val="minor"/>
      </rPr>
      <t xml:space="preserve"> - uses the employee's hourly wage to determine affordability.</t>
    </r>
  </si>
  <si>
    <r>
      <rPr>
        <b/>
        <u/>
        <sz val="11"/>
        <color theme="1"/>
        <rFont val="Calibri"/>
        <family val="2"/>
        <scheme val="minor"/>
      </rPr>
      <t xml:space="preserve">W2 Safe Harbor </t>
    </r>
    <r>
      <rPr>
        <sz val="11"/>
        <color theme="1"/>
        <rFont val="Calibri"/>
        <family val="2"/>
        <scheme val="minor"/>
      </rPr>
      <t xml:space="preserve">- Line 16 code </t>
    </r>
    <r>
      <rPr>
        <b/>
        <sz val="11"/>
        <color theme="1"/>
        <rFont val="Calibri"/>
        <family val="2"/>
        <scheme val="minor"/>
      </rPr>
      <t>2F</t>
    </r>
    <r>
      <rPr>
        <sz val="11"/>
        <color theme="1"/>
        <rFont val="Calibri"/>
        <family val="2"/>
        <scheme val="minor"/>
      </rPr>
      <t xml:space="preserve"> - uses the Box 1 earnings from an employee's W2 to determine affordbaility. </t>
    </r>
  </si>
  <si>
    <r>
      <rPr>
        <b/>
        <u/>
        <sz val="11"/>
        <color theme="1"/>
        <rFont val="Calibri"/>
        <family val="2"/>
        <scheme val="minor"/>
      </rPr>
      <t xml:space="preserve">Federal Poverty Line Safe Harbor (FPL) </t>
    </r>
    <r>
      <rPr>
        <sz val="11"/>
        <color theme="1"/>
        <rFont val="Calibri"/>
        <family val="2"/>
        <scheme val="minor"/>
      </rPr>
      <t xml:space="preserve">- Line 16 code </t>
    </r>
    <r>
      <rPr>
        <b/>
        <sz val="11"/>
        <color theme="1"/>
        <rFont val="Calibri"/>
        <family val="2"/>
        <scheme val="minor"/>
      </rPr>
      <t xml:space="preserve">2G </t>
    </r>
    <r>
      <rPr>
        <sz val="11"/>
        <color theme="1"/>
        <rFont val="Calibri"/>
        <family val="2"/>
        <scheme val="minor"/>
      </rPr>
      <t>- uses the mainland FPL for a single indivual to calculate affordability.</t>
    </r>
  </si>
  <si>
    <t xml:space="preserve"> To complete affordability testing for specific employee scenarios, enter the hourly wage, monthly salary or W2 Box 1 and number of monthes employed in the blue boexes below.</t>
  </si>
  <si>
    <t xml:space="preserve">1. Complete the blue cells in the chart to the right showing your total monthly premium for the lowest cost plan (usually bronze or equavilent) for employee-only coverage. Include the dollar amounts for the split of employee and employer contributions of that employee-only premium. </t>
  </si>
  <si>
    <r>
      <rPr>
        <b/>
        <u/>
        <sz val="11"/>
        <color theme="1"/>
        <rFont val="Calibri"/>
        <family val="2"/>
        <scheme val="minor"/>
      </rPr>
      <t xml:space="preserve">Federal Poverty Line Safe Harbor (FPL) </t>
    </r>
    <r>
      <rPr>
        <sz val="11"/>
        <color theme="1"/>
        <rFont val="Calibri"/>
        <family val="2"/>
        <scheme val="minor"/>
      </rPr>
      <t xml:space="preserve">- Line 16 code </t>
    </r>
    <r>
      <rPr>
        <b/>
        <sz val="11"/>
        <color theme="1"/>
        <rFont val="Calibri"/>
        <family val="2"/>
        <scheme val="minor"/>
      </rPr>
      <t xml:space="preserve">2G </t>
    </r>
    <r>
      <rPr>
        <sz val="11"/>
        <color theme="1"/>
        <rFont val="Calibri"/>
        <family val="2"/>
        <scheme val="minor"/>
      </rPr>
      <t>- uses the mainland FPL for a single indivual to calculate affordability.</t>
    </r>
  </si>
  <si>
    <r>
      <rPr>
        <b/>
        <u/>
        <sz val="11"/>
        <color theme="1"/>
        <rFont val="Calibri"/>
        <family val="2"/>
        <scheme val="minor"/>
      </rPr>
      <t>Rate of Pay Safe Harbor</t>
    </r>
    <r>
      <rPr>
        <sz val="11"/>
        <color theme="1"/>
        <rFont val="Calibri"/>
        <family val="2"/>
        <scheme val="minor"/>
      </rPr>
      <t xml:space="preserve"> - Line 16 code </t>
    </r>
    <r>
      <rPr>
        <b/>
        <sz val="11"/>
        <color theme="1"/>
        <rFont val="Calibri"/>
        <family val="2"/>
        <scheme val="minor"/>
      </rPr>
      <t>2H</t>
    </r>
    <r>
      <rPr>
        <sz val="11"/>
        <color theme="1"/>
        <rFont val="Calibri"/>
        <family val="2"/>
        <scheme val="minor"/>
      </rPr>
      <t xml:space="preserve"> - uses the employee's hourly wage to determine affordability.</t>
    </r>
  </si>
  <si>
    <r>
      <rPr>
        <b/>
        <u/>
        <sz val="11"/>
        <color theme="1"/>
        <rFont val="Calibri"/>
        <family val="2"/>
        <scheme val="minor"/>
      </rPr>
      <t xml:space="preserve">W2 Safe Harbor </t>
    </r>
    <r>
      <rPr>
        <sz val="11"/>
        <color theme="1"/>
        <rFont val="Calibri"/>
        <family val="2"/>
        <scheme val="minor"/>
      </rPr>
      <t xml:space="preserve">- Line 16 code </t>
    </r>
    <r>
      <rPr>
        <b/>
        <sz val="11"/>
        <color theme="1"/>
        <rFont val="Calibri"/>
        <family val="2"/>
        <scheme val="minor"/>
      </rPr>
      <t>2F</t>
    </r>
    <r>
      <rPr>
        <sz val="11"/>
        <color theme="1"/>
        <rFont val="Calibri"/>
        <family val="2"/>
        <scheme val="minor"/>
      </rPr>
      <t xml:space="preserve"> - uses the Box 1 earnings from an employee's W2 to determine affordbaility. </t>
    </r>
  </si>
  <si>
    <t>2024 - ACA Premium Affordability Calcualtor</t>
  </si>
  <si>
    <t>2022 - ACA Premium Affordability Calcualtor</t>
  </si>
  <si>
    <t>2021 - ACA Premium Affordability Calcualtor</t>
  </si>
  <si>
    <t>2020 - ACA Premium Affordability Calcualtor</t>
  </si>
  <si>
    <t>2019 - ACA Premium Affordability Calcualtor</t>
  </si>
  <si>
    <t>2018 - ACA Premium Affordability Calcualtor</t>
  </si>
  <si>
    <t>2025 - ACA Premium Affordability Calcualtor</t>
  </si>
  <si>
    <t>2026 - ACA Premium Affordability Calcualtor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</si>
</sst>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26"/>
      <color theme="1"/>
      <name val="Calibri"/>
      <family val="2"/>
      <scheme val="minor"/>
    </font>
    <font>
      <sz val="11"/>
      <color theme="2"/>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176">
    <xf numFmtId="0" fontId="0" fillId="0" borderId="0" xfId="0"/>
    <xf numFmtId="0" fontId="0" fillId="3" borderId="4" xfId="0" applyFill="1" applyBorder="1"/>
    <xf numFmtId="0" fontId="0" fillId="3" borderId="5" xfId="0" applyFill="1" applyBorder="1"/>
    <xf numFmtId="0" fontId="0" fillId="3" borderId="7" xfId="0" applyFill="1" applyBorder="1"/>
    <xf numFmtId="0" fontId="0" fillId="3" borderId="4" xfId="0" applyFill="1" applyBorder="1" applyAlignment="1">
      <alignment vertical="center" textRotation="255"/>
    </xf>
    <xf numFmtId="0" fontId="0" fillId="3" borderId="4" xfId="0" applyFill="1" applyBorder="1" applyAlignment="1">
      <alignment horizontal="center" vertical="center" textRotation="255"/>
    </xf>
    <xf numFmtId="0" fontId="0" fillId="3" borderId="4" xfId="0" applyFill="1" applyBorder="1" applyAlignment="1">
      <alignment vertical="center"/>
    </xf>
    <xf numFmtId="0" fontId="0" fillId="3" borderId="6" xfId="0" applyFill="1" applyBorder="1"/>
    <xf numFmtId="0" fontId="0" fillId="3" borderId="8" xfId="0" applyFill="1" applyBorder="1"/>
    <xf numFmtId="0" fontId="0" fillId="3" borderId="4" xfId="0" applyFill="1" applyBorder="1" applyAlignment="1">
      <alignment wrapText="1"/>
    </xf>
    <xf numFmtId="0" fontId="0" fillId="3" borderId="2" xfId="0" applyFill="1" applyBorder="1"/>
    <xf numFmtId="0" fontId="0" fillId="3" borderId="4" xfId="0" applyFill="1" applyBorder="1" applyAlignment="1">
      <alignment vertical="center" wrapText="1"/>
    </xf>
    <xf numFmtId="0" fontId="0" fillId="3" borderId="3" xfId="0" applyFill="1" applyBorder="1"/>
    <xf numFmtId="0" fontId="0" fillId="3" borderId="0" xfId="0" applyFill="1"/>
    <xf numFmtId="0" fontId="0" fillId="0" borderId="0" xfId="0" applyAlignment="1">
      <alignment horizontal="center" vertical="center" wrapText="1"/>
    </xf>
    <xf numFmtId="0" fontId="0" fillId="3" borderId="0" xfId="0" applyFill="1" applyAlignment="1">
      <alignment vertical="center" wrapText="1"/>
    </xf>
    <xf numFmtId="0" fontId="0" fillId="3" borderId="0" xfId="0" applyFill="1" applyAlignment="1">
      <alignment horizontal="center" vertical="center" wrapText="1"/>
    </xf>
    <xf numFmtId="0" fontId="4" fillId="0" borderId="0" xfId="0" applyFont="1"/>
    <xf numFmtId="0" fontId="4" fillId="3" borderId="0" xfId="0" applyFont="1" applyFill="1"/>
    <xf numFmtId="164" fontId="4" fillId="3" borderId="0" xfId="0" applyNumberFormat="1" applyFont="1" applyFill="1"/>
    <xf numFmtId="0" fontId="4" fillId="0" borderId="11" xfId="0" applyFont="1" applyBorder="1"/>
    <xf numFmtId="0" fontId="4" fillId="0" borderId="0" xfId="0" applyFont="1" applyAlignment="1">
      <alignment horizontal="center"/>
    </xf>
    <xf numFmtId="164" fontId="4" fillId="0" borderId="0" xfId="0" applyNumberFormat="1" applyFont="1" applyAlignment="1">
      <alignment horizontal="center"/>
    </xf>
    <xf numFmtId="0" fontId="4" fillId="3" borderId="2" xfId="0" applyFont="1" applyFill="1" applyBorder="1"/>
    <xf numFmtId="0" fontId="4" fillId="3" borderId="7" xfId="0" applyFont="1" applyFill="1" applyBorder="1"/>
    <xf numFmtId="0" fontId="0" fillId="3" borderId="15" xfId="0" applyFill="1" applyBorder="1"/>
    <xf numFmtId="164" fontId="4" fillId="3" borderId="15" xfId="0" applyNumberFormat="1" applyFont="1" applyFill="1" applyBorder="1"/>
    <xf numFmtId="0" fontId="4" fillId="3" borderId="15" xfId="0" applyFont="1" applyFill="1" applyBorder="1"/>
    <xf numFmtId="164" fontId="0" fillId="3" borderId="15" xfId="0" applyNumberFormat="1" applyFill="1" applyBorder="1" applyAlignment="1">
      <alignment horizontal="center" vertical="center"/>
    </xf>
    <xf numFmtId="0" fontId="0" fillId="3" borderId="15" xfId="0" applyFill="1" applyBorder="1" applyAlignment="1">
      <alignment horizontal="center" vertical="top" wrapText="1"/>
    </xf>
    <xf numFmtId="0" fontId="0" fillId="3" borderId="15" xfId="0" applyFill="1" applyBorder="1" applyAlignment="1">
      <alignment horizontal="center" wrapText="1"/>
    </xf>
    <xf numFmtId="164" fontId="0" fillId="3" borderId="15" xfId="0" applyNumberFormat="1" applyFill="1" applyBorder="1" applyAlignment="1">
      <alignment horizontal="center" vertical="center" wrapText="1"/>
    </xf>
    <xf numFmtId="0" fontId="0" fillId="3" borderId="5" xfId="0" applyFill="1" applyBorder="1" applyAlignment="1">
      <alignment vertical="center" wrapText="1"/>
    </xf>
    <xf numFmtId="0" fontId="0" fillId="3" borderId="1" xfId="0" applyFill="1" applyBorder="1"/>
    <xf numFmtId="164" fontId="2" fillId="3" borderId="5" xfId="0" applyNumberFormat="1" applyFont="1" applyFill="1" applyBorder="1"/>
    <xf numFmtId="0" fontId="2" fillId="3" borderId="5" xfId="0" applyFont="1" applyFill="1" applyBorder="1"/>
    <xf numFmtId="0" fontId="0" fillId="0" borderId="11" xfId="0" applyBorder="1"/>
    <xf numFmtId="164" fontId="0" fillId="3" borderId="15" xfId="0" applyNumberFormat="1" applyFill="1" applyBorder="1"/>
    <xf numFmtId="164" fontId="0" fillId="3" borderId="0" xfId="0" applyNumberFormat="1" applyFill="1"/>
    <xf numFmtId="164" fontId="0" fillId="0" borderId="0" xfId="0" applyNumberFormat="1" applyAlignment="1">
      <alignment horizontal="center"/>
    </xf>
    <xf numFmtId="0" fontId="0" fillId="0" borderId="0" xfId="0" applyAlignment="1">
      <alignment horizontal="center"/>
    </xf>
    <xf numFmtId="0" fontId="4" fillId="3" borderId="3" xfId="0" applyFont="1" applyFill="1" applyBorder="1"/>
    <xf numFmtId="0" fontId="4" fillId="3" borderId="5" xfId="0" applyFont="1" applyFill="1" applyBorder="1"/>
    <xf numFmtId="0" fontId="4" fillId="3" borderId="0" xfId="0" applyFont="1" applyFill="1" applyAlignment="1">
      <alignment vertical="center" wrapText="1"/>
    </xf>
    <xf numFmtId="0" fontId="2" fillId="3" borderId="3" xfId="0" applyFont="1" applyFill="1" applyBorder="1"/>
    <xf numFmtId="164" fontId="4" fillId="3" borderId="15" xfId="0" applyNumberFormat="1" applyFont="1" applyFill="1" applyBorder="1" applyAlignment="1">
      <alignment horizontal="center" vertical="center"/>
    </xf>
    <xf numFmtId="0" fontId="4" fillId="3" borderId="15" xfId="0" applyFont="1" applyFill="1" applyBorder="1" applyAlignment="1">
      <alignment horizontal="center" vertical="top" wrapText="1"/>
    </xf>
    <xf numFmtId="0" fontId="4" fillId="3" borderId="15" xfId="0" applyFont="1" applyFill="1" applyBorder="1" applyAlignment="1">
      <alignment horizontal="center" wrapText="1"/>
    </xf>
    <xf numFmtId="164" fontId="4" fillId="3" borderId="15" xfId="0" applyNumberFormat="1" applyFont="1" applyFill="1" applyBorder="1" applyAlignment="1">
      <alignment horizontal="center" vertical="center" wrapText="1"/>
    </xf>
    <xf numFmtId="0" fontId="4" fillId="3" borderId="5" xfId="0" applyFont="1" applyFill="1" applyBorder="1" applyAlignment="1">
      <alignment vertical="center" wrapText="1"/>
    </xf>
    <xf numFmtId="0" fontId="4" fillId="3" borderId="8" xfId="0" applyFont="1" applyFill="1" applyBorder="1"/>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xf>
    <xf numFmtId="0" fontId="0" fillId="3" borderId="0" xfId="0" applyFill="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3" fillId="0" borderId="12" xfId="0" applyFont="1" applyBorder="1" applyAlignment="1">
      <alignment horizontal="center"/>
    </xf>
    <xf numFmtId="0" fontId="3" fillId="0" borderId="14" xfId="0" applyFont="1" applyBorder="1" applyAlignment="1">
      <alignment horizontal="center"/>
    </xf>
    <xf numFmtId="0" fontId="3" fillId="0" borderId="13"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164" fontId="0" fillId="2" borderId="12" xfId="0" applyNumberFormat="1" applyFill="1" applyBorder="1" applyAlignment="1" applyProtection="1">
      <alignment horizontal="center"/>
      <protection locked="0"/>
    </xf>
    <xf numFmtId="164" fontId="0" fillId="2" borderId="14" xfId="0" applyNumberFormat="1" applyFill="1" applyBorder="1" applyAlignment="1" applyProtection="1">
      <alignment horizontal="center"/>
      <protection locked="0"/>
    </xf>
    <xf numFmtId="164" fontId="0" fillId="2" borderId="13" xfId="0" applyNumberFormat="1" applyFill="1" applyBorder="1" applyAlignment="1" applyProtection="1">
      <alignment horizontal="center"/>
      <protection locked="0"/>
    </xf>
    <xf numFmtId="0" fontId="3" fillId="0" borderId="9" xfId="0" applyFont="1" applyBorder="1" applyAlignment="1">
      <alignment horizontal="center" vertical="center" wrapText="1"/>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2" borderId="12"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3" xfId="0" applyFill="1" applyBorder="1" applyAlignment="1" applyProtection="1">
      <alignment horizontal="center"/>
      <protection locked="0"/>
    </xf>
    <xf numFmtId="164" fontId="0" fillId="0" borderId="12" xfId="0" applyNumberFormat="1" applyBorder="1" applyAlignment="1">
      <alignment horizontal="center"/>
    </xf>
    <xf numFmtId="164" fontId="0" fillId="0" borderId="14" xfId="0" applyNumberFormat="1" applyBorder="1" applyAlignment="1">
      <alignment horizontal="center"/>
    </xf>
    <xf numFmtId="164" fontId="0" fillId="0" borderId="13" xfId="0" applyNumberFormat="1" applyBorder="1" applyAlignment="1">
      <alignment horizontal="center"/>
    </xf>
    <xf numFmtId="164" fontId="0" fillId="0" borderId="1" xfId="0" applyNumberFormat="1" applyBorder="1" applyAlignment="1">
      <alignment horizontal="center" vertical="center" wrapText="1"/>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7" xfId="0" applyNumberFormat="1" applyBorder="1" applyAlignment="1">
      <alignment horizontal="center" vertical="center" wrapText="1"/>
    </xf>
    <xf numFmtId="164" fontId="0" fillId="0" borderId="8" xfId="0" applyNumberFormat="1" applyBorder="1" applyAlignment="1">
      <alignment horizontal="center" vertical="center" wrapText="1"/>
    </xf>
    <xf numFmtId="0" fontId="0" fillId="0" borderId="0" xfId="0" applyAlignment="1">
      <alignment horizontal="left"/>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5" borderId="12" xfId="0" applyFill="1" applyBorder="1" applyAlignment="1">
      <alignment horizontal="center"/>
    </xf>
    <xf numFmtId="0" fontId="0" fillId="5" borderId="14" xfId="0" applyFill="1" applyBorder="1" applyAlignment="1">
      <alignment horizontal="center"/>
    </xf>
    <xf numFmtId="0" fontId="0" fillId="5" borderId="13" xfId="0" applyFill="1" applyBorder="1" applyAlignment="1">
      <alignment horizont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164" fontId="0" fillId="0" borderId="6" xfId="0" applyNumberFormat="1" applyBorder="1" applyAlignment="1">
      <alignment horizontal="center" vertical="center"/>
    </xf>
    <xf numFmtId="164" fontId="0" fillId="0" borderId="8" xfId="0" applyNumberFormat="1" applyBorder="1" applyAlignment="1">
      <alignment horizontal="center" vertical="center"/>
    </xf>
    <xf numFmtId="0" fontId="3" fillId="0" borderId="9" xfId="0" applyFont="1" applyBorder="1" applyAlignment="1">
      <alignment horizontal="center" vertic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164" fontId="0" fillId="0" borderId="0" xfId="0" applyNumberFormat="1" applyAlignment="1">
      <alignment horizontal="center" vertical="center"/>
    </xf>
    <xf numFmtId="164" fontId="0" fillId="0" borderId="5" xfId="0" applyNumberFormat="1" applyBorder="1" applyAlignment="1">
      <alignment horizontal="center" vertical="center"/>
    </xf>
    <xf numFmtId="164" fontId="0" fillId="0" borderId="7" xfId="0" applyNumberForma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3" borderId="0" xfId="0" applyFill="1" applyAlignment="1">
      <alignment horizontal="center" vertical="center" wrapText="1"/>
    </xf>
    <xf numFmtId="0" fontId="4" fillId="0" borderId="12"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164" fontId="4" fillId="0" borderId="12" xfId="0" applyNumberFormat="1" applyFont="1" applyBorder="1" applyAlignment="1">
      <alignment horizontal="center"/>
    </xf>
    <xf numFmtId="164" fontId="4" fillId="0" borderId="14" xfId="0" applyNumberFormat="1" applyFont="1" applyBorder="1" applyAlignment="1">
      <alignment horizontal="center"/>
    </xf>
    <xf numFmtId="164" fontId="4" fillId="0" borderId="13" xfId="0" applyNumberFormat="1" applyFont="1" applyBorder="1" applyAlignment="1">
      <alignment horizontal="center"/>
    </xf>
    <xf numFmtId="164" fontId="4" fillId="2" borderId="12" xfId="0" applyNumberFormat="1" applyFont="1" applyFill="1" applyBorder="1" applyAlignment="1" applyProtection="1">
      <alignment horizontal="center"/>
      <protection locked="0"/>
    </xf>
    <xf numFmtId="164" fontId="4" fillId="2" borderId="14" xfId="0" applyNumberFormat="1" applyFont="1" applyFill="1" applyBorder="1" applyAlignment="1" applyProtection="1">
      <alignment horizontal="center"/>
      <protection locked="0"/>
    </xf>
    <xf numFmtId="164" fontId="4" fillId="2" borderId="13" xfId="0" applyNumberFormat="1"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3" xfId="0" applyFont="1" applyFill="1" applyBorder="1" applyAlignment="1" applyProtection="1">
      <alignment horizontal="center"/>
      <protection locked="0"/>
    </xf>
    <xf numFmtId="0" fontId="4" fillId="5" borderId="12" xfId="0" applyFont="1" applyFill="1" applyBorder="1" applyAlignment="1">
      <alignment horizontal="center"/>
    </xf>
    <xf numFmtId="0" fontId="4" fillId="5" borderId="14" xfId="0" applyFont="1" applyFill="1" applyBorder="1" applyAlignment="1">
      <alignment horizontal="center"/>
    </xf>
    <xf numFmtId="0" fontId="4" fillId="5" borderId="13" xfId="0" applyFont="1" applyFill="1" applyBorder="1" applyAlignment="1">
      <alignment horizontal="center"/>
    </xf>
    <xf numFmtId="0" fontId="5" fillId="0" borderId="9" xfId="0" applyFont="1" applyBorder="1" applyAlignment="1">
      <alignment horizontal="center" vertical="center" wrapText="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164" fontId="4" fillId="0" borderId="1" xfId="0" applyNumberFormat="1" applyFont="1" applyBorder="1" applyAlignment="1">
      <alignment horizontal="center" vertical="center"/>
    </xf>
    <xf numFmtId="164" fontId="4" fillId="0" borderId="3"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164" fontId="4" fillId="0" borderId="1"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164" fontId="4" fillId="0" borderId="2"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0" xfId="0" applyNumberFormat="1" applyFont="1" applyAlignment="1">
      <alignment horizontal="center" vertical="center"/>
    </xf>
    <xf numFmtId="164" fontId="4" fillId="0" borderId="5" xfId="0" applyNumberFormat="1" applyFont="1" applyBorder="1" applyAlignment="1">
      <alignment horizontal="center" vertical="center"/>
    </xf>
    <xf numFmtId="164" fontId="4" fillId="0" borderId="7" xfId="0" applyNumberFormat="1" applyFont="1" applyBorder="1" applyAlignment="1">
      <alignment horizontal="center" vertical="center"/>
    </xf>
  </cellXfs>
  <cellStyles count="1">
    <cellStyle name="Normal" xfId="0" builtinId="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rowcompliance.com/"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BECA70EE-8751-476E-932F-4ED88CECAB0A}"/>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8305A2BE-388A-4FB4-9121-24215982A529}"/>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7684A8E1-93B9-487F-ABBB-09F02FC59EE1}"/>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26DDF597-B2F3-F034-563F-165B585192B5}"/>
            </a:ext>
          </a:extLst>
        </xdr:cNvPr>
        <xdr:cNvPicPr>
          <a:picLocks noChangeAspect="1"/>
        </xdr:cNvPicPr>
      </xdr:nvPicPr>
      <xdr:blipFill>
        <a:blip xmlns:r="http://schemas.openxmlformats.org/officeDocument/2006/relationships" r:embed="rId2"/>
        <a:stretch>
          <a:fillRect/>
        </a:stretch>
      </xdr:blipFill>
      <xdr:spPr>
        <a:xfrm>
          <a:off x="11468100" y="5219700"/>
          <a:ext cx="3419475" cy="989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C36ABB5B-7402-4F74-8D41-56CA06955086}"/>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00235D38-E101-4C5F-A8E0-952800B31D73}"/>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5416855C-8F73-4584-B263-83B69F76532D}"/>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4A49ED66-662C-4D5E-BFB1-214D33E0E913}"/>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200025</xdr:colOff>
      <xdr:row>20</xdr:row>
      <xdr:rowOff>219075</xdr:rowOff>
    </xdr:from>
    <xdr:to>
      <xdr:col>19</xdr:col>
      <xdr:colOff>466725</xdr:colOff>
      <xdr:row>25</xdr:row>
      <xdr:rowOff>17881</xdr:rowOff>
    </xdr:to>
    <xdr:pic>
      <xdr:nvPicPr>
        <xdr:cNvPr id="2" name="Picture 1">
          <a:hlinkClick xmlns:r="http://schemas.openxmlformats.org/officeDocument/2006/relationships" r:id="rId1"/>
          <a:extLst>
            <a:ext uri="{FF2B5EF4-FFF2-40B4-BE49-F238E27FC236}">
              <a16:creationId xmlns:a16="http://schemas.microsoft.com/office/drawing/2014/main" id="{2C3174BF-C7F6-4051-95A9-8BE279035864}"/>
            </a:ext>
          </a:extLst>
        </xdr:cNvPr>
        <xdr:cNvPicPr>
          <a:picLocks noChangeAspect="1"/>
        </xdr:cNvPicPr>
      </xdr:nvPicPr>
      <xdr:blipFill>
        <a:blip xmlns:r="http://schemas.openxmlformats.org/officeDocument/2006/relationships" r:embed="rId2"/>
        <a:stretch>
          <a:fillRect/>
        </a:stretch>
      </xdr:blipFill>
      <xdr:spPr>
        <a:xfrm>
          <a:off x="11715750" y="5219700"/>
          <a:ext cx="3419475" cy="9894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97BA9-3EA6-4400-8D69-5250653FBA0B}">
  <dimension ref="B1:U31"/>
  <sheetViews>
    <sheetView showGridLines="0" tabSelected="1" workbookViewId="0">
      <selection activeCell="J6" sqref="J6:K6"/>
    </sheetView>
  </sheetViews>
  <sheetFormatPr defaultRowHeight="18.75" customHeight="1" x14ac:dyDescent="0.25"/>
  <cols>
    <col min="2" max="2" width="7.5703125" customWidth="1"/>
    <col min="4" max="4" width="30.42578125" customWidth="1"/>
    <col min="5" max="5" width="7.5703125" customWidth="1"/>
    <col min="6" max="6" width="19.140625" customWidth="1"/>
    <col min="7" max="7" width="11.5703125" customWidth="1"/>
    <col min="8" max="8" width="4.85546875"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37</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10"/>
      <c r="E3" s="10"/>
      <c r="F3" s="10"/>
      <c r="G3" s="10"/>
      <c r="H3" s="10"/>
      <c r="I3" s="10"/>
      <c r="J3" s="10"/>
      <c r="K3" s="10"/>
      <c r="L3" s="10"/>
      <c r="M3" s="12"/>
      <c r="N3" s="10"/>
      <c r="O3" s="10"/>
      <c r="P3" s="10"/>
      <c r="Q3" s="10"/>
      <c r="R3" s="10"/>
      <c r="S3" s="10"/>
      <c r="T3" s="10"/>
      <c r="U3" s="12"/>
    </row>
    <row r="4" spans="2:21" ht="18.75" customHeight="1" thickBot="1" x14ac:dyDescent="0.3">
      <c r="B4" s="1"/>
      <c r="C4" s="63" t="s">
        <v>3</v>
      </c>
      <c r="D4" s="64"/>
      <c r="E4" s="64"/>
      <c r="F4" s="64"/>
      <c r="G4" s="65"/>
      <c r="H4" s="10"/>
      <c r="I4" s="10"/>
      <c r="J4" s="10"/>
      <c r="K4" s="10"/>
      <c r="L4" s="12"/>
      <c r="M4" s="25"/>
      <c r="N4" s="13"/>
      <c r="O4" s="13"/>
      <c r="P4" s="13"/>
      <c r="Q4" s="13"/>
      <c r="R4" s="13"/>
      <c r="S4" s="13"/>
      <c r="T4" s="13"/>
      <c r="U4" s="2"/>
    </row>
    <row r="5" spans="2:21" ht="18.75" customHeight="1" thickBot="1" x14ac:dyDescent="0.3">
      <c r="B5" s="1"/>
      <c r="C5" s="117" t="s">
        <v>26</v>
      </c>
      <c r="D5" s="118"/>
      <c r="E5" s="118"/>
      <c r="F5" s="118"/>
      <c r="G5" s="119"/>
      <c r="H5" s="13"/>
      <c r="I5" s="36" t="s">
        <v>0</v>
      </c>
      <c r="J5" s="66">
        <v>0</v>
      </c>
      <c r="K5" s="68"/>
      <c r="L5" s="34">
        <f>J6*12</f>
        <v>1800</v>
      </c>
      <c r="M5" s="37"/>
      <c r="N5" s="13"/>
      <c r="O5" s="117" t="s">
        <v>25</v>
      </c>
      <c r="P5" s="118"/>
      <c r="Q5" s="118"/>
      <c r="R5" s="118"/>
      <c r="S5" s="118"/>
      <c r="T5" s="119"/>
      <c r="U5" s="2"/>
    </row>
    <row r="6" spans="2:21" ht="18.75" customHeight="1" thickBot="1" x14ac:dyDescent="0.3">
      <c r="B6" s="11"/>
      <c r="C6" s="120"/>
      <c r="D6" s="121"/>
      <c r="E6" s="121"/>
      <c r="F6" s="121"/>
      <c r="G6" s="122"/>
      <c r="H6" s="13"/>
      <c r="I6" s="36" t="s">
        <v>1</v>
      </c>
      <c r="J6" s="66">
        <v>150</v>
      </c>
      <c r="K6" s="68"/>
      <c r="L6" s="34">
        <f>1*L5/0.0996</f>
        <v>18072.289156626506</v>
      </c>
      <c r="M6" s="37"/>
      <c r="N6" s="13"/>
      <c r="O6" s="120"/>
      <c r="P6" s="121"/>
      <c r="Q6" s="121"/>
      <c r="R6" s="121"/>
      <c r="S6" s="121"/>
      <c r="T6" s="122"/>
      <c r="U6" s="2"/>
    </row>
    <row r="7" spans="2:21" ht="18.75" customHeight="1" thickBot="1" x14ac:dyDescent="0.3">
      <c r="B7" s="5"/>
      <c r="C7" s="120"/>
      <c r="D7" s="121"/>
      <c r="E7" s="121"/>
      <c r="F7" s="121"/>
      <c r="G7" s="122"/>
      <c r="H7" s="38"/>
      <c r="I7" s="36" t="s">
        <v>2</v>
      </c>
      <c r="J7" s="66">
        <v>0</v>
      </c>
      <c r="K7" s="68"/>
      <c r="L7" s="35">
        <f>L6/12</f>
        <v>1506.0240963855422</v>
      </c>
      <c r="M7" s="25"/>
      <c r="N7" s="13"/>
      <c r="O7" s="123"/>
      <c r="P7" s="124"/>
      <c r="Q7" s="124"/>
      <c r="R7" s="124"/>
      <c r="S7" s="124"/>
      <c r="T7" s="125"/>
      <c r="U7" s="2"/>
    </row>
    <row r="8" spans="2:21" ht="18.75" customHeight="1" thickBot="1" x14ac:dyDescent="0.3">
      <c r="B8" s="4"/>
      <c r="C8" s="123"/>
      <c r="D8" s="124"/>
      <c r="E8" s="124"/>
      <c r="F8" s="124"/>
      <c r="G8" s="125"/>
      <c r="H8" s="13"/>
      <c r="I8" s="13"/>
      <c r="J8" s="13"/>
      <c r="K8" s="13"/>
      <c r="L8" s="2"/>
      <c r="M8" s="25"/>
      <c r="N8" s="126"/>
      <c r="O8" s="16"/>
      <c r="P8" s="16"/>
      <c r="Q8" s="16"/>
      <c r="R8" s="16"/>
      <c r="S8" s="16"/>
      <c r="T8" s="16"/>
      <c r="U8" s="2"/>
    </row>
    <row r="9" spans="2:21" ht="18.75" customHeight="1" thickBot="1" x14ac:dyDescent="0.3">
      <c r="B9" s="1"/>
      <c r="C9" s="1"/>
      <c r="D9" s="13"/>
      <c r="E9" s="13"/>
      <c r="F9" s="13"/>
      <c r="G9" s="13"/>
      <c r="H9" s="13"/>
      <c r="I9" s="13"/>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3"/>
      <c r="I10" s="108" t="s">
        <v>13</v>
      </c>
      <c r="J10" s="104" t="str">
        <f>IF(J6&gt;129.89, "No, above $129.89/mo", "Yes, below $129.89/mo")</f>
        <v>No, above $129.89/mo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3"/>
      <c r="I11" s="70"/>
      <c r="J11" s="110"/>
      <c r="K11" s="111"/>
      <c r="L11" s="112"/>
      <c r="M11" s="28"/>
      <c r="N11" s="13"/>
      <c r="O11" s="63" t="s">
        <v>5</v>
      </c>
      <c r="P11" s="64"/>
      <c r="Q11" s="65"/>
      <c r="R11" s="63" t="s">
        <v>6</v>
      </c>
      <c r="S11" s="64"/>
      <c r="T11" s="65"/>
      <c r="U11" s="2"/>
    </row>
    <row r="12" spans="2:21" ht="18.75" customHeight="1" thickBot="1" x14ac:dyDescent="0.3">
      <c r="B12" s="11"/>
      <c r="C12" s="120"/>
      <c r="D12" s="121"/>
      <c r="E12" s="121"/>
      <c r="F12" s="121"/>
      <c r="G12" s="122"/>
      <c r="H12" s="13"/>
      <c r="I12" s="71"/>
      <c r="J12" s="106"/>
      <c r="K12" s="113"/>
      <c r="L12" s="107"/>
      <c r="M12" s="28"/>
      <c r="N12" s="13"/>
      <c r="O12" s="66">
        <v>12.79</v>
      </c>
      <c r="P12" s="67"/>
      <c r="Q12" s="68"/>
      <c r="R12" s="81">
        <f>O12*130*9.96%</f>
        <v>165.60491999999999</v>
      </c>
      <c r="S12" s="82"/>
      <c r="T12" s="83"/>
      <c r="U12" s="2"/>
    </row>
    <row r="13" spans="2:21" ht="18.75" customHeight="1" thickBot="1" x14ac:dyDescent="0.3">
      <c r="B13" s="11"/>
      <c r="C13" s="120"/>
      <c r="D13" s="121"/>
      <c r="E13" s="121"/>
      <c r="F13" s="121"/>
      <c r="G13" s="122"/>
      <c r="H13" s="38"/>
      <c r="I13" s="13"/>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3"/>
      <c r="I14" s="69" t="s">
        <v>19</v>
      </c>
      <c r="J14" s="93" t="s">
        <v>15</v>
      </c>
      <c r="K14" s="95" t="s">
        <v>16</v>
      </c>
      <c r="L14" s="96"/>
      <c r="M14" s="29"/>
      <c r="N14" s="13"/>
      <c r="O14" s="63" t="s">
        <v>7</v>
      </c>
      <c r="P14" s="64"/>
      <c r="Q14" s="65"/>
      <c r="R14" s="99" t="s">
        <v>6</v>
      </c>
      <c r="S14" s="100"/>
      <c r="T14" s="101"/>
      <c r="U14" s="2"/>
    </row>
    <row r="15" spans="2:21" ht="18.75" customHeight="1" thickBot="1" x14ac:dyDescent="0.3">
      <c r="B15" s="11"/>
      <c r="C15" s="120"/>
      <c r="D15" s="121"/>
      <c r="E15" s="121"/>
      <c r="F15" s="121"/>
      <c r="G15" s="122"/>
      <c r="H15" s="13"/>
      <c r="I15" s="91"/>
      <c r="J15" s="94"/>
      <c r="K15" s="97"/>
      <c r="L15" s="98"/>
      <c r="M15" s="29"/>
      <c r="N15" s="13"/>
      <c r="O15" s="66">
        <v>2000</v>
      </c>
      <c r="P15" s="67"/>
      <c r="Q15" s="68"/>
      <c r="R15" s="81">
        <f>O15*9.96%</f>
        <v>199.20000000000002</v>
      </c>
      <c r="S15" s="82"/>
      <c r="T15" s="83"/>
      <c r="U15" s="2"/>
    </row>
    <row r="16" spans="2:21" ht="18.75" customHeight="1" thickBot="1" x14ac:dyDescent="0.3">
      <c r="B16" s="11"/>
      <c r="C16" s="120"/>
      <c r="D16" s="121"/>
      <c r="E16" s="121"/>
      <c r="F16" s="121"/>
      <c r="G16" s="122"/>
      <c r="H16" s="13"/>
      <c r="I16" s="91"/>
      <c r="J16" s="102">
        <v>12</v>
      </c>
      <c r="K16" s="104">
        <f>L7*J16</f>
        <v>18072.289156626506</v>
      </c>
      <c r="L16" s="105"/>
      <c r="M16" s="28"/>
      <c r="N16" s="13"/>
      <c r="O16" s="13"/>
      <c r="P16" s="13"/>
      <c r="Q16" s="13"/>
      <c r="R16" s="13"/>
      <c r="S16" s="13"/>
      <c r="T16" s="13"/>
      <c r="U16" s="2"/>
    </row>
    <row r="17" spans="2:21" ht="18.75" customHeight="1" thickBot="1" x14ac:dyDescent="0.3">
      <c r="B17" s="11"/>
      <c r="C17" s="120"/>
      <c r="D17" s="121"/>
      <c r="E17" s="121"/>
      <c r="F17" s="121"/>
      <c r="G17" s="122"/>
      <c r="H17" s="13"/>
      <c r="I17" s="92"/>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3"/>
      <c r="I18" s="13"/>
      <c r="J18" s="13"/>
      <c r="K18" s="13"/>
      <c r="L18" s="2"/>
      <c r="M18" s="25"/>
      <c r="N18" s="13"/>
      <c r="O18" s="63" t="s">
        <v>9</v>
      </c>
      <c r="P18" s="64"/>
      <c r="Q18" s="65"/>
      <c r="R18" s="66">
        <v>19955.650000000001</v>
      </c>
      <c r="S18" s="67"/>
      <c r="T18" s="68"/>
      <c r="U18" s="2"/>
    </row>
    <row r="19" spans="2:21" ht="18.75" customHeight="1" thickBot="1" x14ac:dyDescent="0.3">
      <c r="B19" s="6"/>
      <c r="C19" s="120"/>
      <c r="D19" s="121"/>
      <c r="E19" s="121"/>
      <c r="F19" s="121"/>
      <c r="G19" s="122"/>
      <c r="H19" s="13"/>
      <c r="I19" s="69" t="s">
        <v>18</v>
      </c>
      <c r="J19" s="72" t="s">
        <v>17</v>
      </c>
      <c r="K19" s="73"/>
      <c r="L19" s="74"/>
      <c r="M19" s="30"/>
      <c r="N19" s="13"/>
      <c r="O19" s="63" t="s">
        <v>10</v>
      </c>
      <c r="P19" s="64"/>
      <c r="Q19" s="65"/>
      <c r="R19" s="78">
        <v>12</v>
      </c>
      <c r="S19" s="79"/>
      <c r="T19" s="80"/>
      <c r="U19" s="2"/>
    </row>
    <row r="20" spans="2:21" ht="18.75" customHeight="1" thickBot="1" x14ac:dyDescent="0.3">
      <c r="B20" s="5"/>
      <c r="C20" s="120"/>
      <c r="D20" s="121"/>
      <c r="E20" s="121"/>
      <c r="F20" s="121"/>
      <c r="G20" s="122"/>
      <c r="H20" s="13"/>
      <c r="I20" s="70"/>
      <c r="J20" s="75"/>
      <c r="K20" s="76"/>
      <c r="L20" s="77"/>
      <c r="M20" s="30"/>
      <c r="N20" s="13"/>
      <c r="O20" s="63" t="s">
        <v>11</v>
      </c>
      <c r="P20" s="64"/>
      <c r="Q20" s="65"/>
      <c r="R20" s="81">
        <f>R18*(1/R19)*9.96%</f>
        <v>165.63189500000001</v>
      </c>
      <c r="S20" s="82"/>
      <c r="T20" s="83"/>
      <c r="U20" s="2"/>
    </row>
    <row r="21" spans="2:21" ht="18.75" customHeight="1" x14ac:dyDescent="0.25">
      <c r="B21" s="1"/>
      <c r="C21" s="120"/>
      <c r="D21" s="121"/>
      <c r="E21" s="121"/>
      <c r="F21" s="121"/>
      <c r="G21" s="122"/>
      <c r="H21" s="13"/>
      <c r="I21" s="70"/>
      <c r="J21" s="84">
        <f>L6/1560</f>
        <v>11.584800741427248</v>
      </c>
      <c r="K21" s="85"/>
      <c r="L21" s="86"/>
      <c r="M21" s="31"/>
      <c r="N21" s="13"/>
      <c r="O21" s="13"/>
      <c r="P21" s="13"/>
      <c r="Q21" s="13"/>
      <c r="R21" s="13"/>
      <c r="S21" s="13"/>
      <c r="T21" s="13"/>
      <c r="U21" s="2"/>
    </row>
    <row r="22" spans="2:21" ht="18.75" customHeight="1" thickBot="1" x14ac:dyDescent="0.3">
      <c r="B22" s="9"/>
      <c r="C22" s="123"/>
      <c r="D22" s="124"/>
      <c r="E22" s="124"/>
      <c r="F22" s="124"/>
      <c r="G22" s="125"/>
      <c r="H22" s="3"/>
      <c r="I22" s="71"/>
      <c r="J22" s="87"/>
      <c r="K22" s="88"/>
      <c r="L22" s="89"/>
      <c r="M22" s="31"/>
      <c r="N22" s="13"/>
      <c r="O22" s="13"/>
      <c r="P22" s="13"/>
      <c r="Q22" s="13"/>
      <c r="R22" s="13"/>
      <c r="S22" s="13"/>
      <c r="T22" s="13"/>
      <c r="U22" s="2"/>
    </row>
    <row r="23" spans="2:21" ht="18.75" customHeight="1" thickBot="1" x14ac:dyDescent="0.3">
      <c r="B23" s="1"/>
      <c r="C23" s="13"/>
      <c r="D23" s="13"/>
      <c r="E23" s="13"/>
      <c r="F23" s="13"/>
      <c r="G23" s="13"/>
      <c r="H23" s="13"/>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3"/>
      <c r="I27" s="3"/>
      <c r="J27" s="3"/>
      <c r="K27" s="3"/>
      <c r="L27" s="3"/>
      <c r="M27" s="8"/>
      <c r="N27" s="3"/>
      <c r="O27" s="3"/>
      <c r="P27" s="3"/>
      <c r="Q27" s="3"/>
      <c r="R27" s="3"/>
      <c r="S27" s="3"/>
      <c r="T27" s="3"/>
      <c r="U27" s="8"/>
    </row>
    <row r="28" spans="2:21" ht="18.75" customHeight="1" x14ac:dyDescent="0.25">
      <c r="C28" s="14"/>
    </row>
    <row r="29" spans="2:21" ht="18.75" customHeight="1" x14ac:dyDescent="0.25">
      <c r="G29" s="39"/>
    </row>
    <row r="30" spans="2:21" ht="18.75" customHeight="1" x14ac:dyDescent="0.25">
      <c r="G30" s="40"/>
    </row>
    <row r="31" spans="2:21" ht="18.75" customHeight="1" x14ac:dyDescent="0.25">
      <c r="G31" s="39"/>
    </row>
  </sheetData>
  <sheetProtection algorithmName="SHA-512" hashValue="48tmC/w87s3eyRwoMcCBQOu8R3r0fBIgsC5WI0b/6zlgJOImKGdoSMzdBbLGMRgCp/++eFhOVDgc/OlZX2t+Sg==" saltValue="oQ0itYY5xtC1xyUSLrVOww==" spinCount="100000" sheet="1" objects="1" scenarios="1" selectLockedCells="1"/>
  <mergeCells count="40">
    <mergeCell ref="C24:L24"/>
    <mergeCell ref="C25:L25"/>
    <mergeCell ref="C26:L26"/>
    <mergeCell ref="O17:T17"/>
    <mergeCell ref="O18:Q18"/>
    <mergeCell ref="R18:T18"/>
    <mergeCell ref="I19:I22"/>
    <mergeCell ref="J19:L20"/>
    <mergeCell ref="O19:Q19"/>
    <mergeCell ref="R19:T19"/>
    <mergeCell ref="O20:Q20"/>
    <mergeCell ref="R20:T20"/>
    <mergeCell ref="J21:L22"/>
    <mergeCell ref="O13:T13"/>
    <mergeCell ref="I14:I17"/>
    <mergeCell ref="J14:J15"/>
    <mergeCell ref="K14:L15"/>
    <mergeCell ref="O14:Q14"/>
    <mergeCell ref="R14:T14"/>
    <mergeCell ref="O15:Q15"/>
    <mergeCell ref="R15:T15"/>
    <mergeCell ref="J16:J17"/>
    <mergeCell ref="K16:L17"/>
    <mergeCell ref="I10:I12"/>
    <mergeCell ref="J10:L12"/>
    <mergeCell ref="O10:T10"/>
    <mergeCell ref="O11:Q11"/>
    <mergeCell ref="R11:T11"/>
    <mergeCell ref="O12:Q12"/>
    <mergeCell ref="R12:T12"/>
    <mergeCell ref="B2:U2"/>
    <mergeCell ref="C4:G4"/>
    <mergeCell ref="C5:G8"/>
    <mergeCell ref="J5:K5"/>
    <mergeCell ref="O5:T7"/>
    <mergeCell ref="J6:K6"/>
    <mergeCell ref="J7:K7"/>
    <mergeCell ref="N8:N10"/>
    <mergeCell ref="O9:T9"/>
    <mergeCell ref="C10:G22"/>
  </mergeCells>
  <conditionalFormatting sqref="J10">
    <cfRule type="containsText" dxfId="0"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6ED55-CB48-4847-86C4-EA6E48F1FBE3}">
  <dimension ref="B1:U31"/>
  <sheetViews>
    <sheetView showGridLines="0" workbookViewId="0">
      <selection activeCell="J6" sqref="J6:K6"/>
    </sheetView>
  </sheetViews>
  <sheetFormatPr defaultRowHeight="18.75" customHeight="1" x14ac:dyDescent="0.25"/>
  <cols>
    <col min="2" max="2" width="7.5703125" customWidth="1"/>
    <col min="4" max="4" width="30.42578125" customWidth="1"/>
    <col min="5" max="5" width="7.5703125" customWidth="1"/>
    <col min="6" max="6" width="19.140625" customWidth="1"/>
    <col min="7" max="7" width="11.5703125" customWidth="1"/>
    <col min="8" max="8" width="4.85546875"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36</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10"/>
      <c r="E3" s="10"/>
      <c r="F3" s="10"/>
      <c r="G3" s="10"/>
      <c r="H3" s="10"/>
      <c r="I3" s="10"/>
      <c r="J3" s="10"/>
      <c r="K3" s="10"/>
      <c r="L3" s="10"/>
      <c r="M3" s="12"/>
      <c r="N3" s="10"/>
      <c r="O3" s="10"/>
      <c r="P3" s="10"/>
      <c r="Q3" s="10"/>
      <c r="R3" s="10"/>
      <c r="S3" s="10"/>
      <c r="T3" s="10"/>
      <c r="U3" s="12"/>
    </row>
    <row r="4" spans="2:21" ht="18.75" customHeight="1" thickBot="1" x14ac:dyDescent="0.3">
      <c r="B4" s="1"/>
      <c r="C4" s="63" t="s">
        <v>3</v>
      </c>
      <c r="D4" s="64"/>
      <c r="E4" s="64"/>
      <c r="F4" s="64"/>
      <c r="G4" s="65"/>
      <c r="H4" s="10"/>
      <c r="I4" s="10"/>
      <c r="J4" s="10"/>
      <c r="K4" s="10"/>
      <c r="L4" s="12"/>
      <c r="M4" s="25"/>
      <c r="N4" s="13"/>
      <c r="O4" s="13"/>
      <c r="P4" s="13"/>
      <c r="Q4" s="13"/>
      <c r="R4" s="13"/>
      <c r="S4" s="13"/>
      <c r="T4" s="13"/>
      <c r="U4" s="2"/>
    </row>
    <row r="5" spans="2:21" ht="18.75" customHeight="1" thickBot="1" x14ac:dyDescent="0.3">
      <c r="B5" s="1"/>
      <c r="C5" s="117" t="s">
        <v>26</v>
      </c>
      <c r="D5" s="118"/>
      <c r="E5" s="118"/>
      <c r="F5" s="118"/>
      <c r="G5" s="119"/>
      <c r="H5" s="13"/>
      <c r="I5" s="36" t="s">
        <v>0</v>
      </c>
      <c r="J5" s="66">
        <v>0</v>
      </c>
      <c r="K5" s="68"/>
      <c r="L5" s="34">
        <f>J6*12</f>
        <v>1800</v>
      </c>
      <c r="M5" s="37"/>
      <c r="N5" s="13"/>
      <c r="O5" s="117" t="s">
        <v>25</v>
      </c>
      <c r="P5" s="118"/>
      <c r="Q5" s="118"/>
      <c r="R5" s="118"/>
      <c r="S5" s="118"/>
      <c r="T5" s="119"/>
      <c r="U5" s="2"/>
    </row>
    <row r="6" spans="2:21" ht="18.75" customHeight="1" thickBot="1" x14ac:dyDescent="0.3">
      <c r="B6" s="11"/>
      <c r="C6" s="120"/>
      <c r="D6" s="121"/>
      <c r="E6" s="121"/>
      <c r="F6" s="121"/>
      <c r="G6" s="122"/>
      <c r="H6" s="13"/>
      <c r="I6" s="36" t="s">
        <v>1</v>
      </c>
      <c r="J6" s="66">
        <v>150</v>
      </c>
      <c r="K6" s="68"/>
      <c r="L6" s="34">
        <f>1*L5/0.0902</f>
        <v>19955.654101995566</v>
      </c>
      <c r="M6" s="37"/>
      <c r="N6" s="13"/>
      <c r="O6" s="120"/>
      <c r="P6" s="121"/>
      <c r="Q6" s="121"/>
      <c r="R6" s="121"/>
      <c r="S6" s="121"/>
      <c r="T6" s="122"/>
      <c r="U6" s="2"/>
    </row>
    <row r="7" spans="2:21" ht="18.75" customHeight="1" thickBot="1" x14ac:dyDescent="0.3">
      <c r="B7" s="5"/>
      <c r="C7" s="120"/>
      <c r="D7" s="121"/>
      <c r="E7" s="121"/>
      <c r="F7" s="121"/>
      <c r="G7" s="122"/>
      <c r="H7" s="38"/>
      <c r="I7" s="36" t="s">
        <v>2</v>
      </c>
      <c r="J7" s="66">
        <v>0</v>
      </c>
      <c r="K7" s="68"/>
      <c r="L7" s="35">
        <f>L6/12</f>
        <v>1662.9711751662971</v>
      </c>
      <c r="M7" s="25"/>
      <c r="N7" s="13"/>
      <c r="O7" s="123"/>
      <c r="P7" s="124"/>
      <c r="Q7" s="124"/>
      <c r="R7" s="124"/>
      <c r="S7" s="124"/>
      <c r="T7" s="125"/>
      <c r="U7" s="2"/>
    </row>
    <row r="8" spans="2:21" ht="18.75" customHeight="1" thickBot="1" x14ac:dyDescent="0.3">
      <c r="B8" s="4"/>
      <c r="C8" s="123"/>
      <c r="D8" s="124"/>
      <c r="E8" s="124"/>
      <c r="F8" s="124"/>
      <c r="G8" s="125"/>
      <c r="H8" s="13"/>
      <c r="I8" s="13"/>
      <c r="J8" s="13"/>
      <c r="K8" s="13"/>
      <c r="L8" s="2"/>
      <c r="M8" s="25"/>
      <c r="N8" s="126"/>
      <c r="O8" s="16"/>
      <c r="P8" s="16"/>
      <c r="Q8" s="16"/>
      <c r="R8" s="16"/>
      <c r="S8" s="16"/>
      <c r="T8" s="16"/>
      <c r="U8" s="2"/>
    </row>
    <row r="9" spans="2:21" ht="18.75" customHeight="1" thickBot="1" x14ac:dyDescent="0.3">
      <c r="B9" s="1"/>
      <c r="C9" s="1"/>
      <c r="D9" s="13"/>
      <c r="E9" s="13"/>
      <c r="F9" s="13"/>
      <c r="G9" s="13"/>
      <c r="H9" s="13"/>
      <c r="I9" s="13"/>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3"/>
      <c r="I10" s="108" t="s">
        <v>13</v>
      </c>
      <c r="J10" s="104" t="str">
        <f>IF(J6&gt;113.2, "No, above $113.20/mo", "Yes, below $113.20/mo")</f>
        <v>No, above $113.20/mo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3"/>
      <c r="I11" s="70"/>
      <c r="J11" s="110"/>
      <c r="K11" s="111"/>
      <c r="L11" s="112"/>
      <c r="M11" s="28"/>
      <c r="N11" s="13"/>
      <c r="O11" s="63" t="s">
        <v>5</v>
      </c>
      <c r="P11" s="64"/>
      <c r="Q11" s="65"/>
      <c r="R11" s="63" t="s">
        <v>6</v>
      </c>
      <c r="S11" s="64"/>
      <c r="T11" s="65"/>
      <c r="U11" s="2"/>
    </row>
    <row r="12" spans="2:21" ht="18.75" customHeight="1" thickBot="1" x14ac:dyDescent="0.3">
      <c r="B12" s="11"/>
      <c r="C12" s="120"/>
      <c r="D12" s="121"/>
      <c r="E12" s="121"/>
      <c r="F12" s="121"/>
      <c r="G12" s="122"/>
      <c r="H12" s="13"/>
      <c r="I12" s="71"/>
      <c r="J12" s="106"/>
      <c r="K12" s="113"/>
      <c r="L12" s="107"/>
      <c r="M12" s="28"/>
      <c r="N12" s="13"/>
      <c r="O12" s="66">
        <v>12.79</v>
      </c>
      <c r="P12" s="67"/>
      <c r="Q12" s="68"/>
      <c r="R12" s="81">
        <f>O12*130*9.02%</f>
        <v>149.97554</v>
      </c>
      <c r="S12" s="82"/>
      <c r="T12" s="83"/>
      <c r="U12" s="2"/>
    </row>
    <row r="13" spans="2:21" ht="18.75" customHeight="1" thickBot="1" x14ac:dyDescent="0.3">
      <c r="B13" s="11"/>
      <c r="C13" s="120"/>
      <c r="D13" s="121"/>
      <c r="E13" s="121"/>
      <c r="F13" s="121"/>
      <c r="G13" s="122"/>
      <c r="H13" s="38"/>
      <c r="I13" s="13"/>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3"/>
      <c r="I14" s="69" t="s">
        <v>19</v>
      </c>
      <c r="J14" s="93" t="s">
        <v>15</v>
      </c>
      <c r="K14" s="95" t="s">
        <v>16</v>
      </c>
      <c r="L14" s="96"/>
      <c r="M14" s="29"/>
      <c r="N14" s="13"/>
      <c r="O14" s="63" t="s">
        <v>7</v>
      </c>
      <c r="P14" s="64"/>
      <c r="Q14" s="65"/>
      <c r="R14" s="99" t="s">
        <v>6</v>
      </c>
      <c r="S14" s="100"/>
      <c r="T14" s="101"/>
      <c r="U14" s="2"/>
    </row>
    <row r="15" spans="2:21" ht="18.75" customHeight="1" thickBot="1" x14ac:dyDescent="0.3">
      <c r="B15" s="11"/>
      <c r="C15" s="120"/>
      <c r="D15" s="121"/>
      <c r="E15" s="121"/>
      <c r="F15" s="121"/>
      <c r="G15" s="122"/>
      <c r="H15" s="13"/>
      <c r="I15" s="91"/>
      <c r="J15" s="94"/>
      <c r="K15" s="97"/>
      <c r="L15" s="98"/>
      <c r="M15" s="29"/>
      <c r="N15" s="13"/>
      <c r="O15" s="66">
        <v>2000</v>
      </c>
      <c r="P15" s="67"/>
      <c r="Q15" s="68"/>
      <c r="R15" s="81">
        <f>O15*9.02%</f>
        <v>180.4</v>
      </c>
      <c r="S15" s="82"/>
      <c r="T15" s="83"/>
      <c r="U15" s="2"/>
    </row>
    <row r="16" spans="2:21" ht="18.75" customHeight="1" thickBot="1" x14ac:dyDescent="0.3">
      <c r="B16" s="11"/>
      <c r="C16" s="120"/>
      <c r="D16" s="121"/>
      <c r="E16" s="121"/>
      <c r="F16" s="121"/>
      <c r="G16" s="122"/>
      <c r="H16" s="13"/>
      <c r="I16" s="91"/>
      <c r="J16" s="102">
        <v>12</v>
      </c>
      <c r="K16" s="104">
        <f>L7*J16</f>
        <v>19955.654101995566</v>
      </c>
      <c r="L16" s="105"/>
      <c r="M16" s="28"/>
      <c r="N16" s="13"/>
      <c r="O16" s="13"/>
      <c r="P16" s="13"/>
      <c r="Q16" s="13"/>
      <c r="R16" s="13"/>
      <c r="S16" s="13"/>
      <c r="T16" s="13"/>
      <c r="U16" s="2"/>
    </row>
    <row r="17" spans="2:21" ht="18.75" customHeight="1" thickBot="1" x14ac:dyDescent="0.3">
      <c r="B17" s="11"/>
      <c r="C17" s="120"/>
      <c r="D17" s="121"/>
      <c r="E17" s="121"/>
      <c r="F17" s="121"/>
      <c r="G17" s="122"/>
      <c r="H17" s="13"/>
      <c r="I17" s="92"/>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3"/>
      <c r="I18" s="13"/>
      <c r="J18" s="13"/>
      <c r="K18" s="13"/>
      <c r="L18" s="2"/>
      <c r="M18" s="25"/>
      <c r="N18" s="13"/>
      <c r="O18" s="63" t="s">
        <v>9</v>
      </c>
      <c r="P18" s="64"/>
      <c r="Q18" s="65"/>
      <c r="R18" s="66">
        <v>19955.650000000001</v>
      </c>
      <c r="S18" s="67"/>
      <c r="T18" s="68"/>
      <c r="U18" s="2"/>
    </row>
    <row r="19" spans="2:21" ht="18.75" customHeight="1" thickBot="1" x14ac:dyDescent="0.3">
      <c r="B19" s="6"/>
      <c r="C19" s="120"/>
      <c r="D19" s="121"/>
      <c r="E19" s="121"/>
      <c r="F19" s="121"/>
      <c r="G19" s="122"/>
      <c r="H19" s="13"/>
      <c r="I19" s="69" t="s">
        <v>18</v>
      </c>
      <c r="J19" s="72" t="s">
        <v>17</v>
      </c>
      <c r="K19" s="73"/>
      <c r="L19" s="74"/>
      <c r="M19" s="30"/>
      <c r="N19" s="13"/>
      <c r="O19" s="63" t="s">
        <v>10</v>
      </c>
      <c r="P19" s="64"/>
      <c r="Q19" s="65"/>
      <c r="R19" s="78">
        <v>12</v>
      </c>
      <c r="S19" s="79"/>
      <c r="T19" s="80"/>
      <c r="U19" s="2"/>
    </row>
    <row r="20" spans="2:21" ht="18.75" customHeight="1" thickBot="1" x14ac:dyDescent="0.3">
      <c r="B20" s="5"/>
      <c r="C20" s="120"/>
      <c r="D20" s="121"/>
      <c r="E20" s="121"/>
      <c r="F20" s="121"/>
      <c r="G20" s="122"/>
      <c r="H20" s="13"/>
      <c r="I20" s="70"/>
      <c r="J20" s="75"/>
      <c r="K20" s="76"/>
      <c r="L20" s="77"/>
      <c r="M20" s="30"/>
      <c r="N20" s="13"/>
      <c r="O20" s="63" t="s">
        <v>11</v>
      </c>
      <c r="P20" s="64"/>
      <c r="Q20" s="65"/>
      <c r="R20" s="81">
        <f>R18*(1/R19)*9.02%</f>
        <v>149.99996916666666</v>
      </c>
      <c r="S20" s="82"/>
      <c r="T20" s="83"/>
      <c r="U20" s="2"/>
    </row>
    <row r="21" spans="2:21" ht="18.75" customHeight="1" x14ac:dyDescent="0.25">
      <c r="B21" s="1"/>
      <c r="C21" s="120"/>
      <c r="D21" s="121"/>
      <c r="E21" s="121"/>
      <c r="F21" s="121"/>
      <c r="G21" s="122"/>
      <c r="H21" s="13"/>
      <c r="I21" s="70"/>
      <c r="J21" s="84">
        <f>L6/1560</f>
        <v>12.792085962817671</v>
      </c>
      <c r="K21" s="85"/>
      <c r="L21" s="86"/>
      <c r="M21" s="31"/>
      <c r="N21" s="13"/>
      <c r="O21" s="13"/>
      <c r="P21" s="13"/>
      <c r="Q21" s="13"/>
      <c r="R21" s="13"/>
      <c r="S21" s="13"/>
      <c r="T21" s="13"/>
      <c r="U21" s="2"/>
    </row>
    <row r="22" spans="2:21" ht="18.75" customHeight="1" thickBot="1" x14ac:dyDescent="0.3">
      <c r="B22" s="9"/>
      <c r="C22" s="123"/>
      <c r="D22" s="124"/>
      <c r="E22" s="124"/>
      <c r="F22" s="124"/>
      <c r="G22" s="125"/>
      <c r="H22" s="3"/>
      <c r="I22" s="71"/>
      <c r="J22" s="87"/>
      <c r="K22" s="88"/>
      <c r="L22" s="89"/>
      <c r="M22" s="31"/>
      <c r="N22" s="13"/>
      <c r="O22" s="13"/>
      <c r="P22" s="13"/>
      <c r="Q22" s="13"/>
      <c r="R22" s="13"/>
      <c r="S22" s="13"/>
      <c r="T22" s="13"/>
      <c r="U22" s="2"/>
    </row>
    <row r="23" spans="2:21" ht="18.75" customHeight="1" thickBot="1" x14ac:dyDescent="0.3">
      <c r="B23" s="1"/>
      <c r="C23" s="13"/>
      <c r="D23" s="13"/>
      <c r="E23" s="13"/>
      <c r="F23" s="13"/>
      <c r="G23" s="13"/>
      <c r="H23" s="13"/>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3"/>
      <c r="I27" s="3"/>
      <c r="J27" s="3"/>
      <c r="K27" s="3"/>
      <c r="L27" s="3"/>
      <c r="M27" s="8"/>
      <c r="N27" s="3"/>
      <c r="O27" s="3"/>
      <c r="P27" s="3"/>
      <c r="Q27" s="3"/>
      <c r="R27" s="3"/>
      <c r="S27" s="3"/>
      <c r="T27" s="3"/>
      <c r="U27" s="8"/>
    </row>
    <row r="28" spans="2:21" ht="18.75" customHeight="1" x14ac:dyDescent="0.25">
      <c r="C28" s="14"/>
    </row>
    <row r="29" spans="2:21" ht="18.75" customHeight="1" x14ac:dyDescent="0.25">
      <c r="G29" s="39"/>
    </row>
    <row r="30" spans="2:21" ht="18.75" customHeight="1" x14ac:dyDescent="0.25">
      <c r="G30" s="40"/>
    </row>
    <row r="31" spans="2:21" ht="18.75" customHeight="1" x14ac:dyDescent="0.25">
      <c r="G31" s="39"/>
    </row>
  </sheetData>
  <sheetProtection algorithmName="SHA-512" hashValue="8cRth/MMcUl93Acm/v5dDgwc80B4ay4mObtcdT34njYkyOq7239qBoxfxY9ylfQVIJSL7zuiKGitsaePsC0BDA==" saltValue="zHgH7D+P92oDylqjEap9Bw=="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8"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28CEE-5730-4CDF-AD35-1C795946360B}">
  <dimension ref="B1:U31"/>
  <sheetViews>
    <sheetView showGridLines="0" workbookViewId="0">
      <selection activeCell="R19" sqref="R19:T19"/>
    </sheetView>
  </sheetViews>
  <sheetFormatPr defaultRowHeight="18.75" customHeight="1" x14ac:dyDescent="0.25"/>
  <cols>
    <col min="2" max="2" width="7.5703125" customWidth="1"/>
    <col min="4" max="4" width="30.42578125" customWidth="1"/>
    <col min="5" max="5" width="7.5703125" customWidth="1"/>
    <col min="6" max="6" width="19.140625" customWidth="1"/>
    <col min="7" max="7" width="11.5703125" customWidth="1"/>
    <col min="8" max="8" width="4.85546875"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30</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10"/>
      <c r="E3" s="10"/>
      <c r="F3" s="10"/>
      <c r="G3" s="10"/>
      <c r="H3" s="10"/>
      <c r="I3" s="10"/>
      <c r="J3" s="10"/>
      <c r="K3" s="10"/>
      <c r="L3" s="10"/>
      <c r="M3" s="12"/>
      <c r="N3" s="10"/>
      <c r="O3" s="10"/>
      <c r="P3" s="10"/>
      <c r="Q3" s="10"/>
      <c r="R3" s="10"/>
      <c r="S3" s="10"/>
      <c r="T3" s="10"/>
      <c r="U3" s="12"/>
    </row>
    <row r="4" spans="2:21" ht="18.75" customHeight="1" thickBot="1" x14ac:dyDescent="0.3">
      <c r="B4" s="1"/>
      <c r="C4" s="63" t="s">
        <v>3</v>
      </c>
      <c r="D4" s="64"/>
      <c r="E4" s="64"/>
      <c r="F4" s="64"/>
      <c r="G4" s="65"/>
      <c r="H4" s="10"/>
      <c r="I4" s="10"/>
      <c r="J4" s="10"/>
      <c r="K4" s="10"/>
      <c r="L4" s="12"/>
      <c r="M4" s="25"/>
      <c r="N4" s="13"/>
      <c r="O4" s="13"/>
      <c r="P4" s="13"/>
      <c r="Q4" s="13"/>
      <c r="R4" s="13"/>
      <c r="S4" s="13"/>
      <c r="T4" s="13"/>
      <c r="U4" s="2"/>
    </row>
    <row r="5" spans="2:21" ht="18.75" customHeight="1" thickBot="1" x14ac:dyDescent="0.3">
      <c r="B5" s="1"/>
      <c r="C5" s="117" t="s">
        <v>26</v>
      </c>
      <c r="D5" s="118"/>
      <c r="E5" s="118"/>
      <c r="F5" s="118"/>
      <c r="G5" s="119"/>
      <c r="H5" s="13"/>
      <c r="I5" s="36" t="s">
        <v>0</v>
      </c>
      <c r="J5" s="66">
        <v>0</v>
      </c>
      <c r="K5" s="68"/>
      <c r="L5" s="34">
        <f>J6*12</f>
        <v>1800</v>
      </c>
      <c r="M5" s="37"/>
      <c r="N5" s="13"/>
      <c r="O5" s="117" t="s">
        <v>25</v>
      </c>
      <c r="P5" s="118"/>
      <c r="Q5" s="118"/>
      <c r="R5" s="118"/>
      <c r="S5" s="118"/>
      <c r="T5" s="119"/>
      <c r="U5" s="2"/>
    </row>
    <row r="6" spans="2:21" ht="18.75" customHeight="1" thickBot="1" x14ac:dyDescent="0.3">
      <c r="B6" s="11"/>
      <c r="C6" s="120"/>
      <c r="D6" s="121"/>
      <c r="E6" s="121"/>
      <c r="F6" s="121"/>
      <c r="G6" s="122"/>
      <c r="H6" s="13"/>
      <c r="I6" s="36" t="s">
        <v>1</v>
      </c>
      <c r="J6" s="66">
        <v>150</v>
      </c>
      <c r="K6" s="68"/>
      <c r="L6" s="34">
        <f>1*L5/0.0839</f>
        <v>21454.112038140644</v>
      </c>
      <c r="M6" s="37"/>
      <c r="N6" s="13"/>
      <c r="O6" s="120"/>
      <c r="P6" s="121"/>
      <c r="Q6" s="121"/>
      <c r="R6" s="121"/>
      <c r="S6" s="121"/>
      <c r="T6" s="122"/>
      <c r="U6" s="2"/>
    </row>
    <row r="7" spans="2:21" ht="18.75" customHeight="1" thickBot="1" x14ac:dyDescent="0.3">
      <c r="B7" s="5"/>
      <c r="C7" s="120"/>
      <c r="D7" s="121"/>
      <c r="E7" s="121"/>
      <c r="F7" s="121"/>
      <c r="G7" s="122"/>
      <c r="H7" s="38"/>
      <c r="I7" s="36" t="s">
        <v>2</v>
      </c>
      <c r="J7" s="66">
        <v>0</v>
      </c>
      <c r="K7" s="68"/>
      <c r="L7" s="35">
        <f>L6/12</f>
        <v>1787.8426698450537</v>
      </c>
      <c r="M7" s="25"/>
      <c r="N7" s="13"/>
      <c r="O7" s="123"/>
      <c r="P7" s="124"/>
      <c r="Q7" s="124"/>
      <c r="R7" s="124"/>
      <c r="S7" s="124"/>
      <c r="T7" s="125"/>
      <c r="U7" s="2"/>
    </row>
    <row r="8" spans="2:21" ht="18.75" customHeight="1" thickBot="1" x14ac:dyDescent="0.3">
      <c r="B8" s="4"/>
      <c r="C8" s="123"/>
      <c r="D8" s="124"/>
      <c r="E8" s="124"/>
      <c r="F8" s="124"/>
      <c r="G8" s="125"/>
      <c r="H8" s="13"/>
      <c r="I8" s="13"/>
      <c r="J8" s="13"/>
      <c r="K8" s="13"/>
      <c r="L8" s="2"/>
      <c r="M8" s="25"/>
      <c r="N8" s="126"/>
      <c r="O8" s="16"/>
      <c r="P8" s="16"/>
      <c r="Q8" s="16"/>
      <c r="R8" s="16"/>
      <c r="S8" s="16"/>
      <c r="T8" s="16"/>
      <c r="U8" s="2"/>
    </row>
    <row r="9" spans="2:21" ht="18.75" customHeight="1" thickBot="1" x14ac:dyDescent="0.3">
      <c r="B9" s="1"/>
      <c r="C9" s="1"/>
      <c r="D9" s="13"/>
      <c r="E9" s="13"/>
      <c r="F9" s="13"/>
      <c r="G9" s="13"/>
      <c r="H9" s="13"/>
      <c r="I9" s="13"/>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3"/>
      <c r="I10" s="108" t="s">
        <v>13</v>
      </c>
      <c r="J10" s="104" t="str">
        <f>IF(J6&gt;101.94, "No, above $101.94/mo", "Yes, below $101.94/mo")</f>
        <v>No, above $101.94/mo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3"/>
      <c r="I11" s="70"/>
      <c r="J11" s="110"/>
      <c r="K11" s="111"/>
      <c r="L11" s="112"/>
      <c r="M11" s="28"/>
      <c r="N11" s="13"/>
      <c r="O11" s="63" t="s">
        <v>5</v>
      </c>
      <c r="P11" s="64"/>
      <c r="Q11" s="65"/>
      <c r="R11" s="63" t="s">
        <v>6</v>
      </c>
      <c r="S11" s="64"/>
      <c r="T11" s="65"/>
      <c r="U11" s="2"/>
    </row>
    <row r="12" spans="2:21" ht="18.75" customHeight="1" thickBot="1" x14ac:dyDescent="0.3">
      <c r="B12" s="11"/>
      <c r="C12" s="120"/>
      <c r="D12" s="121"/>
      <c r="E12" s="121"/>
      <c r="F12" s="121"/>
      <c r="G12" s="122"/>
      <c r="H12" s="13"/>
      <c r="I12" s="71"/>
      <c r="J12" s="106"/>
      <c r="K12" s="113"/>
      <c r="L12" s="107"/>
      <c r="M12" s="28"/>
      <c r="N12" s="13"/>
      <c r="O12" s="66">
        <v>0</v>
      </c>
      <c r="P12" s="67"/>
      <c r="Q12" s="68"/>
      <c r="R12" s="81">
        <f>O12*130*8.39%</f>
        <v>0</v>
      </c>
      <c r="S12" s="82"/>
      <c r="T12" s="83"/>
      <c r="U12" s="2"/>
    </row>
    <row r="13" spans="2:21" ht="18.75" customHeight="1" thickBot="1" x14ac:dyDescent="0.3">
      <c r="B13" s="11"/>
      <c r="C13" s="120"/>
      <c r="D13" s="121"/>
      <c r="E13" s="121"/>
      <c r="F13" s="121"/>
      <c r="G13" s="122"/>
      <c r="H13" s="38"/>
      <c r="I13" s="13"/>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3"/>
      <c r="I14" s="69" t="s">
        <v>19</v>
      </c>
      <c r="J14" s="93" t="s">
        <v>15</v>
      </c>
      <c r="K14" s="95" t="s">
        <v>16</v>
      </c>
      <c r="L14" s="96"/>
      <c r="M14" s="29"/>
      <c r="N14" s="13"/>
      <c r="O14" s="63" t="s">
        <v>7</v>
      </c>
      <c r="P14" s="64"/>
      <c r="Q14" s="65"/>
      <c r="R14" s="99" t="s">
        <v>6</v>
      </c>
      <c r="S14" s="100"/>
      <c r="T14" s="101"/>
      <c r="U14" s="2"/>
    </row>
    <row r="15" spans="2:21" ht="18.75" customHeight="1" thickBot="1" x14ac:dyDescent="0.3">
      <c r="B15" s="11"/>
      <c r="C15" s="120"/>
      <c r="D15" s="121"/>
      <c r="E15" s="121"/>
      <c r="F15" s="121"/>
      <c r="G15" s="122"/>
      <c r="H15" s="13"/>
      <c r="I15" s="91"/>
      <c r="J15" s="94"/>
      <c r="K15" s="97"/>
      <c r="L15" s="98"/>
      <c r="M15" s="29"/>
      <c r="N15" s="13"/>
      <c r="O15" s="66">
        <v>0</v>
      </c>
      <c r="P15" s="67"/>
      <c r="Q15" s="68"/>
      <c r="R15" s="81">
        <f>O15*8.39%</f>
        <v>0</v>
      </c>
      <c r="S15" s="82"/>
      <c r="T15" s="83"/>
      <c r="U15" s="2"/>
    </row>
    <row r="16" spans="2:21" ht="18.75" customHeight="1" thickBot="1" x14ac:dyDescent="0.3">
      <c r="B16" s="11"/>
      <c r="C16" s="120"/>
      <c r="D16" s="121"/>
      <c r="E16" s="121"/>
      <c r="F16" s="121"/>
      <c r="G16" s="122"/>
      <c r="H16" s="13"/>
      <c r="I16" s="91"/>
      <c r="J16" s="102">
        <v>12</v>
      </c>
      <c r="K16" s="104">
        <f>L7*J16</f>
        <v>21454.112038140644</v>
      </c>
      <c r="L16" s="105"/>
      <c r="M16" s="28"/>
      <c r="N16" s="13"/>
      <c r="O16" s="13"/>
      <c r="P16" s="13"/>
      <c r="Q16" s="13"/>
      <c r="R16" s="13"/>
      <c r="S16" s="13"/>
      <c r="T16" s="13"/>
      <c r="U16" s="2"/>
    </row>
    <row r="17" spans="2:21" ht="18.75" customHeight="1" thickBot="1" x14ac:dyDescent="0.3">
      <c r="B17" s="11"/>
      <c r="C17" s="120"/>
      <c r="D17" s="121"/>
      <c r="E17" s="121"/>
      <c r="F17" s="121"/>
      <c r="G17" s="122"/>
      <c r="H17" s="13"/>
      <c r="I17" s="92"/>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3"/>
      <c r="I18" s="13"/>
      <c r="J18" s="13"/>
      <c r="K18" s="13"/>
      <c r="L18" s="2"/>
      <c r="M18" s="25"/>
      <c r="N18" s="13"/>
      <c r="O18" s="63" t="s">
        <v>9</v>
      </c>
      <c r="P18" s="64"/>
      <c r="Q18" s="65"/>
      <c r="R18" s="66">
        <v>0</v>
      </c>
      <c r="S18" s="67"/>
      <c r="T18" s="68"/>
      <c r="U18" s="2"/>
    </row>
    <row r="19" spans="2:21" ht="18.75" customHeight="1" thickBot="1" x14ac:dyDescent="0.3">
      <c r="B19" s="6"/>
      <c r="C19" s="120"/>
      <c r="D19" s="121"/>
      <c r="E19" s="121"/>
      <c r="F19" s="121"/>
      <c r="G19" s="122"/>
      <c r="H19" s="13"/>
      <c r="I19" s="69" t="s">
        <v>18</v>
      </c>
      <c r="J19" s="72" t="s">
        <v>17</v>
      </c>
      <c r="K19" s="73"/>
      <c r="L19" s="74"/>
      <c r="M19" s="30"/>
      <c r="N19" s="13"/>
      <c r="O19" s="63" t="s">
        <v>10</v>
      </c>
      <c r="P19" s="64"/>
      <c r="Q19" s="65"/>
      <c r="R19" s="78">
        <v>12</v>
      </c>
      <c r="S19" s="79"/>
      <c r="T19" s="80"/>
      <c r="U19" s="2"/>
    </row>
    <row r="20" spans="2:21" ht="18.75" customHeight="1" thickBot="1" x14ac:dyDescent="0.3">
      <c r="B20" s="5"/>
      <c r="C20" s="120"/>
      <c r="D20" s="121"/>
      <c r="E20" s="121"/>
      <c r="F20" s="121"/>
      <c r="G20" s="122"/>
      <c r="H20" s="13"/>
      <c r="I20" s="70"/>
      <c r="J20" s="75"/>
      <c r="K20" s="76"/>
      <c r="L20" s="77"/>
      <c r="M20" s="30"/>
      <c r="N20" s="13"/>
      <c r="O20" s="63" t="s">
        <v>11</v>
      </c>
      <c r="P20" s="64"/>
      <c r="Q20" s="65"/>
      <c r="R20" s="81">
        <f>R18*(1/R19)*8.39%</f>
        <v>0</v>
      </c>
      <c r="S20" s="82"/>
      <c r="T20" s="83"/>
      <c r="U20" s="2"/>
    </row>
    <row r="21" spans="2:21" ht="18.75" customHeight="1" x14ac:dyDescent="0.25">
      <c r="B21" s="1"/>
      <c r="C21" s="120"/>
      <c r="D21" s="121"/>
      <c r="E21" s="121"/>
      <c r="F21" s="121"/>
      <c r="G21" s="122"/>
      <c r="H21" s="13"/>
      <c r="I21" s="70"/>
      <c r="J21" s="84">
        <f>L6/1559</f>
        <v>13.761457368916384</v>
      </c>
      <c r="K21" s="85"/>
      <c r="L21" s="86"/>
      <c r="M21" s="31"/>
      <c r="N21" s="13"/>
      <c r="O21" s="13"/>
      <c r="P21" s="13"/>
      <c r="Q21" s="13"/>
      <c r="R21" s="13"/>
      <c r="S21" s="13"/>
      <c r="T21" s="13"/>
      <c r="U21" s="2"/>
    </row>
    <row r="22" spans="2:21" ht="18.75" customHeight="1" thickBot="1" x14ac:dyDescent="0.3">
      <c r="B22" s="9"/>
      <c r="C22" s="123"/>
      <c r="D22" s="124"/>
      <c r="E22" s="124"/>
      <c r="F22" s="124"/>
      <c r="G22" s="125"/>
      <c r="H22" s="3"/>
      <c r="I22" s="71"/>
      <c r="J22" s="87"/>
      <c r="K22" s="88"/>
      <c r="L22" s="89"/>
      <c r="M22" s="31"/>
      <c r="N22" s="13"/>
      <c r="O22" s="13"/>
      <c r="P22" s="13"/>
      <c r="Q22" s="13"/>
      <c r="R22" s="13"/>
      <c r="S22" s="13"/>
      <c r="T22" s="13"/>
      <c r="U22" s="2"/>
    </row>
    <row r="23" spans="2:21" ht="18.75" customHeight="1" thickBot="1" x14ac:dyDescent="0.3">
      <c r="B23" s="1"/>
      <c r="C23" s="13"/>
      <c r="D23" s="13"/>
      <c r="E23" s="13"/>
      <c r="F23" s="13"/>
      <c r="G23" s="13"/>
      <c r="H23" s="13"/>
      <c r="I23" s="15"/>
      <c r="J23" s="15"/>
      <c r="K23" s="15"/>
      <c r="L23" s="15"/>
      <c r="M23" s="32"/>
      <c r="N23" s="15"/>
      <c r="O23" s="13"/>
      <c r="P23" s="13"/>
      <c r="Q23" s="13"/>
      <c r="R23" s="13"/>
      <c r="S23" s="13"/>
      <c r="T23" s="13"/>
      <c r="U23" s="2"/>
    </row>
    <row r="24" spans="2:21" ht="18.75" customHeight="1" x14ac:dyDescent="0.25">
      <c r="B24" s="1"/>
      <c r="C24" s="51" t="s">
        <v>27</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28</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29</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3"/>
      <c r="I27" s="3"/>
      <c r="J27" s="3"/>
      <c r="K27" s="3"/>
      <c r="L27" s="3"/>
      <c r="M27" s="8"/>
      <c r="N27" s="3"/>
      <c r="O27" s="3"/>
      <c r="P27" s="3"/>
      <c r="Q27" s="3"/>
      <c r="R27" s="3"/>
      <c r="S27" s="3"/>
      <c r="T27" s="3"/>
      <c r="U27" s="8"/>
    </row>
    <row r="28" spans="2:21" ht="18.75" customHeight="1" x14ac:dyDescent="0.25">
      <c r="C28" s="14"/>
    </row>
    <row r="29" spans="2:21" ht="18.75" customHeight="1" x14ac:dyDescent="0.25">
      <c r="G29" s="39"/>
    </row>
    <row r="30" spans="2:21" ht="18.75" customHeight="1" x14ac:dyDescent="0.25">
      <c r="G30" s="40"/>
    </row>
    <row r="31" spans="2:21" ht="18.75" customHeight="1" x14ac:dyDescent="0.25">
      <c r="G31" s="39"/>
    </row>
  </sheetData>
  <sheetProtection algorithmName="SHA-512" hashValue="Ff/4gOdYK850XDFy6sONuloCiIm2Tqrn7PAidA3dSGmtyPhXhMLy8epIEz1bg/MuPcETzjJIy8BSm5cuolpbPQ==" saltValue="jWrllZzYOO2wzUWuqECa1Q=="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7"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AC56A-FF01-40A9-B79B-70994BE11970}">
  <dimension ref="B1:U31"/>
  <sheetViews>
    <sheetView showGridLines="0" zoomScaleNormal="10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12</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63" t="s">
        <v>3</v>
      </c>
      <c r="D4" s="64"/>
      <c r="E4" s="64"/>
      <c r="F4" s="64"/>
      <c r="G4" s="65"/>
      <c r="H4" s="23"/>
      <c r="I4" s="23"/>
      <c r="J4" s="10"/>
      <c r="K4" s="10"/>
      <c r="L4" s="12"/>
      <c r="M4" s="25"/>
      <c r="N4" s="13"/>
      <c r="O4" s="13"/>
      <c r="P4" s="13"/>
      <c r="Q4" s="13"/>
      <c r="R4" s="13"/>
      <c r="S4" s="13"/>
      <c r="T4" s="13"/>
      <c r="U4" s="2"/>
    </row>
    <row r="5" spans="2:21" ht="18.75" customHeight="1" thickBot="1" x14ac:dyDescent="0.3">
      <c r="B5" s="1"/>
      <c r="C5" s="117" t="s">
        <v>26</v>
      </c>
      <c r="D5" s="118"/>
      <c r="E5" s="118"/>
      <c r="F5" s="118"/>
      <c r="G5" s="119"/>
      <c r="H5" s="18"/>
      <c r="I5" s="20" t="s">
        <v>0</v>
      </c>
      <c r="J5" s="66">
        <v>0</v>
      </c>
      <c r="K5" s="68"/>
      <c r="L5" s="34">
        <f>J6*12</f>
        <v>1800</v>
      </c>
      <c r="M5" s="26"/>
      <c r="N5" s="13"/>
      <c r="O5" s="117" t="s">
        <v>25</v>
      </c>
      <c r="P5" s="118"/>
      <c r="Q5" s="118"/>
      <c r="R5" s="118"/>
      <c r="S5" s="118"/>
      <c r="T5" s="119"/>
      <c r="U5" s="2"/>
    </row>
    <row r="6" spans="2:21" ht="18.75" customHeight="1" thickBot="1" x14ac:dyDescent="0.3">
      <c r="B6" s="11"/>
      <c r="C6" s="120"/>
      <c r="D6" s="121"/>
      <c r="E6" s="121"/>
      <c r="F6" s="121"/>
      <c r="G6" s="122"/>
      <c r="H6" s="18"/>
      <c r="I6" s="20" t="s">
        <v>1</v>
      </c>
      <c r="J6" s="66">
        <v>150</v>
      </c>
      <c r="K6" s="68"/>
      <c r="L6" s="34">
        <f>1*L5/0.0912</f>
        <v>19736.842105263157</v>
      </c>
      <c r="M6" s="26"/>
      <c r="N6" s="13"/>
      <c r="O6" s="120"/>
      <c r="P6" s="121"/>
      <c r="Q6" s="121"/>
      <c r="R6" s="121"/>
      <c r="S6" s="121"/>
      <c r="T6" s="122"/>
      <c r="U6" s="2"/>
    </row>
    <row r="7" spans="2:21" ht="18.75" customHeight="1" thickBot="1" x14ac:dyDescent="0.3">
      <c r="B7" s="5"/>
      <c r="C7" s="120"/>
      <c r="D7" s="121"/>
      <c r="E7" s="121"/>
      <c r="F7" s="121"/>
      <c r="G7" s="122"/>
      <c r="H7" s="19"/>
      <c r="I7" s="20" t="s">
        <v>2</v>
      </c>
      <c r="J7" s="66">
        <v>0</v>
      </c>
      <c r="K7" s="68"/>
      <c r="L7" s="35">
        <f>L6/12</f>
        <v>1644.7368421052631</v>
      </c>
      <c r="M7" s="27"/>
      <c r="N7" s="13"/>
      <c r="O7" s="123"/>
      <c r="P7" s="124"/>
      <c r="Q7" s="124"/>
      <c r="R7" s="124"/>
      <c r="S7" s="124"/>
      <c r="T7" s="125"/>
      <c r="U7" s="2"/>
    </row>
    <row r="8" spans="2:21" ht="18.75" customHeight="1" thickBot="1" x14ac:dyDescent="0.3">
      <c r="B8" s="4"/>
      <c r="C8" s="123"/>
      <c r="D8" s="124"/>
      <c r="E8" s="124"/>
      <c r="F8" s="124"/>
      <c r="G8" s="125"/>
      <c r="H8" s="18"/>
      <c r="I8" s="18"/>
      <c r="J8" s="13"/>
      <c r="K8" s="13"/>
      <c r="L8" s="2"/>
      <c r="M8" s="25"/>
      <c r="N8" s="126"/>
      <c r="O8" s="16"/>
      <c r="P8" s="16"/>
      <c r="Q8" s="16"/>
      <c r="R8" s="16"/>
      <c r="S8" s="16"/>
      <c r="T8" s="16"/>
      <c r="U8" s="2"/>
    </row>
    <row r="9" spans="2:21" ht="18.75" customHeight="1" thickBot="1" x14ac:dyDescent="0.3">
      <c r="B9" s="1"/>
      <c r="C9" s="1"/>
      <c r="D9" s="18"/>
      <c r="E9" s="18"/>
      <c r="F9" s="18"/>
      <c r="G9" s="18"/>
      <c r="H9" s="18"/>
      <c r="I9" s="18"/>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04" t="str">
        <f>IF(J6&gt;103.28, "No, above $103.28/mo", "Yes, below $103.28/mo")</f>
        <v>No, above $103.28/mo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8"/>
      <c r="I11" s="70"/>
      <c r="J11" s="110"/>
      <c r="K11" s="111"/>
      <c r="L11" s="112"/>
      <c r="M11" s="28"/>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06"/>
      <c r="K12" s="113"/>
      <c r="L12" s="107"/>
      <c r="M12" s="28"/>
      <c r="N12" s="13"/>
      <c r="O12" s="66">
        <v>0</v>
      </c>
      <c r="P12" s="67"/>
      <c r="Q12" s="68"/>
      <c r="R12" s="130">
        <f>O12*130*9.12%</f>
        <v>0</v>
      </c>
      <c r="S12" s="131"/>
      <c r="T12" s="132"/>
      <c r="U12" s="2"/>
    </row>
    <row r="13" spans="2:21" ht="18.75" customHeight="1" thickBot="1" x14ac:dyDescent="0.3">
      <c r="B13" s="11"/>
      <c r="C13" s="120"/>
      <c r="D13" s="121"/>
      <c r="E13" s="121"/>
      <c r="F13" s="121"/>
      <c r="G13" s="122"/>
      <c r="H13" s="19"/>
      <c r="I13" s="18"/>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8"/>
      <c r="I14" s="142" t="s">
        <v>19</v>
      </c>
      <c r="J14" s="93" t="s">
        <v>15</v>
      </c>
      <c r="K14" s="95" t="s">
        <v>16</v>
      </c>
      <c r="L14" s="96"/>
      <c r="M14" s="29"/>
      <c r="N14" s="13"/>
      <c r="O14" s="63" t="s">
        <v>7</v>
      </c>
      <c r="P14" s="64"/>
      <c r="Q14" s="65"/>
      <c r="R14" s="139" t="s">
        <v>6</v>
      </c>
      <c r="S14" s="140"/>
      <c r="T14" s="141"/>
      <c r="U14" s="2"/>
    </row>
    <row r="15" spans="2:21" ht="18.75" customHeight="1" thickBot="1" x14ac:dyDescent="0.3">
      <c r="B15" s="11"/>
      <c r="C15" s="120"/>
      <c r="D15" s="121"/>
      <c r="E15" s="121"/>
      <c r="F15" s="121"/>
      <c r="G15" s="122"/>
      <c r="H15" s="18"/>
      <c r="I15" s="145"/>
      <c r="J15" s="94"/>
      <c r="K15" s="97"/>
      <c r="L15" s="98"/>
      <c r="M15" s="29"/>
      <c r="N15" s="13"/>
      <c r="O15" s="66">
        <v>0</v>
      </c>
      <c r="P15" s="67"/>
      <c r="Q15" s="68"/>
      <c r="R15" s="130">
        <f>O15*9.12%</f>
        <v>0</v>
      </c>
      <c r="S15" s="131"/>
      <c r="T15" s="132"/>
      <c r="U15" s="2"/>
    </row>
    <row r="16" spans="2:21" ht="18.75" customHeight="1" thickBot="1" x14ac:dyDescent="0.3">
      <c r="B16" s="11"/>
      <c r="C16" s="120"/>
      <c r="D16" s="121"/>
      <c r="E16" s="121"/>
      <c r="F16" s="121"/>
      <c r="G16" s="122"/>
      <c r="H16" s="18"/>
      <c r="I16" s="145"/>
      <c r="J16" s="102">
        <v>12</v>
      </c>
      <c r="K16" s="104">
        <f>L7*J16</f>
        <v>19736.842105263157</v>
      </c>
      <c r="L16" s="105"/>
      <c r="M16" s="28"/>
      <c r="N16" s="13"/>
      <c r="O16" s="13"/>
      <c r="P16" s="18"/>
      <c r="Q16" s="18"/>
      <c r="R16" s="18"/>
      <c r="S16" s="13"/>
      <c r="T16" s="13"/>
      <c r="U16" s="2"/>
    </row>
    <row r="17" spans="2:21" ht="18.75" customHeight="1" thickBot="1" x14ac:dyDescent="0.3">
      <c r="B17" s="11"/>
      <c r="C17" s="120"/>
      <c r="D17" s="121"/>
      <c r="E17" s="121"/>
      <c r="F17" s="121"/>
      <c r="G17" s="122"/>
      <c r="H17" s="18"/>
      <c r="I17" s="146"/>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8"/>
      <c r="I18" s="18"/>
      <c r="J18" s="13"/>
      <c r="K18" s="13"/>
      <c r="L18" s="2"/>
      <c r="M18" s="25"/>
      <c r="N18" s="13"/>
      <c r="O18" s="63" t="s">
        <v>9</v>
      </c>
      <c r="P18" s="64"/>
      <c r="Q18" s="65"/>
      <c r="R18" s="133">
        <v>0</v>
      </c>
      <c r="S18" s="134"/>
      <c r="T18" s="135"/>
      <c r="U18" s="2"/>
    </row>
    <row r="19" spans="2:21" ht="18.75" customHeight="1" thickBot="1" x14ac:dyDescent="0.3">
      <c r="B19" s="6"/>
      <c r="C19" s="120"/>
      <c r="D19" s="121"/>
      <c r="E19" s="121"/>
      <c r="F19" s="121"/>
      <c r="G19" s="122"/>
      <c r="H19" s="18"/>
      <c r="I19" s="142" t="s">
        <v>18</v>
      </c>
      <c r="J19" s="72" t="s">
        <v>17</v>
      </c>
      <c r="K19" s="73"/>
      <c r="L19" s="74"/>
      <c r="M19" s="30"/>
      <c r="N19" s="13"/>
      <c r="O19" s="63" t="s">
        <v>10</v>
      </c>
      <c r="P19" s="64"/>
      <c r="Q19" s="65"/>
      <c r="R19" s="136">
        <v>12</v>
      </c>
      <c r="S19" s="137"/>
      <c r="T19" s="138"/>
      <c r="U19" s="2"/>
    </row>
    <row r="20" spans="2:21" ht="18.75" customHeight="1" thickBot="1" x14ac:dyDescent="0.3">
      <c r="B20" s="5"/>
      <c r="C20" s="120"/>
      <c r="D20" s="121"/>
      <c r="E20" s="121"/>
      <c r="F20" s="121"/>
      <c r="G20" s="122"/>
      <c r="H20" s="18"/>
      <c r="I20" s="143"/>
      <c r="J20" s="75"/>
      <c r="K20" s="76"/>
      <c r="L20" s="77"/>
      <c r="M20" s="30"/>
      <c r="N20" s="13"/>
      <c r="O20" s="63" t="s">
        <v>11</v>
      </c>
      <c r="P20" s="64"/>
      <c r="Q20" s="65"/>
      <c r="R20" s="130">
        <f>R18*(1/R19)*9.12%</f>
        <v>0</v>
      </c>
      <c r="S20" s="131"/>
      <c r="T20" s="132"/>
      <c r="U20" s="2"/>
    </row>
    <row r="21" spans="2:21" ht="18.75" customHeight="1" x14ac:dyDescent="0.25">
      <c r="B21" s="1"/>
      <c r="C21" s="120"/>
      <c r="D21" s="121"/>
      <c r="E21" s="121"/>
      <c r="F21" s="121"/>
      <c r="G21" s="122"/>
      <c r="H21" s="18"/>
      <c r="I21" s="143"/>
      <c r="J21" s="84">
        <f>L6/1559</f>
        <v>12.659937206711454</v>
      </c>
      <c r="K21" s="85"/>
      <c r="L21" s="86"/>
      <c r="M21" s="31"/>
      <c r="N21" s="13"/>
      <c r="O21" s="13"/>
      <c r="P21" s="18"/>
      <c r="Q21" s="18"/>
      <c r="R21" s="18"/>
      <c r="S21" s="13"/>
      <c r="T21" s="13"/>
      <c r="U21" s="2"/>
    </row>
    <row r="22" spans="2:21" ht="18.75" customHeight="1" thickBot="1" x14ac:dyDescent="0.3">
      <c r="B22" s="9"/>
      <c r="C22" s="123"/>
      <c r="D22" s="124"/>
      <c r="E22" s="124"/>
      <c r="F22" s="124"/>
      <c r="G22" s="125"/>
      <c r="H22" s="24"/>
      <c r="I22" s="144"/>
      <c r="J22" s="87"/>
      <c r="K22" s="88"/>
      <c r="L22" s="89"/>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1jFwsdjWLl1yfYDYjl6XR5tLmUKYt2adCJCiw6EpGskinLXrhAdGfCqDiHhtLuw5tUNai+uMMLAGgHJspCdoBw==" saltValue="iVLOIK6/ZUM5wyNqJWoQyg==" spinCount="100000" sheet="1" objects="1" scenarios="1" selectLockedCells="1"/>
  <mergeCells count="40">
    <mergeCell ref="N8:N10"/>
    <mergeCell ref="J21:L22"/>
    <mergeCell ref="I19:I22"/>
    <mergeCell ref="I14:I17"/>
    <mergeCell ref="J16:J17"/>
    <mergeCell ref="K16:L17"/>
    <mergeCell ref="J14:J15"/>
    <mergeCell ref="J5:K5"/>
    <mergeCell ref="J6:K6"/>
    <mergeCell ref="J7:K7"/>
    <mergeCell ref="I10:I12"/>
    <mergeCell ref="J10:L12"/>
    <mergeCell ref="O20:Q20"/>
    <mergeCell ref="R18:T18"/>
    <mergeCell ref="R19:T19"/>
    <mergeCell ref="R20:T20"/>
    <mergeCell ref="K14:L15"/>
    <mergeCell ref="O15:Q15"/>
    <mergeCell ref="O17:T17"/>
    <mergeCell ref="J19:L20"/>
    <mergeCell ref="R14:T14"/>
    <mergeCell ref="R15:T15"/>
    <mergeCell ref="O18:Q18"/>
    <mergeCell ref="O19:Q19"/>
    <mergeCell ref="C26:L26"/>
    <mergeCell ref="B2:U2"/>
    <mergeCell ref="C24:L24"/>
    <mergeCell ref="C25:L25"/>
    <mergeCell ref="C4:G4"/>
    <mergeCell ref="C10:G22"/>
    <mergeCell ref="O9:T9"/>
    <mergeCell ref="O10:T10"/>
    <mergeCell ref="R11:T11"/>
    <mergeCell ref="O11:Q11"/>
    <mergeCell ref="R12:T12"/>
    <mergeCell ref="O12:Q12"/>
    <mergeCell ref="O13:T13"/>
    <mergeCell ref="C5:G8"/>
    <mergeCell ref="O5:T7"/>
    <mergeCell ref="O14:Q14"/>
  </mergeCells>
  <conditionalFormatting sqref="J10">
    <cfRule type="containsText" dxfId="6"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30F0-5248-42A7-8943-7F48AB4F60AC}">
  <dimension ref="B1:U31"/>
  <sheetViews>
    <sheetView showGridLines="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31</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10"/>
      <c r="J3" s="10"/>
      <c r="K3" s="10"/>
      <c r="L3" s="10"/>
      <c r="M3" s="12"/>
      <c r="N3" s="10"/>
      <c r="O3" s="10"/>
      <c r="P3" s="10"/>
      <c r="Q3" s="10"/>
      <c r="R3" s="10"/>
      <c r="S3" s="10"/>
      <c r="T3" s="10"/>
      <c r="U3" s="12"/>
    </row>
    <row r="4" spans="2:21" ht="18.75" customHeight="1" thickBot="1" x14ac:dyDescent="0.3">
      <c r="B4" s="1"/>
      <c r="C4" s="63" t="s">
        <v>3</v>
      </c>
      <c r="D4" s="64"/>
      <c r="E4" s="64"/>
      <c r="F4" s="64"/>
      <c r="G4" s="65"/>
      <c r="H4" s="23"/>
      <c r="I4" s="10"/>
      <c r="J4" s="10"/>
      <c r="K4" s="10"/>
      <c r="L4" s="12"/>
      <c r="M4" s="25"/>
      <c r="N4" s="13"/>
      <c r="O4" s="13"/>
      <c r="P4" s="13"/>
      <c r="Q4" s="13"/>
      <c r="R4" s="13"/>
      <c r="S4" s="13"/>
      <c r="T4" s="13"/>
      <c r="U4" s="2"/>
    </row>
    <row r="5" spans="2:21" ht="18.75" customHeight="1" thickBot="1" x14ac:dyDescent="0.3">
      <c r="B5" s="1"/>
      <c r="C5" s="117" t="s">
        <v>26</v>
      </c>
      <c r="D5" s="118"/>
      <c r="E5" s="118"/>
      <c r="F5" s="118"/>
      <c r="G5" s="119"/>
      <c r="H5" s="18"/>
      <c r="I5" s="36" t="s">
        <v>0</v>
      </c>
      <c r="J5" s="66">
        <v>0</v>
      </c>
      <c r="K5" s="68"/>
      <c r="L5" s="34">
        <f>J6*12</f>
        <v>1800</v>
      </c>
      <c r="M5" s="37"/>
      <c r="N5" s="13"/>
      <c r="O5" s="117" t="s">
        <v>25</v>
      </c>
      <c r="P5" s="118"/>
      <c r="Q5" s="118"/>
      <c r="R5" s="118"/>
      <c r="S5" s="118"/>
      <c r="T5" s="119"/>
      <c r="U5" s="2"/>
    </row>
    <row r="6" spans="2:21" ht="18.75" customHeight="1" thickBot="1" x14ac:dyDescent="0.3">
      <c r="B6" s="11"/>
      <c r="C6" s="120"/>
      <c r="D6" s="121"/>
      <c r="E6" s="121"/>
      <c r="F6" s="121"/>
      <c r="G6" s="122"/>
      <c r="H6" s="18"/>
      <c r="I6" s="36" t="s">
        <v>1</v>
      </c>
      <c r="J6" s="66">
        <v>150</v>
      </c>
      <c r="K6" s="68"/>
      <c r="L6" s="34">
        <f>1*L5/0.0961</f>
        <v>18730.489073881374</v>
      </c>
      <c r="M6" s="37"/>
      <c r="N6" s="13"/>
      <c r="O6" s="120"/>
      <c r="P6" s="121"/>
      <c r="Q6" s="121"/>
      <c r="R6" s="121"/>
      <c r="S6" s="121"/>
      <c r="T6" s="122"/>
      <c r="U6" s="2"/>
    </row>
    <row r="7" spans="2:21" ht="18.75" customHeight="1" thickBot="1" x14ac:dyDescent="0.3">
      <c r="B7" s="5"/>
      <c r="C7" s="120"/>
      <c r="D7" s="121"/>
      <c r="E7" s="121"/>
      <c r="F7" s="121"/>
      <c r="G7" s="122"/>
      <c r="H7" s="19"/>
      <c r="I7" s="36" t="s">
        <v>2</v>
      </c>
      <c r="J7" s="66">
        <v>0</v>
      </c>
      <c r="K7" s="68"/>
      <c r="L7" s="35">
        <f>L6/12</f>
        <v>1560.8740894901146</v>
      </c>
      <c r="M7" s="25"/>
      <c r="N7" s="13"/>
      <c r="O7" s="123"/>
      <c r="P7" s="124"/>
      <c r="Q7" s="124"/>
      <c r="R7" s="124"/>
      <c r="S7" s="124"/>
      <c r="T7" s="125"/>
      <c r="U7" s="2"/>
    </row>
    <row r="8" spans="2:21" ht="18.75" customHeight="1" thickBot="1" x14ac:dyDescent="0.3">
      <c r="B8" s="4"/>
      <c r="C8" s="123"/>
      <c r="D8" s="124"/>
      <c r="E8" s="124"/>
      <c r="F8" s="124"/>
      <c r="G8" s="125"/>
      <c r="H8" s="18"/>
      <c r="I8" s="13"/>
      <c r="J8" s="13"/>
      <c r="K8" s="13"/>
      <c r="L8" s="2"/>
      <c r="M8" s="25"/>
      <c r="N8" s="126"/>
      <c r="O8" s="16"/>
      <c r="P8" s="16"/>
      <c r="Q8" s="16"/>
      <c r="R8" s="16"/>
      <c r="S8" s="16"/>
      <c r="T8" s="16"/>
      <c r="U8" s="2"/>
    </row>
    <row r="9" spans="2:21" ht="18.75" customHeight="1" thickBot="1" x14ac:dyDescent="0.3">
      <c r="B9" s="1"/>
      <c r="C9" s="1"/>
      <c r="D9" s="18"/>
      <c r="E9" s="18"/>
      <c r="F9" s="18"/>
      <c r="G9" s="18"/>
      <c r="H9" s="18"/>
      <c r="I9" s="13"/>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04" t="str">
        <f>IF(J6&gt;103.15, "No, above $103.15/mo", "Yes, below $103.15/mo")</f>
        <v>No, above $103.15/mo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8"/>
      <c r="I11" s="70"/>
      <c r="J11" s="110"/>
      <c r="K11" s="111"/>
      <c r="L11" s="112"/>
      <c r="M11" s="28"/>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06"/>
      <c r="K12" s="113"/>
      <c r="L12" s="107"/>
      <c r="M12" s="28"/>
      <c r="N12" s="13"/>
      <c r="O12" s="66">
        <v>0</v>
      </c>
      <c r="P12" s="67"/>
      <c r="Q12" s="68"/>
      <c r="R12" s="130">
        <f>O12*130*9.61%</f>
        <v>0</v>
      </c>
      <c r="S12" s="131"/>
      <c r="T12" s="132"/>
      <c r="U12" s="2"/>
    </row>
    <row r="13" spans="2:21" ht="18.75" customHeight="1" thickBot="1" x14ac:dyDescent="0.3">
      <c r="B13" s="11"/>
      <c r="C13" s="120"/>
      <c r="D13" s="121"/>
      <c r="E13" s="121"/>
      <c r="F13" s="121"/>
      <c r="G13" s="122"/>
      <c r="H13" s="19"/>
      <c r="I13" s="13"/>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8"/>
      <c r="I14" s="69" t="s">
        <v>19</v>
      </c>
      <c r="J14" s="93" t="s">
        <v>15</v>
      </c>
      <c r="K14" s="95" t="s">
        <v>16</v>
      </c>
      <c r="L14" s="96"/>
      <c r="M14" s="29"/>
      <c r="N14" s="13"/>
      <c r="O14" s="63" t="s">
        <v>7</v>
      </c>
      <c r="P14" s="64"/>
      <c r="Q14" s="65"/>
      <c r="R14" s="139" t="s">
        <v>6</v>
      </c>
      <c r="S14" s="140"/>
      <c r="T14" s="141"/>
      <c r="U14" s="2"/>
    </row>
    <row r="15" spans="2:21" ht="18.75" customHeight="1" thickBot="1" x14ac:dyDescent="0.3">
      <c r="B15" s="11"/>
      <c r="C15" s="120"/>
      <c r="D15" s="121"/>
      <c r="E15" s="121"/>
      <c r="F15" s="121"/>
      <c r="G15" s="122"/>
      <c r="H15" s="18"/>
      <c r="I15" s="91"/>
      <c r="J15" s="94"/>
      <c r="K15" s="97"/>
      <c r="L15" s="98"/>
      <c r="M15" s="29"/>
      <c r="N15" s="13"/>
      <c r="O15" s="66">
        <v>0</v>
      </c>
      <c r="P15" s="67"/>
      <c r="Q15" s="68"/>
      <c r="R15" s="130">
        <f>O15*9.61%</f>
        <v>0</v>
      </c>
      <c r="S15" s="131"/>
      <c r="T15" s="132"/>
      <c r="U15" s="2"/>
    </row>
    <row r="16" spans="2:21" ht="18.75" customHeight="1" thickBot="1" x14ac:dyDescent="0.3">
      <c r="B16" s="11"/>
      <c r="C16" s="120"/>
      <c r="D16" s="121"/>
      <c r="E16" s="121"/>
      <c r="F16" s="121"/>
      <c r="G16" s="122"/>
      <c r="H16" s="18"/>
      <c r="I16" s="91"/>
      <c r="J16" s="102">
        <v>12</v>
      </c>
      <c r="K16" s="104">
        <f>L7*J16</f>
        <v>18730.489073881374</v>
      </c>
      <c r="L16" s="105"/>
      <c r="M16" s="28"/>
      <c r="N16" s="13"/>
      <c r="O16" s="13"/>
      <c r="P16" s="18"/>
      <c r="Q16" s="18"/>
      <c r="R16" s="18"/>
      <c r="S16" s="13"/>
      <c r="T16" s="13"/>
      <c r="U16" s="2"/>
    </row>
    <row r="17" spans="2:21" ht="18.75" customHeight="1" thickBot="1" x14ac:dyDescent="0.3">
      <c r="B17" s="11"/>
      <c r="C17" s="120"/>
      <c r="D17" s="121"/>
      <c r="E17" s="121"/>
      <c r="F17" s="121"/>
      <c r="G17" s="122"/>
      <c r="H17" s="18"/>
      <c r="I17" s="92"/>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8"/>
      <c r="I18" s="13"/>
      <c r="J18" s="13"/>
      <c r="K18" s="13"/>
      <c r="L18" s="2"/>
      <c r="M18" s="25"/>
      <c r="N18" s="13"/>
      <c r="O18" s="63" t="s">
        <v>9</v>
      </c>
      <c r="P18" s="64"/>
      <c r="Q18" s="65"/>
      <c r="R18" s="133">
        <v>0</v>
      </c>
      <c r="S18" s="134"/>
      <c r="T18" s="135"/>
      <c r="U18" s="2"/>
    </row>
    <row r="19" spans="2:21" ht="18.75" customHeight="1" thickBot="1" x14ac:dyDescent="0.3">
      <c r="B19" s="6"/>
      <c r="C19" s="120"/>
      <c r="D19" s="121"/>
      <c r="E19" s="121"/>
      <c r="F19" s="121"/>
      <c r="G19" s="122"/>
      <c r="H19" s="18"/>
      <c r="I19" s="69" t="s">
        <v>18</v>
      </c>
      <c r="J19" s="72" t="s">
        <v>17</v>
      </c>
      <c r="K19" s="73"/>
      <c r="L19" s="74"/>
      <c r="M19" s="30"/>
      <c r="N19" s="13"/>
      <c r="O19" s="63" t="s">
        <v>10</v>
      </c>
      <c r="P19" s="64"/>
      <c r="Q19" s="65"/>
      <c r="R19" s="136">
        <v>12</v>
      </c>
      <c r="S19" s="137"/>
      <c r="T19" s="138"/>
      <c r="U19" s="2"/>
    </row>
    <row r="20" spans="2:21" ht="18.75" customHeight="1" thickBot="1" x14ac:dyDescent="0.3">
      <c r="B20" s="5"/>
      <c r="C20" s="120"/>
      <c r="D20" s="121"/>
      <c r="E20" s="121"/>
      <c r="F20" s="121"/>
      <c r="G20" s="122"/>
      <c r="H20" s="18"/>
      <c r="I20" s="70"/>
      <c r="J20" s="75"/>
      <c r="K20" s="76"/>
      <c r="L20" s="77"/>
      <c r="M20" s="30"/>
      <c r="N20" s="13"/>
      <c r="O20" s="63" t="s">
        <v>11</v>
      </c>
      <c r="P20" s="64"/>
      <c r="Q20" s="65"/>
      <c r="R20" s="130">
        <f>R18*(1/R19)*9.61%</f>
        <v>0</v>
      </c>
      <c r="S20" s="131"/>
      <c r="T20" s="132"/>
      <c r="U20" s="2"/>
    </row>
    <row r="21" spans="2:21" ht="18.75" customHeight="1" x14ac:dyDescent="0.25">
      <c r="B21" s="1"/>
      <c r="C21" s="120"/>
      <c r="D21" s="121"/>
      <c r="E21" s="121"/>
      <c r="F21" s="121"/>
      <c r="G21" s="122"/>
      <c r="H21" s="18"/>
      <c r="I21" s="70"/>
      <c r="J21" s="84">
        <f>L6/1559</f>
        <v>12.014425320000882</v>
      </c>
      <c r="K21" s="85"/>
      <c r="L21" s="86"/>
      <c r="M21" s="31"/>
      <c r="N21" s="13"/>
      <c r="O21" s="13"/>
      <c r="P21" s="18"/>
      <c r="Q21" s="18"/>
      <c r="R21" s="18"/>
      <c r="S21" s="13"/>
      <c r="T21" s="13"/>
      <c r="U21" s="2"/>
    </row>
    <row r="22" spans="2:21" ht="18.75" customHeight="1" thickBot="1" x14ac:dyDescent="0.3">
      <c r="B22" s="9"/>
      <c r="C22" s="123"/>
      <c r="D22" s="124"/>
      <c r="E22" s="124"/>
      <c r="F22" s="124"/>
      <c r="G22" s="125"/>
      <c r="H22" s="24"/>
      <c r="I22" s="71"/>
      <c r="J22" s="87"/>
      <c r="K22" s="88"/>
      <c r="L22" s="89"/>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24"/>
      <c r="I27" s="3"/>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oxFtS5Lcnu1Y6Y4adHvX6MaG7QKM0AKzi2PekCS0ygq/cMLGtEZ/1iGueksAv6ZGWwyT1djDav5A2To5CsAZOA==" saltValue="Kry6uVwt7v+7u9yy8EsGjA=="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5"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031B4-1AB0-42F7-A53B-B59CAD801B4D}">
  <dimension ref="B1:U31"/>
  <sheetViews>
    <sheetView showGridLines="0" workbookViewId="0">
      <selection activeCell="J6" sqref="J6:K6"/>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32</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63" t="s">
        <v>3</v>
      </c>
      <c r="D4" s="64"/>
      <c r="E4" s="64"/>
      <c r="F4" s="64"/>
      <c r="G4" s="65"/>
      <c r="H4" s="23"/>
      <c r="I4" s="23"/>
      <c r="J4" s="10"/>
      <c r="K4" s="10"/>
      <c r="L4" s="12"/>
      <c r="M4" s="25"/>
      <c r="N4" s="13"/>
      <c r="O4" s="13"/>
      <c r="P4" s="13"/>
      <c r="Q4" s="13"/>
      <c r="R4" s="13"/>
      <c r="S4" s="13"/>
      <c r="T4" s="13"/>
      <c r="U4" s="2"/>
    </row>
    <row r="5" spans="2:21" ht="18.75" customHeight="1" thickBot="1" x14ac:dyDescent="0.3">
      <c r="B5" s="1"/>
      <c r="C5" s="117" t="s">
        <v>26</v>
      </c>
      <c r="D5" s="118"/>
      <c r="E5" s="118"/>
      <c r="F5" s="118"/>
      <c r="G5" s="119"/>
      <c r="H5" s="18"/>
      <c r="I5" s="20" t="s">
        <v>0</v>
      </c>
      <c r="J5" s="66">
        <v>0</v>
      </c>
      <c r="K5" s="68"/>
      <c r="L5" s="34">
        <f>J6*12</f>
        <v>1800</v>
      </c>
      <c r="M5" s="37"/>
      <c r="N5" s="13"/>
      <c r="O5" s="117" t="s">
        <v>25</v>
      </c>
      <c r="P5" s="118"/>
      <c r="Q5" s="118"/>
      <c r="R5" s="118"/>
      <c r="S5" s="118"/>
      <c r="T5" s="119"/>
      <c r="U5" s="2"/>
    </row>
    <row r="6" spans="2:21" ht="18.75" customHeight="1" thickBot="1" x14ac:dyDescent="0.3">
      <c r="B6" s="11"/>
      <c r="C6" s="120"/>
      <c r="D6" s="121"/>
      <c r="E6" s="121"/>
      <c r="F6" s="121"/>
      <c r="G6" s="122"/>
      <c r="H6" s="18"/>
      <c r="I6" s="20" t="s">
        <v>1</v>
      </c>
      <c r="J6" s="66">
        <v>150</v>
      </c>
      <c r="K6" s="68"/>
      <c r="L6" s="34">
        <f>1*L5/0.0983</f>
        <v>18311.291963377418</v>
      </c>
      <c r="M6" s="37"/>
      <c r="N6" s="13"/>
      <c r="O6" s="120"/>
      <c r="P6" s="121"/>
      <c r="Q6" s="121"/>
      <c r="R6" s="121"/>
      <c r="S6" s="121"/>
      <c r="T6" s="122"/>
      <c r="U6" s="2"/>
    </row>
    <row r="7" spans="2:21" ht="18.75" customHeight="1" thickBot="1" x14ac:dyDescent="0.3">
      <c r="B7" s="5"/>
      <c r="C7" s="120"/>
      <c r="D7" s="121"/>
      <c r="E7" s="121"/>
      <c r="F7" s="121"/>
      <c r="G7" s="122"/>
      <c r="H7" s="19"/>
      <c r="I7" s="20" t="s">
        <v>2</v>
      </c>
      <c r="J7" s="66">
        <v>0</v>
      </c>
      <c r="K7" s="68"/>
      <c r="L7" s="35">
        <f>L6/12</f>
        <v>1525.9409969481183</v>
      </c>
      <c r="M7" s="25"/>
      <c r="N7" s="13"/>
      <c r="O7" s="123"/>
      <c r="P7" s="124"/>
      <c r="Q7" s="124"/>
      <c r="R7" s="124"/>
      <c r="S7" s="124"/>
      <c r="T7" s="125"/>
      <c r="U7" s="2"/>
    </row>
    <row r="8" spans="2:21" ht="18.75" customHeight="1" thickBot="1" x14ac:dyDescent="0.3">
      <c r="B8" s="4"/>
      <c r="C8" s="123"/>
      <c r="D8" s="124"/>
      <c r="E8" s="124"/>
      <c r="F8" s="124"/>
      <c r="G8" s="125"/>
      <c r="H8" s="18"/>
      <c r="I8" s="18"/>
      <c r="J8" s="13"/>
      <c r="K8" s="13"/>
      <c r="L8" s="35"/>
      <c r="M8" s="25"/>
      <c r="N8" s="126"/>
      <c r="O8" s="16"/>
      <c r="P8" s="16"/>
      <c r="Q8" s="16"/>
      <c r="R8" s="16"/>
      <c r="S8" s="16"/>
      <c r="T8" s="16"/>
      <c r="U8" s="2"/>
    </row>
    <row r="9" spans="2:21" ht="18.75" customHeight="1" thickBot="1" x14ac:dyDescent="0.3">
      <c r="B9" s="1"/>
      <c r="C9" s="1"/>
      <c r="D9" s="18"/>
      <c r="E9" s="18"/>
      <c r="F9" s="18"/>
      <c r="G9" s="18"/>
      <c r="H9" s="18"/>
      <c r="I9" s="18"/>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04" t="str">
        <f>IF(J6&gt;104.59, "No, above $104.53/mo", "Yes, below $104.53/mo")</f>
        <v>No, above $104.53/mo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8"/>
      <c r="I11" s="70"/>
      <c r="J11" s="110"/>
      <c r="K11" s="111"/>
      <c r="L11" s="112"/>
      <c r="M11" s="28"/>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06"/>
      <c r="K12" s="113"/>
      <c r="L12" s="107"/>
      <c r="M12" s="28"/>
      <c r="N12" s="13"/>
      <c r="O12" s="66">
        <v>0</v>
      </c>
      <c r="P12" s="67"/>
      <c r="Q12" s="68"/>
      <c r="R12" s="130">
        <f>O12*130*9.83%</f>
        <v>0</v>
      </c>
      <c r="S12" s="131"/>
      <c r="T12" s="132"/>
      <c r="U12" s="2"/>
    </row>
    <row r="13" spans="2:21" ht="18.75" customHeight="1" thickBot="1" x14ac:dyDescent="0.3">
      <c r="B13" s="11"/>
      <c r="C13" s="120"/>
      <c r="D13" s="121"/>
      <c r="E13" s="121"/>
      <c r="F13" s="121"/>
      <c r="G13" s="122"/>
      <c r="H13" s="19"/>
      <c r="I13" s="18"/>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8"/>
      <c r="I14" s="142" t="s">
        <v>19</v>
      </c>
      <c r="J14" s="93" t="s">
        <v>15</v>
      </c>
      <c r="K14" s="95" t="s">
        <v>16</v>
      </c>
      <c r="L14" s="96"/>
      <c r="M14" s="29"/>
      <c r="N14" s="13"/>
      <c r="O14" s="63" t="s">
        <v>7</v>
      </c>
      <c r="P14" s="64"/>
      <c r="Q14" s="65"/>
      <c r="R14" s="139" t="s">
        <v>6</v>
      </c>
      <c r="S14" s="140"/>
      <c r="T14" s="141"/>
      <c r="U14" s="2"/>
    </row>
    <row r="15" spans="2:21" ht="18.75" customHeight="1" thickBot="1" x14ac:dyDescent="0.3">
      <c r="B15" s="11"/>
      <c r="C15" s="120"/>
      <c r="D15" s="121"/>
      <c r="E15" s="121"/>
      <c r="F15" s="121"/>
      <c r="G15" s="122"/>
      <c r="H15" s="18"/>
      <c r="I15" s="145"/>
      <c r="J15" s="94"/>
      <c r="K15" s="97"/>
      <c r="L15" s="98"/>
      <c r="M15" s="29"/>
      <c r="N15" s="13"/>
      <c r="O15" s="66">
        <v>0</v>
      </c>
      <c r="P15" s="67"/>
      <c r="Q15" s="68"/>
      <c r="R15" s="130">
        <f>O15*9.83%</f>
        <v>0</v>
      </c>
      <c r="S15" s="131"/>
      <c r="T15" s="132"/>
      <c r="U15" s="2"/>
    </row>
    <row r="16" spans="2:21" ht="18.75" customHeight="1" thickBot="1" x14ac:dyDescent="0.3">
      <c r="B16" s="11"/>
      <c r="C16" s="120"/>
      <c r="D16" s="121"/>
      <c r="E16" s="121"/>
      <c r="F16" s="121"/>
      <c r="G16" s="122"/>
      <c r="H16" s="18"/>
      <c r="I16" s="145"/>
      <c r="J16" s="102">
        <v>12</v>
      </c>
      <c r="K16" s="104">
        <f>L7*J16</f>
        <v>18311.291963377418</v>
      </c>
      <c r="L16" s="105"/>
      <c r="M16" s="28"/>
      <c r="N16" s="13"/>
      <c r="O16" s="13"/>
      <c r="P16" s="18"/>
      <c r="Q16" s="18"/>
      <c r="R16" s="18"/>
      <c r="S16" s="13"/>
      <c r="T16" s="13"/>
      <c r="U16" s="2"/>
    </row>
    <row r="17" spans="2:21" ht="18.75" customHeight="1" thickBot="1" x14ac:dyDescent="0.3">
      <c r="B17" s="11"/>
      <c r="C17" s="120"/>
      <c r="D17" s="121"/>
      <c r="E17" s="121"/>
      <c r="F17" s="121"/>
      <c r="G17" s="122"/>
      <c r="H17" s="18"/>
      <c r="I17" s="146"/>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8"/>
      <c r="I18" s="18"/>
      <c r="J18" s="13"/>
      <c r="K18" s="13"/>
      <c r="L18" s="2"/>
      <c r="M18" s="25"/>
      <c r="N18" s="13"/>
      <c r="O18" s="63" t="s">
        <v>9</v>
      </c>
      <c r="P18" s="64"/>
      <c r="Q18" s="65"/>
      <c r="R18" s="133">
        <v>0</v>
      </c>
      <c r="S18" s="134"/>
      <c r="T18" s="135"/>
      <c r="U18" s="2"/>
    </row>
    <row r="19" spans="2:21" ht="18.75" customHeight="1" thickBot="1" x14ac:dyDescent="0.3">
      <c r="B19" s="6"/>
      <c r="C19" s="120"/>
      <c r="D19" s="121"/>
      <c r="E19" s="121"/>
      <c r="F19" s="121"/>
      <c r="G19" s="122"/>
      <c r="H19" s="18"/>
      <c r="I19" s="142" t="s">
        <v>18</v>
      </c>
      <c r="J19" s="72" t="s">
        <v>17</v>
      </c>
      <c r="K19" s="73"/>
      <c r="L19" s="74"/>
      <c r="M19" s="30"/>
      <c r="N19" s="13"/>
      <c r="O19" s="63" t="s">
        <v>10</v>
      </c>
      <c r="P19" s="64"/>
      <c r="Q19" s="65"/>
      <c r="R19" s="136">
        <v>12</v>
      </c>
      <c r="S19" s="137"/>
      <c r="T19" s="138"/>
      <c r="U19" s="2"/>
    </row>
    <row r="20" spans="2:21" ht="18.75" customHeight="1" thickBot="1" x14ac:dyDescent="0.3">
      <c r="B20" s="5"/>
      <c r="C20" s="120"/>
      <c r="D20" s="121"/>
      <c r="E20" s="121"/>
      <c r="F20" s="121"/>
      <c r="G20" s="122"/>
      <c r="H20" s="18"/>
      <c r="I20" s="143"/>
      <c r="J20" s="75"/>
      <c r="K20" s="76"/>
      <c r="L20" s="77"/>
      <c r="M20" s="30"/>
      <c r="N20" s="13"/>
      <c r="O20" s="63" t="s">
        <v>11</v>
      </c>
      <c r="P20" s="64"/>
      <c r="Q20" s="65"/>
      <c r="R20" s="130">
        <f>R18*(1/R19)*9.83%</f>
        <v>0</v>
      </c>
      <c r="S20" s="131"/>
      <c r="T20" s="132"/>
      <c r="U20" s="2"/>
    </row>
    <row r="21" spans="2:21" ht="18.75" customHeight="1" x14ac:dyDescent="0.25">
      <c r="B21" s="1"/>
      <c r="C21" s="120"/>
      <c r="D21" s="121"/>
      <c r="E21" s="121"/>
      <c r="F21" s="121"/>
      <c r="G21" s="122"/>
      <c r="H21" s="18"/>
      <c r="I21" s="143"/>
      <c r="J21" s="84">
        <f>L6/1559</f>
        <v>11.745536859125989</v>
      </c>
      <c r="K21" s="85"/>
      <c r="L21" s="86"/>
      <c r="M21" s="31"/>
      <c r="N21" s="13"/>
      <c r="O21" s="13"/>
      <c r="P21" s="18"/>
      <c r="Q21" s="18"/>
      <c r="R21" s="18"/>
      <c r="S21" s="13"/>
      <c r="T21" s="13"/>
      <c r="U21" s="2"/>
    </row>
    <row r="22" spans="2:21" ht="18.75" customHeight="1" thickBot="1" x14ac:dyDescent="0.3">
      <c r="B22" s="9"/>
      <c r="C22" s="123"/>
      <c r="D22" s="124"/>
      <c r="E22" s="124"/>
      <c r="F22" s="124"/>
      <c r="G22" s="125"/>
      <c r="H22" s="24"/>
      <c r="I22" s="144"/>
      <c r="J22" s="87"/>
      <c r="K22" s="88"/>
      <c r="L22" s="89"/>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VrfnRHbLOrTeWHKi4PasTgD3eUWi23BtbUkH/h6Dx8mglipSTVVlCDgDWVKXLWMlLKA0H+PqBXO1YChqQvdq1w==" saltValue="NJLOJYOjL2J9yfVLCe3Y+Q=="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4"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B7C9-8E1E-45D6-8BD1-AEB6379B9483}">
  <dimension ref="B1:U31"/>
  <sheetViews>
    <sheetView showGridLines="0" workbookViewId="0">
      <selection activeCell="O15" sqref="O15:Q1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style="17" customWidth="1"/>
    <col min="12" max="12" width="10.140625" style="17"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33</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23"/>
      <c r="J3" s="10"/>
      <c r="K3" s="23"/>
      <c r="L3" s="23"/>
      <c r="M3" s="12"/>
      <c r="N3" s="10"/>
      <c r="O3" s="10"/>
      <c r="P3" s="10"/>
      <c r="Q3" s="10"/>
      <c r="R3" s="10"/>
      <c r="S3" s="10"/>
      <c r="T3" s="10"/>
      <c r="U3" s="12"/>
    </row>
    <row r="4" spans="2:21" ht="18.75" customHeight="1" thickBot="1" x14ac:dyDescent="0.3">
      <c r="B4" s="1"/>
      <c r="C4" s="63" t="s">
        <v>3</v>
      </c>
      <c r="D4" s="64"/>
      <c r="E4" s="64"/>
      <c r="F4" s="64"/>
      <c r="G4" s="65"/>
      <c r="H4" s="23"/>
      <c r="I4" s="23"/>
      <c r="J4" s="10"/>
      <c r="K4" s="23"/>
      <c r="L4" s="44"/>
      <c r="M4" s="25"/>
      <c r="N4" s="13"/>
      <c r="O4" s="13"/>
      <c r="P4" s="13"/>
      <c r="Q4" s="13"/>
      <c r="R4" s="13"/>
      <c r="S4" s="13"/>
      <c r="T4" s="13"/>
      <c r="U4" s="2"/>
    </row>
    <row r="5" spans="2:21" ht="18.75" customHeight="1" thickBot="1" x14ac:dyDescent="0.3">
      <c r="B5" s="1"/>
      <c r="C5" s="117" t="s">
        <v>26</v>
      </c>
      <c r="D5" s="118"/>
      <c r="E5" s="118"/>
      <c r="F5" s="118"/>
      <c r="G5" s="119"/>
      <c r="H5" s="18"/>
      <c r="I5" s="20" t="s">
        <v>0</v>
      </c>
      <c r="J5" s="66">
        <v>0</v>
      </c>
      <c r="K5" s="68"/>
      <c r="L5" s="34">
        <f>J6*12</f>
        <v>1800</v>
      </c>
      <c r="M5" s="26"/>
      <c r="N5" s="13"/>
      <c r="O5" s="117" t="s">
        <v>25</v>
      </c>
      <c r="P5" s="118"/>
      <c r="Q5" s="118"/>
      <c r="R5" s="118"/>
      <c r="S5" s="118"/>
      <c r="T5" s="119"/>
      <c r="U5" s="2"/>
    </row>
    <row r="6" spans="2:21" ht="18.75" customHeight="1" thickBot="1" x14ac:dyDescent="0.3">
      <c r="B6" s="11"/>
      <c r="C6" s="120"/>
      <c r="D6" s="121"/>
      <c r="E6" s="121"/>
      <c r="F6" s="121"/>
      <c r="G6" s="122"/>
      <c r="H6" s="18"/>
      <c r="I6" s="20" t="s">
        <v>1</v>
      </c>
      <c r="J6" s="66">
        <v>150</v>
      </c>
      <c r="K6" s="68"/>
      <c r="L6" s="34">
        <f>1*L5/0.0978</f>
        <v>18404.907975460123</v>
      </c>
      <c r="M6" s="26"/>
      <c r="N6" s="13"/>
      <c r="O6" s="120"/>
      <c r="P6" s="121"/>
      <c r="Q6" s="121"/>
      <c r="R6" s="121"/>
      <c r="S6" s="121"/>
      <c r="T6" s="122"/>
      <c r="U6" s="2"/>
    </row>
    <row r="7" spans="2:21" ht="18.75" customHeight="1" thickBot="1" x14ac:dyDescent="0.3">
      <c r="B7" s="5"/>
      <c r="C7" s="120"/>
      <c r="D7" s="121"/>
      <c r="E7" s="121"/>
      <c r="F7" s="121"/>
      <c r="G7" s="122"/>
      <c r="H7" s="19"/>
      <c r="I7" s="20" t="s">
        <v>2</v>
      </c>
      <c r="J7" s="66">
        <v>0</v>
      </c>
      <c r="K7" s="68"/>
      <c r="L7" s="35">
        <f>L6/12</f>
        <v>1533.7423312883436</v>
      </c>
      <c r="M7" s="27"/>
      <c r="N7" s="13"/>
      <c r="O7" s="123"/>
      <c r="P7" s="124"/>
      <c r="Q7" s="124"/>
      <c r="R7" s="124"/>
      <c r="S7" s="124"/>
      <c r="T7" s="125"/>
      <c r="U7" s="2"/>
    </row>
    <row r="8" spans="2:21" ht="18.75" customHeight="1" thickBot="1" x14ac:dyDescent="0.3">
      <c r="B8" s="4"/>
      <c r="C8" s="123"/>
      <c r="D8" s="124"/>
      <c r="E8" s="124"/>
      <c r="F8" s="124"/>
      <c r="G8" s="125"/>
      <c r="H8" s="18"/>
      <c r="I8" s="18"/>
      <c r="J8" s="13"/>
      <c r="K8" s="18"/>
      <c r="L8" s="42"/>
      <c r="M8" s="25"/>
      <c r="N8" s="126"/>
      <c r="O8" s="16"/>
      <c r="P8" s="16"/>
      <c r="Q8" s="16"/>
      <c r="R8" s="16"/>
      <c r="S8" s="16"/>
      <c r="T8" s="16"/>
      <c r="U8" s="2"/>
    </row>
    <row r="9" spans="2:21" ht="18.75" customHeight="1" thickBot="1" x14ac:dyDescent="0.3">
      <c r="B9" s="1"/>
      <c r="C9" s="1"/>
      <c r="D9" s="18"/>
      <c r="E9" s="18"/>
      <c r="F9" s="18"/>
      <c r="G9" s="18"/>
      <c r="H9" s="18"/>
      <c r="I9" s="18"/>
      <c r="J9" s="13"/>
      <c r="K9" s="18"/>
      <c r="L9" s="42"/>
      <c r="M9" s="25"/>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04" t="str">
        <f>IF(J6&gt;101.79, "No, above $101.79/mo", "Yes, below $101.79/mo")</f>
        <v>No, above $101.79/mo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8"/>
      <c r="I11" s="70"/>
      <c r="J11" s="110"/>
      <c r="K11" s="111"/>
      <c r="L11" s="112"/>
      <c r="M11" s="28"/>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06"/>
      <c r="K12" s="113"/>
      <c r="L12" s="107"/>
      <c r="M12" s="28"/>
      <c r="N12" s="13"/>
      <c r="O12" s="66">
        <v>0</v>
      </c>
      <c r="P12" s="67"/>
      <c r="Q12" s="68"/>
      <c r="R12" s="130">
        <f>O12*130*9.78%</f>
        <v>0</v>
      </c>
      <c r="S12" s="131"/>
      <c r="T12" s="132"/>
      <c r="U12" s="2"/>
    </row>
    <row r="13" spans="2:21" ht="18.75" customHeight="1" thickBot="1" x14ac:dyDescent="0.3">
      <c r="B13" s="11"/>
      <c r="C13" s="120"/>
      <c r="D13" s="121"/>
      <c r="E13" s="121"/>
      <c r="F13" s="121"/>
      <c r="G13" s="122"/>
      <c r="H13" s="19"/>
      <c r="I13" s="18"/>
      <c r="J13" s="13"/>
      <c r="K13" s="18"/>
      <c r="L13" s="42"/>
      <c r="M13" s="25"/>
      <c r="N13" s="13"/>
      <c r="O13" s="90" t="s">
        <v>21</v>
      </c>
      <c r="P13" s="90"/>
      <c r="Q13" s="90"/>
      <c r="R13" s="90"/>
      <c r="S13" s="90"/>
      <c r="T13" s="90"/>
      <c r="U13" s="2"/>
    </row>
    <row r="14" spans="2:21" ht="18.75" customHeight="1" thickBot="1" x14ac:dyDescent="0.3">
      <c r="B14" s="11"/>
      <c r="C14" s="120"/>
      <c r="D14" s="121"/>
      <c r="E14" s="121"/>
      <c r="F14" s="121"/>
      <c r="G14" s="122"/>
      <c r="H14" s="18"/>
      <c r="I14" s="142" t="s">
        <v>19</v>
      </c>
      <c r="J14" s="93" t="s">
        <v>15</v>
      </c>
      <c r="K14" s="147" t="s">
        <v>16</v>
      </c>
      <c r="L14" s="148"/>
      <c r="M14" s="29"/>
      <c r="N14" s="13"/>
      <c r="O14" s="63" t="s">
        <v>7</v>
      </c>
      <c r="P14" s="64"/>
      <c r="Q14" s="65"/>
      <c r="R14" s="139" t="s">
        <v>6</v>
      </c>
      <c r="S14" s="140"/>
      <c r="T14" s="141"/>
      <c r="U14" s="2"/>
    </row>
    <row r="15" spans="2:21" ht="18.75" customHeight="1" thickBot="1" x14ac:dyDescent="0.3">
      <c r="B15" s="11"/>
      <c r="C15" s="120"/>
      <c r="D15" s="121"/>
      <c r="E15" s="121"/>
      <c r="F15" s="121"/>
      <c r="G15" s="122"/>
      <c r="H15" s="18"/>
      <c r="I15" s="145"/>
      <c r="J15" s="94"/>
      <c r="K15" s="149"/>
      <c r="L15" s="150"/>
      <c r="M15" s="29"/>
      <c r="N15" s="13"/>
      <c r="O15" s="66">
        <v>0</v>
      </c>
      <c r="P15" s="67"/>
      <c r="Q15" s="68"/>
      <c r="R15" s="130">
        <f>O15*9.78%</f>
        <v>0</v>
      </c>
      <c r="S15" s="131"/>
      <c r="T15" s="132"/>
      <c r="U15" s="2"/>
    </row>
    <row r="16" spans="2:21" ht="18.75" customHeight="1" thickBot="1" x14ac:dyDescent="0.3">
      <c r="B16" s="11"/>
      <c r="C16" s="120"/>
      <c r="D16" s="121"/>
      <c r="E16" s="121"/>
      <c r="F16" s="121"/>
      <c r="G16" s="122"/>
      <c r="H16" s="18"/>
      <c r="I16" s="145"/>
      <c r="J16" s="102">
        <v>12</v>
      </c>
      <c r="K16" s="151">
        <f>L7*J16</f>
        <v>18404.907975460123</v>
      </c>
      <c r="L16" s="152"/>
      <c r="M16" s="28"/>
      <c r="N16" s="13"/>
      <c r="O16" s="13"/>
      <c r="P16" s="18"/>
      <c r="Q16" s="18"/>
      <c r="R16" s="18"/>
      <c r="S16" s="13"/>
      <c r="T16" s="13"/>
      <c r="U16" s="2"/>
    </row>
    <row r="17" spans="2:21" ht="18.75" customHeight="1" thickBot="1" x14ac:dyDescent="0.3">
      <c r="B17" s="11"/>
      <c r="C17" s="120"/>
      <c r="D17" s="121"/>
      <c r="E17" s="121"/>
      <c r="F17" s="121"/>
      <c r="G17" s="122"/>
      <c r="H17" s="18"/>
      <c r="I17" s="146"/>
      <c r="J17" s="103"/>
      <c r="K17" s="153"/>
      <c r="L17" s="154"/>
      <c r="M17" s="28"/>
      <c r="N17" s="13"/>
      <c r="O17" s="60" t="s">
        <v>8</v>
      </c>
      <c r="P17" s="61"/>
      <c r="Q17" s="61"/>
      <c r="R17" s="61"/>
      <c r="S17" s="61"/>
      <c r="T17" s="62"/>
      <c r="U17" s="2"/>
    </row>
    <row r="18" spans="2:21" ht="18.75" customHeight="1" thickBot="1" x14ac:dyDescent="0.3">
      <c r="B18" s="11"/>
      <c r="C18" s="120"/>
      <c r="D18" s="121"/>
      <c r="E18" s="121"/>
      <c r="F18" s="121"/>
      <c r="G18" s="122"/>
      <c r="H18" s="18"/>
      <c r="I18" s="18"/>
      <c r="J18" s="13"/>
      <c r="K18" s="18"/>
      <c r="L18" s="42"/>
      <c r="M18" s="25"/>
      <c r="N18" s="13"/>
      <c r="O18" s="63" t="s">
        <v>9</v>
      </c>
      <c r="P18" s="64"/>
      <c r="Q18" s="65"/>
      <c r="R18" s="133">
        <v>0</v>
      </c>
      <c r="S18" s="134"/>
      <c r="T18" s="135"/>
      <c r="U18" s="2"/>
    </row>
    <row r="19" spans="2:21" ht="18.75" customHeight="1" thickBot="1" x14ac:dyDescent="0.3">
      <c r="B19" s="6"/>
      <c r="C19" s="120"/>
      <c r="D19" s="121"/>
      <c r="E19" s="121"/>
      <c r="F19" s="121"/>
      <c r="G19" s="122"/>
      <c r="H19" s="18"/>
      <c r="I19" s="142" t="s">
        <v>18</v>
      </c>
      <c r="J19" s="72" t="s">
        <v>17</v>
      </c>
      <c r="K19" s="73"/>
      <c r="L19" s="74"/>
      <c r="M19" s="30"/>
      <c r="N19" s="13"/>
      <c r="O19" s="63" t="s">
        <v>10</v>
      </c>
      <c r="P19" s="64"/>
      <c r="Q19" s="65"/>
      <c r="R19" s="136">
        <v>12</v>
      </c>
      <c r="S19" s="137"/>
      <c r="T19" s="138"/>
      <c r="U19" s="2"/>
    </row>
    <row r="20" spans="2:21" ht="18.75" customHeight="1" thickBot="1" x14ac:dyDescent="0.3">
      <c r="B20" s="5"/>
      <c r="C20" s="120"/>
      <c r="D20" s="121"/>
      <c r="E20" s="121"/>
      <c r="F20" s="121"/>
      <c r="G20" s="122"/>
      <c r="H20" s="18"/>
      <c r="I20" s="143"/>
      <c r="J20" s="75"/>
      <c r="K20" s="76"/>
      <c r="L20" s="77"/>
      <c r="M20" s="30"/>
      <c r="N20" s="13"/>
      <c r="O20" s="63" t="s">
        <v>11</v>
      </c>
      <c r="P20" s="64"/>
      <c r="Q20" s="65"/>
      <c r="R20" s="130">
        <f>R18*(1/R19)*9.78%</f>
        <v>0</v>
      </c>
      <c r="S20" s="131"/>
      <c r="T20" s="132"/>
      <c r="U20" s="2"/>
    </row>
    <row r="21" spans="2:21" ht="18.75" customHeight="1" x14ac:dyDescent="0.25">
      <c r="B21" s="1"/>
      <c r="C21" s="120"/>
      <c r="D21" s="121"/>
      <c r="E21" s="121"/>
      <c r="F21" s="121"/>
      <c r="G21" s="122"/>
      <c r="H21" s="18"/>
      <c r="I21" s="143"/>
      <c r="J21" s="84">
        <f>L6/1559</f>
        <v>11.805585616074485</v>
      </c>
      <c r="K21" s="85"/>
      <c r="L21" s="86"/>
      <c r="M21" s="31"/>
      <c r="N21" s="13"/>
      <c r="O21" s="13"/>
      <c r="P21" s="18"/>
      <c r="Q21" s="18"/>
      <c r="R21" s="18"/>
      <c r="S21" s="13"/>
      <c r="T21" s="13"/>
      <c r="U21" s="2"/>
    </row>
    <row r="22" spans="2:21" ht="18.75" customHeight="1" thickBot="1" x14ac:dyDescent="0.3">
      <c r="B22" s="9"/>
      <c r="C22" s="123"/>
      <c r="D22" s="124"/>
      <c r="E22" s="124"/>
      <c r="F22" s="124"/>
      <c r="G22" s="125"/>
      <c r="H22" s="24"/>
      <c r="I22" s="144"/>
      <c r="J22" s="87"/>
      <c r="K22" s="88"/>
      <c r="L22" s="89"/>
      <c r="M22" s="31"/>
      <c r="N22" s="13"/>
      <c r="O22" s="13"/>
      <c r="P22" s="13"/>
      <c r="Q22" s="13"/>
      <c r="R22" s="13"/>
      <c r="S22" s="13"/>
      <c r="T22" s="13"/>
      <c r="U22" s="2"/>
    </row>
    <row r="23" spans="2:21" ht="18.75" customHeight="1" thickBot="1" x14ac:dyDescent="0.3">
      <c r="B23" s="1"/>
      <c r="C23" s="13"/>
      <c r="D23" s="18"/>
      <c r="E23" s="18"/>
      <c r="F23" s="18"/>
      <c r="G23" s="18"/>
      <c r="H23" s="18"/>
      <c r="I23" s="15"/>
      <c r="J23" s="15"/>
      <c r="K23" s="43"/>
      <c r="L23" s="43"/>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24"/>
      <c r="I27" s="24"/>
      <c r="J27" s="3"/>
      <c r="K27" s="24"/>
      <c r="L27" s="24"/>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fEO90MWqEQrOOjqrMkaIJlMvtalo6J9hC4/wap5XtFsXI1gC2HjgOiZKmcXxKB+x8gf/8AVIr0oklWRNEhPA+A==" saltValue="/WY9vOc6XyHrUZZdqPzEqQ=="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3"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4A36-469D-4046-9877-52AB9109C3A6}">
  <dimension ref="B1:U31"/>
  <sheetViews>
    <sheetView showGridLines="0" workbookViewId="0">
      <selection activeCell="J5" sqref="J5:K5"/>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style="17" customWidth="1"/>
    <col min="11" max="11" width="11.42578125" style="17" customWidth="1"/>
    <col min="12" max="12" width="10.140625" style="17" bestFit="1" customWidth="1"/>
    <col min="13" max="13" width="5.5703125" style="17"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34</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23"/>
      <c r="J3" s="23"/>
      <c r="K3" s="23"/>
      <c r="L3" s="23"/>
      <c r="M3" s="41"/>
      <c r="N3" s="10"/>
      <c r="O3" s="10"/>
      <c r="P3" s="10"/>
      <c r="Q3" s="10"/>
      <c r="R3" s="10"/>
      <c r="S3" s="10"/>
      <c r="T3" s="10"/>
      <c r="U3" s="12"/>
    </row>
    <row r="4" spans="2:21" ht="18.75" customHeight="1" thickBot="1" x14ac:dyDescent="0.3">
      <c r="B4" s="1"/>
      <c r="C4" s="63" t="s">
        <v>3</v>
      </c>
      <c r="D4" s="64"/>
      <c r="E4" s="64"/>
      <c r="F4" s="64"/>
      <c r="G4" s="65"/>
      <c r="H4" s="23"/>
      <c r="I4" s="23"/>
      <c r="J4" s="23"/>
      <c r="K4" s="23"/>
      <c r="L4" s="41"/>
      <c r="M4" s="27"/>
      <c r="N4" s="13"/>
      <c r="O4" s="13"/>
      <c r="P4" s="13"/>
      <c r="Q4" s="13"/>
      <c r="R4" s="13"/>
      <c r="S4" s="13"/>
      <c r="T4" s="13"/>
      <c r="U4" s="2"/>
    </row>
    <row r="5" spans="2:21" ht="18.75" customHeight="1" thickBot="1" x14ac:dyDescent="0.3">
      <c r="B5" s="1"/>
      <c r="C5" s="117" t="s">
        <v>26</v>
      </c>
      <c r="D5" s="118"/>
      <c r="E5" s="118"/>
      <c r="F5" s="118"/>
      <c r="G5" s="119"/>
      <c r="H5" s="18"/>
      <c r="I5" s="20" t="s">
        <v>0</v>
      </c>
      <c r="J5" s="133">
        <v>0</v>
      </c>
      <c r="K5" s="135"/>
      <c r="L5" s="34">
        <f>J6*12</f>
        <v>1800</v>
      </c>
      <c r="M5" s="26"/>
      <c r="N5" s="13"/>
      <c r="O5" s="117" t="s">
        <v>25</v>
      </c>
      <c r="P5" s="118"/>
      <c r="Q5" s="118"/>
      <c r="R5" s="118"/>
      <c r="S5" s="118"/>
      <c r="T5" s="119"/>
      <c r="U5" s="2"/>
    </row>
    <row r="6" spans="2:21" ht="18.75" customHeight="1" thickBot="1" x14ac:dyDescent="0.3">
      <c r="B6" s="11"/>
      <c r="C6" s="120"/>
      <c r="D6" s="121"/>
      <c r="E6" s="121"/>
      <c r="F6" s="121"/>
      <c r="G6" s="122"/>
      <c r="H6" s="18"/>
      <c r="I6" s="20" t="s">
        <v>1</v>
      </c>
      <c r="J6" s="133">
        <v>150</v>
      </c>
      <c r="K6" s="135"/>
      <c r="L6" s="34">
        <f>1*L5/0.0986</f>
        <v>18255.578093306289</v>
      </c>
      <c r="M6" s="26"/>
      <c r="N6" s="13"/>
      <c r="O6" s="120"/>
      <c r="P6" s="121"/>
      <c r="Q6" s="121"/>
      <c r="R6" s="121"/>
      <c r="S6" s="121"/>
      <c r="T6" s="122"/>
      <c r="U6" s="2"/>
    </row>
    <row r="7" spans="2:21" ht="18.75" customHeight="1" thickBot="1" x14ac:dyDescent="0.3">
      <c r="B7" s="5"/>
      <c r="C7" s="120"/>
      <c r="D7" s="121"/>
      <c r="E7" s="121"/>
      <c r="F7" s="121"/>
      <c r="G7" s="122"/>
      <c r="H7" s="19"/>
      <c r="I7" s="20" t="s">
        <v>2</v>
      </c>
      <c r="J7" s="133">
        <v>0</v>
      </c>
      <c r="K7" s="135"/>
      <c r="L7" s="35">
        <f>L6/12</f>
        <v>1521.2981744421907</v>
      </c>
      <c r="M7" s="27"/>
      <c r="N7" s="13"/>
      <c r="O7" s="123"/>
      <c r="P7" s="124"/>
      <c r="Q7" s="124"/>
      <c r="R7" s="124"/>
      <c r="S7" s="124"/>
      <c r="T7" s="125"/>
      <c r="U7" s="2"/>
    </row>
    <row r="8" spans="2:21" ht="18.75" customHeight="1" thickBot="1" x14ac:dyDescent="0.3">
      <c r="B8" s="4"/>
      <c r="C8" s="123"/>
      <c r="D8" s="124"/>
      <c r="E8" s="124"/>
      <c r="F8" s="124"/>
      <c r="G8" s="125"/>
      <c r="H8" s="18"/>
      <c r="I8" s="18"/>
      <c r="J8" s="18"/>
      <c r="K8" s="18"/>
      <c r="L8" s="42"/>
      <c r="M8" s="27"/>
      <c r="N8" s="126"/>
      <c r="O8" s="16"/>
      <c r="P8" s="16"/>
      <c r="Q8" s="16"/>
      <c r="R8" s="16"/>
      <c r="S8" s="16"/>
      <c r="T8" s="16"/>
      <c r="U8" s="2"/>
    </row>
    <row r="9" spans="2:21" ht="18.75" customHeight="1" thickBot="1" x14ac:dyDescent="0.3">
      <c r="B9" s="1"/>
      <c r="C9" s="1"/>
      <c r="D9" s="18"/>
      <c r="E9" s="18"/>
      <c r="F9" s="18"/>
      <c r="G9" s="18"/>
      <c r="H9" s="18"/>
      <c r="I9" s="18"/>
      <c r="J9" s="18"/>
      <c r="K9" s="18"/>
      <c r="L9" s="42"/>
      <c r="M9" s="27"/>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51" t="str">
        <f>IF(J6&gt;99.75, "No, above $99.75/mo", "Yes, below $99.75/mo")</f>
        <v>No, above $99.75/mo</v>
      </c>
      <c r="K10" s="171"/>
      <c r="L10" s="152"/>
      <c r="M10" s="45"/>
      <c r="N10" s="126"/>
      <c r="O10" s="90" t="s">
        <v>20</v>
      </c>
      <c r="P10" s="90"/>
      <c r="Q10" s="90"/>
      <c r="R10" s="90"/>
      <c r="S10" s="90"/>
      <c r="T10" s="90"/>
      <c r="U10" s="2"/>
    </row>
    <row r="11" spans="2:21" ht="18.75" customHeight="1" thickBot="1" x14ac:dyDescent="0.3">
      <c r="B11" s="11"/>
      <c r="C11" s="120"/>
      <c r="D11" s="121"/>
      <c r="E11" s="121"/>
      <c r="F11" s="121"/>
      <c r="G11" s="122"/>
      <c r="H11" s="18"/>
      <c r="I11" s="70"/>
      <c r="J11" s="172"/>
      <c r="K11" s="173"/>
      <c r="L11" s="174"/>
      <c r="M11" s="45"/>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53"/>
      <c r="K12" s="175"/>
      <c r="L12" s="154"/>
      <c r="M12" s="45"/>
      <c r="N12" s="13"/>
      <c r="O12" s="66">
        <v>0</v>
      </c>
      <c r="P12" s="67"/>
      <c r="Q12" s="68"/>
      <c r="R12" s="130">
        <f>O12*130*9.86%</f>
        <v>0</v>
      </c>
      <c r="S12" s="131"/>
      <c r="T12" s="132"/>
      <c r="U12" s="2"/>
    </row>
    <row r="13" spans="2:21" ht="18.75" customHeight="1" thickBot="1" x14ac:dyDescent="0.3">
      <c r="B13" s="11"/>
      <c r="C13" s="120"/>
      <c r="D13" s="121"/>
      <c r="E13" s="121"/>
      <c r="F13" s="121"/>
      <c r="G13" s="122"/>
      <c r="H13" s="19"/>
      <c r="I13" s="18"/>
      <c r="J13" s="18"/>
      <c r="K13" s="18"/>
      <c r="L13" s="42"/>
      <c r="M13" s="27"/>
      <c r="N13" s="13"/>
      <c r="O13" s="90" t="s">
        <v>21</v>
      </c>
      <c r="P13" s="90"/>
      <c r="Q13" s="90"/>
      <c r="R13" s="90"/>
      <c r="S13" s="90"/>
      <c r="T13" s="90"/>
      <c r="U13" s="2"/>
    </row>
    <row r="14" spans="2:21" ht="18.75" customHeight="1" thickBot="1" x14ac:dyDescent="0.3">
      <c r="B14" s="11"/>
      <c r="C14" s="120"/>
      <c r="D14" s="121"/>
      <c r="E14" s="121"/>
      <c r="F14" s="121"/>
      <c r="G14" s="122"/>
      <c r="H14" s="18"/>
      <c r="I14" s="142" t="s">
        <v>19</v>
      </c>
      <c r="J14" s="167" t="s">
        <v>15</v>
      </c>
      <c r="K14" s="147" t="s">
        <v>16</v>
      </c>
      <c r="L14" s="148"/>
      <c r="M14" s="46"/>
      <c r="N14" s="13"/>
      <c r="O14" s="63" t="s">
        <v>7</v>
      </c>
      <c r="P14" s="64"/>
      <c r="Q14" s="65"/>
      <c r="R14" s="139" t="s">
        <v>6</v>
      </c>
      <c r="S14" s="140"/>
      <c r="T14" s="141"/>
      <c r="U14" s="2"/>
    </row>
    <row r="15" spans="2:21" ht="18.75" customHeight="1" thickBot="1" x14ac:dyDescent="0.3">
      <c r="B15" s="11"/>
      <c r="C15" s="120"/>
      <c r="D15" s="121"/>
      <c r="E15" s="121"/>
      <c r="F15" s="121"/>
      <c r="G15" s="122"/>
      <c r="H15" s="18"/>
      <c r="I15" s="145"/>
      <c r="J15" s="168"/>
      <c r="K15" s="149"/>
      <c r="L15" s="150"/>
      <c r="M15" s="46"/>
      <c r="N15" s="13"/>
      <c r="O15" s="66">
        <v>0</v>
      </c>
      <c r="P15" s="67"/>
      <c r="Q15" s="68"/>
      <c r="R15" s="130">
        <f>O15*9.86%</f>
        <v>0</v>
      </c>
      <c r="S15" s="131"/>
      <c r="T15" s="132"/>
      <c r="U15" s="2"/>
    </row>
    <row r="16" spans="2:21" ht="18.75" customHeight="1" thickBot="1" x14ac:dyDescent="0.3">
      <c r="B16" s="11"/>
      <c r="C16" s="120"/>
      <c r="D16" s="121"/>
      <c r="E16" s="121"/>
      <c r="F16" s="121"/>
      <c r="G16" s="122"/>
      <c r="H16" s="18"/>
      <c r="I16" s="145"/>
      <c r="J16" s="169">
        <v>12</v>
      </c>
      <c r="K16" s="151">
        <f>L7*J16</f>
        <v>18255.578093306289</v>
      </c>
      <c r="L16" s="152"/>
      <c r="M16" s="45"/>
      <c r="N16" s="13"/>
      <c r="O16" s="13"/>
      <c r="P16" s="18"/>
      <c r="Q16" s="18"/>
      <c r="R16" s="18"/>
      <c r="S16" s="13"/>
      <c r="T16" s="13"/>
      <c r="U16" s="2"/>
    </row>
    <row r="17" spans="2:21" ht="18.75" customHeight="1" thickBot="1" x14ac:dyDescent="0.3">
      <c r="B17" s="11"/>
      <c r="C17" s="120"/>
      <c r="D17" s="121"/>
      <c r="E17" s="121"/>
      <c r="F17" s="121"/>
      <c r="G17" s="122"/>
      <c r="H17" s="18"/>
      <c r="I17" s="146"/>
      <c r="J17" s="170"/>
      <c r="K17" s="153"/>
      <c r="L17" s="154"/>
      <c r="M17" s="45"/>
      <c r="N17" s="13"/>
      <c r="O17" s="60" t="s">
        <v>8</v>
      </c>
      <c r="P17" s="61"/>
      <c r="Q17" s="61"/>
      <c r="R17" s="61"/>
      <c r="S17" s="61"/>
      <c r="T17" s="62"/>
      <c r="U17" s="2"/>
    </row>
    <row r="18" spans="2:21" ht="18.75" customHeight="1" thickBot="1" x14ac:dyDescent="0.3">
      <c r="B18" s="11"/>
      <c r="C18" s="120"/>
      <c r="D18" s="121"/>
      <c r="E18" s="121"/>
      <c r="F18" s="121"/>
      <c r="G18" s="122"/>
      <c r="H18" s="18"/>
      <c r="I18" s="18"/>
      <c r="J18" s="18"/>
      <c r="K18" s="18"/>
      <c r="L18" s="42"/>
      <c r="M18" s="27"/>
      <c r="N18" s="13"/>
      <c r="O18" s="63" t="s">
        <v>9</v>
      </c>
      <c r="P18" s="64"/>
      <c r="Q18" s="65"/>
      <c r="R18" s="133">
        <v>0</v>
      </c>
      <c r="S18" s="134"/>
      <c r="T18" s="135"/>
      <c r="U18" s="2"/>
    </row>
    <row r="19" spans="2:21" ht="18.75" customHeight="1" thickBot="1" x14ac:dyDescent="0.3">
      <c r="B19" s="6"/>
      <c r="C19" s="120"/>
      <c r="D19" s="121"/>
      <c r="E19" s="121"/>
      <c r="F19" s="121"/>
      <c r="G19" s="122"/>
      <c r="H19" s="18"/>
      <c r="I19" s="142" t="s">
        <v>18</v>
      </c>
      <c r="J19" s="155" t="s">
        <v>17</v>
      </c>
      <c r="K19" s="156"/>
      <c r="L19" s="157"/>
      <c r="M19" s="47"/>
      <c r="N19" s="13"/>
      <c r="O19" s="63" t="s">
        <v>10</v>
      </c>
      <c r="P19" s="64"/>
      <c r="Q19" s="65"/>
      <c r="R19" s="136">
        <v>12</v>
      </c>
      <c r="S19" s="137"/>
      <c r="T19" s="138"/>
      <c r="U19" s="2"/>
    </row>
    <row r="20" spans="2:21" ht="18.75" customHeight="1" thickBot="1" x14ac:dyDescent="0.3">
      <c r="B20" s="5"/>
      <c r="C20" s="120"/>
      <c r="D20" s="121"/>
      <c r="E20" s="121"/>
      <c r="F20" s="121"/>
      <c r="G20" s="122"/>
      <c r="H20" s="18"/>
      <c r="I20" s="143"/>
      <c r="J20" s="158"/>
      <c r="K20" s="159"/>
      <c r="L20" s="160"/>
      <c r="M20" s="47"/>
      <c r="N20" s="13"/>
      <c r="O20" s="63" t="s">
        <v>11</v>
      </c>
      <c r="P20" s="64"/>
      <c r="Q20" s="65"/>
      <c r="R20" s="130">
        <f>R18*(1/R19)*9.86%</f>
        <v>0</v>
      </c>
      <c r="S20" s="131"/>
      <c r="T20" s="132"/>
      <c r="U20" s="2"/>
    </row>
    <row r="21" spans="2:21" ht="18.75" customHeight="1" x14ac:dyDescent="0.25">
      <c r="B21" s="1"/>
      <c r="C21" s="120"/>
      <c r="D21" s="121"/>
      <c r="E21" s="121"/>
      <c r="F21" s="121"/>
      <c r="G21" s="122"/>
      <c r="H21" s="18"/>
      <c r="I21" s="143"/>
      <c r="J21" s="161">
        <f>L6/1559</f>
        <v>11.709799931562726</v>
      </c>
      <c r="K21" s="162"/>
      <c r="L21" s="163"/>
      <c r="M21" s="48"/>
      <c r="N21" s="13"/>
      <c r="O21" s="13"/>
      <c r="P21" s="18"/>
      <c r="Q21" s="18"/>
      <c r="R21" s="18"/>
      <c r="S21" s="13"/>
      <c r="T21" s="13"/>
      <c r="U21" s="2"/>
    </row>
    <row r="22" spans="2:21" ht="18.75" customHeight="1" thickBot="1" x14ac:dyDescent="0.3">
      <c r="B22" s="9"/>
      <c r="C22" s="123"/>
      <c r="D22" s="124"/>
      <c r="E22" s="124"/>
      <c r="F22" s="124"/>
      <c r="G22" s="125"/>
      <c r="H22" s="24"/>
      <c r="I22" s="144"/>
      <c r="J22" s="164"/>
      <c r="K22" s="165"/>
      <c r="L22" s="166"/>
      <c r="M22" s="48"/>
      <c r="N22" s="13"/>
      <c r="O22" s="13"/>
      <c r="P22" s="13"/>
      <c r="Q22" s="13"/>
      <c r="R22" s="13"/>
      <c r="S22" s="13"/>
      <c r="T22" s="13"/>
      <c r="U22" s="2"/>
    </row>
    <row r="23" spans="2:21" ht="18.75" customHeight="1" thickBot="1" x14ac:dyDescent="0.3">
      <c r="B23" s="1"/>
      <c r="C23" s="13"/>
      <c r="D23" s="18"/>
      <c r="E23" s="18"/>
      <c r="F23" s="18"/>
      <c r="G23" s="18"/>
      <c r="H23" s="18"/>
      <c r="I23" s="15"/>
      <c r="J23" s="43"/>
      <c r="K23" s="43"/>
      <c r="L23" s="43"/>
      <c r="M23" s="49"/>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4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4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42"/>
      <c r="N26" s="13"/>
      <c r="O26" s="13"/>
      <c r="P26" s="13"/>
      <c r="Q26" s="13"/>
      <c r="R26" s="13"/>
      <c r="S26" s="13"/>
      <c r="T26" s="13"/>
      <c r="U26" s="2"/>
    </row>
    <row r="27" spans="2:21" ht="18.75" customHeight="1" thickBot="1" x14ac:dyDescent="0.3">
      <c r="B27" s="7"/>
      <c r="C27" s="3"/>
      <c r="D27" s="3"/>
      <c r="E27" s="3"/>
      <c r="F27" s="3"/>
      <c r="G27" s="3"/>
      <c r="H27" s="24"/>
      <c r="I27" s="24"/>
      <c r="J27" s="24"/>
      <c r="K27" s="24"/>
      <c r="L27" s="24"/>
      <c r="M27" s="50"/>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V7BylH5g1qG5Vva2ArX/rAEofqd3QoZhvl5Qyg5zja97Z3exCW8KvXqpBqwEZmxuULtEyFK46NYs3erImmEfqA==" saltValue="URoXEOTYPeo25Ei46jQC4w=="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2"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3FC1-1377-498C-8BE1-8ECD73BBFE12}">
  <dimension ref="B1:U31"/>
  <sheetViews>
    <sheetView showGridLines="0" workbookViewId="0">
      <selection activeCell="J6" sqref="J6:K6"/>
    </sheetView>
  </sheetViews>
  <sheetFormatPr defaultRowHeight="18.75" customHeight="1" x14ac:dyDescent="0.25"/>
  <cols>
    <col min="2" max="2" width="7.5703125" customWidth="1"/>
    <col min="4" max="4" width="30.42578125" style="17" customWidth="1"/>
    <col min="5" max="5" width="7.5703125" style="17" customWidth="1"/>
    <col min="6" max="6" width="19.140625" style="17" customWidth="1"/>
    <col min="7" max="7" width="11.5703125" style="17" customWidth="1"/>
    <col min="8" max="8" width="4.85546875" style="17" customWidth="1"/>
    <col min="9" max="9" width="26" style="17" customWidth="1"/>
    <col min="10" max="10" width="13.85546875" customWidth="1"/>
    <col min="11" max="11" width="11.42578125" customWidth="1"/>
    <col min="12" max="12" width="10.140625" bestFit="1" customWidth="1"/>
    <col min="13" max="13" width="5.5703125" customWidth="1"/>
    <col min="14" max="14" width="6.28515625" customWidth="1"/>
    <col min="18" max="18" width="10.7109375" customWidth="1"/>
    <col min="20" max="20" width="9.28515625" customWidth="1"/>
  </cols>
  <sheetData>
    <row r="1" spans="2:21" ht="18.75" customHeight="1" thickBot="1" x14ac:dyDescent="0.3"/>
    <row r="2" spans="2:21" ht="37.5" customHeight="1" thickBot="1" x14ac:dyDescent="0.55000000000000004">
      <c r="B2" s="114" t="s">
        <v>35</v>
      </c>
      <c r="C2" s="115"/>
      <c r="D2" s="115"/>
      <c r="E2" s="115"/>
      <c r="F2" s="115"/>
      <c r="G2" s="115"/>
      <c r="H2" s="115"/>
      <c r="I2" s="115"/>
      <c r="J2" s="115"/>
      <c r="K2" s="115"/>
      <c r="L2" s="115"/>
      <c r="M2" s="115"/>
      <c r="N2" s="115"/>
      <c r="O2" s="115"/>
      <c r="P2" s="115"/>
      <c r="Q2" s="115"/>
      <c r="R2" s="115"/>
      <c r="S2" s="115"/>
      <c r="T2" s="115"/>
      <c r="U2" s="116"/>
    </row>
    <row r="3" spans="2:21" ht="18.75" customHeight="1" thickBot="1" x14ac:dyDescent="0.3">
      <c r="B3" s="33"/>
      <c r="C3" s="10"/>
      <c r="D3" s="23"/>
      <c r="E3" s="23"/>
      <c r="F3" s="23"/>
      <c r="G3" s="23"/>
      <c r="H3" s="23"/>
      <c r="I3" s="23"/>
      <c r="J3" s="10"/>
      <c r="K3" s="10"/>
      <c r="L3" s="10"/>
      <c r="M3" s="12"/>
      <c r="N3" s="10"/>
      <c r="O3" s="10"/>
      <c r="P3" s="10"/>
      <c r="Q3" s="10"/>
      <c r="R3" s="10"/>
      <c r="S3" s="10"/>
      <c r="T3" s="10"/>
      <c r="U3" s="12"/>
    </row>
    <row r="4" spans="2:21" ht="18.75" customHeight="1" thickBot="1" x14ac:dyDescent="0.3">
      <c r="B4" s="1"/>
      <c r="C4" s="63" t="s">
        <v>3</v>
      </c>
      <c r="D4" s="64"/>
      <c r="E4" s="64"/>
      <c r="F4" s="64"/>
      <c r="G4" s="65"/>
      <c r="H4" s="23"/>
      <c r="I4" s="23"/>
      <c r="J4" s="10"/>
      <c r="K4" s="10"/>
      <c r="L4" s="12"/>
      <c r="M4" s="25"/>
      <c r="N4" s="13"/>
      <c r="O4" s="13"/>
      <c r="P4" s="13"/>
      <c r="Q4" s="13"/>
      <c r="R4" s="13"/>
      <c r="S4" s="13"/>
      <c r="T4" s="13"/>
      <c r="U4" s="2"/>
    </row>
    <row r="5" spans="2:21" ht="18.75" customHeight="1" thickBot="1" x14ac:dyDescent="0.3">
      <c r="B5" s="1"/>
      <c r="C5" s="117" t="s">
        <v>26</v>
      </c>
      <c r="D5" s="118"/>
      <c r="E5" s="118"/>
      <c r="F5" s="118"/>
      <c r="G5" s="119"/>
      <c r="H5" s="18"/>
      <c r="I5" s="20" t="s">
        <v>0</v>
      </c>
      <c r="J5" s="66">
        <v>0</v>
      </c>
      <c r="K5" s="68"/>
      <c r="L5" s="34">
        <f>J6*12</f>
        <v>1800</v>
      </c>
      <c r="M5" s="26"/>
      <c r="N5" s="13"/>
      <c r="O5" s="117" t="s">
        <v>25</v>
      </c>
      <c r="P5" s="118"/>
      <c r="Q5" s="118"/>
      <c r="R5" s="118"/>
      <c r="S5" s="118"/>
      <c r="T5" s="119"/>
      <c r="U5" s="2"/>
    </row>
    <row r="6" spans="2:21" ht="18.75" customHeight="1" thickBot="1" x14ac:dyDescent="0.3">
      <c r="B6" s="11"/>
      <c r="C6" s="120"/>
      <c r="D6" s="121"/>
      <c r="E6" s="121"/>
      <c r="F6" s="121"/>
      <c r="G6" s="122"/>
      <c r="H6" s="18"/>
      <c r="I6" s="20" t="s">
        <v>1</v>
      </c>
      <c r="J6" s="66">
        <v>150</v>
      </c>
      <c r="K6" s="68"/>
      <c r="L6" s="34">
        <f>1*L5/0.0956</f>
        <v>18828.451882845187</v>
      </c>
      <c r="M6" s="26"/>
      <c r="N6" s="13"/>
      <c r="O6" s="120"/>
      <c r="P6" s="121"/>
      <c r="Q6" s="121"/>
      <c r="R6" s="121"/>
      <c r="S6" s="121"/>
      <c r="T6" s="122"/>
      <c r="U6" s="2"/>
    </row>
    <row r="7" spans="2:21" ht="18.75" customHeight="1" thickBot="1" x14ac:dyDescent="0.3">
      <c r="B7" s="5"/>
      <c r="C7" s="120"/>
      <c r="D7" s="121"/>
      <c r="E7" s="121"/>
      <c r="F7" s="121"/>
      <c r="G7" s="122"/>
      <c r="H7" s="19"/>
      <c r="I7" s="20" t="s">
        <v>2</v>
      </c>
      <c r="J7" s="66">
        <v>0</v>
      </c>
      <c r="K7" s="68"/>
      <c r="L7" s="35">
        <f>L6/12</f>
        <v>1569.0376569037655</v>
      </c>
      <c r="M7" s="27"/>
      <c r="N7" s="13"/>
      <c r="O7" s="123"/>
      <c r="P7" s="124"/>
      <c r="Q7" s="124"/>
      <c r="R7" s="124"/>
      <c r="S7" s="124"/>
      <c r="T7" s="125"/>
      <c r="U7" s="2"/>
    </row>
    <row r="8" spans="2:21" ht="18.75" customHeight="1" thickBot="1" x14ac:dyDescent="0.3">
      <c r="B8" s="4"/>
      <c r="C8" s="123"/>
      <c r="D8" s="124"/>
      <c r="E8" s="124"/>
      <c r="F8" s="124"/>
      <c r="G8" s="125"/>
      <c r="H8" s="18"/>
      <c r="I8" s="18"/>
      <c r="J8" s="13"/>
      <c r="K8" s="13"/>
      <c r="L8" s="2"/>
      <c r="M8" s="25"/>
      <c r="N8" s="126"/>
      <c r="O8" s="16"/>
      <c r="P8" s="16"/>
      <c r="Q8" s="16"/>
      <c r="R8" s="16"/>
      <c r="S8" s="16"/>
      <c r="T8" s="16"/>
      <c r="U8" s="2"/>
    </row>
    <row r="9" spans="2:21" ht="18.75" customHeight="1" thickBot="1" x14ac:dyDescent="0.3">
      <c r="B9" s="1"/>
      <c r="C9" s="1"/>
      <c r="D9" s="18"/>
      <c r="E9" s="18"/>
      <c r="F9" s="18"/>
      <c r="G9" s="18"/>
      <c r="H9" s="18"/>
      <c r="I9" s="18"/>
      <c r="J9" s="13"/>
      <c r="K9" s="13"/>
      <c r="L9" s="2"/>
      <c r="M9" s="25"/>
      <c r="N9" s="126"/>
      <c r="O9" s="60" t="s">
        <v>4</v>
      </c>
      <c r="P9" s="61"/>
      <c r="Q9" s="61"/>
      <c r="R9" s="61"/>
      <c r="S9" s="61"/>
      <c r="T9" s="62"/>
      <c r="U9" s="2"/>
    </row>
    <row r="10" spans="2:21" ht="18.75" customHeight="1" thickBot="1" x14ac:dyDescent="0.3">
      <c r="B10" s="11"/>
      <c r="C10" s="117" t="s">
        <v>14</v>
      </c>
      <c r="D10" s="118"/>
      <c r="E10" s="118"/>
      <c r="F10" s="118"/>
      <c r="G10" s="119"/>
      <c r="H10" s="18"/>
      <c r="I10" s="108" t="s">
        <v>13</v>
      </c>
      <c r="J10" s="104" t="str">
        <f>IF(J6&gt;96.08, "No, above $96.08/mo", "Yes, below $96.08/mo")</f>
        <v>No, above $96.08/mo</v>
      </c>
      <c r="K10" s="109"/>
      <c r="L10" s="105"/>
      <c r="M10" s="28"/>
      <c r="N10" s="126"/>
      <c r="O10" s="90" t="s">
        <v>20</v>
      </c>
      <c r="P10" s="90"/>
      <c r="Q10" s="90"/>
      <c r="R10" s="90"/>
      <c r="S10" s="90"/>
      <c r="T10" s="90"/>
      <c r="U10" s="2"/>
    </row>
    <row r="11" spans="2:21" ht="18.75" customHeight="1" thickBot="1" x14ac:dyDescent="0.3">
      <c r="B11" s="11"/>
      <c r="C11" s="120"/>
      <c r="D11" s="121"/>
      <c r="E11" s="121"/>
      <c r="F11" s="121"/>
      <c r="G11" s="122"/>
      <c r="H11" s="18"/>
      <c r="I11" s="70"/>
      <c r="J11" s="110"/>
      <c r="K11" s="111"/>
      <c r="L11" s="112"/>
      <c r="M11" s="28"/>
      <c r="N11" s="13"/>
      <c r="O11" s="63" t="s">
        <v>5</v>
      </c>
      <c r="P11" s="64"/>
      <c r="Q11" s="65"/>
      <c r="R11" s="127" t="s">
        <v>6</v>
      </c>
      <c r="S11" s="128"/>
      <c r="T11" s="129"/>
      <c r="U11" s="2"/>
    </row>
    <row r="12" spans="2:21" ht="18.75" customHeight="1" thickBot="1" x14ac:dyDescent="0.3">
      <c r="B12" s="11"/>
      <c r="C12" s="120"/>
      <c r="D12" s="121"/>
      <c r="E12" s="121"/>
      <c r="F12" s="121"/>
      <c r="G12" s="122"/>
      <c r="H12" s="18"/>
      <c r="I12" s="71"/>
      <c r="J12" s="106"/>
      <c r="K12" s="113"/>
      <c r="L12" s="107"/>
      <c r="M12" s="28"/>
      <c r="N12" s="13"/>
      <c r="O12" s="66">
        <v>0</v>
      </c>
      <c r="P12" s="67"/>
      <c r="Q12" s="68"/>
      <c r="R12" s="130">
        <f>O12*130*9.56%</f>
        <v>0</v>
      </c>
      <c r="S12" s="131"/>
      <c r="T12" s="132"/>
      <c r="U12" s="2"/>
    </row>
    <row r="13" spans="2:21" ht="18.75" customHeight="1" thickBot="1" x14ac:dyDescent="0.3">
      <c r="B13" s="11"/>
      <c r="C13" s="120"/>
      <c r="D13" s="121"/>
      <c r="E13" s="121"/>
      <c r="F13" s="121"/>
      <c r="G13" s="122"/>
      <c r="H13" s="19"/>
      <c r="I13" s="18"/>
      <c r="J13" s="13"/>
      <c r="K13" s="13"/>
      <c r="L13" s="2"/>
      <c r="M13" s="25"/>
      <c r="N13" s="13"/>
      <c r="O13" s="90" t="s">
        <v>21</v>
      </c>
      <c r="P13" s="90"/>
      <c r="Q13" s="90"/>
      <c r="R13" s="90"/>
      <c r="S13" s="90"/>
      <c r="T13" s="90"/>
      <c r="U13" s="2"/>
    </row>
    <row r="14" spans="2:21" ht="18.75" customHeight="1" thickBot="1" x14ac:dyDescent="0.3">
      <c r="B14" s="11"/>
      <c r="C14" s="120"/>
      <c r="D14" s="121"/>
      <c r="E14" s="121"/>
      <c r="F14" s="121"/>
      <c r="G14" s="122"/>
      <c r="H14" s="18"/>
      <c r="I14" s="142" t="s">
        <v>19</v>
      </c>
      <c r="J14" s="93" t="s">
        <v>15</v>
      </c>
      <c r="K14" s="95" t="s">
        <v>16</v>
      </c>
      <c r="L14" s="96"/>
      <c r="M14" s="29"/>
      <c r="N14" s="13"/>
      <c r="O14" s="63" t="s">
        <v>7</v>
      </c>
      <c r="P14" s="64"/>
      <c r="Q14" s="65"/>
      <c r="R14" s="139" t="s">
        <v>6</v>
      </c>
      <c r="S14" s="140"/>
      <c r="T14" s="141"/>
      <c r="U14" s="2"/>
    </row>
    <row r="15" spans="2:21" ht="18.75" customHeight="1" thickBot="1" x14ac:dyDescent="0.3">
      <c r="B15" s="11"/>
      <c r="C15" s="120"/>
      <c r="D15" s="121"/>
      <c r="E15" s="121"/>
      <c r="F15" s="121"/>
      <c r="G15" s="122"/>
      <c r="H15" s="18"/>
      <c r="I15" s="145"/>
      <c r="J15" s="94"/>
      <c r="K15" s="97"/>
      <c r="L15" s="98"/>
      <c r="M15" s="29"/>
      <c r="N15" s="13"/>
      <c r="O15" s="66">
        <v>0</v>
      </c>
      <c r="P15" s="67"/>
      <c r="Q15" s="68"/>
      <c r="R15" s="130">
        <f>O15*9.56%</f>
        <v>0</v>
      </c>
      <c r="S15" s="131"/>
      <c r="T15" s="132"/>
      <c r="U15" s="2"/>
    </row>
    <row r="16" spans="2:21" ht="18.75" customHeight="1" thickBot="1" x14ac:dyDescent="0.3">
      <c r="B16" s="11"/>
      <c r="C16" s="120"/>
      <c r="D16" s="121"/>
      <c r="E16" s="121"/>
      <c r="F16" s="121"/>
      <c r="G16" s="122"/>
      <c r="H16" s="18"/>
      <c r="I16" s="145"/>
      <c r="J16" s="102">
        <v>12</v>
      </c>
      <c r="K16" s="104">
        <f>L7*J16</f>
        <v>18828.451882845187</v>
      </c>
      <c r="L16" s="105"/>
      <c r="M16" s="28"/>
      <c r="N16" s="13"/>
      <c r="O16" s="13"/>
      <c r="P16" s="18"/>
      <c r="Q16" s="18"/>
      <c r="R16" s="18"/>
      <c r="S16" s="13"/>
      <c r="T16" s="13"/>
      <c r="U16" s="2"/>
    </row>
    <row r="17" spans="2:21" ht="18.75" customHeight="1" thickBot="1" x14ac:dyDescent="0.3">
      <c r="B17" s="11"/>
      <c r="C17" s="120"/>
      <c r="D17" s="121"/>
      <c r="E17" s="121"/>
      <c r="F17" s="121"/>
      <c r="G17" s="122"/>
      <c r="H17" s="18"/>
      <c r="I17" s="146"/>
      <c r="J17" s="103"/>
      <c r="K17" s="106"/>
      <c r="L17" s="107"/>
      <c r="M17" s="28"/>
      <c r="N17" s="13"/>
      <c r="O17" s="60" t="s">
        <v>8</v>
      </c>
      <c r="P17" s="61"/>
      <c r="Q17" s="61"/>
      <c r="R17" s="61"/>
      <c r="S17" s="61"/>
      <c r="T17" s="62"/>
      <c r="U17" s="2"/>
    </row>
    <row r="18" spans="2:21" ht="18.75" customHeight="1" thickBot="1" x14ac:dyDescent="0.3">
      <c r="B18" s="11"/>
      <c r="C18" s="120"/>
      <c r="D18" s="121"/>
      <c r="E18" s="121"/>
      <c r="F18" s="121"/>
      <c r="G18" s="122"/>
      <c r="H18" s="18"/>
      <c r="I18" s="18"/>
      <c r="J18" s="13"/>
      <c r="K18" s="13"/>
      <c r="L18" s="2"/>
      <c r="M18" s="25"/>
      <c r="N18" s="13"/>
      <c r="O18" s="63" t="s">
        <v>9</v>
      </c>
      <c r="P18" s="64"/>
      <c r="Q18" s="65"/>
      <c r="R18" s="133">
        <v>0</v>
      </c>
      <c r="S18" s="134"/>
      <c r="T18" s="135"/>
      <c r="U18" s="2"/>
    </row>
    <row r="19" spans="2:21" ht="18.75" customHeight="1" thickBot="1" x14ac:dyDescent="0.3">
      <c r="B19" s="6"/>
      <c r="C19" s="120"/>
      <c r="D19" s="121"/>
      <c r="E19" s="121"/>
      <c r="F19" s="121"/>
      <c r="G19" s="122"/>
      <c r="H19" s="18"/>
      <c r="I19" s="142" t="s">
        <v>18</v>
      </c>
      <c r="J19" s="72" t="s">
        <v>17</v>
      </c>
      <c r="K19" s="73"/>
      <c r="L19" s="74"/>
      <c r="M19" s="30"/>
      <c r="N19" s="13"/>
      <c r="O19" s="63" t="s">
        <v>10</v>
      </c>
      <c r="P19" s="64"/>
      <c r="Q19" s="65"/>
      <c r="R19" s="136">
        <v>12</v>
      </c>
      <c r="S19" s="137"/>
      <c r="T19" s="138"/>
      <c r="U19" s="2"/>
    </row>
    <row r="20" spans="2:21" ht="18.75" customHeight="1" thickBot="1" x14ac:dyDescent="0.3">
      <c r="B20" s="5"/>
      <c r="C20" s="120"/>
      <c r="D20" s="121"/>
      <c r="E20" s="121"/>
      <c r="F20" s="121"/>
      <c r="G20" s="122"/>
      <c r="H20" s="18"/>
      <c r="I20" s="143"/>
      <c r="J20" s="75"/>
      <c r="K20" s="76"/>
      <c r="L20" s="77"/>
      <c r="M20" s="30"/>
      <c r="N20" s="13"/>
      <c r="O20" s="63" t="s">
        <v>11</v>
      </c>
      <c r="P20" s="64"/>
      <c r="Q20" s="65"/>
      <c r="R20" s="130">
        <f>R18*(1/R19)*9.56%</f>
        <v>0</v>
      </c>
      <c r="S20" s="131"/>
      <c r="T20" s="132"/>
      <c r="U20" s="2"/>
    </row>
    <row r="21" spans="2:21" ht="18.75" customHeight="1" x14ac:dyDescent="0.25">
      <c r="B21" s="1"/>
      <c r="C21" s="120"/>
      <c r="D21" s="121"/>
      <c r="E21" s="121"/>
      <c r="F21" s="121"/>
      <c r="G21" s="122"/>
      <c r="H21" s="18"/>
      <c r="I21" s="143"/>
      <c r="J21" s="84">
        <f>L6/1559</f>
        <v>12.077262272511346</v>
      </c>
      <c r="K21" s="85"/>
      <c r="L21" s="86"/>
      <c r="M21" s="31"/>
      <c r="N21" s="13"/>
      <c r="O21" s="13"/>
      <c r="P21" s="18"/>
      <c r="Q21" s="18"/>
      <c r="R21" s="18"/>
      <c r="S21" s="13"/>
      <c r="T21" s="13"/>
      <c r="U21" s="2"/>
    </row>
    <row r="22" spans="2:21" ht="18.75" customHeight="1" thickBot="1" x14ac:dyDescent="0.3">
      <c r="B22" s="9"/>
      <c r="C22" s="123"/>
      <c r="D22" s="124"/>
      <c r="E22" s="124"/>
      <c r="F22" s="124"/>
      <c r="G22" s="125"/>
      <c r="H22" s="24"/>
      <c r="I22" s="144"/>
      <c r="J22" s="87"/>
      <c r="K22" s="88"/>
      <c r="L22" s="89"/>
      <c r="M22" s="31"/>
      <c r="N22" s="13"/>
      <c r="O22" s="13"/>
      <c r="P22" s="13"/>
      <c r="Q22" s="13"/>
      <c r="R22" s="13"/>
      <c r="S22" s="13"/>
      <c r="T22" s="13"/>
      <c r="U22" s="2"/>
    </row>
    <row r="23" spans="2:21" ht="18.75" customHeight="1" thickBot="1" x14ac:dyDescent="0.3">
      <c r="B23" s="1"/>
      <c r="C23" s="13"/>
      <c r="D23" s="18"/>
      <c r="E23" s="18"/>
      <c r="F23" s="18"/>
      <c r="G23" s="18"/>
      <c r="H23" s="18"/>
      <c r="I23" s="15"/>
      <c r="J23" s="15"/>
      <c r="K23" s="15"/>
      <c r="L23" s="15"/>
      <c r="M23" s="32"/>
      <c r="N23" s="15"/>
      <c r="O23" s="13"/>
      <c r="P23" s="13"/>
      <c r="Q23" s="13"/>
      <c r="R23" s="13"/>
      <c r="S23" s="13"/>
      <c r="T23" s="13"/>
      <c r="U23" s="2"/>
    </row>
    <row r="24" spans="2:21" ht="18.75" customHeight="1" x14ac:dyDescent="0.25">
      <c r="B24" s="1"/>
      <c r="C24" s="51" t="s">
        <v>24</v>
      </c>
      <c r="D24" s="52"/>
      <c r="E24" s="52"/>
      <c r="F24" s="52"/>
      <c r="G24" s="52"/>
      <c r="H24" s="52"/>
      <c r="I24" s="52"/>
      <c r="J24" s="52"/>
      <c r="K24" s="52"/>
      <c r="L24" s="53"/>
      <c r="M24" s="2"/>
      <c r="N24" s="13"/>
      <c r="O24" s="13"/>
      <c r="P24" s="13"/>
      <c r="Q24" s="13"/>
      <c r="R24" s="13"/>
      <c r="S24" s="13"/>
      <c r="T24" s="13"/>
      <c r="U24" s="2"/>
    </row>
    <row r="25" spans="2:21" ht="18.75" customHeight="1" x14ac:dyDescent="0.25">
      <c r="B25" s="1"/>
      <c r="C25" s="54" t="s">
        <v>22</v>
      </c>
      <c r="D25" s="55"/>
      <c r="E25" s="55"/>
      <c r="F25" s="55"/>
      <c r="G25" s="55"/>
      <c r="H25" s="55"/>
      <c r="I25" s="55"/>
      <c r="J25" s="55"/>
      <c r="K25" s="55"/>
      <c r="L25" s="56"/>
      <c r="M25" s="2"/>
      <c r="N25" s="13"/>
      <c r="O25" s="13"/>
      <c r="P25" s="13"/>
      <c r="Q25" s="13"/>
      <c r="R25" s="13"/>
      <c r="S25" s="13"/>
      <c r="T25" s="13"/>
      <c r="U25" s="2"/>
    </row>
    <row r="26" spans="2:21" ht="18.75" customHeight="1" thickBot="1" x14ac:dyDescent="0.3">
      <c r="B26" s="1"/>
      <c r="C26" s="57" t="s">
        <v>23</v>
      </c>
      <c r="D26" s="58"/>
      <c r="E26" s="58"/>
      <c r="F26" s="58"/>
      <c r="G26" s="58"/>
      <c r="H26" s="58"/>
      <c r="I26" s="58"/>
      <c r="J26" s="58"/>
      <c r="K26" s="58"/>
      <c r="L26" s="59"/>
      <c r="M26" s="2"/>
      <c r="N26" s="13"/>
      <c r="O26" s="13"/>
      <c r="P26" s="13"/>
      <c r="Q26" s="13"/>
      <c r="R26" s="13"/>
      <c r="S26" s="13"/>
      <c r="T26" s="13"/>
      <c r="U26" s="2"/>
    </row>
    <row r="27" spans="2:21" ht="18.75" customHeight="1" thickBot="1" x14ac:dyDescent="0.3">
      <c r="B27" s="7"/>
      <c r="C27" s="3"/>
      <c r="D27" s="3"/>
      <c r="E27" s="3"/>
      <c r="F27" s="3"/>
      <c r="G27" s="3"/>
      <c r="H27" s="24"/>
      <c r="I27" s="24"/>
      <c r="J27" s="3"/>
      <c r="K27" s="3"/>
      <c r="L27" s="3"/>
      <c r="M27" s="8"/>
      <c r="N27" s="3"/>
      <c r="O27" s="3"/>
      <c r="P27" s="3"/>
      <c r="Q27" s="3"/>
      <c r="R27" s="3"/>
      <c r="S27" s="3"/>
      <c r="T27" s="3"/>
      <c r="U27" s="8"/>
    </row>
    <row r="28" spans="2:21" ht="18.75" customHeight="1" x14ac:dyDescent="0.25">
      <c r="C28" s="14"/>
      <c r="D28"/>
      <c r="E28"/>
      <c r="F28"/>
      <c r="G28"/>
    </row>
    <row r="29" spans="2:21" ht="18.75" customHeight="1" x14ac:dyDescent="0.25">
      <c r="G29" s="22"/>
    </row>
    <row r="30" spans="2:21" ht="18.75" customHeight="1" x14ac:dyDescent="0.25">
      <c r="G30" s="21"/>
    </row>
    <row r="31" spans="2:21" ht="18.75" customHeight="1" x14ac:dyDescent="0.25">
      <c r="G31" s="22"/>
    </row>
  </sheetData>
  <sheetProtection algorithmName="SHA-512" hashValue="A0Kk3ojcnm+heUjaoAc/4aMfXDZmqHL1ziMAs6rs75AHwl17qS3G4m80q0wXB/Obc0WQ0rusojwZBJDsajMyYg==" saltValue="K9O20U6g1G1w/DwMqMmpVw==" spinCount="100000" sheet="1" objects="1" scenarios="1" selectLockedCells="1"/>
  <mergeCells count="40">
    <mergeCell ref="B2:U2"/>
    <mergeCell ref="C4:G4"/>
    <mergeCell ref="C5:G8"/>
    <mergeCell ref="J5:K5"/>
    <mergeCell ref="O5:T7"/>
    <mergeCell ref="J6:K6"/>
    <mergeCell ref="J7:K7"/>
    <mergeCell ref="N8:N10"/>
    <mergeCell ref="O9:T9"/>
    <mergeCell ref="C10:G22"/>
    <mergeCell ref="I10:I12"/>
    <mergeCell ref="J10:L12"/>
    <mergeCell ref="O10:T10"/>
    <mergeCell ref="O11:Q11"/>
    <mergeCell ref="R11:T11"/>
    <mergeCell ref="O12:Q12"/>
    <mergeCell ref="R12:T12"/>
    <mergeCell ref="O13:T13"/>
    <mergeCell ref="I14:I17"/>
    <mergeCell ref="J14:J15"/>
    <mergeCell ref="K14:L15"/>
    <mergeCell ref="O14:Q14"/>
    <mergeCell ref="R14:T14"/>
    <mergeCell ref="O15:Q15"/>
    <mergeCell ref="R15:T15"/>
    <mergeCell ref="J16:J17"/>
    <mergeCell ref="K16:L17"/>
    <mergeCell ref="C24:L24"/>
    <mergeCell ref="C25:L25"/>
    <mergeCell ref="C26:L26"/>
    <mergeCell ref="O17:T17"/>
    <mergeCell ref="O18:Q18"/>
    <mergeCell ref="R18:T18"/>
    <mergeCell ref="I19:I22"/>
    <mergeCell ref="J19:L20"/>
    <mergeCell ref="O19:Q19"/>
    <mergeCell ref="R19:T19"/>
    <mergeCell ref="O20:Q20"/>
    <mergeCell ref="R20:T20"/>
    <mergeCell ref="J21:L22"/>
  </mergeCells>
  <conditionalFormatting sqref="J10">
    <cfRule type="containsText" dxfId="1" priority="1" operator="containsText" text="yes">
      <formula>NOT(ISERROR(SEARCH("yes",J10)))</formula>
    </cfRule>
  </conditionalFormatting>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2026</vt:lpstr>
      <vt:lpstr>2025</vt:lpstr>
      <vt:lpstr>2024</vt:lpstr>
      <vt:lpstr>2023</vt:lpstr>
      <vt:lpstr>2022</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Alyssa C</dc:creator>
  <cp:lastModifiedBy>Alyssa Crow</cp:lastModifiedBy>
  <dcterms:created xsi:type="dcterms:W3CDTF">2023-09-11T18:33:31Z</dcterms:created>
  <dcterms:modified xsi:type="dcterms:W3CDTF">2025-07-29T16:13:47Z</dcterms:modified>
</cp:coreProperties>
</file>