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date1904="1"/>
  <mc:AlternateContent xmlns:mc="http://schemas.openxmlformats.org/markup-compatibility/2006">
    <mc:Choice Requires="x15">
      <x15ac:absPath xmlns:x15ac="http://schemas.microsoft.com/office/spreadsheetml/2010/11/ac" url="/Users/luismanuelrivera/Desktop/Certificación en Finanzas Alimentos y Bebidas Abril 2021/"/>
    </mc:Choice>
  </mc:AlternateContent>
  <xr:revisionPtr revIDLastSave="0" documentId="13_ncr:1_{200C3C9B-B165-7744-942B-FC9BC6D32FEA}" xr6:coauthVersionLast="46" xr6:coauthVersionMax="46" xr10:uidLastSave="{00000000-0000-0000-0000-000000000000}"/>
  <bookViews>
    <workbookView xWindow="0" yWindow="500" windowWidth="28800" windowHeight="16260" tabRatio="500" activeTab="3" xr2:uid="{00000000-000D-0000-FFFF-FFFF00000000}"/>
  </bookViews>
  <sheets>
    <sheet name="CARNES,PESCADOS Y MARISCOS" sheetId="9" r:id="rId1"/>
    <sheet name="PRUEBAS DE RENDIMIENTO" sheetId="5" r:id="rId2"/>
    <sheet name="arrachera" sheetId="6" r:id="rId3"/>
    <sheet name="pechuga a la plancha" sheetId="1" r:id="rId4"/>
    <sheet name="elasticidad de la oferta" sheetId="2"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9" i="1" l="1"/>
  <c r="G29" i="1"/>
  <c r="I29" i="1"/>
  <c r="E10" i="1"/>
  <c r="E39" i="1"/>
  <c r="J34" i="6"/>
  <c r="J33" i="6"/>
  <c r="I33" i="6"/>
  <c r="H29" i="6"/>
  <c r="H27" i="6"/>
  <c r="G27" i="6"/>
  <c r="F28" i="6"/>
  <c r="E9" i="6"/>
  <c r="D9" i="6"/>
  <c r="Q5" i="9"/>
  <c r="O5" i="9"/>
  <c r="K20" i="5"/>
  <c r="K18" i="5"/>
  <c r="L15" i="5"/>
  <c r="L14" i="5"/>
  <c r="K16" i="5"/>
  <c r="M9" i="5"/>
  <c r="L9" i="5"/>
  <c r="M8" i="5"/>
  <c r="O11" i="5" s="1"/>
  <c r="L8" i="5"/>
  <c r="R29" i="1"/>
  <c r="R28" i="1"/>
  <c r="R26" i="1"/>
  <c r="R11" i="1"/>
  <c r="I27" i="6"/>
  <c r="I28" i="6"/>
  <c r="O12" i="5"/>
  <c r="R25" i="9" l="1"/>
  <c r="O25" i="9"/>
  <c r="K25" i="9"/>
  <c r="D25" i="9"/>
  <c r="R24" i="9"/>
  <c r="K24" i="9"/>
  <c r="D24" i="9"/>
  <c r="R23" i="9"/>
  <c r="O23" i="9"/>
  <c r="K23" i="9"/>
  <c r="D23" i="9"/>
  <c r="R22" i="9"/>
  <c r="K22" i="9"/>
  <c r="O22" i="9" s="1"/>
  <c r="D22" i="9"/>
  <c r="R21" i="9"/>
  <c r="O21" i="9"/>
  <c r="K21" i="9"/>
  <c r="D21" i="9"/>
  <c r="R20" i="9"/>
  <c r="K20" i="9"/>
  <c r="O20" i="9" s="1"/>
  <c r="D20" i="9"/>
  <c r="R19" i="9"/>
  <c r="O19" i="9"/>
  <c r="K19" i="9"/>
  <c r="D19" i="9"/>
  <c r="R18" i="9"/>
  <c r="K18" i="9"/>
  <c r="O18" i="9" s="1"/>
  <c r="D18" i="9"/>
  <c r="T17" i="9"/>
  <c r="S17" i="9"/>
  <c r="R17" i="9"/>
  <c r="N17" i="9"/>
  <c r="L17" i="9"/>
  <c r="K17" i="9"/>
  <c r="M17" i="9" s="1"/>
  <c r="Q17" i="9" s="1"/>
  <c r="U17" i="9" s="1"/>
  <c r="D17" i="9"/>
  <c r="P17" i="9" s="1"/>
  <c r="T16" i="9"/>
  <c r="S16" i="9"/>
  <c r="R16" i="9"/>
  <c r="N16" i="9"/>
  <c r="K16" i="9"/>
  <c r="M16" i="9" s="1"/>
  <c r="Q16" i="9" s="1"/>
  <c r="U16" i="9" s="1"/>
  <c r="D16" i="9"/>
  <c r="P16" i="9" s="1"/>
  <c r="T15" i="9"/>
  <c r="R15" i="9"/>
  <c r="K15" i="9"/>
  <c r="M15" i="9" s="1"/>
  <c r="Q15" i="9" s="1"/>
  <c r="U15" i="9" s="1"/>
  <c r="D15" i="9"/>
  <c r="O15" i="9" s="1"/>
  <c r="T14" i="9"/>
  <c r="R14" i="9"/>
  <c r="P14" i="9"/>
  <c r="N14" i="9"/>
  <c r="M14" i="9"/>
  <c r="Q14" i="9" s="1"/>
  <c r="U14" i="9" s="1"/>
  <c r="L14" i="9"/>
  <c r="D14" i="9"/>
  <c r="O14" i="9" s="1"/>
  <c r="R13" i="9"/>
  <c r="M13" i="9"/>
  <c r="Q13" i="9" s="1"/>
  <c r="K13" i="9"/>
  <c r="D13" i="9"/>
  <c r="R12" i="9"/>
  <c r="K12" i="9"/>
  <c r="D12" i="9"/>
  <c r="R11" i="9"/>
  <c r="H11" i="9"/>
  <c r="K11" i="9" s="1"/>
  <c r="D11" i="9"/>
  <c r="T10" i="9"/>
  <c r="R10" i="9"/>
  <c r="N10" i="9"/>
  <c r="M10" i="9"/>
  <c r="Q10" i="9" s="1"/>
  <c r="U10" i="9" s="1"/>
  <c r="L10" i="9"/>
  <c r="D10" i="9"/>
  <c r="P10" i="9" s="1"/>
  <c r="R9" i="9"/>
  <c r="K9" i="9"/>
  <c r="D9" i="9"/>
  <c r="O9" i="9" s="1"/>
  <c r="R8" i="9"/>
  <c r="K8" i="9"/>
  <c r="D8" i="9"/>
  <c r="R7" i="9"/>
  <c r="K7" i="9"/>
  <c r="D7" i="9"/>
  <c r="R6" i="9"/>
  <c r="E6" i="9"/>
  <c r="K6" i="9" s="1"/>
  <c r="D6" i="9"/>
  <c r="O6" i="9" s="1"/>
  <c r="T5" i="9"/>
  <c r="R5" i="9"/>
  <c r="K5" i="9"/>
  <c r="M5" i="9" s="1"/>
  <c r="U5" i="9" s="1"/>
  <c r="D5" i="9"/>
  <c r="U13" i="9" l="1"/>
  <c r="S13" i="9"/>
  <c r="T6" i="9"/>
  <c r="L6" i="9"/>
  <c r="M6" i="9"/>
  <c r="T11" i="9"/>
  <c r="L11" i="9"/>
  <c r="O11" i="9"/>
  <c r="M11" i="9"/>
  <c r="T7" i="9"/>
  <c r="L7" i="9"/>
  <c r="M24" i="9"/>
  <c r="T24" i="9"/>
  <c r="L24" i="9"/>
  <c r="P5" i="9"/>
  <c r="M7" i="9"/>
  <c r="T8" i="9"/>
  <c r="L8" i="9"/>
  <c r="S10" i="9"/>
  <c r="O12" i="9"/>
  <c r="N13" i="9"/>
  <c r="P15" i="9"/>
  <c r="O16" i="9"/>
  <c r="P25" i="9"/>
  <c r="L5" i="9"/>
  <c r="M8" i="9"/>
  <c r="T9" i="9"/>
  <c r="L9" i="9"/>
  <c r="O10" i="9"/>
  <c r="T12" i="9"/>
  <c r="L12" i="9"/>
  <c r="P13" i="9"/>
  <c r="O13" i="9"/>
  <c r="S14" i="9"/>
  <c r="L15" i="9"/>
  <c r="O17" i="9"/>
  <c r="M19" i="9"/>
  <c r="T19" i="9"/>
  <c r="L19" i="9"/>
  <c r="M21" i="9"/>
  <c r="T21" i="9"/>
  <c r="L21" i="9"/>
  <c r="M23" i="9"/>
  <c r="T23" i="9"/>
  <c r="L23" i="9"/>
  <c r="O24" i="9"/>
  <c r="M25" i="9"/>
  <c r="T25" i="9"/>
  <c r="L25" i="9"/>
  <c r="N5" i="9"/>
  <c r="S5" i="9"/>
  <c r="P7" i="9"/>
  <c r="O7" i="9"/>
  <c r="M9" i="9"/>
  <c r="P11" i="9"/>
  <c r="M12" i="9"/>
  <c r="T13" i="9"/>
  <c r="L13" i="9"/>
  <c r="N15" i="9"/>
  <c r="S15" i="9"/>
  <c r="L16" i="9"/>
  <c r="P22" i="9"/>
  <c r="P24" i="9"/>
  <c r="P8" i="9"/>
  <c r="O8" i="9"/>
  <c r="M18" i="9"/>
  <c r="T18" i="9"/>
  <c r="L18" i="9"/>
  <c r="M20" i="9"/>
  <c r="T20" i="9"/>
  <c r="L20" i="9"/>
  <c r="M22" i="9"/>
  <c r="T22" i="9"/>
  <c r="L22" i="9"/>
  <c r="P6" i="9"/>
  <c r="P9" i="9"/>
  <c r="Q18" i="9" l="1"/>
  <c r="N18" i="9"/>
  <c r="Q12" i="9"/>
  <c r="N12" i="9"/>
  <c r="Q21" i="9"/>
  <c r="N21" i="9"/>
  <c r="P12" i="9"/>
  <c r="Q24" i="9"/>
  <c r="N24" i="9"/>
  <c r="N7" i="9"/>
  <c r="Q7" i="9"/>
  <c r="Q20" i="9"/>
  <c r="N20" i="9"/>
  <c r="P20" i="9"/>
  <c r="Q25" i="9"/>
  <c r="N25" i="9"/>
  <c r="Q23" i="9"/>
  <c r="N23" i="9"/>
  <c r="P23" i="9"/>
  <c r="Q22" i="9"/>
  <c r="N22" i="9"/>
  <c r="P18" i="9"/>
  <c r="N9" i="9"/>
  <c r="Q9" i="9"/>
  <c r="N8" i="9"/>
  <c r="Q8" i="9"/>
  <c r="P21" i="9"/>
  <c r="Q19" i="9"/>
  <c r="N19" i="9"/>
  <c r="P19" i="9"/>
  <c r="Q11" i="9"/>
  <c r="N11" i="9"/>
  <c r="Q6" i="9"/>
  <c r="N6" i="9"/>
  <c r="S8" i="9" l="1"/>
  <c r="U8" i="9"/>
  <c r="U6" i="9"/>
  <c r="S6" i="9"/>
  <c r="U23" i="9"/>
  <c r="S23" i="9"/>
  <c r="U21" i="9"/>
  <c r="S21" i="9"/>
  <c r="U18" i="9"/>
  <c r="S18" i="9"/>
  <c r="U19" i="9"/>
  <c r="S19" i="9"/>
  <c r="U9" i="9"/>
  <c r="S9" i="9"/>
  <c r="U22" i="9"/>
  <c r="S22" i="9"/>
  <c r="U20" i="9"/>
  <c r="S20" i="9"/>
  <c r="U24" i="9"/>
  <c r="S24" i="9"/>
  <c r="S11" i="9"/>
  <c r="U11" i="9"/>
  <c r="U25" i="9"/>
  <c r="S25" i="9"/>
  <c r="U7" i="9"/>
  <c r="S7" i="9"/>
  <c r="S12" i="9"/>
  <c r="U12" i="9"/>
  <c r="F13" i="1" l="1"/>
  <c r="E38" i="1"/>
  <c r="C20" i="5" l="1"/>
  <c r="D9" i="5"/>
  <c r="E8" i="5"/>
  <c r="D8" i="5"/>
  <c r="J5" i="5"/>
  <c r="L5" i="5"/>
  <c r="J27" i="1"/>
  <c r="F10" i="1"/>
  <c r="R31" i="6"/>
  <c r="Q25" i="6"/>
  <c r="Q26" i="6" s="1"/>
  <c r="Q24" i="6"/>
  <c r="Q22" i="6"/>
  <c r="R21" i="6"/>
  <c r="S20" i="6"/>
  <c r="P12" i="6"/>
  <c r="R11" i="6"/>
  <c r="R15" i="6"/>
  <c r="S15" i="6"/>
  <c r="T10" i="6"/>
  <c r="R10" i="6"/>
  <c r="R14" i="6"/>
  <c r="C18" i="5"/>
  <c r="E16" i="6"/>
  <c r="E15" i="6"/>
  <c r="E14" i="6"/>
  <c r="E12" i="6"/>
  <c r="E11" i="6"/>
  <c r="E13" i="6"/>
  <c r="E10" i="6"/>
  <c r="D25" i="5"/>
  <c r="K19" i="5"/>
  <c r="K25" i="5" s="1"/>
  <c r="K27" i="5" s="1"/>
  <c r="K29" i="5" s="1"/>
  <c r="C19" i="5"/>
  <c r="C16" i="5"/>
  <c r="D15" i="5"/>
  <c r="E14" i="5"/>
  <c r="B6" i="5"/>
  <c r="D5" i="5"/>
  <c r="L4" i="5"/>
  <c r="E4" i="5"/>
  <c r="F4" i="5"/>
  <c r="D4" i="5"/>
  <c r="F9" i="1"/>
  <c r="F11" i="1"/>
  <c r="A12" i="1"/>
  <c r="F12" i="1"/>
  <c r="F22" i="2"/>
  <c r="F24" i="2"/>
  <c r="F27" i="2"/>
  <c r="F45" i="2"/>
  <c r="F33" i="2"/>
  <c r="F35" i="2"/>
  <c r="F38" i="2"/>
  <c r="F44" i="2"/>
  <c r="G44" i="2"/>
  <c r="F36" i="2"/>
  <c r="F55" i="2"/>
  <c r="F57" i="2"/>
  <c r="F60" i="2"/>
  <c r="F78" i="2"/>
  <c r="F66" i="2"/>
  <c r="F69" i="2"/>
  <c r="F68" i="2"/>
  <c r="F71" i="2"/>
  <c r="F77" i="2"/>
  <c r="G77" i="2"/>
  <c r="F88" i="2"/>
  <c r="F90" i="2"/>
  <c r="F93" i="2"/>
  <c r="F111" i="2"/>
  <c r="K98" i="2"/>
  <c r="I101" i="2"/>
  <c r="F99" i="2"/>
  <c r="F102" i="2"/>
  <c r="I99" i="2"/>
  <c r="F101" i="2"/>
  <c r="F104" i="2"/>
  <c r="F110" i="2"/>
  <c r="G110" i="2"/>
  <c r="F119" i="2"/>
  <c r="F121" i="2"/>
  <c r="F124" i="2"/>
  <c r="F142" i="2"/>
  <c r="F130" i="2"/>
  <c r="F133" i="2"/>
  <c r="F132" i="2"/>
  <c r="F135" i="2"/>
  <c r="F141" i="2"/>
  <c r="L27" i="6"/>
  <c r="J6" i="5"/>
  <c r="E9" i="5"/>
  <c r="L26" i="5"/>
  <c r="L27" i="5"/>
  <c r="L29" i="5"/>
  <c r="K26" i="5"/>
  <c r="C25" i="5"/>
  <c r="C21" i="5"/>
  <c r="S14" i="6"/>
  <c r="T15" i="6"/>
  <c r="T16" i="6"/>
  <c r="Q32" i="6"/>
  <c r="R32" i="6"/>
  <c r="R33" i="6"/>
  <c r="R35" i="6"/>
  <c r="G141" i="2"/>
  <c r="D26" i="5"/>
  <c r="D27" i="5"/>
  <c r="D29" i="5"/>
  <c r="C26" i="5"/>
  <c r="C27" i="5"/>
  <c r="C29" i="5"/>
  <c r="Q27" i="6" l="1"/>
  <c r="Q31" i="6"/>
  <c r="Q33" i="6" s="1"/>
  <c r="F27" i="1"/>
  <c r="H27" i="1" s="1"/>
  <c r="E27" i="6" l="1"/>
  <c r="Q35" i="6"/>
  <c r="F29" i="1"/>
  <c r="I27" i="1"/>
  <c r="F28" i="1"/>
  <c r="E28" i="6" l="1"/>
  <c r="E29" i="6"/>
  <c r="G28" i="1"/>
  <c r="J28" i="1" s="1"/>
  <c r="N35" i="6" l="1"/>
  <c r="I28" i="1"/>
  <c r="H28" i="6" l="1"/>
  <c r="F29" i="6" s="1"/>
  <c r="L28" i="6"/>
  <c r="J29" i="1"/>
  <c r="I29" i="6" l="1"/>
  <c r="L29" i="6" s="1"/>
  <c r="G29" i="6"/>
  <c r="J35" i="6" l="1"/>
  <c r="J44" i="6"/>
  <c r="J37" i="6"/>
  <c r="J43" i="6"/>
  <c r="J38" i="6"/>
  <c r="J47" i="6"/>
  <c r="J46" i="6"/>
  <c r="J45" i="6"/>
  <c r="J48" i="6" l="1"/>
  <c r="J39" i="6"/>
  <c r="J41" i="6" s="1"/>
  <c r="J50" i="6" l="1"/>
  <c r="I50" i="6" s="1"/>
  <c r="I41" i="6"/>
</calcChain>
</file>

<file path=xl/sharedStrings.xml><?xml version="1.0" encoding="utf-8"?>
<sst xmlns="http://schemas.openxmlformats.org/spreadsheetml/2006/main" count="349" uniqueCount="212">
  <si>
    <t>La elasticidad presenta 5 casos distintos en relación a la forma de la curva de la gráficay su significado.-</t>
  </si>
  <si>
    <t>Oferta perfectamente inelástica:</t>
  </si>
  <si>
    <t>LA CANTIDAD PRODUCIDA SE MANTIENE</t>
    <phoneticPr fontId="4" type="noConversion"/>
  </si>
  <si>
    <t>847 - 847</t>
    <phoneticPr fontId="4" type="noConversion"/>
  </si>
  <si>
    <t>Cuarto Caso</t>
    <phoneticPr fontId="4" type="noConversion"/>
  </si>
  <si>
    <t>Para efectos de la determinación del precio de las Alitas consideremos el incremento de un precio iniical a un precio final</t>
    <phoneticPr fontId="4" type="noConversion"/>
  </si>
  <si>
    <t>LA CANTIDAD PRODUCIDA O VENDIDA SUBE UN 15.07%</t>
    <phoneticPr fontId="4" type="noConversion"/>
  </si>
  <si>
    <t>Oferta elástica:</t>
  </si>
  <si>
    <t>Cantidad</t>
  </si>
  <si>
    <t>Unidad</t>
  </si>
  <si>
    <t>Ingrediente</t>
  </si>
  <si>
    <t xml:space="preserve">$ </t>
    <phoneticPr fontId="4" type="noConversion"/>
  </si>
  <si>
    <t>Total</t>
  </si>
  <si>
    <t>FOTOGRAFÍA</t>
  </si>
  <si>
    <t>TERCER CASO</t>
    <phoneticPr fontId="4" type="noConversion"/>
  </si>
  <si>
    <t>985 - 847</t>
    <phoneticPr fontId="4" type="noConversion"/>
  </si>
  <si>
    <r>
      <t>si la ca</t>
    </r>
    <r>
      <rPr>
        <sz val="12"/>
        <color indexed="8"/>
        <rFont val="Times"/>
        <family val="1"/>
      </rPr>
      <t>ntidad ofrecida responde considerablemente a las variaciones del precio. Se dice que es inelástic</t>
    </r>
    <r>
      <rPr>
        <i/>
        <sz val="12"/>
        <color indexed="8"/>
        <rFont val="Times"/>
        <family val="1"/>
      </rPr>
      <t>a</t>
    </r>
  </si>
  <si>
    <t>Oferta unitaria:</t>
  </si>
  <si>
    <t>VARIACIÓN PORCENTUAL CANTIDAD</t>
    <phoneticPr fontId="4" type="noConversion"/>
  </si>
  <si>
    <t xml:space="preserve">En este caso un pequeño cambio en el precio produceun cambio infinitamente grande en la cantidad ofrecida. Aquí la elasticidad tiende ainfinito.Esta tendencia es difícil de alcanzar ya que la cantidad y el precio siempre van a variar en una proporción que depende del contexto que rodee la situación económica, sinembargo, </t>
  </si>
  <si>
    <t>LA CANTIDAD PRODUCIDA O VENDIDA SUBE UN 5%</t>
    <phoneticPr fontId="4" type="noConversion"/>
  </si>
  <si>
    <t>En este caso, la elasticidad es menor que 1, esto se debe a que una subida del precio provoca un cambio pequeño en la cantidad del producto.</t>
    <phoneticPr fontId="4" type="noConversion"/>
  </si>
  <si>
    <t>Segundo Caso</t>
    <phoneticPr fontId="4" type="noConversion"/>
  </si>
  <si>
    <t>SEGUNDO CASO</t>
    <phoneticPr fontId="4" type="noConversion"/>
  </si>
  <si>
    <t>Incorporar datos reales</t>
  </si>
  <si>
    <t>1000 - 847</t>
    <phoneticPr fontId="4" type="noConversion"/>
  </si>
  <si>
    <r>
      <t>La el</t>
    </r>
    <r>
      <rPr>
        <sz val="12"/>
        <color indexed="8"/>
        <rFont val="Times"/>
        <family val="1"/>
      </rPr>
      <t>asticidad-precio de la oferta es la medida del grado en que la cantidad ofrecida de un bien responde a una variación de su precio; se calcula dividiendo la variación porcentual de la cantidad ofrecida por la variación porcentual del precio. Se dice que la oferta de un bien es elástica</t>
    </r>
  </si>
  <si>
    <t>EL PRECIO SE INCREMENTA EN 15 PESOS</t>
    <phoneticPr fontId="4" type="noConversion"/>
  </si>
  <si>
    <t>LA ELASTICIDAD</t>
  </si>
  <si>
    <t>El aumento de la cantidad del producto es igual al aumento del preciodel producto. En consecuencia, la elasticidad es igual a 1.</t>
  </si>
  <si>
    <t>Es aquella en la cual la elasticidad es mayor que 1. Esto indica queuna variación en el precio del producto causa un gran aumento de la cantidad de la producción del producto.</t>
  </si>
  <si>
    <t>kg</t>
    <phoneticPr fontId="4" type="noConversion"/>
  </si>
  <si>
    <t>ELASTICIDAD DE LA OFERTA =</t>
    <phoneticPr fontId="4" type="noConversion"/>
  </si>
  <si>
    <t>Preparación:</t>
  </si>
  <si>
    <t>Costo</t>
  </si>
  <si>
    <t>Precio de Venta</t>
  </si>
  <si>
    <t>Oferta inelástica:</t>
  </si>
  <si>
    <t>F O R M A T O  P A R A  R E C E T A S</t>
  </si>
  <si>
    <t>DE ACUERDO AL PMIX QUE ME PROPORCIONARON.</t>
    <phoneticPr fontId="4" type="noConversion"/>
  </si>
  <si>
    <t>889 - 847</t>
    <phoneticPr fontId="4" type="noConversion"/>
  </si>
  <si>
    <t>PRECIO AL PÚBLICO</t>
    <phoneticPr fontId="4" type="noConversion"/>
  </si>
  <si>
    <t>La elasticidad es una medida del grado en que responden los compradores y los vendedores a la situación del mercado, nos permite analizar con mayor precisión la oferta y la demanda, ya que la elasticidad mide la sensibilidad de la cantidad demandada o la cantidad ofrecida a uno de sus determinantes. Cuando se estudia la influencia de un acontecimiento o de una medida económica en un mercado, se puede analizar no solo el sentido de los efectos sino también su magnitud.</t>
  </si>
  <si>
    <r>
      <t>LA EL</t>
    </r>
    <r>
      <rPr>
        <b/>
        <sz val="12"/>
        <color indexed="8"/>
        <rFont val="Times"/>
        <family val="1"/>
      </rPr>
      <t>ASTICIDAD DE LA OFERTA</t>
    </r>
  </si>
  <si>
    <t>LA CANTIDAD PRODUCIDA O VENDIDA SUBE UN 18.07%</t>
    <phoneticPr fontId="4" type="noConversion"/>
  </si>
  <si>
    <t>CUARTO CASO</t>
    <phoneticPr fontId="4" type="noConversion"/>
  </si>
  <si>
    <t>VARIACIÓN PORCENTUAL EN CANTIDAD</t>
    <phoneticPr fontId="4" type="noConversion"/>
  </si>
  <si>
    <t xml:space="preserve"> X 100</t>
    <phoneticPr fontId="4" type="noConversion"/>
  </si>
  <si>
    <t>ELASTICIDAD DE LA OFERTA =</t>
    <phoneticPr fontId="4" type="noConversion"/>
  </si>
  <si>
    <t>PRIMER CASO:</t>
    <phoneticPr fontId="4" type="noConversion"/>
  </si>
  <si>
    <t>PZA</t>
    <phoneticPr fontId="4" type="noConversion"/>
  </si>
  <si>
    <t>En este caso, la elasticidad es igual a cero en un intervalo. Esto se debe a que el cambio de precio no produce variación en la cantidad ofrecida, posiblemente porque es imposible producir más cantidad del producto</t>
    <phoneticPr fontId="4" type="noConversion"/>
  </si>
  <si>
    <t>Información Obtenida</t>
  </si>
  <si>
    <t>Porcentaje de Costo</t>
  </si>
  <si>
    <t>Márgen de Contribución</t>
  </si>
  <si>
    <t>PRECIO VENTA CON IVA</t>
    <phoneticPr fontId="4" type="noConversion"/>
  </si>
  <si>
    <t>Arriba podemos ver los dierentes escenarios de la determinación del precio de venta en base a costo, precio de venta y márgen de cont.</t>
  </si>
  <si>
    <t>Por otra parte, consideraremos un incremento en la venta de unidades vendidas en un periodo y su variación hacia arriba y hacia abajo.</t>
    <phoneticPr fontId="4" type="noConversion"/>
  </si>
  <si>
    <t>Primer Caso.</t>
    <phoneticPr fontId="4" type="noConversion"/>
  </si>
  <si>
    <t>$ 103 - $ 88</t>
    <phoneticPr fontId="4" type="noConversion"/>
  </si>
  <si>
    <t xml:space="preserve"> X 100</t>
    <phoneticPr fontId="4" type="noConversion"/>
  </si>
  <si>
    <t>VARIACIÓN PORCENTUAL PRECIO</t>
    <phoneticPr fontId="4" type="noConversion"/>
  </si>
  <si>
    <r>
      <t>si solo re</t>
    </r>
    <r>
      <rPr>
        <sz val="12"/>
        <color indexed="8"/>
        <rFont val="Times"/>
        <family val="1"/>
      </rPr>
      <t>sponde levemente a las variaciones del precio.</t>
    </r>
  </si>
  <si>
    <t>NOTA : LA CANTIDAD DE 847 FUE LA PRODUCCIÓN DE ALITAS VENDIDAS EN ABRIL</t>
    <phoneticPr fontId="4" type="noConversion"/>
  </si>
  <si>
    <t>Oferta perfectamente elástica:</t>
  </si>
  <si>
    <t>VARIACIÓN PORCENTUAL EN PRECIO</t>
    <phoneticPr fontId="4" type="noConversion"/>
  </si>
  <si>
    <t>Tercer Caso</t>
    <phoneticPr fontId="4" type="noConversion"/>
  </si>
  <si>
    <t>Se compra un kilo de pollo a 65.00 pesos</t>
    <phoneticPr fontId="1" type="noConversion"/>
  </si>
  <si>
    <t>congelado, pero al descongelarlo se tiene un rendimiento de 60%, cual es el costo real.</t>
    <phoneticPr fontId="1" type="noConversion"/>
  </si>
  <si>
    <t>Kilos</t>
    <phoneticPr fontId="1" type="noConversion"/>
  </si>
  <si>
    <t>Peso total</t>
    <phoneticPr fontId="1" type="noConversion"/>
  </si>
  <si>
    <t>Importe Total</t>
    <phoneticPr fontId="1" type="noConversion"/>
  </si>
  <si>
    <t>Peso Bruto</t>
    <phoneticPr fontId="1" type="noConversion"/>
  </si>
  <si>
    <t>Peso Neto</t>
    <phoneticPr fontId="1" type="noConversion"/>
  </si>
  <si>
    <t>Factor Rend</t>
    <phoneticPr fontId="1" type="noConversion"/>
  </si>
  <si>
    <t>Pieza 200 grs</t>
    <phoneticPr fontId="1" type="noConversion"/>
  </si>
  <si>
    <t>Precio por gramo</t>
    <phoneticPr fontId="1" type="noConversion"/>
  </si>
  <si>
    <t>Precio Real x gramo</t>
    <phoneticPr fontId="1" type="noConversion"/>
  </si>
  <si>
    <t>Por cada kilo bruto salen 5 piezas de 200 gramos</t>
    <phoneticPr fontId="1" type="noConversion"/>
  </si>
  <si>
    <t>Cuanto necesito comprar si el % de rendmiento es de 60%</t>
    <phoneticPr fontId="1" type="noConversion"/>
  </si>
  <si>
    <t>Gramos</t>
    <phoneticPr fontId="1" type="noConversion"/>
  </si>
  <si>
    <t>piezas</t>
    <phoneticPr fontId="1" type="noConversion"/>
  </si>
  <si>
    <t>gramos</t>
    <phoneticPr fontId="1" type="noConversion"/>
  </si>
  <si>
    <t>Peso bruto</t>
    <phoneticPr fontId="1" type="noConversion"/>
  </si>
  <si>
    <t>Diferencia</t>
    <phoneticPr fontId="1" type="noConversion"/>
  </si>
  <si>
    <t>% rendimiento</t>
    <phoneticPr fontId="1" type="noConversion"/>
  </si>
  <si>
    <t>Necesito comprar</t>
    <phoneticPr fontId="1" type="noConversion"/>
  </si>
  <si>
    <t>gramos para obtener neto 1,000 gramos</t>
    <phoneticPr fontId="1" type="noConversion"/>
  </si>
  <si>
    <t>Comprobación</t>
    <phoneticPr fontId="1" type="noConversion"/>
  </si>
  <si>
    <t>Costo Real</t>
    <phoneticPr fontId="1" type="noConversion"/>
  </si>
  <si>
    <t>Costo Inicial</t>
    <phoneticPr fontId="1" type="noConversion"/>
  </si>
  <si>
    <t>CONGELADO</t>
    <phoneticPr fontId="1" type="noConversion"/>
  </si>
  <si>
    <t>gramos a comprar</t>
    <phoneticPr fontId="1" type="noConversion"/>
  </si>
  <si>
    <t>precio por gramo</t>
    <phoneticPr fontId="1" type="noConversion"/>
  </si>
  <si>
    <t>total precio kilo</t>
    <phoneticPr fontId="1" type="noConversion"/>
  </si>
  <si>
    <t>piezas 200 grs</t>
    <phoneticPr fontId="1" type="noConversion"/>
  </si>
  <si>
    <t>costo real</t>
    <phoneticPr fontId="1" type="noConversion"/>
  </si>
  <si>
    <t xml:space="preserve">ARRACHERA </t>
  </si>
  <si>
    <t>NOPAL</t>
  </si>
  <si>
    <t>CEBOLLACAMBRAY</t>
  </si>
  <si>
    <t>FRIJOL REFRITO</t>
  </si>
  <si>
    <t>QUESO FRESCO</t>
  </si>
  <si>
    <t>ARROZ ROJO</t>
  </si>
  <si>
    <t>TORTILLA DE MAIZ</t>
  </si>
  <si>
    <t>Arrachera</t>
  </si>
  <si>
    <t>Se compra un kilo de arrachera a 160 pesos</t>
  </si>
  <si>
    <t>Tiene un rendimiento del 90% por la limpieza del producto</t>
  </si>
  <si>
    <t>Cuanto necesito comprar si el % de rendmiento es de 90%</t>
  </si>
  <si>
    <t>total precio gramo to</t>
  </si>
  <si>
    <t>Este costo es</t>
  </si>
  <si>
    <t xml:space="preserve">el que se pone </t>
  </si>
  <si>
    <t>en la receta</t>
  </si>
  <si>
    <t>congelado, pero al descongelarlo y quitarle la cascara se obtiene un rendimiento del 65%</t>
  </si>
  <si>
    <t>Cuanto necesito comprar si el % de rendmiento es de 65%</t>
  </si>
  <si>
    <t>porciones</t>
  </si>
  <si>
    <t>Pechuga</t>
  </si>
  <si>
    <t>Pechuga a la plancha</t>
  </si>
  <si>
    <t>Ensalada</t>
  </si>
  <si>
    <t>P/C</t>
  </si>
  <si>
    <t>sería el costo de la porción de pechuca de 200 gr?</t>
  </si>
  <si>
    <t>Precio de compra real</t>
  </si>
  <si>
    <t>Se compra un kilo de camarón en $ 350.00 pesos</t>
  </si>
  <si>
    <t>Precio compra con el proveedor</t>
  </si>
  <si>
    <t>Porción de 100 gr</t>
  </si>
  <si>
    <t>Por cada kilo bruto salen 10 porciones de 100 gramos (cocktail)</t>
  </si>
  <si>
    <t>porciones 100</t>
  </si>
  <si>
    <t>Factor Rendimiento</t>
  </si>
  <si>
    <t>precio proveedor</t>
  </si>
  <si>
    <t>Precio real</t>
  </si>
  <si>
    <t>Empaque</t>
  </si>
  <si>
    <t>PP</t>
  </si>
  <si>
    <t>Nómina</t>
  </si>
  <si>
    <t>Unidades</t>
  </si>
  <si>
    <t xml:space="preserve">Precio </t>
  </si>
  <si>
    <t>Ingresos P</t>
  </si>
  <si>
    <t>costo Venta</t>
  </si>
  <si>
    <t>Utilidad Marginal</t>
  </si>
  <si>
    <t>Gastos operación</t>
  </si>
  <si>
    <t>Total gastos</t>
  </si>
  <si>
    <t>Utilidad departamental</t>
  </si>
  <si>
    <t>Gastos Admón</t>
  </si>
  <si>
    <t>Agua, luz, gas.</t>
  </si>
  <si>
    <t>Renta</t>
  </si>
  <si>
    <t>Publicidad</t>
  </si>
  <si>
    <t>Mantto</t>
  </si>
  <si>
    <t>total</t>
  </si>
  <si>
    <t>Utilidad antes impuestos</t>
  </si>
  <si>
    <t>Contable</t>
  </si>
  <si>
    <t>Diferencia</t>
  </si>
  <si>
    <t>Aceite</t>
  </si>
  <si>
    <t>ml</t>
  </si>
  <si>
    <t>Salsa especial</t>
  </si>
  <si>
    <t>Precio entre factor de rendimiento</t>
  </si>
  <si>
    <t xml:space="preserve">Se negocio con el proveedor el precio de la pechuga en un 10% de descuento, si el factor de rendimiento es del 80% cuál </t>
  </si>
  <si>
    <t>Precio real menos descuento</t>
  </si>
  <si>
    <t xml:space="preserve"> ( 85 *.90)</t>
  </si>
  <si>
    <t>con factor de rendimiento</t>
  </si>
  <si>
    <t>Arroz</t>
  </si>
  <si>
    <t>kg</t>
  </si>
  <si>
    <t>Precio Menú</t>
  </si>
  <si>
    <t>UTILIDAD MARGINAL</t>
  </si>
  <si>
    <t>COSTO</t>
  </si>
  <si>
    <t>Precio proveedor</t>
  </si>
  <si>
    <t>FACTOR DE RENDIMIENTO Índice de eficiencia</t>
  </si>
  <si>
    <t>Producto</t>
  </si>
  <si>
    <t>PESO INICIAL KG</t>
  </si>
  <si>
    <t>COSTO POR KG</t>
  </si>
  <si>
    <t>COSTO U REQUERIDA</t>
  </si>
  <si>
    <t>PESO DESCONG</t>
  </si>
  <si>
    <t xml:space="preserve">PESO SIN PIEL </t>
  </si>
  <si>
    <t>PESO SIN HUESO</t>
  </si>
  <si>
    <t>PESO COCCION EN SECO</t>
  </si>
  <si>
    <t>PESO COCCION EN GRASA</t>
  </si>
  <si>
    <t>PESO COCCION EN AGUA</t>
  </si>
  <si>
    <t>Producto Útil KG o ML</t>
  </si>
  <si>
    <t>Desperdicio KG o ML</t>
  </si>
  <si>
    <t>Índice de Eficiencia en %</t>
  </si>
  <si>
    <t>GRAMOS % AUMENTAR EN RECETA</t>
  </si>
  <si>
    <t>Precio Por kilo Con Factor Rendimienti</t>
  </si>
  <si>
    <t>Precio PESO TOTAL</t>
  </si>
  <si>
    <t>Cantidad a Comprar con FF</t>
  </si>
  <si>
    <t>Orden de Compra sin factor de Rendimiento</t>
  </si>
  <si>
    <t>Orden de compra con factor de rendimiento</t>
  </si>
  <si>
    <t>Kilos utilizables Sin factor de rendimiento</t>
  </si>
  <si>
    <t>Kilos utilizables con factor de rendimiento</t>
  </si>
  <si>
    <t>Arrachera natural</t>
  </si>
  <si>
    <t>Salmon natural</t>
  </si>
  <si>
    <t>Filete Tilapia</t>
  </si>
  <si>
    <t>camaron 21/25</t>
  </si>
  <si>
    <t>camaron pacotilla</t>
  </si>
  <si>
    <t>camaron U15</t>
  </si>
  <si>
    <t>Salmón ahumado</t>
  </si>
  <si>
    <t>Atún Fresco</t>
  </si>
  <si>
    <t>Costilla de res</t>
  </si>
  <si>
    <t>Pierna ahumada de cerdo</t>
  </si>
  <si>
    <t xml:space="preserve">Rib eye </t>
  </si>
  <si>
    <t>Prime Rib</t>
  </si>
  <si>
    <t>New york</t>
  </si>
  <si>
    <t>Molida de res</t>
  </si>
  <si>
    <t>carne para hambuerguesa</t>
  </si>
  <si>
    <t>filete de res</t>
  </si>
  <si>
    <t>pulpa de cerdo</t>
  </si>
  <si>
    <t>chambarete de res</t>
  </si>
  <si>
    <t>camaron macuil chico</t>
  </si>
  <si>
    <t>lomo de cerdo</t>
  </si>
  <si>
    <t>pechuga</t>
  </si>
  <si>
    <t>Utilidad de operación (restaurante)</t>
  </si>
  <si>
    <t>Aguacate</t>
  </si>
  <si>
    <t>Ingreso</t>
  </si>
  <si>
    <t>Descuento</t>
  </si>
  <si>
    <t>Neto</t>
  </si>
  <si>
    <t>% Costo S/bruto</t>
  </si>
  <si>
    <t>% costo real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</si>
</sst>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43" formatCode="_-* #,##0.00_-;\-* #,##0.00_-;_-* &quot;-&quot;??_-;_-@_-"/>
    <numFmt numFmtId="164" formatCode="_-* #,##0.00_$_-;\-* #,##0.00_$_-;_-* &quot;-&quot;??_$_-;_-@_-"/>
    <numFmt numFmtId="165" formatCode="_(* #,##0.00_);_(* \(#,##0.00\);_(* &quot;-&quot;??_);_(@_)"/>
    <numFmt numFmtId="166" formatCode="0.000"/>
    <numFmt numFmtId="167" formatCode="0.0"/>
    <numFmt numFmtId="168" formatCode="0.0%"/>
    <numFmt numFmtId="169" formatCode="_(&quot;$&quot;* #,##0.00_);_(&quot;$&quot;* \(#,##0.00\);_(&quot;$&quot;* &quot;-&quot;??_);_(@_)"/>
    <numFmt numFmtId="170" formatCode="_-* #,##0.000_$_-;\-* #,##0.000_$_-;_-* &quot;-&quot;??_$_-;_-@_-"/>
    <numFmt numFmtId="171" formatCode="_-* #,##0_$_-;\-* #,##0_$_-;_-* &quot;-&quot;??_$_-;_-@_-"/>
    <numFmt numFmtId="172" formatCode="&quot;$&quot;#,##0.00;&quot;$&quot;\(#,##0.00\)"/>
    <numFmt numFmtId="173" formatCode="#,##0.000"/>
    <numFmt numFmtId="174" formatCode="&quot;$&quot;#,##0.00"/>
    <numFmt numFmtId="175" formatCode="#,##0.00;\(#,##0.00\)"/>
    <numFmt numFmtId="176" formatCode="#,##0.000;\-#,##0.000"/>
    <numFmt numFmtId="177" formatCode="#,##0.0"/>
    <numFmt numFmtId="178" formatCode="_-* #,##0.000_-;\-* #,##0.000_-;_-* &quot;-&quot;??_-;_-@_-"/>
    <numFmt numFmtId="179" formatCode="_-* #,##0.0000_-;\-* #,##0.0000_-;_-* &quot;-&quot;??_-;_-@_-"/>
  </numFmts>
  <fonts count="29" x14ac:knownFonts="1">
    <font>
      <sz val="11"/>
      <color indexed="8"/>
      <name val="Calibri"/>
      <family val="2"/>
    </font>
    <font>
      <b/>
      <sz val="10"/>
      <name val="Verdana"/>
      <family val="2"/>
    </font>
    <font>
      <sz val="10"/>
      <name val="Verdana"/>
      <family val="2"/>
    </font>
    <font>
      <b/>
      <sz val="10"/>
      <color indexed="8"/>
      <name val="Verdana"/>
      <family val="2"/>
    </font>
    <font>
      <sz val="8"/>
      <name val="Verdana"/>
      <family val="2"/>
    </font>
    <font>
      <b/>
      <sz val="10"/>
      <color indexed="9"/>
      <name val="Verdana"/>
      <family val="2"/>
    </font>
    <font>
      <sz val="10"/>
      <color indexed="8"/>
      <name val="Verdana"/>
      <family val="2"/>
    </font>
    <font>
      <sz val="10"/>
      <color indexed="9"/>
      <name val="Verdana"/>
      <family val="2"/>
    </font>
    <font>
      <b/>
      <sz val="12"/>
      <color indexed="8"/>
      <name val="Times"/>
      <family val="1"/>
    </font>
    <font>
      <sz val="12"/>
      <color indexed="8"/>
      <name val="Times"/>
      <family val="1"/>
    </font>
    <font>
      <i/>
      <sz val="12"/>
      <color indexed="8"/>
      <name val="Times"/>
      <family val="1"/>
    </font>
    <font>
      <i/>
      <u/>
      <sz val="14"/>
      <name val="Calibri"/>
      <family val="2"/>
    </font>
    <font>
      <b/>
      <i/>
      <u/>
      <sz val="14"/>
      <color indexed="8"/>
      <name val="Calibri"/>
      <family val="2"/>
    </font>
    <font>
      <b/>
      <i/>
      <u/>
      <sz val="15"/>
      <color indexed="8"/>
      <name val="Calibri"/>
      <family val="2"/>
    </font>
    <font>
      <b/>
      <i/>
      <u/>
      <sz val="15"/>
      <name val="Calibri"/>
      <family val="2"/>
    </font>
    <font>
      <sz val="11"/>
      <color indexed="8"/>
      <name val="Calibri"/>
      <family val="2"/>
    </font>
    <font>
      <sz val="8"/>
      <name val="Arial"/>
      <family val="2"/>
    </font>
    <font>
      <sz val="15"/>
      <color indexed="8"/>
      <name val="Verdana"/>
      <family val="2"/>
    </font>
    <font>
      <sz val="11"/>
      <color theme="1"/>
      <name val="Calibri"/>
      <family val="2"/>
      <scheme val="minor"/>
    </font>
    <font>
      <sz val="10"/>
      <color theme="1"/>
      <name val="Verdana"/>
      <family val="2"/>
    </font>
    <font>
      <sz val="10"/>
      <color rgb="FF000000"/>
      <name val="Arial"/>
      <family val="2"/>
    </font>
    <font>
      <b/>
      <sz val="9"/>
      <color rgb="FFFFFFFF"/>
      <name val="Verdana"/>
      <family val="2"/>
    </font>
    <font>
      <sz val="10"/>
      <name val="Arial"/>
      <family val="2"/>
    </font>
    <font>
      <sz val="9"/>
      <color rgb="FF000000"/>
      <name val="Calibri"/>
      <family val="2"/>
    </font>
    <font>
      <b/>
      <sz val="10"/>
      <color rgb="FF000000"/>
      <name val="Arial"/>
      <family val="2"/>
    </font>
    <font>
      <sz val="10"/>
      <color rgb="FF000000"/>
      <name val="Arial"/>
      <family val="2"/>
    </font>
    <font>
      <b/>
      <sz val="9"/>
      <color rgb="FF000000"/>
      <name val="Calibri"/>
      <family val="2"/>
    </font>
    <font>
      <b/>
      <sz val="9"/>
      <color rgb="FF000000"/>
      <name val="Verdana"/>
      <family val="2"/>
    </font>
    <font>
      <sz val="12"/>
      <color indexed="8"/>
      <name val="Verdana"/>
      <family val="2"/>
    </font>
  </fonts>
  <fills count="23">
    <fill>
      <patternFill patternType="none"/>
    </fill>
    <fill>
      <patternFill patternType="gray125"/>
    </fill>
    <fill>
      <patternFill patternType="solid">
        <fgColor indexed="18"/>
        <bgColor indexed="64"/>
      </patternFill>
    </fill>
    <fill>
      <patternFill patternType="solid">
        <fgColor indexed="63"/>
        <bgColor indexed="64"/>
      </patternFill>
    </fill>
    <fill>
      <patternFill patternType="solid">
        <fgColor indexed="44"/>
        <bgColor indexed="64"/>
      </patternFill>
    </fill>
    <fill>
      <patternFill patternType="solid">
        <fgColor indexed="15"/>
        <bgColor indexed="64"/>
      </patternFill>
    </fill>
    <fill>
      <patternFill patternType="solid">
        <fgColor indexed="22"/>
        <bgColor indexed="64"/>
      </patternFill>
    </fill>
    <fill>
      <patternFill patternType="solid">
        <fgColor indexed="62"/>
        <bgColor indexed="64"/>
      </patternFill>
    </fill>
    <fill>
      <patternFill patternType="solid">
        <fgColor indexed="9"/>
        <bgColor indexed="64"/>
      </patternFill>
    </fill>
    <fill>
      <patternFill patternType="solid">
        <fgColor rgb="FFFFFF00"/>
        <bgColor indexed="64"/>
      </patternFill>
    </fill>
    <fill>
      <patternFill patternType="solid">
        <fgColor theme="4"/>
        <bgColor indexed="64"/>
      </patternFill>
    </fill>
    <fill>
      <patternFill patternType="solid">
        <fgColor rgb="FF000000"/>
        <bgColor rgb="FF000000"/>
      </patternFill>
    </fill>
    <fill>
      <patternFill patternType="solid">
        <fgColor rgb="FFB6D7A8"/>
        <bgColor rgb="FFB6D7A8"/>
      </patternFill>
    </fill>
    <fill>
      <patternFill patternType="solid">
        <fgColor rgb="FFFFC000"/>
        <bgColor rgb="FF000000"/>
      </patternFill>
    </fill>
    <fill>
      <patternFill patternType="solid">
        <fgColor rgb="FFC27BA0"/>
        <bgColor rgb="FFC27BA0"/>
      </patternFill>
    </fill>
    <fill>
      <patternFill patternType="solid">
        <fgColor theme="5" tint="0.39997558519241921"/>
        <bgColor indexed="64"/>
      </patternFill>
    </fill>
    <fill>
      <patternFill patternType="solid">
        <fgColor rgb="FF85B993"/>
        <bgColor rgb="FF85B993"/>
      </patternFill>
    </fill>
    <fill>
      <patternFill patternType="solid">
        <fgColor rgb="FFFFC000"/>
        <bgColor rgb="FFBFBFBF"/>
      </patternFill>
    </fill>
    <fill>
      <patternFill patternType="solid">
        <fgColor rgb="FFBFBFBF"/>
        <bgColor rgb="FFBFBFBF"/>
      </patternFill>
    </fill>
    <fill>
      <patternFill patternType="solid">
        <fgColor rgb="FFFFC000"/>
        <bgColor rgb="FF85B993"/>
      </patternFill>
    </fill>
    <fill>
      <patternFill patternType="solid">
        <fgColor rgb="FFEA9999"/>
        <bgColor rgb="FFEA9999"/>
      </patternFill>
    </fill>
    <fill>
      <patternFill patternType="solid">
        <fgColor rgb="FFFFC000"/>
        <bgColor indexed="64"/>
      </patternFill>
    </fill>
    <fill>
      <patternFill patternType="solid">
        <fgColor theme="0"/>
        <bgColor indexed="64"/>
      </patternFill>
    </fill>
  </fills>
  <borders count="42">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style="thin">
        <color rgb="FFFFFFFF"/>
      </left>
      <right/>
      <top/>
      <bottom style="thin">
        <color rgb="FFFFFFFF"/>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style="medium">
        <color indexed="64"/>
      </left>
      <right style="thin">
        <color indexed="9"/>
      </right>
      <top style="medium">
        <color indexed="64"/>
      </top>
      <bottom style="medium">
        <color indexed="64"/>
      </bottom>
      <diagonal/>
    </border>
    <border>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s>
  <cellStyleXfs count="10">
    <xf numFmtId="0" fontId="0" fillId="0" borderId="0"/>
    <xf numFmtId="164" fontId="15" fillId="0" borderId="0" applyFont="0" applyFill="0" applyBorder="0" applyAlignment="0" applyProtection="0"/>
    <xf numFmtId="44" fontId="5" fillId="0" borderId="0" applyFont="0" applyFill="0" applyBorder="0" applyAlignment="0" applyProtection="0"/>
    <xf numFmtId="0" fontId="18" fillId="0" borderId="0"/>
    <xf numFmtId="9" fontId="5" fillId="0" borderId="0" applyFont="0" applyFill="0" applyBorder="0" applyAlignment="0" applyProtection="0"/>
    <xf numFmtId="9" fontId="18" fillId="0" borderId="0" applyFont="0" applyFill="0" applyBorder="0" applyAlignment="0" applyProtection="0"/>
    <xf numFmtId="0" fontId="20" fillId="0" borderId="0"/>
    <xf numFmtId="9"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cellStyleXfs>
  <cellXfs count="194">
    <xf numFmtId="0" fontId="0" fillId="0" borderId="0" xfId="0"/>
    <xf numFmtId="0" fontId="6" fillId="0" borderId="1" xfId="0" applyFont="1" applyBorder="1"/>
    <xf numFmtId="0" fontId="6" fillId="0" borderId="1" xfId="0" applyFont="1" applyBorder="1" applyAlignment="1">
      <alignment horizontal="center"/>
    </xf>
    <xf numFmtId="44" fontId="6" fillId="0" borderId="1" xfId="2" applyFont="1" applyBorder="1"/>
    <xf numFmtId="0" fontId="7" fillId="0" borderId="1" xfId="0" applyFont="1" applyBorder="1" applyAlignment="1">
      <alignment horizontal="center"/>
    </xf>
    <xf numFmtId="0" fontId="7" fillId="2" borderId="1" xfId="0" applyFont="1" applyFill="1" applyBorder="1" applyAlignment="1">
      <alignment horizontal="center"/>
    </xf>
    <xf numFmtId="0" fontId="7" fillId="3" borderId="1" xfId="0" applyFont="1" applyFill="1" applyBorder="1" applyAlignment="1">
      <alignment horizontal="center"/>
    </xf>
    <xf numFmtId="44" fontId="7" fillId="3" borderId="1" xfId="2" applyFont="1" applyFill="1" applyBorder="1" applyAlignment="1">
      <alignment horizontal="center"/>
    </xf>
    <xf numFmtId="0" fontId="7" fillId="0" borderId="2" xfId="0" applyFont="1" applyBorder="1" applyAlignment="1">
      <alignment horizontal="center"/>
    </xf>
    <xf numFmtId="44" fontId="7" fillId="0" borderId="1" xfId="2" applyFont="1" applyBorder="1" applyAlignment="1">
      <alignment horizontal="center"/>
    </xf>
    <xf numFmtId="0" fontId="7" fillId="0" borderId="1" xfId="0" applyFont="1" applyBorder="1" applyAlignment="1">
      <alignment vertical="center"/>
    </xf>
    <xf numFmtId="166" fontId="3" fillId="4" borderId="3" xfId="0" applyNumberFormat="1" applyFont="1" applyFill="1" applyBorder="1"/>
    <xf numFmtId="0" fontId="0" fillId="5" borderId="4" xfId="0" applyFill="1" applyBorder="1"/>
    <xf numFmtId="44" fontId="3" fillId="4" borderId="5" xfId="2" applyFont="1" applyFill="1" applyBorder="1"/>
    <xf numFmtId="44" fontId="6" fillId="6" borderId="1" xfId="0" applyNumberFormat="1" applyFont="1" applyFill="1" applyBorder="1"/>
    <xf numFmtId="166" fontId="3" fillId="4" borderId="1" xfId="0" applyNumberFormat="1" applyFont="1" applyFill="1" applyBorder="1"/>
    <xf numFmtId="0" fontId="3" fillId="4" borderId="6" xfId="0" applyFont="1" applyFill="1" applyBorder="1" applyAlignment="1">
      <alignment horizontal="center"/>
    </xf>
    <xf numFmtId="0" fontId="3" fillId="4" borderId="6" xfId="0" applyFont="1" applyFill="1" applyBorder="1"/>
    <xf numFmtId="44" fontId="3" fillId="4" borderId="1" xfId="2" applyFont="1" applyFill="1" applyBorder="1"/>
    <xf numFmtId="0" fontId="3" fillId="4" borderId="1" xfId="0" applyFont="1" applyFill="1" applyBorder="1" applyAlignment="1">
      <alignment horizontal="center"/>
    </xf>
    <xf numFmtId="0" fontId="3" fillId="4" borderId="1" xfId="0" applyFont="1" applyFill="1" applyBorder="1"/>
    <xf numFmtId="166" fontId="3" fillId="0" borderId="1" xfId="0" applyNumberFormat="1" applyFont="1" applyBorder="1"/>
    <xf numFmtId="0" fontId="3" fillId="0" borderId="1" xfId="0" applyFont="1" applyBorder="1" applyAlignment="1">
      <alignment horizontal="center"/>
    </xf>
    <xf numFmtId="0" fontId="3" fillId="0" borderId="1" xfId="0" applyFont="1" applyBorder="1"/>
    <xf numFmtId="44" fontId="3" fillId="0" borderId="1" xfId="2" applyFont="1" applyBorder="1"/>
    <xf numFmtId="44" fontId="6" fillId="0" borderId="1" xfId="0" applyNumberFormat="1" applyFont="1" applyBorder="1"/>
    <xf numFmtId="0" fontId="7" fillId="0" borderId="1" xfId="0" applyFont="1" applyBorder="1" applyAlignment="1">
      <alignment horizontal="center" vertical="center"/>
    </xf>
    <xf numFmtId="44" fontId="2" fillId="6" borderId="1" xfId="0" applyNumberFormat="1" applyFont="1" applyFill="1" applyBorder="1"/>
    <xf numFmtId="44" fontId="1" fillId="4" borderId="1" xfId="2" applyFont="1" applyFill="1" applyBorder="1"/>
    <xf numFmtId="10" fontId="2" fillId="6" borderId="1" xfId="4" applyNumberFormat="1" applyFont="1" applyFill="1" applyBorder="1"/>
    <xf numFmtId="165" fontId="6" fillId="0" borderId="1" xfId="0" applyNumberFormat="1" applyFont="1" applyBorder="1"/>
    <xf numFmtId="10" fontId="1" fillId="4" borderId="1" xfId="0" applyNumberFormat="1" applyFont="1" applyFill="1" applyBorder="1"/>
    <xf numFmtId="10" fontId="2" fillId="6" borderId="1" xfId="0" applyNumberFormat="1" applyFont="1" applyFill="1" applyBorder="1"/>
    <xf numFmtId="0" fontId="0" fillId="0" borderId="7" xfId="0" applyBorder="1"/>
    <xf numFmtId="10" fontId="0" fillId="0" borderId="0" xfId="0" applyNumberFormat="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167" fontId="0" fillId="0" borderId="0" xfId="0" applyNumberFormat="1"/>
    <xf numFmtId="0" fontId="8" fillId="0" borderId="0" xfId="0" applyFont="1"/>
    <xf numFmtId="0" fontId="9" fillId="0" borderId="0" xfId="0" applyFont="1"/>
    <xf numFmtId="0" fontId="10" fillId="0" borderId="0" xfId="0" applyFont="1"/>
    <xf numFmtId="0" fontId="9" fillId="0" borderId="0" xfId="0" applyFont="1" applyAlignment="1">
      <alignment wrapText="1"/>
    </xf>
    <xf numFmtId="10" fontId="0" fillId="0" borderId="14" xfId="0" applyNumberFormat="1" applyBorder="1"/>
    <xf numFmtId="0" fontId="11" fillId="0" borderId="0" xfId="0" applyFont="1"/>
    <xf numFmtId="0" fontId="8" fillId="0" borderId="0" xfId="0" applyFont="1" applyAlignment="1">
      <alignment wrapText="1"/>
    </xf>
    <xf numFmtId="0" fontId="0" fillId="0" borderId="0" xfId="0" applyAlignment="1">
      <alignment wrapText="1"/>
    </xf>
    <xf numFmtId="0" fontId="12" fillId="0" borderId="0" xfId="0" applyFont="1"/>
    <xf numFmtId="0" fontId="13" fillId="0" borderId="0" xfId="0" applyFont="1"/>
    <xf numFmtId="0" fontId="14" fillId="0" borderId="0" xfId="0" applyFont="1"/>
    <xf numFmtId="164" fontId="6" fillId="0" borderId="1" xfId="0" applyNumberFormat="1" applyFont="1" applyBorder="1"/>
    <xf numFmtId="0" fontId="6" fillId="0" borderId="3" xfId="0" applyFont="1" applyBorder="1"/>
    <xf numFmtId="0" fontId="6" fillId="0" borderId="5" xfId="0" applyFont="1" applyBorder="1"/>
    <xf numFmtId="0" fontId="6" fillId="0" borderId="2" xfId="0" applyFont="1" applyBorder="1"/>
    <xf numFmtId="0" fontId="6" fillId="0" borderId="6" xfId="0" applyFont="1" applyBorder="1"/>
    <xf numFmtId="0" fontId="6" fillId="0" borderId="4" xfId="0" applyFont="1" applyBorder="1"/>
    <xf numFmtId="164" fontId="6" fillId="0" borderId="3" xfId="0" applyNumberFormat="1" applyFont="1" applyBorder="1"/>
    <xf numFmtId="0" fontId="18" fillId="0" borderId="0" xfId="3"/>
    <xf numFmtId="168" fontId="18" fillId="0" borderId="0" xfId="3" applyNumberFormat="1"/>
    <xf numFmtId="4" fontId="18" fillId="0" borderId="0" xfId="3" applyNumberFormat="1"/>
    <xf numFmtId="2" fontId="18" fillId="0" borderId="0" xfId="3" applyNumberFormat="1"/>
    <xf numFmtId="0" fontId="18" fillId="0" borderId="16" xfId="3" applyBorder="1"/>
    <xf numFmtId="0" fontId="18" fillId="0" borderId="17" xfId="3" applyBorder="1"/>
    <xf numFmtId="0" fontId="18" fillId="0" borderId="18" xfId="3" applyBorder="1"/>
    <xf numFmtId="0" fontId="18" fillId="0" borderId="19" xfId="3" applyBorder="1"/>
    <xf numFmtId="0" fontId="18" fillId="0" borderId="0" xfId="3"/>
    <xf numFmtId="0" fontId="18" fillId="0" borderId="20" xfId="3" applyBorder="1"/>
    <xf numFmtId="0" fontId="18" fillId="0" borderId="21" xfId="3" applyBorder="1"/>
    <xf numFmtId="0" fontId="18" fillId="0" borderId="7" xfId="3" applyBorder="1"/>
    <xf numFmtId="0" fontId="18" fillId="0" borderId="22" xfId="3" applyBorder="1"/>
    <xf numFmtId="9" fontId="18" fillId="0" borderId="17" xfId="5" applyBorder="1"/>
    <xf numFmtId="167" fontId="18" fillId="0" borderId="0" xfId="3" applyNumberFormat="1"/>
    <xf numFmtId="4" fontId="18" fillId="0" borderId="0" xfId="3" applyNumberFormat="1"/>
    <xf numFmtId="4" fontId="18" fillId="0" borderId="20" xfId="3" applyNumberFormat="1" applyBorder="1"/>
    <xf numFmtId="4" fontId="18" fillId="0" borderId="7" xfId="3" applyNumberFormat="1" applyBorder="1"/>
    <xf numFmtId="4" fontId="18" fillId="0" borderId="22" xfId="3" applyNumberFormat="1" applyBorder="1"/>
    <xf numFmtId="0" fontId="16" fillId="0" borderId="0" xfId="0" applyFont="1"/>
    <xf numFmtId="169" fontId="16" fillId="0" borderId="0" xfId="2" applyNumberFormat="1" applyFont="1" applyAlignment="1">
      <alignment horizontal="center"/>
    </xf>
    <xf numFmtId="0" fontId="16" fillId="0" borderId="0" xfId="0" applyFont="1" applyAlignment="1">
      <alignment horizontal="center"/>
    </xf>
    <xf numFmtId="170" fontId="16" fillId="0" borderId="0" xfId="1" applyNumberFormat="1" applyFont="1" applyAlignment="1">
      <alignment horizontal="center"/>
    </xf>
    <xf numFmtId="166" fontId="16" fillId="0" borderId="0" xfId="0" applyNumberFormat="1" applyFont="1" applyAlignment="1">
      <alignment horizontal="center"/>
    </xf>
    <xf numFmtId="4" fontId="18" fillId="9" borderId="0" xfId="3" applyNumberFormat="1" applyFill="1"/>
    <xf numFmtId="4" fontId="18" fillId="9" borderId="20" xfId="3" applyNumberFormat="1" applyFill="1" applyBorder="1"/>
    <xf numFmtId="4" fontId="18" fillId="9" borderId="22" xfId="3" applyNumberFormat="1" applyFill="1" applyBorder="1"/>
    <xf numFmtId="4" fontId="18" fillId="10" borderId="7" xfId="3" applyNumberFormat="1" applyFill="1" applyBorder="1"/>
    <xf numFmtId="0" fontId="18" fillId="10" borderId="0" xfId="3" applyFill="1"/>
    <xf numFmtId="168" fontId="18" fillId="9" borderId="17" xfId="4" applyNumberFormat="1" applyFont="1" applyFill="1" applyBorder="1"/>
    <xf numFmtId="171" fontId="18" fillId="0" borderId="0" xfId="1" applyNumberFormat="1" applyFont="1"/>
    <xf numFmtId="9" fontId="18" fillId="0" borderId="0" xfId="4" applyFont="1"/>
    <xf numFmtId="44" fontId="18" fillId="0" borderId="0" xfId="2" applyFont="1"/>
    <xf numFmtId="44" fontId="18" fillId="9" borderId="0" xfId="2" applyFont="1" applyFill="1"/>
    <xf numFmtId="0" fontId="17" fillId="0" borderId="1" xfId="0" applyFont="1" applyBorder="1"/>
    <xf numFmtId="0" fontId="18" fillId="9" borderId="0" xfId="3" applyFill="1"/>
    <xf numFmtId="0" fontId="18" fillId="9" borderId="20" xfId="3" applyFill="1" applyBorder="1"/>
    <xf numFmtId="0" fontId="18" fillId="9" borderId="7" xfId="3" applyFill="1" applyBorder="1"/>
    <xf numFmtId="0" fontId="18" fillId="9" borderId="22" xfId="3" applyFill="1" applyBorder="1"/>
    <xf numFmtId="171" fontId="18" fillId="0" borderId="0" xfId="1" applyNumberFormat="1" applyFont="1"/>
    <xf numFmtId="171" fontId="18" fillId="9" borderId="0" xfId="1" applyNumberFormat="1" applyFont="1" applyFill="1"/>
    <xf numFmtId="171" fontId="18" fillId="9" borderId="20" xfId="1" applyNumberFormat="1" applyFont="1" applyFill="1" applyBorder="1"/>
    <xf numFmtId="43" fontId="6" fillId="0" borderId="1" xfId="0" applyNumberFormat="1" applyFont="1" applyBorder="1"/>
    <xf numFmtId="44" fontId="6" fillId="9" borderId="1" xfId="0" applyNumberFormat="1" applyFont="1" applyFill="1" applyBorder="1"/>
    <xf numFmtId="168" fontId="6" fillId="0" borderId="1" xfId="4" applyNumberFormat="1" applyFont="1" applyBorder="1"/>
    <xf numFmtId="164" fontId="6" fillId="0" borderId="1" xfId="1" applyFont="1" applyBorder="1"/>
    <xf numFmtId="0" fontId="6" fillId="9" borderId="1" xfId="0" applyFont="1" applyFill="1" applyBorder="1"/>
    <xf numFmtId="0" fontId="6" fillId="0" borderId="3" xfId="0" applyFont="1" applyBorder="1" applyAlignment="1">
      <alignment horizontal="center"/>
    </xf>
    <xf numFmtId="44" fontId="6" fillId="0" borderId="2" xfId="2" applyFont="1" applyBorder="1"/>
    <xf numFmtId="44" fontId="6" fillId="0" borderId="6" xfId="2" applyFont="1" applyBorder="1"/>
    <xf numFmtId="0" fontId="3" fillId="4" borderId="1" xfId="0" applyFont="1" applyFill="1" applyBorder="1" applyAlignment="1">
      <alignment horizontal="left"/>
    </xf>
    <xf numFmtId="0" fontId="6" fillId="6" borderId="1" xfId="0" applyFont="1" applyFill="1" applyBorder="1" applyAlignment="1">
      <alignment horizontal="left"/>
    </xf>
    <xf numFmtId="0" fontId="19" fillId="0" borderId="1" xfId="0" applyFont="1" applyBorder="1" applyAlignment="1">
      <alignment horizontal="center" vertical="center"/>
    </xf>
    <xf numFmtId="0" fontId="0" fillId="5" borderId="0" xfId="0" applyFill="1" applyBorder="1"/>
    <xf numFmtId="44" fontId="0" fillId="5" borderId="0" xfId="0" applyNumberFormat="1" applyFill="1" applyBorder="1"/>
    <xf numFmtId="172" fontId="21" fillId="11" borderId="31" xfId="6" applyNumberFormat="1" applyFont="1" applyFill="1" applyBorder="1" applyAlignment="1">
      <alignment horizontal="center"/>
    </xf>
    <xf numFmtId="0" fontId="20" fillId="0" borderId="0" xfId="6" applyAlignment="1">
      <alignment wrapText="1"/>
    </xf>
    <xf numFmtId="172" fontId="21" fillId="11" borderId="34" xfId="6" applyNumberFormat="1" applyFont="1" applyFill="1" applyBorder="1" applyAlignment="1">
      <alignment horizontal="center" vertical="center"/>
    </xf>
    <xf numFmtId="172" fontId="21" fillId="11" borderId="35" xfId="6" applyNumberFormat="1" applyFont="1" applyFill="1" applyBorder="1" applyAlignment="1">
      <alignment horizontal="center" vertical="center"/>
    </xf>
    <xf numFmtId="173" fontId="21" fillId="11" borderId="35" xfId="6" applyNumberFormat="1" applyFont="1" applyFill="1" applyBorder="1" applyAlignment="1">
      <alignment horizontal="center" vertical="center"/>
    </xf>
    <xf numFmtId="0" fontId="23" fillId="0" borderId="33" xfId="6" applyFont="1" applyBorder="1"/>
    <xf numFmtId="0" fontId="23" fillId="0" borderId="33" xfId="6" applyFont="1" applyBorder="1" applyAlignment="1">
      <alignment horizontal="center" vertical="center"/>
    </xf>
    <xf numFmtId="173" fontId="23" fillId="0" borderId="33" xfId="6" applyNumberFormat="1" applyFont="1" applyBorder="1" applyAlignment="1">
      <alignment horizontal="center"/>
    </xf>
    <xf numFmtId="0" fontId="21" fillId="11" borderId="36" xfId="6" applyFont="1" applyFill="1" applyBorder="1" applyAlignment="1">
      <alignment horizontal="center" vertical="center"/>
    </xf>
    <xf numFmtId="37" fontId="21" fillId="12" borderId="36" xfId="6" applyNumberFormat="1" applyFont="1" applyFill="1" applyBorder="1" applyAlignment="1">
      <alignment horizontal="center" vertical="center" wrapText="1"/>
    </xf>
    <xf numFmtId="174" fontId="21" fillId="13" borderId="36" xfId="6" applyNumberFormat="1" applyFont="1" applyFill="1" applyBorder="1" applyAlignment="1">
      <alignment horizontal="center" vertical="center" wrapText="1"/>
    </xf>
    <xf numFmtId="172" fontId="21" fillId="12" borderId="36" xfId="6" applyNumberFormat="1" applyFont="1" applyFill="1" applyBorder="1" applyAlignment="1">
      <alignment horizontal="center" vertical="center" wrapText="1"/>
    </xf>
    <xf numFmtId="37" fontId="21" fillId="11" borderId="36" xfId="6" applyNumberFormat="1" applyFont="1" applyFill="1" applyBorder="1" applyAlignment="1">
      <alignment horizontal="center" vertical="center" wrapText="1"/>
    </xf>
    <xf numFmtId="173" fontId="21" fillId="14" borderId="36" xfId="6" applyNumberFormat="1" applyFont="1" applyFill="1" applyBorder="1" applyAlignment="1">
      <alignment horizontal="center" vertical="center" wrapText="1"/>
    </xf>
    <xf numFmtId="0" fontId="21" fillId="11" borderId="36" xfId="6" applyFont="1" applyFill="1" applyBorder="1" applyAlignment="1">
      <alignment horizontal="center" vertical="center" wrapText="1"/>
    </xf>
    <xf numFmtId="0" fontId="21" fillId="13" borderId="36" xfId="6" applyFont="1" applyFill="1" applyBorder="1" applyAlignment="1">
      <alignment horizontal="center" vertical="center" wrapText="1"/>
    </xf>
    <xf numFmtId="175" fontId="21" fillId="11" borderId="34" xfId="6" applyNumberFormat="1" applyFont="1" applyFill="1" applyBorder="1" applyAlignment="1">
      <alignment horizontal="center" vertical="center" wrapText="1"/>
    </xf>
    <xf numFmtId="0" fontId="24" fillId="15" borderId="4" xfId="6" applyFont="1" applyFill="1" applyBorder="1" applyAlignment="1">
      <alignment wrapText="1"/>
    </xf>
    <xf numFmtId="0" fontId="25" fillId="0" borderId="0" xfId="6" applyFont="1" applyAlignment="1">
      <alignment wrapText="1"/>
    </xf>
    <xf numFmtId="0" fontId="26" fillId="16" borderId="36" xfId="6" applyFont="1" applyFill="1" applyBorder="1"/>
    <xf numFmtId="176" fontId="26" fillId="16" borderId="36" xfId="6" applyNumberFormat="1" applyFont="1" applyFill="1" applyBorder="1" applyAlignment="1">
      <alignment horizontal="center"/>
    </xf>
    <xf numFmtId="174" fontId="26" fillId="17" borderId="36" xfId="6" applyNumberFormat="1" applyFont="1" applyFill="1" applyBorder="1" applyAlignment="1">
      <alignment horizontal="center"/>
    </xf>
    <xf numFmtId="172" fontId="26" fillId="18" borderId="31" xfId="6" applyNumberFormat="1" applyFont="1" applyFill="1" applyBorder="1" applyAlignment="1">
      <alignment horizontal="center"/>
    </xf>
    <xf numFmtId="176" fontId="26" fillId="18" borderId="36" xfId="6" applyNumberFormat="1" applyFont="1" applyFill="1" applyBorder="1" applyAlignment="1">
      <alignment horizontal="right"/>
    </xf>
    <xf numFmtId="176" fontId="26" fillId="18" borderId="36" xfId="6" applyNumberFormat="1" applyFont="1" applyFill="1" applyBorder="1" applyAlignment="1">
      <alignment horizontal="center"/>
    </xf>
    <xf numFmtId="176" fontId="26" fillId="18" borderId="36" xfId="6" applyNumberFormat="1" applyFont="1" applyFill="1" applyBorder="1" applyAlignment="1">
      <alignment horizontal="center" vertical="center"/>
    </xf>
    <xf numFmtId="173" fontId="26" fillId="16" borderId="31" xfId="6" applyNumberFormat="1" applyFont="1" applyFill="1" applyBorder="1" applyAlignment="1">
      <alignment horizontal="center"/>
    </xf>
    <xf numFmtId="10" fontId="27" fillId="16" borderId="31" xfId="6" applyNumberFormat="1" applyFont="1" applyFill="1" applyBorder="1" applyAlignment="1">
      <alignment horizontal="center"/>
    </xf>
    <xf numFmtId="10" fontId="27" fillId="16" borderId="31" xfId="7" applyNumberFormat="1" applyFont="1" applyFill="1" applyBorder="1" applyAlignment="1">
      <alignment horizontal="center"/>
    </xf>
    <xf numFmtId="177" fontId="27" fillId="19" borderId="31" xfId="6" applyNumberFormat="1" applyFont="1" applyFill="1" applyBorder="1" applyAlignment="1">
      <alignment horizontal="center"/>
    </xf>
    <xf numFmtId="172" fontId="26" fillId="16" borderId="31" xfId="6" applyNumberFormat="1" applyFont="1" applyFill="1" applyBorder="1" applyAlignment="1">
      <alignment horizontal="center"/>
    </xf>
    <xf numFmtId="178" fontId="26" fillId="16" borderId="37" xfId="8" applyNumberFormat="1" applyFont="1" applyFill="1" applyBorder="1" applyAlignment="1">
      <alignment horizontal="center"/>
    </xf>
    <xf numFmtId="44" fontId="0" fillId="0" borderId="4" xfId="9" applyFont="1" applyBorder="1" applyAlignment="1">
      <alignment wrapText="1"/>
    </xf>
    <xf numFmtId="178" fontId="0" fillId="0" borderId="4" xfId="8" applyNumberFormat="1" applyFont="1" applyBorder="1" applyAlignment="1">
      <alignment wrapText="1"/>
    </xf>
    <xf numFmtId="178" fontId="20" fillId="0" borderId="4" xfId="6" applyNumberFormat="1" applyBorder="1" applyAlignment="1">
      <alignment wrapText="1"/>
    </xf>
    <xf numFmtId="179" fontId="26" fillId="18" borderId="36" xfId="8" applyNumberFormat="1" applyFont="1" applyFill="1" applyBorder="1" applyAlignment="1">
      <alignment horizontal="center"/>
    </xf>
    <xf numFmtId="0" fontId="26" fillId="16" borderId="31" xfId="6" applyFont="1" applyFill="1" applyBorder="1"/>
    <xf numFmtId="176" fontId="26" fillId="16" borderId="31" xfId="6" applyNumberFormat="1" applyFont="1" applyFill="1" applyBorder="1" applyAlignment="1">
      <alignment horizontal="center"/>
    </xf>
    <xf numFmtId="174" fontId="26" fillId="17" borderId="31" xfId="6" applyNumberFormat="1" applyFont="1" applyFill="1" applyBorder="1" applyAlignment="1">
      <alignment horizontal="center"/>
    </xf>
    <xf numFmtId="176" fontId="26" fillId="18" borderId="31" xfId="6" applyNumberFormat="1" applyFont="1" applyFill="1" applyBorder="1" applyAlignment="1">
      <alignment horizontal="center"/>
    </xf>
    <xf numFmtId="176" fontId="26" fillId="18" borderId="31" xfId="6" applyNumberFormat="1" applyFont="1" applyFill="1" applyBorder="1" applyAlignment="1">
      <alignment horizontal="center" vertical="center"/>
    </xf>
    <xf numFmtId="176" fontId="26" fillId="20" borderId="31" xfId="6" applyNumberFormat="1" applyFont="1" applyFill="1" applyBorder="1" applyAlignment="1">
      <alignment horizontal="center"/>
    </xf>
    <xf numFmtId="0" fontId="20" fillId="21" borderId="0" xfId="6" applyFill="1" applyAlignment="1">
      <alignment wrapText="1"/>
    </xf>
    <xf numFmtId="0" fontId="28" fillId="9" borderId="38" xfId="0" applyFont="1" applyFill="1" applyBorder="1"/>
    <xf numFmtId="0" fontId="28" fillId="9" borderId="39" xfId="0" applyFont="1" applyFill="1" applyBorder="1"/>
    <xf numFmtId="44" fontId="28" fillId="9" borderId="40" xfId="2" applyFont="1" applyFill="1" applyBorder="1"/>
    <xf numFmtId="0" fontId="28" fillId="9" borderId="40" xfId="0" applyFont="1" applyFill="1" applyBorder="1"/>
    <xf numFmtId="0" fontId="28" fillId="9" borderId="41" xfId="0" applyFont="1" applyFill="1" applyBorder="1"/>
    <xf numFmtId="44" fontId="2" fillId="6" borderId="3" xfId="0" applyNumberFormat="1" applyFont="1" applyFill="1" applyBorder="1"/>
    <xf numFmtId="44" fontId="1" fillId="4" borderId="3" xfId="2" applyFont="1" applyFill="1" applyBorder="1"/>
    <xf numFmtId="165" fontId="19" fillId="22" borderId="4" xfId="0" applyNumberFormat="1" applyFont="1" applyFill="1" applyBorder="1"/>
    <xf numFmtId="44" fontId="18" fillId="0" borderId="0" xfId="3" applyNumberFormat="1"/>
    <xf numFmtId="44" fontId="3" fillId="9" borderId="5" xfId="2" applyFont="1" applyFill="1" applyBorder="1"/>
    <xf numFmtId="168" fontId="6" fillId="0" borderId="4" xfId="4" applyNumberFormat="1" applyFont="1" applyBorder="1"/>
    <xf numFmtId="172" fontId="21" fillId="11" borderId="32" xfId="6" applyNumberFormat="1" applyFont="1" applyFill="1" applyBorder="1" applyAlignment="1">
      <alignment horizontal="center" vertical="center"/>
    </xf>
    <xf numFmtId="0" fontId="22" fillId="0" borderId="33" xfId="6" applyFont="1" applyBorder="1" applyAlignment="1">
      <alignment wrapText="1"/>
    </xf>
    <xf numFmtId="0" fontId="2" fillId="6" borderId="23" xfId="0" applyFont="1" applyFill="1" applyBorder="1" applyAlignment="1">
      <alignment horizontal="left" vertical="top"/>
    </xf>
    <xf numFmtId="0" fontId="2" fillId="6" borderId="24" xfId="0" applyFont="1" applyFill="1" applyBorder="1" applyAlignment="1">
      <alignment horizontal="left" vertical="top"/>
    </xf>
    <xf numFmtId="0" fontId="2" fillId="6" borderId="25" xfId="0" applyFont="1" applyFill="1" applyBorder="1" applyAlignment="1">
      <alignment horizontal="left" vertical="top"/>
    </xf>
    <xf numFmtId="0" fontId="2" fillId="6" borderId="26" xfId="0" applyFont="1" applyFill="1" applyBorder="1" applyAlignment="1">
      <alignment horizontal="left" vertical="top"/>
    </xf>
    <xf numFmtId="0" fontId="2" fillId="6" borderId="0" xfId="0" applyFont="1" applyFill="1" applyAlignment="1">
      <alignment horizontal="left" vertical="top"/>
    </xf>
    <xf numFmtId="0" fontId="2" fillId="6" borderId="27" xfId="0" applyFont="1" applyFill="1" applyBorder="1" applyAlignment="1">
      <alignment horizontal="left" vertical="top"/>
    </xf>
    <xf numFmtId="0" fontId="2" fillId="6" borderId="28" xfId="0" applyFont="1" applyFill="1" applyBorder="1" applyAlignment="1">
      <alignment horizontal="left" vertical="top"/>
    </xf>
    <xf numFmtId="0" fontId="2" fillId="6" borderId="29" xfId="0" applyFont="1" applyFill="1" applyBorder="1" applyAlignment="1">
      <alignment horizontal="left" vertical="top"/>
    </xf>
    <xf numFmtId="0" fontId="2" fillId="6" borderId="30" xfId="0" applyFont="1" applyFill="1" applyBorder="1" applyAlignment="1">
      <alignment horizontal="left" vertical="top"/>
    </xf>
    <xf numFmtId="0" fontId="6" fillId="6" borderId="23" xfId="0" applyFont="1" applyFill="1" applyBorder="1" applyAlignment="1">
      <alignment horizontal="center" vertical="center" wrapText="1"/>
    </xf>
    <xf numFmtId="0" fontId="6" fillId="6" borderId="24"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6" borderId="28" xfId="0" applyFont="1" applyFill="1" applyBorder="1" applyAlignment="1">
      <alignment horizontal="center" vertical="center" wrapText="1"/>
    </xf>
    <xf numFmtId="0" fontId="6" fillId="6" borderId="2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3" fillId="4" borderId="1" xfId="0" applyFont="1" applyFill="1" applyBorder="1" applyAlignment="1">
      <alignment horizontal="left"/>
    </xf>
    <xf numFmtId="44" fontId="5" fillId="3" borderId="1" xfId="2" applyFill="1" applyBorder="1" applyAlignment="1">
      <alignment horizontal="center" vertical="center"/>
    </xf>
    <xf numFmtId="0" fontId="6" fillId="6" borderId="1" xfId="0" applyFont="1" applyFill="1" applyBorder="1" applyAlignment="1">
      <alignment horizontal="left"/>
    </xf>
    <xf numFmtId="0" fontId="7" fillId="7" borderId="1" xfId="0" applyFont="1" applyFill="1" applyBorder="1" applyAlignment="1">
      <alignment horizontal="center"/>
    </xf>
    <xf numFmtId="0" fontId="7" fillId="3" borderId="1" xfId="0" applyFont="1" applyFill="1" applyBorder="1" applyAlignment="1">
      <alignment horizontal="center" vertical="center"/>
    </xf>
    <xf numFmtId="0" fontId="7" fillId="8" borderId="1" xfId="0" applyFont="1" applyFill="1" applyBorder="1" applyAlignment="1">
      <alignment horizontal="center" vertical="center"/>
    </xf>
  </cellXfs>
  <cellStyles count="10">
    <cellStyle name="Millares" xfId="1" builtinId="3"/>
    <cellStyle name="Millares 2" xfId="8" xr:uid="{6961FBD1-8024-FA42-8126-F1E28BC205CF}"/>
    <cellStyle name="Moneda" xfId="2" builtinId="4"/>
    <cellStyle name="Moneda 2" xfId="9" xr:uid="{289850DB-6C5B-8948-921C-7D3AB58B9534}"/>
    <cellStyle name="Normal" xfId="0" builtinId="0"/>
    <cellStyle name="Normal 2" xfId="3" xr:uid="{00000000-0005-0000-0000-000003000000}"/>
    <cellStyle name="Normal 3" xfId="6" xr:uid="{E07E1276-5CCF-3543-BB9E-14E3F3D20EB6}"/>
    <cellStyle name="Porcentaje" xfId="4" builtinId="5"/>
    <cellStyle name="Porcentaje 2" xfId="5" xr:uid="{00000000-0005-0000-0000-000005000000}"/>
    <cellStyle name="Porcentaje 3" xfId="7" xr:uid="{DCAA7786-96B9-C841-B033-C50AE5CE8E3B}"/>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12</xdr:col>
      <xdr:colOff>177800</xdr:colOff>
      <xdr:row>28</xdr:row>
      <xdr:rowOff>165100</xdr:rowOff>
    </xdr:from>
    <xdr:to>
      <xdr:col>12</xdr:col>
      <xdr:colOff>177800</xdr:colOff>
      <xdr:row>28</xdr:row>
      <xdr:rowOff>165100</xdr:rowOff>
    </xdr:to>
    <xdr:sp macro="" textlink="">
      <xdr:nvSpPr>
        <xdr:cNvPr id="5520" name="Line 31">
          <a:extLst>
            <a:ext uri="{FF2B5EF4-FFF2-40B4-BE49-F238E27FC236}">
              <a16:creationId xmlns:a16="http://schemas.microsoft.com/office/drawing/2014/main" id="{2E75F910-1697-F54A-BC74-BA2220932482}"/>
            </a:ext>
          </a:extLst>
        </xdr:cNvPr>
        <xdr:cNvSpPr>
          <a:spLocks noChangeShapeType="1"/>
        </xdr:cNvSpPr>
      </xdr:nvSpPr>
      <xdr:spPr bwMode="auto">
        <a:xfrm>
          <a:off x="15303500" y="52959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254000</xdr:colOff>
      <xdr:row>28</xdr:row>
      <xdr:rowOff>165100</xdr:rowOff>
    </xdr:from>
    <xdr:to>
      <xdr:col>13</xdr:col>
      <xdr:colOff>254000</xdr:colOff>
      <xdr:row>28</xdr:row>
      <xdr:rowOff>165100</xdr:rowOff>
    </xdr:to>
    <xdr:sp macro="" textlink="">
      <xdr:nvSpPr>
        <xdr:cNvPr id="5521" name="Line 32">
          <a:extLst>
            <a:ext uri="{FF2B5EF4-FFF2-40B4-BE49-F238E27FC236}">
              <a16:creationId xmlns:a16="http://schemas.microsoft.com/office/drawing/2014/main" id="{8BD93666-FEA9-094B-A505-95E29720A695}"/>
            </a:ext>
          </a:extLst>
        </xdr:cNvPr>
        <xdr:cNvSpPr>
          <a:spLocks noChangeShapeType="1"/>
        </xdr:cNvSpPr>
      </xdr:nvSpPr>
      <xdr:spPr bwMode="auto">
        <a:xfrm>
          <a:off x="16205200" y="52959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381000</xdr:colOff>
      <xdr:row>28</xdr:row>
      <xdr:rowOff>165100</xdr:rowOff>
    </xdr:from>
    <xdr:to>
      <xdr:col>14</xdr:col>
      <xdr:colOff>381000</xdr:colOff>
      <xdr:row>28</xdr:row>
      <xdr:rowOff>165100</xdr:rowOff>
    </xdr:to>
    <xdr:sp macro="" textlink="">
      <xdr:nvSpPr>
        <xdr:cNvPr id="5522" name="Line 33">
          <a:extLst>
            <a:ext uri="{FF2B5EF4-FFF2-40B4-BE49-F238E27FC236}">
              <a16:creationId xmlns:a16="http://schemas.microsoft.com/office/drawing/2014/main" id="{CF5CBD72-F749-094C-9D5D-19EB78670F94}"/>
            </a:ext>
          </a:extLst>
        </xdr:cNvPr>
        <xdr:cNvSpPr>
          <a:spLocks noChangeShapeType="1"/>
        </xdr:cNvSpPr>
      </xdr:nvSpPr>
      <xdr:spPr bwMode="auto">
        <a:xfrm>
          <a:off x="17157700" y="52959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431800</xdr:colOff>
      <xdr:row>27</xdr:row>
      <xdr:rowOff>165100</xdr:rowOff>
    </xdr:from>
    <xdr:to>
      <xdr:col>10</xdr:col>
      <xdr:colOff>431800</xdr:colOff>
      <xdr:row>27</xdr:row>
      <xdr:rowOff>165100</xdr:rowOff>
    </xdr:to>
    <xdr:sp macro="" textlink="">
      <xdr:nvSpPr>
        <xdr:cNvPr id="5523" name="Line 31">
          <a:extLst>
            <a:ext uri="{FF2B5EF4-FFF2-40B4-BE49-F238E27FC236}">
              <a16:creationId xmlns:a16="http://schemas.microsoft.com/office/drawing/2014/main" id="{2E6A1940-15F1-8E48-800B-6A26058C2E31}"/>
            </a:ext>
          </a:extLst>
        </xdr:cNvPr>
        <xdr:cNvSpPr>
          <a:spLocks noChangeShapeType="1"/>
        </xdr:cNvSpPr>
      </xdr:nvSpPr>
      <xdr:spPr bwMode="auto">
        <a:xfrm>
          <a:off x="13906500" y="50927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508000</xdr:colOff>
      <xdr:row>27</xdr:row>
      <xdr:rowOff>165100</xdr:rowOff>
    </xdr:from>
    <xdr:to>
      <xdr:col>11</xdr:col>
      <xdr:colOff>508000</xdr:colOff>
      <xdr:row>27</xdr:row>
      <xdr:rowOff>165100</xdr:rowOff>
    </xdr:to>
    <xdr:sp macro="" textlink="">
      <xdr:nvSpPr>
        <xdr:cNvPr id="5524" name="Line 32">
          <a:extLst>
            <a:ext uri="{FF2B5EF4-FFF2-40B4-BE49-F238E27FC236}">
              <a16:creationId xmlns:a16="http://schemas.microsoft.com/office/drawing/2014/main" id="{C1482442-0215-BD40-8BD2-F0B83686FD53}"/>
            </a:ext>
          </a:extLst>
        </xdr:cNvPr>
        <xdr:cNvSpPr>
          <a:spLocks noChangeShapeType="1"/>
        </xdr:cNvSpPr>
      </xdr:nvSpPr>
      <xdr:spPr bwMode="auto">
        <a:xfrm>
          <a:off x="14808200" y="50927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622300</xdr:colOff>
      <xdr:row>27</xdr:row>
      <xdr:rowOff>165100</xdr:rowOff>
    </xdr:from>
    <xdr:to>
      <xdr:col>12</xdr:col>
      <xdr:colOff>622300</xdr:colOff>
      <xdr:row>27</xdr:row>
      <xdr:rowOff>165100</xdr:rowOff>
    </xdr:to>
    <xdr:sp macro="" textlink="">
      <xdr:nvSpPr>
        <xdr:cNvPr id="5525" name="Line 33">
          <a:extLst>
            <a:ext uri="{FF2B5EF4-FFF2-40B4-BE49-F238E27FC236}">
              <a16:creationId xmlns:a16="http://schemas.microsoft.com/office/drawing/2014/main" id="{D0275E74-C38B-E447-985B-C1DEB817B388}"/>
            </a:ext>
          </a:extLst>
        </xdr:cNvPr>
        <xdr:cNvSpPr>
          <a:spLocks noChangeShapeType="1"/>
        </xdr:cNvSpPr>
      </xdr:nvSpPr>
      <xdr:spPr bwMode="auto">
        <a:xfrm>
          <a:off x="15748000" y="50927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175845</xdr:colOff>
      <xdr:row>7</xdr:row>
      <xdr:rowOff>51597</xdr:rowOff>
    </xdr:from>
    <xdr:to>
      <xdr:col>7</xdr:col>
      <xdr:colOff>464037</xdr:colOff>
      <xdr:row>24</xdr:row>
      <xdr:rowOff>147513</xdr:rowOff>
    </xdr:to>
    <xdr:pic>
      <xdr:nvPicPr>
        <xdr:cNvPr id="3" name="Imagen 2">
          <a:extLst>
            <a:ext uri="{FF2B5EF4-FFF2-40B4-BE49-F238E27FC236}">
              <a16:creationId xmlns:a16="http://schemas.microsoft.com/office/drawing/2014/main" id="{D2215EE5-D170-7745-A04B-8912DF1A5758}"/>
            </a:ext>
          </a:extLst>
        </xdr:cNvPr>
        <xdr:cNvPicPr>
          <a:picLocks noChangeAspect="1"/>
        </xdr:cNvPicPr>
      </xdr:nvPicPr>
      <xdr:blipFill>
        <a:blip xmlns:r="http://schemas.openxmlformats.org/officeDocument/2006/relationships" r:embed="rId1"/>
        <a:stretch>
          <a:fillRect/>
        </a:stretch>
      </xdr:blipFill>
      <xdr:spPr>
        <a:xfrm>
          <a:off x="5558691" y="1067597"/>
          <a:ext cx="3043115" cy="2030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177800</xdr:colOff>
      <xdr:row>28</xdr:row>
      <xdr:rowOff>165100</xdr:rowOff>
    </xdr:from>
    <xdr:to>
      <xdr:col>13</xdr:col>
      <xdr:colOff>177800</xdr:colOff>
      <xdr:row>28</xdr:row>
      <xdr:rowOff>165100</xdr:rowOff>
    </xdr:to>
    <xdr:sp macro="" textlink="">
      <xdr:nvSpPr>
        <xdr:cNvPr id="1863" name="Line 31">
          <a:extLst>
            <a:ext uri="{FF2B5EF4-FFF2-40B4-BE49-F238E27FC236}">
              <a16:creationId xmlns:a16="http://schemas.microsoft.com/office/drawing/2014/main" id="{9E1AECCA-72F8-B741-8E69-F4690B2EF129}"/>
            </a:ext>
          </a:extLst>
        </xdr:cNvPr>
        <xdr:cNvSpPr>
          <a:spLocks noChangeShapeType="1"/>
        </xdr:cNvSpPr>
      </xdr:nvSpPr>
      <xdr:spPr bwMode="auto">
        <a:xfrm>
          <a:off x="14262100" y="41402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254000</xdr:colOff>
      <xdr:row>28</xdr:row>
      <xdr:rowOff>165100</xdr:rowOff>
    </xdr:from>
    <xdr:to>
      <xdr:col>14</xdr:col>
      <xdr:colOff>254000</xdr:colOff>
      <xdr:row>28</xdr:row>
      <xdr:rowOff>165100</xdr:rowOff>
    </xdr:to>
    <xdr:sp macro="" textlink="">
      <xdr:nvSpPr>
        <xdr:cNvPr id="1864" name="Line 32">
          <a:extLst>
            <a:ext uri="{FF2B5EF4-FFF2-40B4-BE49-F238E27FC236}">
              <a16:creationId xmlns:a16="http://schemas.microsoft.com/office/drawing/2014/main" id="{2B814B72-8F65-CC46-9BD0-E6EFFC41EB09}"/>
            </a:ext>
          </a:extLst>
        </xdr:cNvPr>
        <xdr:cNvSpPr>
          <a:spLocks noChangeShapeType="1"/>
        </xdr:cNvSpPr>
      </xdr:nvSpPr>
      <xdr:spPr bwMode="auto">
        <a:xfrm>
          <a:off x="15163800" y="41402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381000</xdr:colOff>
      <xdr:row>28</xdr:row>
      <xdr:rowOff>165100</xdr:rowOff>
    </xdr:from>
    <xdr:to>
      <xdr:col>15</xdr:col>
      <xdr:colOff>381000</xdr:colOff>
      <xdr:row>28</xdr:row>
      <xdr:rowOff>165100</xdr:rowOff>
    </xdr:to>
    <xdr:sp macro="" textlink="">
      <xdr:nvSpPr>
        <xdr:cNvPr id="1865" name="Line 33">
          <a:extLst>
            <a:ext uri="{FF2B5EF4-FFF2-40B4-BE49-F238E27FC236}">
              <a16:creationId xmlns:a16="http://schemas.microsoft.com/office/drawing/2014/main" id="{576AC715-030B-BF4D-9E16-F7BF0DE64044}"/>
            </a:ext>
          </a:extLst>
        </xdr:cNvPr>
        <xdr:cNvSpPr>
          <a:spLocks noChangeShapeType="1"/>
        </xdr:cNvSpPr>
      </xdr:nvSpPr>
      <xdr:spPr bwMode="auto">
        <a:xfrm>
          <a:off x="16116300" y="41402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431800</xdr:colOff>
      <xdr:row>27</xdr:row>
      <xdr:rowOff>165100</xdr:rowOff>
    </xdr:from>
    <xdr:to>
      <xdr:col>11</xdr:col>
      <xdr:colOff>431800</xdr:colOff>
      <xdr:row>27</xdr:row>
      <xdr:rowOff>165100</xdr:rowOff>
    </xdr:to>
    <xdr:sp macro="" textlink="">
      <xdr:nvSpPr>
        <xdr:cNvPr id="1866" name="Line 31">
          <a:extLst>
            <a:ext uri="{FF2B5EF4-FFF2-40B4-BE49-F238E27FC236}">
              <a16:creationId xmlns:a16="http://schemas.microsoft.com/office/drawing/2014/main" id="{00BEA87D-9C54-8E42-BB17-3E11B4758008}"/>
            </a:ext>
          </a:extLst>
        </xdr:cNvPr>
        <xdr:cNvSpPr>
          <a:spLocks noChangeShapeType="1"/>
        </xdr:cNvSpPr>
      </xdr:nvSpPr>
      <xdr:spPr bwMode="auto">
        <a:xfrm>
          <a:off x="12865100" y="39751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508000</xdr:colOff>
      <xdr:row>27</xdr:row>
      <xdr:rowOff>165100</xdr:rowOff>
    </xdr:from>
    <xdr:to>
      <xdr:col>12</xdr:col>
      <xdr:colOff>508000</xdr:colOff>
      <xdr:row>27</xdr:row>
      <xdr:rowOff>165100</xdr:rowOff>
    </xdr:to>
    <xdr:sp macro="" textlink="">
      <xdr:nvSpPr>
        <xdr:cNvPr id="1867" name="Line 32">
          <a:extLst>
            <a:ext uri="{FF2B5EF4-FFF2-40B4-BE49-F238E27FC236}">
              <a16:creationId xmlns:a16="http://schemas.microsoft.com/office/drawing/2014/main" id="{73042395-6AE1-0449-AE9F-EAA78E50B7F2}"/>
            </a:ext>
          </a:extLst>
        </xdr:cNvPr>
        <xdr:cNvSpPr>
          <a:spLocks noChangeShapeType="1"/>
        </xdr:cNvSpPr>
      </xdr:nvSpPr>
      <xdr:spPr bwMode="auto">
        <a:xfrm>
          <a:off x="13766800" y="39751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622300</xdr:colOff>
      <xdr:row>27</xdr:row>
      <xdr:rowOff>165100</xdr:rowOff>
    </xdr:from>
    <xdr:to>
      <xdr:col>13</xdr:col>
      <xdr:colOff>622300</xdr:colOff>
      <xdr:row>27</xdr:row>
      <xdr:rowOff>165100</xdr:rowOff>
    </xdr:to>
    <xdr:sp macro="" textlink="">
      <xdr:nvSpPr>
        <xdr:cNvPr id="1868" name="Line 33">
          <a:extLst>
            <a:ext uri="{FF2B5EF4-FFF2-40B4-BE49-F238E27FC236}">
              <a16:creationId xmlns:a16="http://schemas.microsoft.com/office/drawing/2014/main" id="{14EC277A-CD49-0645-AEAA-21477B0E2D44}"/>
            </a:ext>
          </a:extLst>
        </xdr:cNvPr>
        <xdr:cNvSpPr>
          <a:spLocks noChangeShapeType="1"/>
        </xdr:cNvSpPr>
      </xdr:nvSpPr>
      <xdr:spPr bwMode="auto">
        <a:xfrm>
          <a:off x="14706600" y="3975100"/>
          <a:ext cx="0" cy="0"/>
        </a:xfrm>
        <a:prstGeom prst="line">
          <a:avLst/>
        </a:prstGeom>
        <a:noFill/>
        <a:ln w="127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xdr:col>
      <xdr:colOff>488460</xdr:colOff>
      <xdr:row>8</xdr:row>
      <xdr:rowOff>25778</xdr:rowOff>
    </xdr:from>
    <xdr:to>
      <xdr:col>8</xdr:col>
      <xdr:colOff>1667282</xdr:colOff>
      <xdr:row>24</xdr:row>
      <xdr:rowOff>15195</xdr:rowOff>
    </xdr:to>
    <xdr:pic>
      <xdr:nvPicPr>
        <xdr:cNvPr id="2" name="Imagen 1">
          <a:extLst>
            <a:ext uri="{FF2B5EF4-FFF2-40B4-BE49-F238E27FC236}">
              <a16:creationId xmlns:a16="http://schemas.microsoft.com/office/drawing/2014/main" id="{6195341C-795A-FA4A-8327-B5EE8C03CE17}"/>
            </a:ext>
          </a:extLst>
        </xdr:cNvPr>
        <xdr:cNvPicPr>
          <a:picLocks noChangeAspect="1"/>
        </xdr:cNvPicPr>
      </xdr:nvPicPr>
      <xdr:blipFill>
        <a:blip xmlns:r="http://schemas.openxmlformats.org/officeDocument/2006/relationships" r:embed="rId1"/>
        <a:stretch>
          <a:fillRect/>
        </a:stretch>
      </xdr:blipFill>
      <xdr:spPr>
        <a:xfrm>
          <a:off x="6957862" y="1067829"/>
          <a:ext cx="4207283" cy="23665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B489C-46CB-4A42-94DB-0B862FC7E08D}">
  <dimension ref="A1:W25"/>
  <sheetViews>
    <sheetView topLeftCell="B1" zoomScale="125" workbookViewId="0">
      <pane ySplit="4" topLeftCell="A5" activePane="bottomLeft" state="frozen"/>
      <selection pane="bottomLeft" activeCell="B5" sqref="B5"/>
    </sheetView>
  </sheetViews>
  <sheetFormatPr baseColWidth="10" defaultColWidth="14.5" defaultRowHeight="12.75" customHeight="1" x14ac:dyDescent="0.15"/>
  <cols>
    <col min="1" max="1" width="18.83203125" style="118" customWidth="1"/>
    <col min="2" max="2" width="8.6640625" style="118" customWidth="1"/>
    <col min="3" max="3" width="13.33203125" style="159" customWidth="1"/>
    <col min="4" max="4" width="13.33203125" style="118" customWidth="1"/>
    <col min="5" max="5" width="10.6640625" style="118" customWidth="1"/>
    <col min="6" max="6" width="8.83203125" style="118" customWidth="1"/>
    <col min="7" max="7" width="9.1640625" style="118" customWidth="1"/>
    <col min="8" max="8" width="10.33203125" style="118" customWidth="1"/>
    <col min="9" max="9" width="10.83203125" style="118" customWidth="1"/>
    <col min="10" max="10" width="10.5" style="118" customWidth="1"/>
    <col min="11" max="11" width="10.33203125" style="118" customWidth="1"/>
    <col min="12" max="12" width="12.33203125" style="118" customWidth="1"/>
    <col min="13" max="13" width="10.1640625" style="118" customWidth="1"/>
    <col min="14" max="14" width="12.5" style="118" customWidth="1"/>
    <col min="15" max="15" width="12.5" style="159" customWidth="1"/>
    <col min="16" max="16" width="11.1640625" style="118" customWidth="1"/>
    <col min="17" max="17" width="9.6640625" style="118" customWidth="1"/>
    <col min="18" max="16384" width="14.5" style="118"/>
  </cols>
  <sheetData>
    <row r="1" spans="1:23" ht="15" customHeight="1" x14ac:dyDescent="0.15">
      <c r="A1" s="117"/>
      <c r="B1" s="171" t="s">
        <v>162</v>
      </c>
      <c r="C1" s="172"/>
      <c r="D1" s="172"/>
      <c r="E1" s="172"/>
      <c r="F1" s="172"/>
      <c r="G1" s="172"/>
      <c r="H1" s="172"/>
      <c r="I1" s="172"/>
      <c r="J1" s="172"/>
      <c r="K1" s="172"/>
      <c r="L1" s="172"/>
      <c r="M1" s="172"/>
      <c r="N1" s="172"/>
      <c r="O1" s="172"/>
      <c r="P1" s="172"/>
      <c r="Q1" s="172"/>
    </row>
    <row r="2" spans="1:23" ht="15" customHeight="1" x14ac:dyDescent="0.15">
      <c r="A2" s="117"/>
      <c r="B2" s="119"/>
      <c r="C2" s="120"/>
      <c r="D2" s="120"/>
      <c r="E2" s="120"/>
      <c r="F2" s="120"/>
      <c r="G2" s="120"/>
      <c r="H2" s="120"/>
      <c r="I2" s="120"/>
      <c r="J2" s="120"/>
      <c r="K2" s="120"/>
      <c r="L2" s="121"/>
      <c r="M2" s="120"/>
      <c r="N2" s="120"/>
      <c r="O2" s="120"/>
      <c r="P2" s="120"/>
      <c r="Q2" s="120"/>
    </row>
    <row r="3" spans="1:23" ht="6" customHeight="1" x14ac:dyDescent="0.15">
      <c r="A3" s="122"/>
      <c r="B3" s="122"/>
      <c r="C3" s="122"/>
      <c r="D3" s="122"/>
      <c r="E3" s="122"/>
      <c r="F3" s="122"/>
      <c r="G3" s="122"/>
      <c r="H3" s="122"/>
      <c r="I3" s="122"/>
      <c r="J3" s="122"/>
      <c r="K3" s="123"/>
      <c r="L3" s="124"/>
      <c r="M3" s="122"/>
      <c r="N3" s="122"/>
      <c r="O3" s="122"/>
      <c r="P3" s="122"/>
      <c r="Q3" s="122"/>
    </row>
    <row r="4" spans="1:23" ht="63.75" customHeight="1" x14ac:dyDescent="0.15">
      <c r="A4" s="125" t="s">
        <v>163</v>
      </c>
      <c r="B4" s="126" t="s">
        <v>164</v>
      </c>
      <c r="C4" s="127" t="s">
        <v>165</v>
      </c>
      <c r="D4" s="128" t="s">
        <v>166</v>
      </c>
      <c r="E4" s="129" t="s">
        <v>167</v>
      </c>
      <c r="F4" s="129" t="s">
        <v>168</v>
      </c>
      <c r="G4" s="129" t="s">
        <v>169</v>
      </c>
      <c r="H4" s="129" t="s">
        <v>170</v>
      </c>
      <c r="I4" s="129" t="s">
        <v>171</v>
      </c>
      <c r="J4" s="129" t="s">
        <v>172</v>
      </c>
      <c r="K4" s="129" t="s">
        <v>173</v>
      </c>
      <c r="L4" s="130" t="s">
        <v>174</v>
      </c>
      <c r="M4" s="131" t="s">
        <v>175</v>
      </c>
      <c r="N4" s="131" t="s">
        <v>176</v>
      </c>
      <c r="O4" s="132" t="s">
        <v>177</v>
      </c>
      <c r="P4" s="131" t="s">
        <v>178</v>
      </c>
      <c r="Q4" s="133" t="s">
        <v>179</v>
      </c>
      <c r="R4" s="134" t="s">
        <v>180</v>
      </c>
      <c r="S4" s="134" t="s">
        <v>181</v>
      </c>
      <c r="T4" s="134" t="s">
        <v>182</v>
      </c>
      <c r="U4" s="134" t="s">
        <v>183</v>
      </c>
      <c r="V4" s="135"/>
      <c r="W4" s="135"/>
    </row>
    <row r="5" spans="1:23" ht="15" customHeight="1" x14ac:dyDescent="0.2">
      <c r="A5" s="136" t="s">
        <v>204</v>
      </c>
      <c r="B5" s="137">
        <v>1</v>
      </c>
      <c r="C5" s="138">
        <v>90</v>
      </c>
      <c r="D5" s="139">
        <f>B5*C5</f>
        <v>90</v>
      </c>
      <c r="E5" s="140">
        <v>0.85</v>
      </c>
      <c r="F5" s="141"/>
      <c r="G5" s="141"/>
      <c r="H5" s="141"/>
      <c r="I5" s="141"/>
      <c r="J5" s="141"/>
      <c r="K5" s="142">
        <f>E5</f>
        <v>0.85</v>
      </c>
      <c r="L5" s="143">
        <f>B5-K5</f>
        <v>0.15000000000000002</v>
      </c>
      <c r="M5" s="144">
        <f>K5/B5</f>
        <v>0.85</v>
      </c>
      <c r="N5" s="145">
        <f t="shared" ref="N5:N25" si="0">100%-M5</f>
        <v>0.15000000000000002</v>
      </c>
      <c r="O5" s="146">
        <f>D5/K5</f>
        <v>105.88235294117648</v>
      </c>
      <c r="P5" s="147">
        <f>D5/M5</f>
        <v>105.88235294117648</v>
      </c>
      <c r="Q5" s="148">
        <f>B5/M5</f>
        <v>1.1764705882352942</v>
      </c>
      <c r="R5" s="149">
        <f t="shared" ref="R5:R25" si="1">B5*C5</f>
        <v>90</v>
      </c>
      <c r="S5" s="149">
        <f t="shared" ref="S5:S25" si="2">Q5*C5</f>
        <v>105.88235294117648</v>
      </c>
      <c r="T5" s="150">
        <f t="shared" ref="T5:T25" si="3">K5</f>
        <v>0.85</v>
      </c>
      <c r="U5" s="151">
        <f>Q5*M5</f>
        <v>1</v>
      </c>
    </row>
    <row r="6" spans="1:23" ht="15" customHeight="1" x14ac:dyDescent="0.2">
      <c r="A6" s="136" t="s">
        <v>184</v>
      </c>
      <c r="B6" s="137">
        <v>2</v>
      </c>
      <c r="C6" s="138">
        <v>123.8</v>
      </c>
      <c r="D6" s="139">
        <f>B6*C6</f>
        <v>247.6</v>
      </c>
      <c r="E6" s="152">
        <f>2*0.8395</f>
        <v>1.679</v>
      </c>
      <c r="F6" s="141"/>
      <c r="G6" s="141"/>
      <c r="H6" s="141"/>
      <c r="I6" s="141"/>
      <c r="J6" s="141"/>
      <c r="K6" s="142">
        <f>E6</f>
        <v>1.679</v>
      </c>
      <c r="L6" s="143">
        <f>B6-K6</f>
        <v>0.32099999999999995</v>
      </c>
      <c r="M6" s="144">
        <f>K6/B6</f>
        <v>0.83950000000000002</v>
      </c>
      <c r="N6" s="145">
        <f t="shared" si="0"/>
        <v>0.16049999999999998</v>
      </c>
      <c r="O6" s="146">
        <f>D6/K6</f>
        <v>147.4687313877308</v>
      </c>
      <c r="P6" s="147">
        <f>D6/M6</f>
        <v>294.9374627754616</v>
      </c>
      <c r="Q6" s="148">
        <f>B6/M6</f>
        <v>2.3823704586063132</v>
      </c>
      <c r="R6" s="149">
        <f t="shared" si="1"/>
        <v>247.6</v>
      </c>
      <c r="S6" s="149">
        <f t="shared" si="2"/>
        <v>294.9374627754616</v>
      </c>
      <c r="T6" s="150">
        <f t="shared" si="3"/>
        <v>1.679</v>
      </c>
      <c r="U6" s="151">
        <f>Q6*M6</f>
        <v>2</v>
      </c>
    </row>
    <row r="7" spans="1:23" ht="15" customHeight="1" x14ac:dyDescent="0.2">
      <c r="A7" s="153" t="s">
        <v>185</v>
      </c>
      <c r="B7" s="154">
        <v>1.6</v>
      </c>
      <c r="C7" s="155">
        <v>313</v>
      </c>
      <c r="D7" s="139">
        <f t="shared" ref="D7:D25" si="4">B7*C7</f>
        <v>500.8</v>
      </c>
      <c r="E7" s="156">
        <v>1.48</v>
      </c>
      <c r="F7" s="156">
        <v>1.3</v>
      </c>
      <c r="G7" s="156"/>
      <c r="H7" s="156"/>
      <c r="I7" s="156"/>
      <c r="J7" s="156"/>
      <c r="K7" s="157">
        <f>F7</f>
        <v>1.3</v>
      </c>
      <c r="L7" s="143">
        <f t="shared" ref="L7:L25" si="5">B7-K7</f>
        <v>0.30000000000000004</v>
      </c>
      <c r="M7" s="144">
        <f t="shared" ref="M7:M25" si="6">K7/B7</f>
        <v>0.8125</v>
      </c>
      <c r="N7" s="145">
        <f t="shared" si="0"/>
        <v>0.1875</v>
      </c>
      <c r="O7" s="146">
        <f t="shared" ref="O7:O25" si="7">D7/K7</f>
        <v>385.23076923076923</v>
      </c>
      <c r="P7" s="147">
        <f t="shared" ref="P7:P25" si="8">D7/M7</f>
        <v>616.36923076923074</v>
      </c>
      <c r="Q7" s="148">
        <f t="shared" ref="Q7:Q25" si="9">B7/M7</f>
        <v>1.9692307692307693</v>
      </c>
      <c r="R7" s="149">
        <f t="shared" si="1"/>
        <v>500.8</v>
      </c>
      <c r="S7" s="149">
        <f t="shared" si="2"/>
        <v>616.36923076923085</v>
      </c>
      <c r="T7" s="150">
        <f t="shared" si="3"/>
        <v>1.3</v>
      </c>
      <c r="U7" s="151">
        <f t="shared" ref="U7:U25" si="10">Q7*M7</f>
        <v>1.6</v>
      </c>
    </row>
    <row r="8" spans="1:23" ht="15" customHeight="1" x14ac:dyDescent="0.2">
      <c r="A8" s="153" t="s">
        <v>186</v>
      </c>
      <c r="B8" s="154">
        <v>0.47799999999999998</v>
      </c>
      <c r="C8" s="155">
        <v>77</v>
      </c>
      <c r="D8" s="139">
        <f t="shared" si="4"/>
        <v>36.805999999999997</v>
      </c>
      <c r="E8" s="158">
        <v>0.33200000000000002</v>
      </c>
      <c r="F8" s="156"/>
      <c r="G8" s="156"/>
      <c r="H8" s="156">
        <v>0.28899999999999998</v>
      </c>
      <c r="I8" s="156"/>
      <c r="J8" s="156"/>
      <c r="K8" s="157">
        <f>H8</f>
        <v>0.28899999999999998</v>
      </c>
      <c r="L8" s="143">
        <f t="shared" si="5"/>
        <v>0.189</v>
      </c>
      <c r="M8" s="144">
        <f t="shared" si="6"/>
        <v>0.60460251046025104</v>
      </c>
      <c r="N8" s="145">
        <f t="shared" si="0"/>
        <v>0.39539748953974896</v>
      </c>
      <c r="O8" s="146">
        <f t="shared" si="7"/>
        <v>127.35640138408304</v>
      </c>
      <c r="P8" s="147">
        <f t="shared" si="8"/>
        <v>60.876359861591695</v>
      </c>
      <c r="Q8" s="148">
        <f t="shared" si="9"/>
        <v>0.79060207612456745</v>
      </c>
      <c r="R8" s="149">
        <f t="shared" si="1"/>
        <v>36.805999999999997</v>
      </c>
      <c r="S8" s="149">
        <f t="shared" si="2"/>
        <v>60.876359861591695</v>
      </c>
      <c r="T8" s="150">
        <f t="shared" si="3"/>
        <v>0.28899999999999998</v>
      </c>
      <c r="U8" s="151">
        <f t="shared" si="10"/>
        <v>0.47799999999999998</v>
      </c>
    </row>
    <row r="9" spans="1:23" ht="15" customHeight="1" x14ac:dyDescent="0.2">
      <c r="A9" s="153" t="s">
        <v>187</v>
      </c>
      <c r="B9" s="154">
        <v>1</v>
      </c>
      <c r="C9" s="155">
        <v>269</v>
      </c>
      <c r="D9" s="139">
        <f t="shared" si="4"/>
        <v>269</v>
      </c>
      <c r="E9" s="158">
        <v>0.80600000000000005</v>
      </c>
      <c r="F9" s="156">
        <v>0.79600000000000004</v>
      </c>
      <c r="G9" s="156"/>
      <c r="H9" s="156"/>
      <c r="I9" s="156"/>
      <c r="J9" s="156"/>
      <c r="K9" s="157">
        <f>F9</f>
        <v>0.79600000000000004</v>
      </c>
      <c r="L9" s="143">
        <f t="shared" si="5"/>
        <v>0.20399999999999996</v>
      </c>
      <c r="M9" s="144">
        <f t="shared" si="6"/>
        <v>0.79600000000000004</v>
      </c>
      <c r="N9" s="145">
        <f t="shared" si="0"/>
        <v>0.20399999999999996</v>
      </c>
      <c r="O9" s="146">
        <f t="shared" si="7"/>
        <v>337.9396984924623</v>
      </c>
      <c r="P9" s="147">
        <f t="shared" si="8"/>
        <v>337.9396984924623</v>
      </c>
      <c r="Q9" s="148">
        <f t="shared" si="9"/>
        <v>1.2562814070351758</v>
      </c>
      <c r="R9" s="149">
        <f t="shared" si="1"/>
        <v>269</v>
      </c>
      <c r="S9" s="149">
        <f t="shared" si="2"/>
        <v>337.9396984924623</v>
      </c>
      <c r="T9" s="150">
        <f t="shared" si="3"/>
        <v>0.79600000000000004</v>
      </c>
      <c r="U9" s="151">
        <f t="shared" si="10"/>
        <v>1</v>
      </c>
    </row>
    <row r="10" spans="1:23" ht="15" customHeight="1" x14ac:dyDescent="0.2">
      <c r="A10" s="153" t="s">
        <v>188</v>
      </c>
      <c r="B10" s="154">
        <v>1</v>
      </c>
      <c r="C10" s="155">
        <v>208</v>
      </c>
      <c r="D10" s="139">
        <f t="shared" si="4"/>
        <v>208</v>
      </c>
      <c r="E10" s="158">
        <v>0.64400000000000002</v>
      </c>
      <c r="F10" s="156"/>
      <c r="G10" s="156"/>
      <c r="H10" s="156"/>
      <c r="I10" s="156"/>
      <c r="J10" s="156"/>
      <c r="K10" s="157">
        <v>0.64400000000000002</v>
      </c>
      <c r="L10" s="143">
        <f t="shared" si="5"/>
        <v>0.35599999999999998</v>
      </c>
      <c r="M10" s="144">
        <f t="shared" si="6"/>
        <v>0.64400000000000002</v>
      </c>
      <c r="N10" s="145">
        <f t="shared" si="0"/>
        <v>0.35599999999999998</v>
      </c>
      <c r="O10" s="146">
        <f t="shared" si="7"/>
        <v>322.98136645962734</v>
      </c>
      <c r="P10" s="147">
        <f t="shared" si="8"/>
        <v>322.98136645962734</v>
      </c>
      <c r="Q10" s="148">
        <f t="shared" si="9"/>
        <v>1.5527950310559007</v>
      </c>
      <c r="R10" s="149">
        <f t="shared" si="1"/>
        <v>208</v>
      </c>
      <c r="S10" s="149">
        <f t="shared" si="2"/>
        <v>322.98136645962734</v>
      </c>
      <c r="T10" s="150">
        <f t="shared" si="3"/>
        <v>0.64400000000000002</v>
      </c>
      <c r="U10" s="151">
        <f t="shared" si="10"/>
        <v>1</v>
      </c>
    </row>
    <row r="11" spans="1:23" ht="15" customHeight="1" x14ac:dyDescent="0.2">
      <c r="A11" s="153" t="s">
        <v>189</v>
      </c>
      <c r="B11" s="154">
        <v>1</v>
      </c>
      <c r="C11" s="155">
        <v>452</v>
      </c>
      <c r="D11" s="139">
        <f t="shared" si="4"/>
        <v>452</v>
      </c>
      <c r="E11" s="158">
        <v>0.82399999999999995</v>
      </c>
      <c r="F11" s="156">
        <v>0.81200000000000006</v>
      </c>
      <c r="G11" s="156"/>
      <c r="H11" s="156">
        <f>F11</f>
        <v>0.81200000000000006</v>
      </c>
      <c r="I11" s="156"/>
      <c r="J11" s="156"/>
      <c r="K11" s="157">
        <f>H11</f>
        <v>0.81200000000000006</v>
      </c>
      <c r="L11" s="143">
        <f t="shared" si="5"/>
        <v>0.18799999999999994</v>
      </c>
      <c r="M11" s="144">
        <f t="shared" si="6"/>
        <v>0.81200000000000006</v>
      </c>
      <c r="N11" s="145">
        <f t="shared" si="0"/>
        <v>0.18799999999999994</v>
      </c>
      <c r="O11" s="146">
        <f t="shared" si="7"/>
        <v>556.6502463054187</v>
      </c>
      <c r="P11" s="147">
        <f t="shared" si="8"/>
        <v>556.6502463054187</v>
      </c>
      <c r="Q11" s="148">
        <f t="shared" si="9"/>
        <v>1.2315270935960589</v>
      </c>
      <c r="R11" s="149">
        <f t="shared" si="1"/>
        <v>452</v>
      </c>
      <c r="S11" s="149">
        <f t="shared" si="2"/>
        <v>556.65024630541859</v>
      </c>
      <c r="T11" s="150">
        <f t="shared" si="3"/>
        <v>0.81200000000000006</v>
      </c>
      <c r="U11" s="151">
        <f t="shared" si="10"/>
        <v>0.99999999999999989</v>
      </c>
    </row>
    <row r="12" spans="1:23" ht="15" customHeight="1" x14ac:dyDescent="0.2">
      <c r="A12" s="136" t="s">
        <v>190</v>
      </c>
      <c r="B12" s="137">
        <v>1</v>
      </c>
      <c r="C12" s="138">
        <v>475</v>
      </c>
      <c r="D12" s="139">
        <f t="shared" si="4"/>
        <v>475</v>
      </c>
      <c r="E12" s="141"/>
      <c r="F12" s="141"/>
      <c r="G12" s="141"/>
      <c r="H12" s="141">
        <v>0.89200000000000002</v>
      </c>
      <c r="I12" s="141"/>
      <c r="J12" s="141"/>
      <c r="K12" s="142">
        <f>H12</f>
        <v>0.89200000000000002</v>
      </c>
      <c r="L12" s="143">
        <f t="shared" si="5"/>
        <v>0.10799999999999998</v>
      </c>
      <c r="M12" s="144">
        <f t="shared" si="6"/>
        <v>0.89200000000000002</v>
      </c>
      <c r="N12" s="145">
        <f t="shared" si="0"/>
        <v>0.10799999999999998</v>
      </c>
      <c r="O12" s="146">
        <f t="shared" si="7"/>
        <v>532.51121076233187</v>
      </c>
      <c r="P12" s="147">
        <f t="shared" si="8"/>
        <v>532.51121076233187</v>
      </c>
      <c r="Q12" s="148">
        <f t="shared" si="9"/>
        <v>1.1210762331838564</v>
      </c>
      <c r="R12" s="149">
        <f t="shared" si="1"/>
        <v>475</v>
      </c>
      <c r="S12" s="149">
        <f t="shared" si="2"/>
        <v>532.51121076233176</v>
      </c>
      <c r="T12" s="150">
        <f t="shared" si="3"/>
        <v>0.89200000000000002</v>
      </c>
      <c r="U12" s="151">
        <f t="shared" si="10"/>
        <v>0.99999999999999989</v>
      </c>
    </row>
    <row r="13" spans="1:23" ht="15" customHeight="1" x14ac:dyDescent="0.2">
      <c r="A13" s="153" t="s">
        <v>191</v>
      </c>
      <c r="B13" s="154">
        <v>1</v>
      </c>
      <c r="C13" s="155">
        <v>244</v>
      </c>
      <c r="D13" s="139">
        <f t="shared" si="4"/>
        <v>244</v>
      </c>
      <c r="E13" s="156"/>
      <c r="F13" s="156"/>
      <c r="G13" s="156">
        <v>0.95</v>
      </c>
      <c r="H13" s="156">
        <v>0.98</v>
      </c>
      <c r="I13" s="156"/>
      <c r="J13" s="156"/>
      <c r="K13" s="157">
        <f>H13</f>
        <v>0.98</v>
      </c>
      <c r="L13" s="143">
        <f t="shared" si="5"/>
        <v>2.0000000000000018E-2</v>
      </c>
      <c r="M13" s="144">
        <f t="shared" si="6"/>
        <v>0.98</v>
      </c>
      <c r="N13" s="145">
        <f t="shared" si="0"/>
        <v>2.0000000000000018E-2</v>
      </c>
      <c r="O13" s="146">
        <f t="shared" si="7"/>
        <v>248.9795918367347</v>
      </c>
      <c r="P13" s="147">
        <f t="shared" si="8"/>
        <v>248.9795918367347</v>
      </c>
      <c r="Q13" s="148">
        <f t="shared" si="9"/>
        <v>1.0204081632653061</v>
      </c>
      <c r="R13" s="149">
        <f t="shared" si="1"/>
        <v>244</v>
      </c>
      <c r="S13" s="149">
        <f t="shared" si="2"/>
        <v>248.9795918367347</v>
      </c>
      <c r="T13" s="150">
        <f t="shared" si="3"/>
        <v>0.98</v>
      </c>
      <c r="U13" s="151">
        <f t="shared" si="10"/>
        <v>1</v>
      </c>
    </row>
    <row r="14" spans="1:23" ht="15" customHeight="1" x14ac:dyDescent="0.2">
      <c r="A14" s="153" t="s">
        <v>192</v>
      </c>
      <c r="B14" s="154">
        <v>0.11</v>
      </c>
      <c r="C14" s="155">
        <v>124</v>
      </c>
      <c r="D14" s="139">
        <f t="shared" si="4"/>
        <v>13.64</v>
      </c>
      <c r="E14" s="141"/>
      <c r="F14" s="156"/>
      <c r="G14" s="156"/>
      <c r="H14" s="156">
        <v>0.93</v>
      </c>
      <c r="I14" s="156"/>
      <c r="J14" s="156"/>
      <c r="K14" s="157">
        <v>9.8000000000000004E-2</v>
      </c>
      <c r="L14" s="143">
        <f t="shared" si="5"/>
        <v>1.1999999999999997E-2</v>
      </c>
      <c r="M14" s="144">
        <f t="shared" si="6"/>
        <v>0.89090909090909098</v>
      </c>
      <c r="N14" s="145">
        <f t="shared" si="0"/>
        <v>0.10909090909090902</v>
      </c>
      <c r="O14" s="146">
        <f t="shared" si="7"/>
        <v>139.18367346938774</v>
      </c>
      <c r="P14" s="147">
        <f t="shared" si="8"/>
        <v>15.310204081632653</v>
      </c>
      <c r="Q14" s="148">
        <f t="shared" si="9"/>
        <v>0.12346938775510204</v>
      </c>
      <c r="R14" s="149">
        <f t="shared" si="1"/>
        <v>13.64</v>
      </c>
      <c r="S14" s="149">
        <f t="shared" si="2"/>
        <v>15.310204081632653</v>
      </c>
      <c r="T14" s="150">
        <f t="shared" si="3"/>
        <v>9.8000000000000004E-2</v>
      </c>
      <c r="U14" s="151">
        <f t="shared" si="10"/>
        <v>0.11</v>
      </c>
    </row>
    <row r="15" spans="1:23" ht="15" customHeight="1" x14ac:dyDescent="0.2">
      <c r="A15" s="153" t="s">
        <v>193</v>
      </c>
      <c r="B15" s="154">
        <v>1</v>
      </c>
      <c r="C15" s="155">
        <v>131.71</v>
      </c>
      <c r="D15" s="139">
        <f t="shared" si="4"/>
        <v>131.71</v>
      </c>
      <c r="E15" s="156"/>
      <c r="F15" s="156"/>
      <c r="G15" s="156"/>
      <c r="H15" s="156">
        <v>0.872</v>
      </c>
      <c r="I15" s="156"/>
      <c r="J15" s="156"/>
      <c r="K15" s="157">
        <f>H15</f>
        <v>0.872</v>
      </c>
      <c r="L15" s="143">
        <f t="shared" si="5"/>
        <v>0.128</v>
      </c>
      <c r="M15" s="144">
        <f t="shared" si="6"/>
        <v>0.872</v>
      </c>
      <c r="N15" s="145">
        <f t="shared" si="0"/>
        <v>0.128</v>
      </c>
      <c r="O15" s="146">
        <f t="shared" si="7"/>
        <v>151.0435779816514</v>
      </c>
      <c r="P15" s="147">
        <f t="shared" si="8"/>
        <v>151.0435779816514</v>
      </c>
      <c r="Q15" s="148">
        <f t="shared" si="9"/>
        <v>1.1467889908256881</v>
      </c>
      <c r="R15" s="149">
        <f t="shared" si="1"/>
        <v>131.71</v>
      </c>
      <c r="S15" s="149">
        <f t="shared" si="2"/>
        <v>151.0435779816514</v>
      </c>
      <c r="T15" s="150">
        <f t="shared" si="3"/>
        <v>0.872</v>
      </c>
      <c r="U15" s="151">
        <f t="shared" si="10"/>
        <v>1</v>
      </c>
    </row>
    <row r="16" spans="1:23" ht="15" customHeight="1" x14ac:dyDescent="0.2">
      <c r="A16" s="153" t="s">
        <v>194</v>
      </c>
      <c r="B16" s="154">
        <v>1</v>
      </c>
      <c r="C16" s="155">
        <v>212.4</v>
      </c>
      <c r="D16" s="139">
        <f t="shared" si="4"/>
        <v>212.4</v>
      </c>
      <c r="E16" s="156"/>
      <c r="F16" s="156"/>
      <c r="G16" s="156"/>
      <c r="H16" s="156">
        <v>0.88400000000000001</v>
      </c>
      <c r="I16" s="156"/>
      <c r="J16" s="156"/>
      <c r="K16" s="157">
        <f>H16</f>
        <v>0.88400000000000001</v>
      </c>
      <c r="L16" s="143">
        <f t="shared" si="5"/>
        <v>0.11599999999999999</v>
      </c>
      <c r="M16" s="144">
        <f t="shared" si="6"/>
        <v>0.88400000000000001</v>
      </c>
      <c r="N16" s="145">
        <f t="shared" si="0"/>
        <v>0.11599999999999999</v>
      </c>
      <c r="O16" s="146">
        <f t="shared" si="7"/>
        <v>240.2714932126697</v>
      </c>
      <c r="P16" s="147">
        <f t="shared" si="8"/>
        <v>240.2714932126697</v>
      </c>
      <c r="Q16" s="148">
        <f t="shared" si="9"/>
        <v>1.1312217194570136</v>
      </c>
      <c r="R16" s="149">
        <f t="shared" si="1"/>
        <v>212.4</v>
      </c>
      <c r="S16" s="149">
        <f t="shared" si="2"/>
        <v>240.2714932126697</v>
      </c>
      <c r="T16" s="150">
        <f t="shared" si="3"/>
        <v>0.88400000000000001</v>
      </c>
      <c r="U16" s="151">
        <f t="shared" si="10"/>
        <v>1</v>
      </c>
    </row>
    <row r="17" spans="1:21" ht="15" customHeight="1" x14ac:dyDescent="0.2">
      <c r="A17" s="153" t="s">
        <v>195</v>
      </c>
      <c r="B17" s="154">
        <v>1</v>
      </c>
      <c r="C17" s="155">
        <v>199</v>
      </c>
      <c r="D17" s="139">
        <f t="shared" si="4"/>
        <v>199</v>
      </c>
      <c r="E17" s="156"/>
      <c r="F17" s="156"/>
      <c r="G17" s="156"/>
      <c r="H17" s="156">
        <v>0.89600000000000002</v>
      </c>
      <c r="I17" s="156"/>
      <c r="J17" s="156"/>
      <c r="K17" s="157">
        <f>H17</f>
        <v>0.89600000000000002</v>
      </c>
      <c r="L17" s="143">
        <f t="shared" si="5"/>
        <v>0.10399999999999998</v>
      </c>
      <c r="M17" s="144">
        <f t="shared" si="6"/>
        <v>0.89600000000000002</v>
      </c>
      <c r="N17" s="145">
        <f t="shared" si="0"/>
        <v>0.10399999999999998</v>
      </c>
      <c r="O17" s="146">
        <f t="shared" si="7"/>
        <v>222.09821428571428</v>
      </c>
      <c r="P17" s="147">
        <f t="shared" si="8"/>
        <v>222.09821428571428</v>
      </c>
      <c r="Q17" s="148">
        <f t="shared" si="9"/>
        <v>1.1160714285714286</v>
      </c>
      <c r="R17" s="149">
        <f t="shared" si="1"/>
        <v>199</v>
      </c>
      <c r="S17" s="149">
        <f t="shared" si="2"/>
        <v>222.09821428571431</v>
      </c>
      <c r="T17" s="150">
        <f t="shared" si="3"/>
        <v>0.89600000000000002</v>
      </c>
      <c r="U17" s="151">
        <f t="shared" si="10"/>
        <v>1</v>
      </c>
    </row>
    <row r="18" spans="1:21" ht="15" customHeight="1" x14ac:dyDescent="0.2">
      <c r="A18" s="153" t="s">
        <v>196</v>
      </c>
      <c r="B18" s="154">
        <v>0.3</v>
      </c>
      <c r="C18" s="155">
        <v>185</v>
      </c>
      <c r="D18" s="139">
        <f t="shared" si="4"/>
        <v>55.5</v>
      </c>
      <c r="E18" s="156"/>
      <c r="F18" s="156"/>
      <c r="G18" s="156"/>
      <c r="H18" s="156">
        <v>0.28499999999999998</v>
      </c>
      <c r="I18" s="156"/>
      <c r="J18" s="156"/>
      <c r="K18" s="157">
        <f>H18</f>
        <v>0.28499999999999998</v>
      </c>
      <c r="L18" s="143">
        <f t="shared" si="5"/>
        <v>1.5000000000000013E-2</v>
      </c>
      <c r="M18" s="144">
        <f t="shared" si="6"/>
        <v>0.95</v>
      </c>
      <c r="N18" s="145">
        <f t="shared" si="0"/>
        <v>5.0000000000000044E-2</v>
      </c>
      <c r="O18" s="146">
        <f t="shared" si="7"/>
        <v>194.73684210526318</v>
      </c>
      <c r="P18" s="147">
        <f t="shared" si="8"/>
        <v>58.421052631578952</v>
      </c>
      <c r="Q18" s="148">
        <f t="shared" si="9"/>
        <v>0.31578947368421051</v>
      </c>
      <c r="R18" s="149">
        <f t="shared" si="1"/>
        <v>55.5</v>
      </c>
      <c r="S18" s="149">
        <f t="shared" si="2"/>
        <v>58.421052631578945</v>
      </c>
      <c r="T18" s="150">
        <f t="shared" si="3"/>
        <v>0.28499999999999998</v>
      </c>
      <c r="U18" s="151">
        <f t="shared" si="10"/>
        <v>0.3</v>
      </c>
    </row>
    <row r="19" spans="1:21" ht="15.75" customHeight="1" x14ac:dyDescent="0.2">
      <c r="A19" s="153" t="s">
        <v>197</v>
      </c>
      <c r="B19" s="154">
        <v>1</v>
      </c>
      <c r="C19" s="155">
        <v>75</v>
      </c>
      <c r="D19" s="139">
        <f t="shared" si="4"/>
        <v>75</v>
      </c>
      <c r="E19" s="156"/>
      <c r="F19" s="156"/>
      <c r="G19" s="156"/>
      <c r="H19" s="156"/>
      <c r="I19" s="156">
        <v>0.74</v>
      </c>
      <c r="J19" s="156"/>
      <c r="K19" s="157">
        <f>I19</f>
        <v>0.74</v>
      </c>
      <c r="L19" s="143">
        <f t="shared" si="5"/>
        <v>0.26</v>
      </c>
      <c r="M19" s="144">
        <f t="shared" si="6"/>
        <v>0.74</v>
      </c>
      <c r="N19" s="145">
        <f t="shared" si="0"/>
        <v>0.26</v>
      </c>
      <c r="O19" s="146">
        <f t="shared" si="7"/>
        <v>101.35135135135135</v>
      </c>
      <c r="P19" s="147">
        <f t="shared" si="8"/>
        <v>101.35135135135135</v>
      </c>
      <c r="Q19" s="148">
        <f t="shared" si="9"/>
        <v>1.3513513513513513</v>
      </c>
      <c r="R19" s="149">
        <f t="shared" si="1"/>
        <v>75</v>
      </c>
      <c r="S19" s="149">
        <f t="shared" si="2"/>
        <v>101.35135135135135</v>
      </c>
      <c r="T19" s="150">
        <f t="shared" si="3"/>
        <v>0.74</v>
      </c>
      <c r="U19" s="151">
        <f t="shared" si="10"/>
        <v>1</v>
      </c>
    </row>
    <row r="20" spans="1:21" ht="15.75" customHeight="1" x14ac:dyDescent="0.2">
      <c r="A20" s="153" t="s">
        <v>198</v>
      </c>
      <c r="B20" s="154">
        <v>0.12</v>
      </c>
      <c r="C20" s="155">
        <v>53</v>
      </c>
      <c r="D20" s="139">
        <f t="shared" si="4"/>
        <v>6.3599999999999994</v>
      </c>
      <c r="E20" s="156"/>
      <c r="F20" s="156"/>
      <c r="G20" s="156"/>
      <c r="H20" s="156"/>
      <c r="I20" s="156">
        <v>0.10299999999999999</v>
      </c>
      <c r="J20" s="156"/>
      <c r="K20" s="157">
        <f>I20</f>
        <v>0.10299999999999999</v>
      </c>
      <c r="L20" s="143">
        <f t="shared" si="5"/>
        <v>1.7000000000000001E-2</v>
      </c>
      <c r="M20" s="144">
        <f t="shared" si="6"/>
        <v>0.85833333333333328</v>
      </c>
      <c r="N20" s="145">
        <f t="shared" si="0"/>
        <v>0.14166666666666672</v>
      </c>
      <c r="O20" s="146">
        <f t="shared" si="7"/>
        <v>61.747572815533978</v>
      </c>
      <c r="P20" s="147">
        <f t="shared" si="8"/>
        <v>7.4097087378640776</v>
      </c>
      <c r="Q20" s="148">
        <f t="shared" si="9"/>
        <v>0.13980582524271845</v>
      </c>
      <c r="R20" s="149">
        <f t="shared" si="1"/>
        <v>6.3599999999999994</v>
      </c>
      <c r="S20" s="149">
        <f t="shared" si="2"/>
        <v>7.4097087378640776</v>
      </c>
      <c r="T20" s="150">
        <f t="shared" si="3"/>
        <v>0.10299999999999999</v>
      </c>
      <c r="U20" s="151">
        <f t="shared" si="10"/>
        <v>0.12</v>
      </c>
    </row>
    <row r="21" spans="1:21" ht="15.75" customHeight="1" x14ac:dyDescent="0.2">
      <c r="A21" s="153" t="s">
        <v>199</v>
      </c>
      <c r="B21" s="154">
        <v>1</v>
      </c>
      <c r="C21" s="155">
        <v>225</v>
      </c>
      <c r="D21" s="139">
        <f t="shared" si="4"/>
        <v>225</v>
      </c>
      <c r="E21" s="156">
        <v>0.97799999999999998</v>
      </c>
      <c r="F21" s="156"/>
      <c r="G21" s="156"/>
      <c r="H21" s="156">
        <v>0.96199999999999997</v>
      </c>
      <c r="I21" s="156">
        <v>0.95099999999999996</v>
      </c>
      <c r="J21" s="156"/>
      <c r="K21" s="157">
        <f>I21</f>
        <v>0.95099999999999996</v>
      </c>
      <c r="L21" s="143">
        <f t="shared" si="5"/>
        <v>4.9000000000000044E-2</v>
      </c>
      <c r="M21" s="144">
        <f t="shared" si="6"/>
        <v>0.95099999999999996</v>
      </c>
      <c r="N21" s="145">
        <f t="shared" si="0"/>
        <v>4.9000000000000044E-2</v>
      </c>
      <c r="O21" s="146">
        <f t="shared" si="7"/>
        <v>236.59305993690853</v>
      </c>
      <c r="P21" s="147">
        <f t="shared" si="8"/>
        <v>236.59305993690853</v>
      </c>
      <c r="Q21" s="148">
        <f t="shared" si="9"/>
        <v>1.0515247108307046</v>
      </c>
      <c r="R21" s="149">
        <f t="shared" si="1"/>
        <v>225</v>
      </c>
      <c r="S21" s="149">
        <f t="shared" si="2"/>
        <v>236.59305993690853</v>
      </c>
      <c r="T21" s="150">
        <f t="shared" si="3"/>
        <v>0.95099999999999996</v>
      </c>
      <c r="U21" s="151">
        <f t="shared" si="10"/>
        <v>1</v>
      </c>
    </row>
    <row r="22" spans="1:21" ht="15.75" customHeight="1" x14ac:dyDescent="0.2">
      <c r="A22" s="153" t="s">
        <v>200</v>
      </c>
      <c r="B22" s="154">
        <v>1</v>
      </c>
      <c r="C22" s="155">
        <v>87</v>
      </c>
      <c r="D22" s="139">
        <f t="shared" si="4"/>
        <v>87</v>
      </c>
      <c r="E22" s="156"/>
      <c r="F22" s="156"/>
      <c r="G22" s="156"/>
      <c r="H22" s="156">
        <v>0.92400000000000004</v>
      </c>
      <c r="I22" s="156"/>
      <c r="J22" s="156"/>
      <c r="K22" s="157">
        <f>H22</f>
        <v>0.92400000000000004</v>
      </c>
      <c r="L22" s="143">
        <f t="shared" si="5"/>
        <v>7.5999999999999956E-2</v>
      </c>
      <c r="M22" s="144">
        <f t="shared" si="6"/>
        <v>0.92400000000000004</v>
      </c>
      <c r="N22" s="145">
        <f t="shared" si="0"/>
        <v>7.5999999999999956E-2</v>
      </c>
      <c r="O22" s="146">
        <f t="shared" si="7"/>
        <v>94.15584415584415</v>
      </c>
      <c r="P22" s="147">
        <f t="shared" si="8"/>
        <v>94.15584415584415</v>
      </c>
      <c r="Q22" s="148">
        <f t="shared" si="9"/>
        <v>1.0822510822510822</v>
      </c>
      <c r="R22" s="149">
        <f t="shared" si="1"/>
        <v>87</v>
      </c>
      <c r="S22" s="149">
        <f t="shared" si="2"/>
        <v>94.15584415584415</v>
      </c>
      <c r="T22" s="150">
        <f t="shared" si="3"/>
        <v>0.92400000000000004</v>
      </c>
      <c r="U22" s="151">
        <f t="shared" si="10"/>
        <v>1</v>
      </c>
    </row>
    <row r="23" spans="1:21" ht="15.75" customHeight="1" x14ac:dyDescent="0.2">
      <c r="A23" s="153" t="s">
        <v>201</v>
      </c>
      <c r="B23" s="154">
        <v>1</v>
      </c>
      <c r="C23" s="155">
        <v>88</v>
      </c>
      <c r="D23" s="139">
        <f t="shared" si="4"/>
        <v>88</v>
      </c>
      <c r="E23" s="156"/>
      <c r="F23" s="156"/>
      <c r="G23" s="156"/>
      <c r="H23" s="156">
        <v>0.89100000000000001</v>
      </c>
      <c r="I23" s="156"/>
      <c r="J23" s="156"/>
      <c r="K23" s="157">
        <f>H23</f>
        <v>0.89100000000000001</v>
      </c>
      <c r="L23" s="143">
        <f t="shared" si="5"/>
        <v>0.10899999999999999</v>
      </c>
      <c r="M23" s="144">
        <f t="shared" si="6"/>
        <v>0.89100000000000001</v>
      </c>
      <c r="N23" s="145">
        <f t="shared" si="0"/>
        <v>0.10899999999999999</v>
      </c>
      <c r="O23" s="146">
        <f t="shared" si="7"/>
        <v>98.76543209876543</v>
      </c>
      <c r="P23" s="147">
        <f t="shared" si="8"/>
        <v>98.76543209876543</v>
      </c>
      <c r="Q23" s="148">
        <f t="shared" si="9"/>
        <v>1.122334455667789</v>
      </c>
      <c r="R23" s="149">
        <f t="shared" si="1"/>
        <v>88</v>
      </c>
      <c r="S23" s="149">
        <f t="shared" si="2"/>
        <v>98.76543209876543</v>
      </c>
      <c r="T23" s="150">
        <f t="shared" si="3"/>
        <v>0.89100000000000001</v>
      </c>
      <c r="U23" s="151">
        <f t="shared" si="10"/>
        <v>1</v>
      </c>
    </row>
    <row r="24" spans="1:21" ht="12.75" customHeight="1" x14ac:dyDescent="0.2">
      <c r="A24" s="153" t="s">
        <v>202</v>
      </c>
      <c r="B24" s="154">
        <v>1</v>
      </c>
      <c r="C24" s="155">
        <v>208</v>
      </c>
      <c r="D24" s="139">
        <f t="shared" si="4"/>
        <v>208</v>
      </c>
      <c r="E24" s="156">
        <v>0.97599999999999998</v>
      </c>
      <c r="F24" s="156"/>
      <c r="G24" s="156"/>
      <c r="H24" s="156"/>
      <c r="I24" s="156">
        <v>0.96099999999999997</v>
      </c>
      <c r="J24" s="156"/>
      <c r="K24" s="157">
        <f>I24</f>
        <v>0.96099999999999997</v>
      </c>
      <c r="L24" s="143">
        <f t="shared" si="5"/>
        <v>3.9000000000000035E-2</v>
      </c>
      <c r="M24" s="144">
        <f t="shared" si="6"/>
        <v>0.96099999999999997</v>
      </c>
      <c r="N24" s="145">
        <f t="shared" si="0"/>
        <v>3.9000000000000035E-2</v>
      </c>
      <c r="O24" s="146">
        <f t="shared" si="7"/>
        <v>216.44120707596255</v>
      </c>
      <c r="P24" s="147">
        <f t="shared" si="8"/>
        <v>216.44120707596255</v>
      </c>
      <c r="Q24" s="148">
        <f t="shared" si="9"/>
        <v>1.0405827263267431</v>
      </c>
      <c r="R24" s="149">
        <f t="shared" si="1"/>
        <v>208</v>
      </c>
      <c r="S24" s="149">
        <f t="shared" si="2"/>
        <v>216.44120707596255</v>
      </c>
      <c r="T24" s="150">
        <f t="shared" si="3"/>
        <v>0.96099999999999997</v>
      </c>
      <c r="U24" s="151">
        <f t="shared" si="10"/>
        <v>1</v>
      </c>
    </row>
    <row r="25" spans="1:21" ht="12.75" customHeight="1" x14ac:dyDescent="0.2">
      <c r="A25" s="153" t="s">
        <v>203</v>
      </c>
      <c r="B25" s="154">
        <v>1</v>
      </c>
      <c r="C25" s="155">
        <v>67</v>
      </c>
      <c r="D25" s="139">
        <f t="shared" si="4"/>
        <v>67</v>
      </c>
      <c r="E25" s="156"/>
      <c r="F25" s="156"/>
      <c r="G25" s="156"/>
      <c r="H25" s="156">
        <v>0.872</v>
      </c>
      <c r="I25" s="156"/>
      <c r="J25" s="156"/>
      <c r="K25" s="157">
        <f>H25</f>
        <v>0.872</v>
      </c>
      <c r="L25" s="143">
        <f t="shared" si="5"/>
        <v>0.128</v>
      </c>
      <c r="M25" s="144">
        <f t="shared" si="6"/>
        <v>0.872</v>
      </c>
      <c r="N25" s="145">
        <f t="shared" si="0"/>
        <v>0.128</v>
      </c>
      <c r="O25" s="146">
        <f t="shared" si="7"/>
        <v>76.834862385321102</v>
      </c>
      <c r="P25" s="147">
        <f t="shared" si="8"/>
        <v>76.834862385321102</v>
      </c>
      <c r="Q25" s="148">
        <f t="shared" si="9"/>
        <v>1.1467889908256881</v>
      </c>
      <c r="R25" s="149">
        <f t="shared" si="1"/>
        <v>67</v>
      </c>
      <c r="S25" s="149">
        <f t="shared" si="2"/>
        <v>76.834862385321102</v>
      </c>
      <c r="T25" s="150">
        <f t="shared" si="3"/>
        <v>0.872</v>
      </c>
      <c r="U25" s="151">
        <f t="shared" si="10"/>
        <v>1</v>
      </c>
    </row>
  </sheetData>
  <mergeCells count="1">
    <mergeCell ref="B1:Q1"/>
  </mergeCells>
  <pageMargins left="0" right="0" top="0" bottom="0" header="0" footer="0"/>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O32"/>
  <sheetViews>
    <sheetView topLeftCell="D10" zoomScale="150" zoomScaleNormal="150" workbookViewId="0">
      <selection activeCell="L29" sqref="L29"/>
    </sheetView>
  </sheetViews>
  <sheetFormatPr baseColWidth="10" defaultColWidth="11.5" defaultRowHeight="15" x14ac:dyDescent="0.2"/>
  <cols>
    <col min="1" max="1" width="11.5" style="62"/>
    <col min="2" max="2" width="18.1640625" style="62" customWidth="1"/>
    <col min="3" max="3" width="21.6640625" style="62" customWidth="1"/>
    <col min="4" max="4" width="11.5" style="62"/>
    <col min="5" max="5" width="16.5" style="62" customWidth="1"/>
    <col min="6" max="6" width="11.5" style="62"/>
    <col min="7" max="7" width="4.33203125" style="62" customWidth="1"/>
    <col min="8" max="8" width="3.5" style="62" customWidth="1"/>
    <col min="9" max="9" width="17.33203125" style="62" customWidth="1"/>
    <col min="10" max="10" width="15.5" style="62" customWidth="1"/>
    <col min="11" max="11" width="18" style="62" customWidth="1"/>
    <col min="12" max="16384" width="11.5" style="62"/>
  </cols>
  <sheetData>
    <row r="1" spans="1:15" x14ac:dyDescent="0.2">
      <c r="A1" s="62" t="s">
        <v>66</v>
      </c>
      <c r="I1" s="62" t="s">
        <v>120</v>
      </c>
    </row>
    <row r="2" spans="1:15" x14ac:dyDescent="0.2">
      <c r="A2" s="62" t="s">
        <v>67</v>
      </c>
      <c r="I2" s="62" t="s">
        <v>111</v>
      </c>
    </row>
    <row r="3" spans="1:15" x14ac:dyDescent="0.2">
      <c r="C3" s="62" t="s">
        <v>68</v>
      </c>
      <c r="D3" s="62" t="s">
        <v>69</v>
      </c>
      <c r="E3" s="62" t="s">
        <v>70</v>
      </c>
      <c r="K3" s="62" t="s">
        <v>68</v>
      </c>
      <c r="L3" s="62" t="s">
        <v>69</v>
      </c>
      <c r="M3" s="62" t="s">
        <v>70</v>
      </c>
    </row>
    <row r="4" spans="1:15" x14ac:dyDescent="0.2">
      <c r="A4" s="62" t="s">
        <v>71</v>
      </c>
      <c r="B4" s="62">
        <v>1000</v>
      </c>
      <c r="C4" s="62">
        <v>1</v>
      </c>
      <c r="D4" s="62">
        <f>B4*C4</f>
        <v>1000</v>
      </c>
      <c r="E4" s="94">
        <f>65</f>
        <v>65</v>
      </c>
      <c r="F4" s="94">
        <f>E4*C4</f>
        <v>65</v>
      </c>
      <c r="I4" s="62" t="s">
        <v>71</v>
      </c>
      <c r="J4" s="62">
        <v>1000</v>
      </c>
      <c r="K4" s="62">
        <v>1</v>
      </c>
      <c r="L4" s="101">
        <f>J4*K4</f>
        <v>1000</v>
      </c>
      <c r="M4" s="94">
        <v>350</v>
      </c>
    </row>
    <row r="5" spans="1:15" x14ac:dyDescent="0.2">
      <c r="A5" s="62" t="s">
        <v>72</v>
      </c>
      <c r="B5" s="62">
        <v>600</v>
      </c>
      <c r="C5" s="62">
        <v>1</v>
      </c>
      <c r="D5" s="62">
        <f>B5*C5</f>
        <v>600</v>
      </c>
      <c r="I5" s="62" t="s">
        <v>72</v>
      </c>
      <c r="J5" s="62">
        <f>J4*0.65</f>
        <v>650</v>
      </c>
      <c r="K5" s="62">
        <v>1</v>
      </c>
      <c r="L5" s="101">
        <f>J5*K5</f>
        <v>650</v>
      </c>
      <c r="M5" s="94"/>
    </row>
    <row r="6" spans="1:15" x14ac:dyDescent="0.2">
      <c r="A6" s="62" t="s">
        <v>73</v>
      </c>
      <c r="B6" s="63">
        <f>B5/B4</f>
        <v>0.6</v>
      </c>
      <c r="I6" s="62" t="s">
        <v>125</v>
      </c>
      <c r="J6" s="63">
        <f>J5/J4</f>
        <v>0.65</v>
      </c>
    </row>
    <row r="7" spans="1:15" x14ac:dyDescent="0.2">
      <c r="E7" s="62" t="s">
        <v>74</v>
      </c>
      <c r="M7" s="62" t="s">
        <v>122</v>
      </c>
    </row>
    <row r="8" spans="1:15" x14ac:dyDescent="0.2">
      <c r="C8" s="62" t="s">
        <v>75</v>
      </c>
      <c r="D8" s="94">
        <f>E4/D4</f>
        <v>6.5000000000000002E-2</v>
      </c>
      <c r="E8" s="94">
        <f>D8*200</f>
        <v>13</v>
      </c>
      <c r="F8" s="62" t="s">
        <v>126</v>
      </c>
      <c r="K8" s="62" t="s">
        <v>75</v>
      </c>
      <c r="L8" s="94">
        <f>M4/L4</f>
        <v>0.35</v>
      </c>
      <c r="M8" s="95">
        <f>L8*100</f>
        <v>35</v>
      </c>
      <c r="N8" s="62" t="s">
        <v>121</v>
      </c>
    </row>
    <row r="9" spans="1:15" x14ac:dyDescent="0.2">
      <c r="C9" s="62" t="s">
        <v>76</v>
      </c>
      <c r="D9" s="94">
        <f>E4/D5</f>
        <v>0.10833333333333334</v>
      </c>
      <c r="E9" s="94">
        <f>D9*200</f>
        <v>21.666666666666668</v>
      </c>
      <c r="F9" s="62" t="s">
        <v>127</v>
      </c>
      <c r="K9" s="62" t="s">
        <v>76</v>
      </c>
      <c r="L9" s="94">
        <f>M4/L5</f>
        <v>0.53846153846153844</v>
      </c>
      <c r="M9" s="95">
        <f>L9*100</f>
        <v>53.846153846153847</v>
      </c>
      <c r="N9" s="62" t="s">
        <v>119</v>
      </c>
    </row>
    <row r="11" spans="1:15" x14ac:dyDescent="0.2">
      <c r="A11" s="62" t="s">
        <v>77</v>
      </c>
      <c r="I11" s="62" t="s">
        <v>123</v>
      </c>
      <c r="O11" s="168">
        <f>M8/0.3</f>
        <v>116.66666666666667</v>
      </c>
    </row>
    <row r="12" spans="1:15" ht="16" thickBot="1" x14ac:dyDescent="0.25">
      <c r="A12" s="62" t="s">
        <v>78</v>
      </c>
      <c r="I12" s="62" t="s">
        <v>112</v>
      </c>
      <c r="O12" s="168">
        <f>M9/0.3</f>
        <v>179.4871794871795</v>
      </c>
    </row>
    <row r="13" spans="1:15" x14ac:dyDescent="0.2">
      <c r="B13" s="66"/>
      <c r="C13" s="67" t="s">
        <v>79</v>
      </c>
      <c r="D13" s="67" t="s">
        <v>80</v>
      </c>
      <c r="E13" s="68" t="s">
        <v>81</v>
      </c>
      <c r="J13" s="66"/>
      <c r="K13" s="67" t="s">
        <v>79</v>
      </c>
      <c r="L13" s="67" t="s">
        <v>113</v>
      </c>
      <c r="M13" s="68" t="s">
        <v>81</v>
      </c>
    </row>
    <row r="14" spans="1:15" x14ac:dyDescent="0.2">
      <c r="B14" s="69" t="s">
        <v>82</v>
      </c>
      <c r="C14" s="70">
        <v>1000</v>
      </c>
      <c r="D14" s="70">
        <v>5</v>
      </c>
      <c r="E14" s="71">
        <f>C14/D14</f>
        <v>200</v>
      </c>
      <c r="J14" s="69" t="s">
        <v>82</v>
      </c>
      <c r="K14" s="97">
        <v>1000</v>
      </c>
      <c r="L14" s="97">
        <f>K14/M14</f>
        <v>10</v>
      </c>
      <c r="M14" s="98">
        <v>100</v>
      </c>
    </row>
    <row r="15" spans="1:15" x14ac:dyDescent="0.2">
      <c r="B15" s="69" t="s">
        <v>72</v>
      </c>
      <c r="C15" s="70">
        <v>600</v>
      </c>
      <c r="D15" s="70">
        <f>C15/E15</f>
        <v>3</v>
      </c>
      <c r="E15" s="71">
        <v>200</v>
      </c>
      <c r="J15" s="69" t="s">
        <v>72</v>
      </c>
      <c r="K15" s="97">
        <v>650</v>
      </c>
      <c r="L15" s="97">
        <f>K15/M15</f>
        <v>6.5</v>
      </c>
      <c r="M15" s="98">
        <v>100</v>
      </c>
    </row>
    <row r="16" spans="1:15" ht="16" thickBot="1" x14ac:dyDescent="0.25">
      <c r="B16" s="72" t="s">
        <v>83</v>
      </c>
      <c r="C16" s="73">
        <f>C14-C15</f>
        <v>400</v>
      </c>
      <c r="D16" s="73"/>
      <c r="E16" s="74"/>
      <c r="J16" s="72" t="s">
        <v>83</v>
      </c>
      <c r="K16" s="99">
        <f>K14-K15</f>
        <v>350</v>
      </c>
      <c r="L16" s="99"/>
      <c r="M16" s="100"/>
    </row>
    <row r="17" spans="2:14" ht="16" thickBot="1" x14ac:dyDescent="0.25"/>
    <row r="18" spans="2:14" x14ac:dyDescent="0.2">
      <c r="B18" s="66" t="s">
        <v>84</v>
      </c>
      <c r="C18" s="75">
        <f>C15/C14</f>
        <v>0.6</v>
      </c>
      <c r="D18" s="67"/>
      <c r="E18" s="67"/>
      <c r="F18" s="68"/>
      <c r="J18" s="66" t="s">
        <v>84</v>
      </c>
      <c r="K18" s="91">
        <f>J6</f>
        <v>0.65</v>
      </c>
      <c r="L18" s="67"/>
      <c r="M18" s="67"/>
      <c r="N18" s="68"/>
    </row>
    <row r="19" spans="2:14" x14ac:dyDescent="0.2">
      <c r="B19" s="69" t="s">
        <v>69</v>
      </c>
      <c r="C19" s="70">
        <f>C14</f>
        <v>1000</v>
      </c>
      <c r="D19" s="70"/>
      <c r="E19" s="70"/>
      <c r="F19" s="71"/>
      <c r="J19" s="69" t="s">
        <v>69</v>
      </c>
      <c r="K19" s="70">
        <f>K14</f>
        <v>1000</v>
      </c>
      <c r="L19" s="70"/>
      <c r="M19" s="70"/>
      <c r="N19" s="71"/>
    </row>
    <row r="20" spans="2:14" x14ac:dyDescent="0.2">
      <c r="B20" s="69" t="s">
        <v>85</v>
      </c>
      <c r="C20" s="76">
        <f>C19/C18</f>
        <v>1666.6666666666667</v>
      </c>
      <c r="D20" s="70" t="s">
        <v>86</v>
      </c>
      <c r="E20" s="70"/>
      <c r="F20" s="71"/>
      <c r="J20" s="69" t="s">
        <v>85</v>
      </c>
      <c r="K20" s="92">
        <f>K19/K18</f>
        <v>1538.4615384615383</v>
      </c>
      <c r="L20" s="70" t="s">
        <v>86</v>
      </c>
      <c r="M20" s="70"/>
      <c r="N20" s="71"/>
    </row>
    <row r="21" spans="2:14" ht="16" thickBot="1" x14ac:dyDescent="0.25">
      <c r="B21" s="72" t="s">
        <v>87</v>
      </c>
      <c r="C21" s="73">
        <f>C20*0.6</f>
        <v>1000</v>
      </c>
      <c r="D21" s="73"/>
      <c r="E21" s="73"/>
      <c r="F21" s="74"/>
      <c r="J21" s="72"/>
      <c r="K21" s="73"/>
      <c r="L21" s="73"/>
      <c r="M21" s="73"/>
      <c r="N21" s="74"/>
    </row>
    <row r="22" spans="2:14" ht="16" thickBot="1" x14ac:dyDescent="0.25"/>
    <row r="23" spans="2:14" x14ac:dyDescent="0.2">
      <c r="B23" s="66"/>
      <c r="C23" s="67" t="s">
        <v>88</v>
      </c>
      <c r="D23" s="68" t="s">
        <v>89</v>
      </c>
      <c r="J23" s="66"/>
      <c r="K23" s="67" t="s">
        <v>88</v>
      </c>
      <c r="L23" s="68" t="s">
        <v>89</v>
      </c>
    </row>
    <row r="24" spans="2:14" x14ac:dyDescent="0.2">
      <c r="B24" s="69"/>
      <c r="C24" s="77" t="s">
        <v>90</v>
      </c>
      <c r="D24" s="71"/>
      <c r="J24" s="69"/>
      <c r="K24" s="77" t="s">
        <v>90</v>
      </c>
      <c r="L24" s="71"/>
    </row>
    <row r="25" spans="2:14" x14ac:dyDescent="0.2">
      <c r="B25" s="69" t="s">
        <v>91</v>
      </c>
      <c r="C25" s="77">
        <f>C20</f>
        <v>1666.6666666666667</v>
      </c>
      <c r="D25" s="78">
        <f>C14</f>
        <v>1000</v>
      </c>
      <c r="J25" s="69" t="s">
        <v>91</v>
      </c>
      <c r="K25" s="86">
        <f>K20</f>
        <v>1538.4615384615383</v>
      </c>
      <c r="L25" s="87">
        <v>1000</v>
      </c>
    </row>
    <row r="26" spans="2:14" x14ac:dyDescent="0.2">
      <c r="B26" s="69" t="s">
        <v>92</v>
      </c>
      <c r="C26" s="77">
        <f>D8</f>
        <v>6.5000000000000002E-2</v>
      </c>
      <c r="D26" s="78">
        <f>D8</f>
        <v>6.5000000000000002E-2</v>
      </c>
      <c r="J26" s="69" t="s">
        <v>92</v>
      </c>
      <c r="K26" s="86">
        <f>L8</f>
        <v>0.35</v>
      </c>
      <c r="L26" s="87">
        <f>L8</f>
        <v>0.35</v>
      </c>
    </row>
    <row r="27" spans="2:14" x14ac:dyDescent="0.2">
      <c r="B27" s="69" t="s">
        <v>93</v>
      </c>
      <c r="C27" s="77">
        <f>C25*C26</f>
        <v>108.33333333333334</v>
      </c>
      <c r="D27" s="78">
        <f>D25*D26</f>
        <v>65</v>
      </c>
      <c r="J27" s="69" t="s">
        <v>107</v>
      </c>
      <c r="K27" s="86">
        <f>K25*K26</f>
        <v>538.46153846153834</v>
      </c>
      <c r="L27" s="87">
        <f>L25*L26</f>
        <v>350</v>
      </c>
    </row>
    <row r="28" spans="2:14" x14ac:dyDescent="0.2">
      <c r="B28" s="69" t="s">
        <v>94</v>
      </c>
      <c r="C28" s="77">
        <v>5</v>
      </c>
      <c r="D28" s="78">
        <v>5</v>
      </c>
      <c r="J28" s="69" t="s">
        <v>124</v>
      </c>
      <c r="K28" s="102">
        <v>10</v>
      </c>
      <c r="L28" s="103">
        <v>10</v>
      </c>
    </row>
    <row r="29" spans="2:14" ht="16" thickBot="1" x14ac:dyDescent="0.25">
      <c r="B29" s="72" t="s">
        <v>95</v>
      </c>
      <c r="C29" s="79">
        <f>C27/C28</f>
        <v>21.666666666666668</v>
      </c>
      <c r="D29" s="80">
        <f>D27/D28</f>
        <v>13</v>
      </c>
      <c r="J29" s="72" t="s">
        <v>95</v>
      </c>
      <c r="K29" s="89">
        <f>K27/K28</f>
        <v>53.846153846153832</v>
      </c>
      <c r="L29" s="88">
        <f>L27/L28</f>
        <v>35</v>
      </c>
    </row>
    <row r="30" spans="2:14" x14ac:dyDescent="0.2">
      <c r="K30" s="90" t="s">
        <v>108</v>
      </c>
    </row>
    <row r="31" spans="2:14" x14ac:dyDescent="0.2">
      <c r="K31" s="90" t="s">
        <v>109</v>
      </c>
    </row>
    <row r="32" spans="2:14" x14ac:dyDescent="0.2">
      <c r="K32" s="90"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72"/>
  <sheetViews>
    <sheetView topLeftCell="B15" zoomScale="130" zoomScaleNormal="130" workbookViewId="0">
      <selection activeCell="J50" sqref="J50"/>
    </sheetView>
  </sheetViews>
  <sheetFormatPr baseColWidth="10" defaultRowHeight="13" x14ac:dyDescent="0.15"/>
  <cols>
    <col min="1" max="1" width="9.33203125" style="1" customWidth="1"/>
    <col min="2" max="2" width="15.5" style="2" customWidth="1"/>
    <col min="3" max="3" width="15.6640625" style="1" customWidth="1"/>
    <col min="4" max="4" width="15.5" style="3" customWidth="1"/>
    <col min="5" max="5" width="14.6640625" style="1" customWidth="1"/>
    <col min="6" max="6" width="16.5" style="1" customWidth="1"/>
    <col min="7" max="7" width="19.6640625" style="1" customWidth="1"/>
    <col min="8" max="8" width="32.6640625" style="1" customWidth="1"/>
    <col min="9" max="9" width="10.83203125" style="1"/>
    <col min="10" max="10" width="14.83203125" style="1" bestFit="1" customWidth="1"/>
    <col min="11" max="13" width="10.83203125" style="1"/>
    <col min="14" max="14" width="13.1640625" style="1" bestFit="1" customWidth="1"/>
    <col min="15" max="15" width="10.83203125" style="1"/>
    <col min="16" max="16" width="17.1640625" style="1" customWidth="1"/>
    <col min="17" max="16384" width="10.83203125" style="1"/>
  </cols>
  <sheetData>
    <row r="2" spans="1:20" x14ac:dyDescent="0.15">
      <c r="A2" s="188" t="s">
        <v>24</v>
      </c>
      <c r="B2" s="188"/>
      <c r="C2" s="188"/>
      <c r="D2" s="189" t="s">
        <v>37</v>
      </c>
      <c r="E2" s="189"/>
      <c r="F2" s="189"/>
      <c r="G2" s="189"/>
      <c r="H2" s="189"/>
    </row>
    <row r="3" spans="1:20" x14ac:dyDescent="0.15">
      <c r="A3" s="190" t="s">
        <v>51</v>
      </c>
      <c r="B3" s="190"/>
      <c r="C3" s="190"/>
      <c r="D3" s="189"/>
      <c r="E3" s="189"/>
      <c r="F3" s="189"/>
      <c r="G3" s="189"/>
      <c r="H3" s="189"/>
    </row>
    <row r="4" spans="1:20" ht="6" customHeight="1" x14ac:dyDescent="0.15"/>
    <row r="5" spans="1:20" x14ac:dyDescent="0.15">
      <c r="A5" s="191" t="s">
        <v>103</v>
      </c>
      <c r="B5" s="191"/>
      <c r="C5" s="191"/>
      <c r="D5" s="191"/>
      <c r="E5" s="191"/>
      <c r="F5" s="191"/>
      <c r="G5" s="191"/>
      <c r="H5" s="191"/>
    </row>
    <row r="6" spans="1:20" ht="6" customHeight="1" x14ac:dyDescent="0.15">
      <c r="A6" s="4"/>
      <c r="B6" s="4"/>
      <c r="C6" s="4"/>
      <c r="D6" s="4"/>
      <c r="E6" s="4"/>
      <c r="F6" s="4"/>
      <c r="G6" s="4"/>
      <c r="H6" s="4"/>
    </row>
    <row r="7" spans="1:20" ht="15" x14ac:dyDescent="0.2">
      <c r="A7" s="5" t="s">
        <v>8</v>
      </c>
      <c r="B7" s="6" t="s">
        <v>9</v>
      </c>
      <c r="C7" s="6" t="s">
        <v>10</v>
      </c>
      <c r="D7" s="7" t="s">
        <v>11</v>
      </c>
      <c r="E7" s="6" t="s">
        <v>12</v>
      </c>
      <c r="F7" s="192" t="s">
        <v>13</v>
      </c>
      <c r="G7" s="192"/>
      <c r="H7" s="192"/>
      <c r="O7" s="62" t="s">
        <v>104</v>
      </c>
      <c r="P7" s="62"/>
      <c r="Q7" s="62"/>
      <c r="R7" s="62"/>
      <c r="S7" s="62"/>
      <c r="T7" s="62"/>
    </row>
    <row r="8" spans="1:20" ht="21.75" customHeight="1" x14ac:dyDescent="0.2">
      <c r="A8" s="4"/>
      <c r="B8" s="8"/>
      <c r="C8" s="8"/>
      <c r="D8" s="9"/>
      <c r="E8" s="4"/>
      <c r="F8" s="10"/>
      <c r="G8" s="10"/>
      <c r="H8" s="10"/>
      <c r="O8" s="62" t="s">
        <v>105</v>
      </c>
      <c r="P8" s="62"/>
      <c r="Q8" s="62"/>
      <c r="R8" s="62"/>
      <c r="S8" s="62"/>
      <c r="T8" s="62"/>
    </row>
    <row r="9" spans="1:20" ht="15" x14ac:dyDescent="0.2">
      <c r="A9" s="85">
        <v>0.2</v>
      </c>
      <c r="B9" s="82" t="s">
        <v>157</v>
      </c>
      <c r="C9" s="81" t="s">
        <v>96</v>
      </c>
      <c r="D9" s="13">
        <f>Q33</f>
        <v>177.77777777777777</v>
      </c>
      <c r="E9" s="14">
        <f>A9*D9</f>
        <v>35.555555555555557</v>
      </c>
      <c r="F9" s="193"/>
      <c r="G9" s="193"/>
      <c r="H9" s="193"/>
      <c r="O9" s="62"/>
      <c r="P9" s="62"/>
      <c r="Q9" s="62" t="s">
        <v>68</v>
      </c>
      <c r="R9" s="62" t="s">
        <v>69</v>
      </c>
      <c r="S9" s="62" t="s">
        <v>70</v>
      </c>
      <c r="T9" s="62"/>
    </row>
    <row r="10" spans="1:20" ht="15" x14ac:dyDescent="0.2">
      <c r="A10" s="83">
        <v>7.0000000000000007E-2</v>
      </c>
      <c r="B10" s="82" t="s">
        <v>157</v>
      </c>
      <c r="C10" s="81" t="s">
        <v>97</v>
      </c>
      <c r="D10" s="13">
        <v>20.87</v>
      </c>
      <c r="E10" s="14">
        <f t="shared" ref="E10:E16" si="0">A10*D10</f>
        <v>1.4609000000000003</v>
      </c>
      <c r="F10" s="193"/>
      <c r="G10" s="193"/>
      <c r="H10" s="193"/>
      <c r="O10" s="62" t="s">
        <v>71</v>
      </c>
      <c r="P10" s="62">
        <v>1000</v>
      </c>
      <c r="Q10" s="62">
        <v>1</v>
      </c>
      <c r="R10" s="62">
        <f>P10*Q10</f>
        <v>1000</v>
      </c>
      <c r="S10" s="94">
        <v>160</v>
      </c>
      <c r="T10" s="94">
        <f>S10*Q10</f>
        <v>160</v>
      </c>
    </row>
    <row r="11" spans="1:20" ht="15" x14ac:dyDescent="0.2">
      <c r="A11" s="83">
        <v>0.06</v>
      </c>
      <c r="B11" s="82" t="s">
        <v>157</v>
      </c>
      <c r="C11" s="81" t="s">
        <v>98</v>
      </c>
      <c r="D11" s="13">
        <v>39.67</v>
      </c>
      <c r="E11" s="14">
        <f t="shared" si="0"/>
        <v>2.3801999999999999</v>
      </c>
      <c r="F11" s="193"/>
      <c r="G11" s="193"/>
      <c r="H11" s="193"/>
      <c r="O11" s="62" t="s">
        <v>72</v>
      </c>
      <c r="P11" s="62">
        <v>900</v>
      </c>
      <c r="Q11" s="62">
        <v>1</v>
      </c>
      <c r="R11" s="62">
        <f>P11*Q11</f>
        <v>900</v>
      </c>
      <c r="S11" s="62"/>
      <c r="T11" s="62"/>
    </row>
    <row r="12" spans="1:20" ht="15" x14ac:dyDescent="0.2">
      <c r="A12" s="83">
        <v>7.0000000000000007E-2</v>
      </c>
      <c r="B12" s="82" t="s">
        <v>157</v>
      </c>
      <c r="C12" s="81" t="s">
        <v>99</v>
      </c>
      <c r="D12" s="13">
        <v>10.17</v>
      </c>
      <c r="E12" s="14">
        <f t="shared" si="0"/>
        <v>0.71190000000000009</v>
      </c>
      <c r="F12" s="193"/>
      <c r="G12" s="193"/>
      <c r="H12" s="193"/>
      <c r="O12" s="62" t="s">
        <v>73</v>
      </c>
      <c r="P12" s="63">
        <f>P11/P10</f>
        <v>0.9</v>
      </c>
      <c r="Q12" s="62"/>
      <c r="R12" s="62"/>
      <c r="S12" s="62"/>
      <c r="T12" s="62"/>
    </row>
    <row r="13" spans="1:20" ht="12" customHeight="1" x14ac:dyDescent="0.2">
      <c r="A13" s="83">
        <v>0.08</v>
      </c>
      <c r="B13" s="82" t="s">
        <v>157</v>
      </c>
      <c r="C13" s="81" t="s">
        <v>100</v>
      </c>
      <c r="D13" s="13">
        <v>70</v>
      </c>
      <c r="E13" s="14">
        <f t="shared" si="0"/>
        <v>5.6000000000000005</v>
      </c>
      <c r="F13" s="193"/>
      <c r="G13" s="193"/>
      <c r="H13" s="193"/>
      <c r="O13" s="62"/>
      <c r="P13" s="62"/>
      <c r="Q13" s="62"/>
      <c r="R13" s="62"/>
      <c r="S13" s="62" t="s">
        <v>74</v>
      </c>
      <c r="T13" s="62"/>
    </row>
    <row r="14" spans="1:20" ht="21" customHeight="1" x14ac:dyDescent="0.2">
      <c r="A14" s="83">
        <v>0.09</v>
      </c>
      <c r="B14" s="82" t="s">
        <v>157</v>
      </c>
      <c r="C14" s="81" t="s">
        <v>101</v>
      </c>
      <c r="D14" s="18">
        <v>14.55</v>
      </c>
      <c r="E14" s="14">
        <f t="shared" si="0"/>
        <v>1.3095000000000001</v>
      </c>
      <c r="F14" s="193"/>
      <c r="G14" s="193"/>
      <c r="H14" s="193"/>
      <c r="O14" s="62"/>
      <c r="P14" s="62"/>
      <c r="Q14" s="62" t="s">
        <v>75</v>
      </c>
      <c r="R14" s="64">
        <f>S10/R10</f>
        <v>0.16</v>
      </c>
      <c r="S14" s="65">
        <f>R14*200</f>
        <v>32</v>
      </c>
      <c r="T14" s="62"/>
    </row>
    <row r="15" spans="1:20" ht="17.25" customHeight="1" x14ac:dyDescent="0.2">
      <c r="A15" s="84">
        <v>6.5000000000000002E-2</v>
      </c>
      <c r="B15" s="82" t="s">
        <v>157</v>
      </c>
      <c r="C15" s="81" t="s">
        <v>102</v>
      </c>
      <c r="D15" s="18">
        <v>15</v>
      </c>
      <c r="E15" s="14">
        <f t="shared" si="0"/>
        <v>0.97500000000000009</v>
      </c>
      <c r="F15" s="193"/>
      <c r="G15" s="193"/>
      <c r="H15" s="193"/>
      <c r="O15" s="62"/>
      <c r="P15" s="62"/>
      <c r="Q15" s="62" t="s">
        <v>76</v>
      </c>
      <c r="R15" s="64">
        <f>S10/R11</f>
        <v>0.17777777777777778</v>
      </c>
      <c r="S15" s="65">
        <f>R15*200</f>
        <v>35.555555555555557</v>
      </c>
      <c r="T15" s="65">
        <f>S15-S14</f>
        <v>3.5555555555555571</v>
      </c>
    </row>
    <row r="16" spans="1:20" ht="20.25" customHeight="1" x14ac:dyDescent="0.2">
      <c r="A16" s="83">
        <v>0.04</v>
      </c>
      <c r="B16" s="82" t="s">
        <v>157</v>
      </c>
      <c r="C16" s="81" t="s">
        <v>206</v>
      </c>
      <c r="D16" s="18">
        <v>60</v>
      </c>
      <c r="E16" s="14">
        <f t="shared" si="0"/>
        <v>2.4</v>
      </c>
      <c r="F16" s="193"/>
      <c r="G16" s="193"/>
      <c r="H16" s="193"/>
      <c r="O16" s="62"/>
      <c r="P16" s="62"/>
      <c r="Q16" s="62"/>
      <c r="R16" s="62"/>
      <c r="S16" s="62"/>
      <c r="T16" s="93">
        <f>T15/S14</f>
        <v>0.11111111111111116</v>
      </c>
    </row>
    <row r="17" spans="1:20" ht="15.75" hidden="1" customHeight="1" x14ac:dyDescent="0.2">
      <c r="A17" s="15"/>
      <c r="B17" s="19"/>
      <c r="C17" s="20"/>
      <c r="D17" s="18"/>
      <c r="E17" s="14"/>
      <c r="F17" s="193"/>
      <c r="G17" s="193"/>
      <c r="H17" s="193"/>
      <c r="O17" s="62" t="s">
        <v>77</v>
      </c>
      <c r="P17" s="62"/>
      <c r="Q17" s="62"/>
      <c r="R17" s="62"/>
      <c r="S17" s="62"/>
      <c r="T17" s="62"/>
    </row>
    <row r="18" spans="1:20" ht="12" hidden="1" customHeight="1" thickBot="1" x14ac:dyDescent="0.25">
      <c r="A18" s="15"/>
      <c r="B18" s="19"/>
      <c r="C18" s="20"/>
      <c r="D18" s="18"/>
      <c r="E18" s="14"/>
      <c r="F18" s="193"/>
      <c r="G18" s="193"/>
      <c r="H18" s="193"/>
      <c r="O18" s="62" t="s">
        <v>106</v>
      </c>
      <c r="P18" s="62"/>
      <c r="Q18" s="62"/>
      <c r="R18" s="62"/>
      <c r="S18" s="62"/>
      <c r="T18" s="62"/>
    </row>
    <row r="19" spans="1:20" ht="13.5" hidden="1" customHeight="1" x14ac:dyDescent="0.2">
      <c r="A19" s="15"/>
      <c r="B19" s="19"/>
      <c r="C19" s="20"/>
      <c r="D19" s="18"/>
      <c r="E19" s="14"/>
      <c r="F19" s="193"/>
      <c r="G19" s="193"/>
      <c r="H19" s="193"/>
      <c r="O19" s="62"/>
      <c r="P19" s="66"/>
      <c r="Q19" s="67" t="s">
        <v>79</v>
      </c>
      <c r="R19" s="67" t="s">
        <v>80</v>
      </c>
      <c r="S19" s="68" t="s">
        <v>81</v>
      </c>
      <c r="T19" s="62"/>
    </row>
    <row r="20" spans="1:20" ht="15.75" hidden="1" customHeight="1" x14ac:dyDescent="0.2">
      <c r="A20" s="15"/>
      <c r="B20" s="19"/>
      <c r="C20" s="20"/>
      <c r="D20" s="18"/>
      <c r="E20" s="14"/>
      <c r="F20" s="193"/>
      <c r="G20" s="193"/>
      <c r="H20" s="193"/>
      <c r="O20" s="62"/>
      <c r="P20" s="69" t="s">
        <v>82</v>
      </c>
      <c r="Q20" s="70">
        <v>1000</v>
      </c>
      <c r="R20" s="70">
        <v>5</v>
      </c>
      <c r="S20" s="71">
        <f>Q20/R20</f>
        <v>200</v>
      </c>
      <c r="T20" s="62"/>
    </row>
    <row r="21" spans="1:20" ht="17.25" hidden="1" customHeight="1" x14ac:dyDescent="0.2">
      <c r="A21" s="15"/>
      <c r="B21" s="19"/>
      <c r="C21" s="20"/>
      <c r="D21" s="18"/>
      <c r="E21" s="14"/>
      <c r="F21" s="193"/>
      <c r="G21" s="193"/>
      <c r="H21" s="193"/>
      <c r="O21" s="62"/>
      <c r="P21" s="69" t="s">
        <v>72</v>
      </c>
      <c r="Q21" s="70">
        <v>900</v>
      </c>
      <c r="R21" s="70">
        <f>Q21/S21</f>
        <v>4.5</v>
      </c>
      <c r="S21" s="71">
        <v>200</v>
      </c>
      <c r="T21" s="62"/>
    </row>
    <row r="22" spans="1:20" ht="13.5" hidden="1" customHeight="1" thickBot="1" x14ac:dyDescent="0.25">
      <c r="A22" s="15"/>
      <c r="B22" s="19"/>
      <c r="C22" s="20"/>
      <c r="D22" s="18"/>
      <c r="E22" s="14"/>
      <c r="F22" s="193"/>
      <c r="G22" s="193"/>
      <c r="H22" s="193"/>
      <c r="O22" s="62"/>
      <c r="P22" s="72" t="s">
        <v>83</v>
      </c>
      <c r="Q22" s="73">
        <f>Q20-Q21</f>
        <v>100</v>
      </c>
      <c r="R22" s="73"/>
      <c r="S22" s="74"/>
      <c r="T22" s="62"/>
    </row>
    <row r="23" spans="1:20" ht="12.75" hidden="1" customHeight="1" thickBot="1" x14ac:dyDescent="0.25">
      <c r="A23" s="15"/>
      <c r="B23" s="19"/>
      <c r="C23" s="20"/>
      <c r="D23" s="18"/>
      <c r="E23" s="14"/>
      <c r="F23" s="193"/>
      <c r="G23" s="193"/>
      <c r="H23" s="193"/>
      <c r="O23" s="62"/>
      <c r="P23" s="62"/>
      <c r="Q23" s="62"/>
      <c r="R23" s="62"/>
      <c r="S23" s="62"/>
      <c r="T23" s="62"/>
    </row>
    <row r="24" spans="1:20" ht="14.25" hidden="1" customHeight="1" x14ac:dyDescent="0.2">
      <c r="A24" s="15"/>
      <c r="B24" s="19"/>
      <c r="C24" s="20"/>
      <c r="D24" s="18"/>
      <c r="E24" s="14"/>
      <c r="F24" s="193"/>
      <c r="G24" s="193"/>
      <c r="H24" s="193"/>
      <c r="O24" s="62"/>
      <c r="P24" s="66" t="s">
        <v>84</v>
      </c>
      <c r="Q24" s="75">
        <f>Q21/Q20</f>
        <v>0.9</v>
      </c>
      <c r="R24" s="67"/>
      <c r="S24" s="67"/>
      <c r="T24" s="68"/>
    </row>
    <row r="25" spans="1:20" ht="16.5" customHeight="1" x14ac:dyDescent="0.2">
      <c r="A25" s="21"/>
      <c r="B25" s="22"/>
      <c r="C25" s="23"/>
      <c r="D25" s="24"/>
      <c r="E25" s="25"/>
      <c r="F25" s="26"/>
      <c r="G25" s="26"/>
      <c r="H25" s="114" t="s">
        <v>159</v>
      </c>
      <c r="O25" s="62"/>
      <c r="P25" s="69" t="s">
        <v>69</v>
      </c>
      <c r="Q25" s="70">
        <f>Q20</f>
        <v>1000</v>
      </c>
      <c r="R25" s="70"/>
      <c r="S25" s="70"/>
      <c r="T25" s="71"/>
    </row>
    <row r="26" spans="1:20" ht="15" x14ac:dyDescent="0.2">
      <c r="A26" s="173" t="s">
        <v>33</v>
      </c>
      <c r="B26" s="174"/>
      <c r="C26" s="174"/>
      <c r="D26" s="175"/>
      <c r="E26" s="5" t="s">
        <v>34</v>
      </c>
      <c r="F26" s="5" t="s">
        <v>35</v>
      </c>
      <c r="G26" s="5" t="s">
        <v>52</v>
      </c>
      <c r="H26" s="5" t="s">
        <v>53</v>
      </c>
      <c r="I26" s="58" t="s">
        <v>54</v>
      </c>
      <c r="K26" s="1" t="s">
        <v>128</v>
      </c>
      <c r="O26" s="62"/>
      <c r="P26" s="69" t="s">
        <v>85</v>
      </c>
      <c r="Q26" s="76">
        <f>Q25/Q24</f>
        <v>1111.1111111111111</v>
      </c>
      <c r="R26" s="70" t="s">
        <v>86</v>
      </c>
      <c r="S26" s="70"/>
      <c r="T26" s="71"/>
    </row>
    <row r="27" spans="1:20" ht="16" thickBot="1" x14ac:dyDescent="0.25">
      <c r="A27" s="176"/>
      <c r="B27" s="177"/>
      <c r="C27" s="177"/>
      <c r="D27" s="178"/>
      <c r="E27" s="27">
        <f>SUM(E9:E24)</f>
        <v>50.393055555555563</v>
      </c>
      <c r="F27" s="28">
        <v>170</v>
      </c>
      <c r="G27" s="29">
        <f>E27/F27</f>
        <v>0.29642973856209154</v>
      </c>
      <c r="H27" s="165">
        <f>F27-E27</f>
        <v>119.60694444444444</v>
      </c>
      <c r="I27" s="167">
        <f>F27*1.16</f>
        <v>197.2</v>
      </c>
      <c r="J27" s="57" t="s">
        <v>129</v>
      </c>
      <c r="K27" s="1">
        <v>10</v>
      </c>
      <c r="L27" s="104">
        <f>I27+K27</f>
        <v>207.2</v>
      </c>
      <c r="O27" s="62"/>
      <c r="P27" s="72" t="s">
        <v>87</v>
      </c>
      <c r="Q27" s="73">
        <f>Q26*0.9</f>
        <v>1000</v>
      </c>
      <c r="R27" s="73"/>
      <c r="S27" s="73"/>
      <c r="T27" s="74"/>
    </row>
    <row r="28" spans="1:20" ht="16" thickBot="1" x14ac:dyDescent="0.25">
      <c r="A28" s="176"/>
      <c r="B28" s="177"/>
      <c r="C28" s="177"/>
      <c r="D28" s="178"/>
      <c r="E28" s="27">
        <f>E27</f>
        <v>50.393055555555563</v>
      </c>
      <c r="F28" s="27">
        <f>E28/G28</f>
        <v>157.47829861111114</v>
      </c>
      <c r="G28" s="31">
        <v>0.32</v>
      </c>
      <c r="H28" s="165">
        <f>F28-E28</f>
        <v>107.08524305555558</v>
      </c>
      <c r="I28" s="167">
        <f>F28*1.16</f>
        <v>182.6748263888889</v>
      </c>
      <c r="J28" s="57" t="s">
        <v>158</v>
      </c>
      <c r="K28" s="1">
        <v>10</v>
      </c>
      <c r="L28" s="104">
        <f t="shared" ref="L28:L29" si="1">I28+K28</f>
        <v>192.6748263888889</v>
      </c>
      <c r="O28" s="62"/>
      <c r="P28" s="62"/>
      <c r="Q28" s="62"/>
      <c r="R28" s="62"/>
      <c r="S28" s="62"/>
      <c r="T28" s="62"/>
    </row>
    <row r="29" spans="1:20" ht="15" x14ac:dyDescent="0.2">
      <c r="A29" s="176"/>
      <c r="B29" s="177"/>
      <c r="C29" s="177"/>
      <c r="D29" s="178"/>
      <c r="E29" s="27">
        <f>E27</f>
        <v>50.393055555555563</v>
      </c>
      <c r="F29" s="27">
        <f>E29+H29</f>
        <v>163.73914930555557</v>
      </c>
      <c r="G29" s="32">
        <f>E29/F29</f>
        <v>0.30776424434401134</v>
      </c>
      <c r="H29" s="166">
        <f>(H27+H28)/2</f>
        <v>113.34609375000001</v>
      </c>
      <c r="I29" s="167">
        <f>F29*1.16</f>
        <v>189.93741319444445</v>
      </c>
      <c r="J29" s="57"/>
      <c r="K29" s="1">
        <v>10</v>
      </c>
      <c r="L29" s="104">
        <f t="shared" si="1"/>
        <v>199.93741319444445</v>
      </c>
      <c r="O29" s="62"/>
      <c r="P29" s="66"/>
      <c r="Q29" s="67" t="s">
        <v>88</v>
      </c>
      <c r="R29" s="68" t="s">
        <v>89</v>
      </c>
      <c r="S29" s="62"/>
      <c r="T29" s="62"/>
    </row>
    <row r="30" spans="1:20" ht="15" x14ac:dyDescent="0.2">
      <c r="A30" s="176"/>
      <c r="B30" s="177"/>
      <c r="C30" s="177"/>
      <c r="D30" s="178"/>
      <c r="E30" s="182" t="s">
        <v>55</v>
      </c>
      <c r="F30" s="183"/>
      <c r="G30" s="183"/>
      <c r="H30" s="184"/>
      <c r="I30" s="59"/>
      <c r="O30" s="62"/>
      <c r="P30" s="69"/>
      <c r="Q30" s="77" t="s">
        <v>90</v>
      </c>
      <c r="R30" s="71"/>
      <c r="S30" s="62"/>
      <c r="T30" s="62"/>
    </row>
    <row r="31" spans="1:20" ht="15" x14ac:dyDescent="0.2">
      <c r="A31" s="179"/>
      <c r="B31" s="180"/>
      <c r="C31" s="180"/>
      <c r="D31" s="181"/>
      <c r="E31" s="185"/>
      <c r="F31" s="186"/>
      <c r="G31" s="186"/>
      <c r="H31" s="187"/>
      <c r="O31" s="62"/>
      <c r="P31" s="69" t="s">
        <v>91</v>
      </c>
      <c r="Q31" s="77">
        <f>Q26</f>
        <v>1111.1111111111111</v>
      </c>
      <c r="R31" s="78">
        <f>Q20</f>
        <v>1000</v>
      </c>
      <c r="S31" s="62"/>
      <c r="T31" s="62"/>
    </row>
    <row r="32" spans="1:20" ht="15" x14ac:dyDescent="0.2">
      <c r="H32" s="1" t="s">
        <v>131</v>
      </c>
      <c r="I32" s="1" t="s">
        <v>132</v>
      </c>
      <c r="J32" s="1" t="s">
        <v>133</v>
      </c>
      <c r="O32" s="62"/>
      <c r="P32" s="69" t="s">
        <v>92</v>
      </c>
      <c r="Q32" s="77">
        <f>R14</f>
        <v>0.16</v>
      </c>
      <c r="R32" s="78">
        <f>R14</f>
        <v>0.16</v>
      </c>
      <c r="S32" s="62"/>
      <c r="T32" s="62"/>
    </row>
    <row r="33" spans="8:20" ht="15" x14ac:dyDescent="0.2">
      <c r="H33" s="108">
        <v>1200</v>
      </c>
      <c r="I33" s="25">
        <f>F29</f>
        <v>163.73914930555557</v>
      </c>
      <c r="J33" s="105">
        <f>H33*I33</f>
        <v>196486.97916666669</v>
      </c>
      <c r="M33" s="1" t="s">
        <v>160</v>
      </c>
      <c r="O33" s="62"/>
      <c r="P33" s="69" t="s">
        <v>93</v>
      </c>
      <c r="Q33" s="86">
        <f>Q31*Q32</f>
        <v>177.77777777777777</v>
      </c>
      <c r="R33" s="78">
        <f>R31*R32</f>
        <v>160</v>
      </c>
      <c r="S33" s="62"/>
      <c r="T33" s="62"/>
    </row>
    <row r="34" spans="8:20" ht="15" x14ac:dyDescent="0.2">
      <c r="J34" s="25">
        <f>H33*E28</f>
        <v>60471.666666666679</v>
      </c>
      <c r="K34" s="1" t="s">
        <v>134</v>
      </c>
      <c r="M34" s="1" t="s">
        <v>146</v>
      </c>
      <c r="N34" s="107">
        <v>500000</v>
      </c>
      <c r="O34" s="62"/>
      <c r="P34" s="69" t="s">
        <v>94</v>
      </c>
      <c r="Q34" s="77">
        <v>5</v>
      </c>
      <c r="R34" s="78">
        <v>5</v>
      </c>
      <c r="S34" s="62"/>
      <c r="T34" s="62"/>
    </row>
    <row r="35" spans="8:20" ht="16" thickBot="1" x14ac:dyDescent="0.25">
      <c r="J35" s="105">
        <f>J33-J34</f>
        <v>136015.3125</v>
      </c>
      <c r="K35" s="1" t="s">
        <v>135</v>
      </c>
      <c r="M35" s="1" t="s">
        <v>147</v>
      </c>
      <c r="N35" s="104">
        <f>N34-J34</f>
        <v>439528.33333333331</v>
      </c>
      <c r="O35" s="62"/>
      <c r="P35" s="72" t="s">
        <v>95</v>
      </c>
      <c r="Q35" s="79">
        <f>Q33/Q34</f>
        <v>35.555555555555557</v>
      </c>
      <c r="R35" s="80">
        <f>R33/R34</f>
        <v>32</v>
      </c>
      <c r="S35" s="62"/>
      <c r="T35" s="62"/>
    </row>
    <row r="37" spans="8:20" x14ac:dyDescent="0.15">
      <c r="J37" s="25">
        <f>J33*0.15</f>
        <v>29473.046875000004</v>
      </c>
      <c r="K37" s="1" t="s">
        <v>130</v>
      </c>
    </row>
    <row r="38" spans="8:20" x14ac:dyDescent="0.15">
      <c r="J38" s="25">
        <f>J33*0.2</f>
        <v>39297.395833333336</v>
      </c>
      <c r="K38" s="1" t="s">
        <v>136</v>
      </c>
    </row>
    <row r="39" spans="8:20" x14ac:dyDescent="0.15">
      <c r="J39" s="105">
        <f>J37+J38</f>
        <v>68770.442708333343</v>
      </c>
      <c r="K39" s="1" t="s">
        <v>137</v>
      </c>
    </row>
    <row r="41" spans="8:20" x14ac:dyDescent="0.15">
      <c r="H41" s="1" t="s">
        <v>205</v>
      </c>
      <c r="I41" s="106">
        <f>J41/J33</f>
        <v>0.34223575565598857</v>
      </c>
      <c r="J41" s="105">
        <f>J35-J39</f>
        <v>67244.869791666657</v>
      </c>
      <c r="K41" s="1" t="s">
        <v>138</v>
      </c>
    </row>
    <row r="43" spans="8:20" x14ac:dyDescent="0.15">
      <c r="J43" s="25">
        <f>J33*0.08</f>
        <v>15718.958333333336</v>
      </c>
      <c r="K43" s="1" t="s">
        <v>139</v>
      </c>
    </row>
    <row r="44" spans="8:20" x14ac:dyDescent="0.15">
      <c r="J44" s="25">
        <f>J33*0.07</f>
        <v>13754.08854166667</v>
      </c>
      <c r="K44" s="1" t="s">
        <v>140</v>
      </c>
    </row>
    <row r="45" spans="8:20" x14ac:dyDescent="0.15">
      <c r="J45" s="25">
        <f>J33*0.07</f>
        <v>13754.08854166667</v>
      </c>
      <c r="K45" s="1" t="s">
        <v>141</v>
      </c>
    </row>
    <row r="46" spans="8:20" x14ac:dyDescent="0.15">
      <c r="J46" s="25">
        <f>J33*0.04</f>
        <v>7859.4791666666679</v>
      </c>
      <c r="K46" s="1" t="s">
        <v>142</v>
      </c>
    </row>
    <row r="47" spans="8:20" x14ac:dyDescent="0.15">
      <c r="J47" s="25">
        <f>J33*0.04</f>
        <v>7859.4791666666679</v>
      </c>
      <c r="K47" s="1" t="s">
        <v>143</v>
      </c>
    </row>
    <row r="48" spans="8:20" x14ac:dyDescent="0.15">
      <c r="J48" s="105">
        <f>SUM(J43:J47)</f>
        <v>58946.093750000015</v>
      </c>
      <c r="K48" s="1" t="s">
        <v>144</v>
      </c>
    </row>
    <row r="50" spans="2:11" x14ac:dyDescent="0.15">
      <c r="B50" s="1"/>
      <c r="D50" s="1"/>
      <c r="I50" s="106">
        <f>J50/J33</f>
        <v>4.2235755655988527E-2</v>
      </c>
      <c r="J50" s="25">
        <f>J41-J48</f>
        <v>8298.7760416666424</v>
      </c>
      <c r="K50" s="1" t="s">
        <v>145</v>
      </c>
    </row>
    <row r="51" spans="2:11" x14ac:dyDescent="0.15">
      <c r="B51" s="1"/>
      <c r="D51" s="1"/>
    </row>
    <row r="52" spans="2:11" x14ac:dyDescent="0.15">
      <c r="B52" s="1"/>
      <c r="D52" s="1"/>
    </row>
    <row r="53" spans="2:11" x14ac:dyDescent="0.15">
      <c r="B53" s="1"/>
      <c r="D53" s="1"/>
    </row>
    <row r="54" spans="2:11" x14ac:dyDescent="0.15">
      <c r="B54" s="1"/>
      <c r="D54" s="1"/>
    </row>
    <row r="55" spans="2:11" x14ac:dyDescent="0.15">
      <c r="B55" s="1"/>
      <c r="D55" s="1"/>
      <c r="G55" s="58"/>
      <c r="H55" s="58"/>
      <c r="I55" s="58"/>
    </row>
    <row r="56" spans="2:11" x14ac:dyDescent="0.15">
      <c r="F56" s="56"/>
      <c r="G56" s="60"/>
      <c r="H56" s="60"/>
      <c r="I56" s="60"/>
      <c r="J56" s="57"/>
    </row>
    <row r="57" spans="2:11" x14ac:dyDescent="0.15">
      <c r="F57" s="56"/>
      <c r="G57" s="60"/>
      <c r="H57" s="60"/>
      <c r="I57" s="60"/>
      <c r="J57" s="57"/>
    </row>
    <row r="58" spans="2:11" x14ac:dyDescent="0.15">
      <c r="F58" s="56"/>
      <c r="G58" s="60"/>
      <c r="H58" s="60"/>
      <c r="I58" s="60"/>
      <c r="J58" s="57"/>
    </row>
    <row r="59" spans="2:11" x14ac:dyDescent="0.15">
      <c r="F59" s="56"/>
      <c r="G59" s="60"/>
      <c r="H59" s="60"/>
      <c r="I59" s="60"/>
      <c r="J59" s="57"/>
    </row>
    <row r="60" spans="2:11" x14ac:dyDescent="0.15">
      <c r="G60" s="59"/>
      <c r="H60" s="59"/>
      <c r="I60" s="59"/>
    </row>
    <row r="66" spans="6:10" x14ac:dyDescent="0.15">
      <c r="F66" s="55"/>
    </row>
    <row r="67" spans="6:10" x14ac:dyDescent="0.15">
      <c r="F67" s="55"/>
      <c r="G67" s="58"/>
      <c r="H67" s="58"/>
      <c r="I67" s="58"/>
    </row>
    <row r="68" spans="6:10" x14ac:dyDescent="0.15">
      <c r="F68" s="61"/>
      <c r="G68" s="60"/>
      <c r="H68" s="60"/>
      <c r="I68" s="60"/>
      <c r="J68" s="57"/>
    </row>
    <row r="69" spans="6:10" x14ac:dyDescent="0.15">
      <c r="F69" s="56"/>
      <c r="G69" s="60"/>
      <c r="H69" s="60"/>
      <c r="I69" s="60"/>
      <c r="J69" s="57"/>
    </row>
    <row r="70" spans="6:10" x14ac:dyDescent="0.15">
      <c r="F70" s="56"/>
      <c r="G70" s="60"/>
      <c r="H70" s="60"/>
      <c r="I70" s="60"/>
      <c r="J70" s="57"/>
    </row>
    <row r="71" spans="6:10" x14ac:dyDescent="0.15">
      <c r="F71" s="56"/>
      <c r="G71" s="60"/>
      <c r="H71" s="60"/>
      <c r="I71" s="60"/>
      <c r="J71" s="57"/>
    </row>
    <row r="72" spans="6:10" x14ac:dyDescent="0.15">
      <c r="G72" s="59"/>
      <c r="H72" s="59"/>
      <c r="I72" s="59"/>
    </row>
  </sheetData>
  <mergeCells count="8">
    <mergeCell ref="A26:D31"/>
    <mergeCell ref="E30:H31"/>
    <mergeCell ref="A2:C2"/>
    <mergeCell ref="D2:H3"/>
    <mergeCell ref="A3:C3"/>
    <mergeCell ref="A5:H5"/>
    <mergeCell ref="F7:H7"/>
    <mergeCell ref="F9:H24"/>
  </mergeCells>
  <pageMargins left="0.7" right="0.7" top="0.75" bottom="0.75" header="0.3" footer="0.3"/>
  <pageSetup orientation="portrait" horizontalDpi="4294967292" verticalDpi="4294967292"/>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72"/>
  <sheetViews>
    <sheetView tabSelected="1" topLeftCell="C6" zoomScale="140" zoomScaleNormal="140" workbookViewId="0">
      <selection activeCell="H29" sqref="H29"/>
    </sheetView>
  </sheetViews>
  <sheetFormatPr baseColWidth="10" defaultRowHeight="13" x14ac:dyDescent="0.15"/>
  <cols>
    <col min="1" max="1" width="9.33203125" style="1" customWidth="1"/>
    <col min="2" max="2" width="7.33203125" style="2" customWidth="1"/>
    <col min="3" max="3" width="31.33203125" style="1" customWidth="1"/>
    <col min="4" max="4" width="15.6640625" style="1" customWidth="1"/>
    <col min="5" max="5" width="11.6640625" style="3" customWidth="1"/>
    <col min="6" max="6" width="9.5" style="1" customWidth="1"/>
    <col min="7" max="7" width="16.5" style="1" customWidth="1"/>
    <col min="8" max="8" width="23.1640625" style="1" customWidth="1"/>
    <col min="9" max="9" width="32.6640625" style="1" customWidth="1"/>
    <col min="10" max="16" width="10.83203125" style="1"/>
    <col min="17" max="17" width="14.6640625" style="1" customWidth="1"/>
    <col min="18" max="16384" width="10.83203125" style="1"/>
  </cols>
  <sheetData>
    <row r="2" spans="1:18" x14ac:dyDescent="0.15">
      <c r="A2" s="188" t="s">
        <v>24</v>
      </c>
      <c r="B2" s="188"/>
      <c r="C2" s="188"/>
      <c r="D2" s="112"/>
      <c r="E2" s="189" t="s">
        <v>37</v>
      </c>
      <c r="F2" s="189"/>
      <c r="G2" s="189"/>
      <c r="H2" s="189"/>
      <c r="I2" s="189"/>
    </row>
    <row r="3" spans="1:18" x14ac:dyDescent="0.15">
      <c r="A3" s="190" t="s">
        <v>51</v>
      </c>
      <c r="B3" s="190"/>
      <c r="C3" s="190"/>
      <c r="D3" s="113"/>
      <c r="E3" s="189"/>
      <c r="F3" s="189"/>
      <c r="G3" s="189"/>
      <c r="H3" s="189"/>
      <c r="I3" s="189"/>
    </row>
    <row r="4" spans="1:18" ht="6" customHeight="1" x14ac:dyDescent="0.15"/>
    <row r="5" spans="1:18" x14ac:dyDescent="0.15">
      <c r="A5" s="191" t="s">
        <v>115</v>
      </c>
      <c r="B5" s="191"/>
      <c r="C5" s="191"/>
      <c r="D5" s="191"/>
      <c r="E5" s="191"/>
      <c r="F5" s="191"/>
      <c r="G5" s="191"/>
      <c r="H5" s="191"/>
      <c r="I5" s="191"/>
    </row>
    <row r="6" spans="1:18" ht="6" customHeight="1" x14ac:dyDescent="0.15">
      <c r="A6" s="4"/>
      <c r="B6" s="4"/>
      <c r="C6" s="4"/>
      <c r="D6" s="4"/>
      <c r="E6" s="4"/>
      <c r="F6" s="4"/>
      <c r="G6" s="4"/>
      <c r="H6" s="4"/>
      <c r="I6" s="4"/>
    </row>
    <row r="7" spans="1:18" x14ac:dyDescent="0.15">
      <c r="A7" s="5" t="s">
        <v>8</v>
      </c>
      <c r="B7" s="6" t="s">
        <v>9</v>
      </c>
      <c r="C7" s="6" t="s">
        <v>10</v>
      </c>
      <c r="D7" s="6" t="s">
        <v>161</v>
      </c>
      <c r="E7" s="7" t="s">
        <v>11</v>
      </c>
      <c r="F7" s="6" t="s">
        <v>12</v>
      </c>
      <c r="G7" s="192" t="s">
        <v>13</v>
      </c>
      <c r="H7" s="192"/>
      <c r="I7" s="192"/>
    </row>
    <row r="8" spans="1:18" ht="6" customHeight="1" x14ac:dyDescent="0.15">
      <c r="A8" s="4"/>
      <c r="B8" s="8"/>
      <c r="C8" s="8"/>
      <c r="D8" s="8"/>
      <c r="E8" s="9"/>
      <c r="F8" s="4"/>
      <c r="G8" s="10"/>
      <c r="H8" s="10"/>
      <c r="I8" s="10"/>
    </row>
    <row r="9" spans="1:18" ht="15" x14ac:dyDescent="0.2">
      <c r="A9" s="11">
        <v>0.06</v>
      </c>
      <c r="B9" s="12" t="s">
        <v>149</v>
      </c>
      <c r="C9" s="12" t="s">
        <v>148</v>
      </c>
      <c r="D9" s="115"/>
      <c r="E9" s="13">
        <v>25</v>
      </c>
      <c r="F9" s="14">
        <f>A9*E9</f>
        <v>1.5</v>
      </c>
      <c r="G9" s="193"/>
      <c r="H9" s="193"/>
      <c r="I9" s="193"/>
      <c r="Q9" s="1" t="s">
        <v>207</v>
      </c>
      <c r="R9" s="1">
        <v>100</v>
      </c>
    </row>
    <row r="10" spans="1:18" ht="15" x14ac:dyDescent="0.2">
      <c r="A10" s="11">
        <v>0.2</v>
      </c>
      <c r="B10" s="12" t="s">
        <v>49</v>
      </c>
      <c r="C10" s="12" t="s">
        <v>114</v>
      </c>
      <c r="D10" s="116">
        <v>76.5</v>
      </c>
      <c r="E10" s="169">
        <f>D10/0.8</f>
        <v>95.625</v>
      </c>
      <c r="F10" s="14">
        <f>A10*E10</f>
        <v>19.125</v>
      </c>
      <c r="G10" s="193"/>
      <c r="H10" s="193"/>
      <c r="I10" s="193"/>
      <c r="Q10" s="1" t="s">
        <v>208</v>
      </c>
      <c r="R10" s="1">
        <v>15</v>
      </c>
    </row>
    <row r="11" spans="1:18" ht="15" x14ac:dyDescent="0.2">
      <c r="A11" s="11">
        <v>1</v>
      </c>
      <c r="B11" s="12" t="s">
        <v>117</v>
      </c>
      <c r="C11" s="12" t="s">
        <v>116</v>
      </c>
      <c r="D11" s="115"/>
      <c r="E11" s="13">
        <v>3</v>
      </c>
      <c r="F11" s="14">
        <f>A11*E11</f>
        <v>3</v>
      </c>
      <c r="G11" s="193"/>
      <c r="H11" s="193"/>
      <c r="I11" s="193"/>
      <c r="Q11" s="1" t="s">
        <v>209</v>
      </c>
      <c r="R11" s="1">
        <f>R9-R10</f>
        <v>85</v>
      </c>
    </row>
    <row r="12" spans="1:18" ht="15" x14ac:dyDescent="0.2">
      <c r="A12" s="11">
        <f>(28.34*2)/1000</f>
        <v>5.6680000000000001E-2</v>
      </c>
      <c r="B12" s="12" t="s">
        <v>31</v>
      </c>
      <c r="C12" s="12" t="s">
        <v>150</v>
      </c>
      <c r="D12" s="115"/>
      <c r="E12" s="13">
        <v>25</v>
      </c>
      <c r="F12" s="14">
        <f>A12*E12</f>
        <v>1.417</v>
      </c>
      <c r="G12" s="193"/>
      <c r="H12" s="193"/>
      <c r="I12" s="193"/>
    </row>
    <row r="13" spans="1:18" ht="15" x14ac:dyDescent="0.2">
      <c r="A13" s="11">
        <v>0.08</v>
      </c>
      <c r="B13" s="12" t="s">
        <v>157</v>
      </c>
      <c r="C13" s="12" t="s">
        <v>156</v>
      </c>
      <c r="D13" s="115"/>
      <c r="E13" s="13">
        <v>35</v>
      </c>
      <c r="F13" s="14">
        <f>E13*A13</f>
        <v>2.8000000000000003</v>
      </c>
      <c r="G13" s="193"/>
      <c r="H13" s="193"/>
      <c r="I13" s="193"/>
      <c r="Q13" s="1" t="s">
        <v>34</v>
      </c>
      <c r="R13" s="1">
        <v>30</v>
      </c>
    </row>
    <row r="14" spans="1:18" hidden="1" x14ac:dyDescent="0.15">
      <c r="A14" s="15"/>
      <c r="B14" s="16"/>
      <c r="C14" s="17"/>
      <c r="D14" s="17"/>
      <c r="E14" s="18"/>
      <c r="F14" s="14"/>
      <c r="G14" s="193"/>
      <c r="H14" s="193"/>
      <c r="I14" s="193"/>
    </row>
    <row r="15" spans="1:18" hidden="1" x14ac:dyDescent="0.15">
      <c r="A15" s="15"/>
      <c r="B15" s="19"/>
      <c r="C15" s="20"/>
      <c r="D15" s="20"/>
      <c r="E15" s="18"/>
      <c r="F15" s="14"/>
      <c r="G15" s="193"/>
      <c r="H15" s="193"/>
      <c r="I15" s="193"/>
    </row>
    <row r="16" spans="1:18" hidden="1" x14ac:dyDescent="0.15">
      <c r="A16" s="15"/>
      <c r="B16" s="19"/>
      <c r="C16" s="20"/>
      <c r="D16" s="20"/>
      <c r="E16" s="18"/>
      <c r="F16" s="14"/>
      <c r="G16" s="193"/>
      <c r="H16" s="193"/>
      <c r="I16" s="193"/>
    </row>
    <row r="17" spans="1:19" hidden="1" x14ac:dyDescent="0.15">
      <c r="A17" s="15"/>
      <c r="B17" s="19"/>
      <c r="C17" s="20"/>
      <c r="D17" s="20"/>
      <c r="E17" s="18"/>
      <c r="F17" s="14"/>
      <c r="G17" s="193"/>
      <c r="H17" s="193"/>
      <c r="I17" s="193"/>
    </row>
    <row r="18" spans="1:19" hidden="1" x14ac:dyDescent="0.15">
      <c r="A18" s="15"/>
      <c r="B18" s="19"/>
      <c r="C18" s="20"/>
      <c r="D18" s="20"/>
      <c r="E18" s="18"/>
      <c r="F18" s="14"/>
      <c r="G18" s="193"/>
      <c r="H18" s="193"/>
      <c r="I18" s="193"/>
    </row>
    <row r="19" spans="1:19" hidden="1" x14ac:dyDescent="0.15">
      <c r="A19" s="15"/>
      <c r="B19" s="19"/>
      <c r="C19" s="20"/>
      <c r="D19" s="20"/>
      <c r="E19" s="18"/>
      <c r="F19" s="14"/>
      <c r="G19" s="193"/>
      <c r="H19" s="193"/>
      <c r="I19" s="193"/>
    </row>
    <row r="20" spans="1:19" hidden="1" x14ac:dyDescent="0.15">
      <c r="A20" s="15"/>
      <c r="B20" s="19"/>
      <c r="C20" s="20"/>
      <c r="D20" s="20"/>
      <c r="E20" s="18"/>
      <c r="F20" s="14"/>
      <c r="G20" s="193"/>
      <c r="H20" s="193"/>
      <c r="I20" s="193"/>
    </row>
    <row r="21" spans="1:19" hidden="1" x14ac:dyDescent="0.15">
      <c r="A21" s="15"/>
      <c r="B21" s="19"/>
      <c r="C21" s="20"/>
      <c r="D21" s="20"/>
      <c r="E21" s="18"/>
      <c r="F21" s="14"/>
      <c r="G21" s="193"/>
      <c r="H21" s="193"/>
      <c r="I21" s="193"/>
    </row>
    <row r="22" spans="1:19" hidden="1" x14ac:dyDescent="0.15">
      <c r="A22" s="15"/>
      <c r="B22" s="19"/>
      <c r="C22" s="20"/>
      <c r="D22" s="20"/>
      <c r="E22" s="18"/>
      <c r="F22" s="14"/>
      <c r="G22" s="193"/>
      <c r="H22" s="193"/>
      <c r="I22" s="193"/>
    </row>
    <row r="23" spans="1:19" hidden="1" x14ac:dyDescent="0.15">
      <c r="A23" s="15"/>
      <c r="B23" s="19"/>
      <c r="C23" s="20"/>
      <c r="D23" s="20"/>
      <c r="E23" s="18"/>
      <c r="F23" s="14"/>
      <c r="G23" s="193"/>
      <c r="H23" s="193"/>
      <c r="I23" s="193"/>
    </row>
    <row r="24" spans="1:19" ht="110" customHeight="1" x14ac:dyDescent="0.15">
      <c r="A24" s="15"/>
      <c r="B24" s="19"/>
      <c r="C24" s="20"/>
      <c r="D24" s="20"/>
      <c r="E24" s="18"/>
      <c r="F24" s="14"/>
      <c r="G24" s="193"/>
      <c r="H24" s="193"/>
      <c r="I24" s="193"/>
    </row>
    <row r="25" spans="1:19" ht="6" customHeight="1" x14ac:dyDescent="0.15">
      <c r="A25" s="21"/>
      <c r="B25" s="22"/>
      <c r="C25" s="23"/>
      <c r="D25" s="23"/>
      <c r="E25" s="24"/>
      <c r="F25" s="25"/>
      <c r="G25" s="26"/>
      <c r="H25" s="26"/>
      <c r="I25" s="26"/>
    </row>
    <row r="26" spans="1:19" x14ac:dyDescent="0.15">
      <c r="A26" s="173" t="s">
        <v>33</v>
      </c>
      <c r="B26" s="174"/>
      <c r="C26" s="174"/>
      <c r="D26" s="174"/>
      <c r="E26" s="175"/>
      <c r="F26" s="5" t="s">
        <v>34</v>
      </c>
      <c r="G26" s="5" t="s">
        <v>35</v>
      </c>
      <c r="H26" s="5" t="s">
        <v>52</v>
      </c>
      <c r="I26" s="5" t="s">
        <v>53</v>
      </c>
      <c r="J26" s="1" t="s">
        <v>54</v>
      </c>
      <c r="Q26" s="1" t="s">
        <v>135</v>
      </c>
      <c r="R26" s="1">
        <f>R11-R13</f>
        <v>55</v>
      </c>
    </row>
    <row r="27" spans="1:19" x14ac:dyDescent="0.15">
      <c r="A27" s="176"/>
      <c r="B27" s="177"/>
      <c r="C27" s="177"/>
      <c r="D27" s="177"/>
      <c r="E27" s="178"/>
      <c r="F27" s="27">
        <f>SUM(F9:F24)</f>
        <v>27.842000000000002</v>
      </c>
      <c r="G27" s="28">
        <v>100</v>
      </c>
      <c r="H27" s="29">
        <f>F27/G27</f>
        <v>0.27842</v>
      </c>
      <c r="I27" s="27">
        <f>G27-F27</f>
        <v>72.158000000000001</v>
      </c>
      <c r="J27" s="30">
        <f>G27*1.16</f>
        <v>115.99999999999999</v>
      </c>
      <c r="K27" s="1" t="s">
        <v>40</v>
      </c>
      <c r="M27" s="1" t="s">
        <v>128</v>
      </c>
      <c r="Q27" s="58"/>
      <c r="R27" s="58"/>
    </row>
    <row r="28" spans="1:19" x14ac:dyDescent="0.15">
      <c r="A28" s="176"/>
      <c r="B28" s="177"/>
      <c r="C28" s="177"/>
      <c r="D28" s="177"/>
      <c r="E28" s="178"/>
      <c r="F28" s="27">
        <f>F27</f>
        <v>27.842000000000002</v>
      </c>
      <c r="G28" s="27">
        <f>F28/H28</f>
        <v>84.369696969696975</v>
      </c>
      <c r="H28" s="31">
        <v>0.33</v>
      </c>
      <c r="I28" s="27">
        <f>G28-F28</f>
        <v>56.527696969696976</v>
      </c>
      <c r="J28" s="30">
        <f>G28*1.16</f>
        <v>97.868848484848485</v>
      </c>
      <c r="P28" s="56"/>
      <c r="Q28" s="60" t="s">
        <v>210</v>
      </c>
      <c r="R28" s="170">
        <f>R13/R9</f>
        <v>0.3</v>
      </c>
      <c r="S28" s="57"/>
    </row>
    <row r="29" spans="1:19" x14ac:dyDescent="0.15">
      <c r="A29" s="176"/>
      <c r="B29" s="177"/>
      <c r="C29" s="177"/>
      <c r="D29" s="177"/>
      <c r="E29" s="178"/>
      <c r="F29" s="27">
        <f>F27</f>
        <v>27.842000000000002</v>
      </c>
      <c r="G29" s="27">
        <f>F29+I29</f>
        <v>92.184848484848487</v>
      </c>
      <c r="H29" s="32">
        <f>F29/G29</f>
        <v>0.30202360211695872</v>
      </c>
      <c r="I29" s="28">
        <f>(I27+I28)/2</f>
        <v>64.342848484848489</v>
      </c>
      <c r="J29" s="30">
        <f>G29*1.16</f>
        <v>106.93442424242424</v>
      </c>
      <c r="P29" s="56"/>
      <c r="Q29" s="60" t="s">
        <v>211</v>
      </c>
      <c r="R29" s="170">
        <f>R13/R11</f>
        <v>0.35294117647058826</v>
      </c>
      <c r="S29" s="57"/>
    </row>
    <row r="30" spans="1:19" x14ac:dyDescent="0.15">
      <c r="A30" s="176"/>
      <c r="B30" s="177"/>
      <c r="C30" s="177"/>
      <c r="D30" s="177"/>
      <c r="E30" s="178"/>
      <c r="F30" s="182" t="s">
        <v>55</v>
      </c>
      <c r="G30" s="183"/>
      <c r="H30" s="183"/>
      <c r="I30" s="184"/>
      <c r="Q30" s="59"/>
      <c r="R30" s="59"/>
    </row>
    <row r="31" spans="1:19" x14ac:dyDescent="0.15">
      <c r="A31" s="179"/>
      <c r="B31" s="180"/>
      <c r="C31" s="180"/>
      <c r="D31" s="180"/>
      <c r="E31" s="181"/>
      <c r="F31" s="185"/>
      <c r="G31" s="186"/>
      <c r="H31" s="186"/>
      <c r="I31" s="187"/>
    </row>
    <row r="34" spans="2:9" ht="19" x14ac:dyDescent="0.2">
      <c r="C34" s="96" t="s">
        <v>152</v>
      </c>
      <c r="D34" s="96"/>
    </row>
    <row r="35" spans="2:9" ht="19" x14ac:dyDescent="0.2">
      <c r="C35" s="96" t="s">
        <v>118</v>
      </c>
      <c r="D35" s="96"/>
    </row>
    <row r="36" spans="2:9" x14ac:dyDescent="0.15">
      <c r="C36" s="58"/>
      <c r="D36" s="58"/>
      <c r="E36" s="110"/>
      <c r="F36" s="58"/>
      <c r="G36" s="58"/>
      <c r="H36" s="58"/>
    </row>
    <row r="37" spans="2:9" ht="14" thickBot="1" x14ac:dyDescent="0.2">
      <c r="B37" s="109"/>
      <c r="C37" s="58"/>
      <c r="D37" s="58"/>
      <c r="E37" s="110"/>
      <c r="F37" s="58"/>
      <c r="G37" s="58"/>
      <c r="H37" s="58"/>
      <c r="I37" s="57"/>
    </row>
    <row r="38" spans="2:9" ht="17" thickBot="1" x14ac:dyDescent="0.25">
      <c r="B38" s="109"/>
      <c r="C38" s="160" t="s">
        <v>153</v>
      </c>
      <c r="D38" s="161"/>
      <c r="E38" s="162">
        <f>85*0.9</f>
        <v>76.5</v>
      </c>
      <c r="F38" s="163" t="s">
        <v>154</v>
      </c>
      <c r="G38" s="163"/>
      <c r="H38" s="164"/>
      <c r="I38" s="57"/>
    </row>
    <row r="39" spans="2:9" ht="17" thickBot="1" x14ac:dyDescent="0.25">
      <c r="C39" s="160" t="s">
        <v>151</v>
      </c>
      <c r="D39" s="161"/>
      <c r="E39" s="162">
        <f>E38/0.8</f>
        <v>95.625</v>
      </c>
      <c r="F39" s="163" t="s">
        <v>127</v>
      </c>
      <c r="G39" s="163" t="s">
        <v>155</v>
      </c>
      <c r="H39" s="164"/>
    </row>
    <row r="40" spans="2:9" x14ac:dyDescent="0.15">
      <c r="C40" s="59"/>
      <c r="D40" s="59"/>
      <c r="E40" s="111"/>
      <c r="F40" s="59"/>
      <c r="G40" s="59"/>
      <c r="H40" s="59"/>
    </row>
    <row r="50" spans="2:11" x14ac:dyDescent="0.15">
      <c r="B50" s="1"/>
      <c r="E50" s="1"/>
    </row>
    <row r="51" spans="2:11" x14ac:dyDescent="0.15">
      <c r="B51" s="1"/>
      <c r="E51" s="1"/>
    </row>
    <row r="52" spans="2:11" x14ac:dyDescent="0.15">
      <c r="B52" s="1"/>
      <c r="E52" s="1"/>
    </row>
    <row r="53" spans="2:11" x14ac:dyDescent="0.15">
      <c r="B53" s="1"/>
      <c r="E53" s="1"/>
    </row>
    <row r="54" spans="2:11" x14ac:dyDescent="0.15">
      <c r="B54" s="1"/>
      <c r="E54" s="1"/>
    </row>
    <row r="55" spans="2:11" x14ac:dyDescent="0.15">
      <c r="B55" s="1"/>
      <c r="E55" s="1"/>
      <c r="H55" s="58"/>
      <c r="I55" s="58"/>
      <c r="J55" s="58"/>
    </row>
    <row r="56" spans="2:11" x14ac:dyDescent="0.15">
      <c r="G56" s="56"/>
      <c r="H56" s="60"/>
      <c r="I56" s="60"/>
      <c r="J56" s="60"/>
      <c r="K56" s="57"/>
    </row>
    <row r="57" spans="2:11" x14ac:dyDescent="0.15">
      <c r="G57" s="56"/>
      <c r="H57" s="60"/>
      <c r="I57" s="60"/>
      <c r="J57" s="60"/>
      <c r="K57" s="57"/>
    </row>
    <row r="58" spans="2:11" x14ac:dyDescent="0.15">
      <c r="G58" s="56"/>
      <c r="H58" s="60"/>
      <c r="I58" s="60"/>
      <c r="J58" s="60"/>
      <c r="K58" s="57"/>
    </row>
    <row r="59" spans="2:11" x14ac:dyDescent="0.15">
      <c r="G59" s="56"/>
      <c r="H59" s="60"/>
      <c r="I59" s="60"/>
      <c r="J59" s="60"/>
      <c r="K59" s="57"/>
    </row>
    <row r="60" spans="2:11" x14ac:dyDescent="0.15">
      <c r="H60" s="59"/>
      <c r="I60" s="59"/>
      <c r="J60" s="59"/>
    </row>
    <row r="66" spans="7:11" x14ac:dyDescent="0.15">
      <c r="G66" s="55"/>
    </row>
    <row r="67" spans="7:11" x14ac:dyDescent="0.15">
      <c r="G67" s="55"/>
      <c r="H67" s="58"/>
      <c r="I67" s="58"/>
      <c r="J67" s="58"/>
    </row>
    <row r="68" spans="7:11" x14ac:dyDescent="0.15">
      <c r="G68" s="61"/>
      <c r="H68" s="60"/>
      <c r="I68" s="60"/>
      <c r="J68" s="60"/>
      <c r="K68" s="57"/>
    </row>
    <row r="69" spans="7:11" x14ac:dyDescent="0.15">
      <c r="G69" s="56"/>
      <c r="H69" s="60"/>
      <c r="I69" s="60"/>
      <c r="J69" s="60"/>
      <c r="K69" s="57"/>
    </row>
    <row r="70" spans="7:11" x14ac:dyDescent="0.15">
      <c r="G70" s="56"/>
      <c r="H70" s="60"/>
      <c r="I70" s="60"/>
      <c r="J70" s="60"/>
      <c r="K70" s="57"/>
    </row>
    <row r="71" spans="7:11" x14ac:dyDescent="0.15">
      <c r="G71" s="56"/>
      <c r="H71" s="60"/>
      <c r="I71" s="60"/>
      <c r="J71" s="60"/>
      <c r="K71" s="57"/>
    </row>
    <row r="72" spans="7:11" x14ac:dyDescent="0.15">
      <c r="H72" s="59"/>
      <c r="I72" s="59"/>
      <c r="J72" s="59"/>
    </row>
  </sheetData>
  <mergeCells count="8">
    <mergeCell ref="A26:E31"/>
    <mergeCell ref="F30:I31"/>
    <mergeCell ref="A2:C2"/>
    <mergeCell ref="E2:I3"/>
    <mergeCell ref="A3:C3"/>
    <mergeCell ref="A5:I5"/>
    <mergeCell ref="G7:I7"/>
    <mergeCell ref="G9:I24"/>
  </mergeCells>
  <phoneticPr fontId="4" type="noConversion"/>
  <pageMargins left="0.7" right="0.7" top="0.75" bottom="0.75" header="0.3" footer="0.3"/>
  <pageSetup orientation="portrait" horizontalDpi="4294967292" verticalDpi="4294967292"/>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K144"/>
  <sheetViews>
    <sheetView topLeftCell="A42" workbookViewId="0">
      <selection activeCell="E78" sqref="E78"/>
    </sheetView>
  </sheetViews>
  <sheetFormatPr baseColWidth="10" defaultRowHeight="15" x14ac:dyDescent="0.2"/>
  <cols>
    <col min="2" max="2" width="48.83203125" customWidth="1"/>
  </cols>
  <sheetData>
    <row r="2" spans="2:4" ht="16" x14ac:dyDescent="0.2">
      <c r="B2" s="44" t="s">
        <v>28</v>
      </c>
    </row>
    <row r="3" spans="2:4" ht="153" x14ac:dyDescent="0.2">
      <c r="B3" s="47" t="s">
        <v>41</v>
      </c>
    </row>
    <row r="4" spans="2:4" ht="16" x14ac:dyDescent="0.2">
      <c r="B4" s="45"/>
    </row>
    <row r="5" spans="2:4" ht="16" x14ac:dyDescent="0.2">
      <c r="B5" s="45" t="s">
        <v>42</v>
      </c>
    </row>
    <row r="6" spans="2:4" ht="102" x14ac:dyDescent="0.2">
      <c r="B6" s="50" t="s">
        <v>26</v>
      </c>
    </row>
    <row r="7" spans="2:4" ht="16" x14ac:dyDescent="0.2">
      <c r="B7" s="46" t="s">
        <v>16</v>
      </c>
    </row>
    <row r="8" spans="2:4" ht="16" x14ac:dyDescent="0.2">
      <c r="B8" s="46" t="s">
        <v>61</v>
      </c>
    </row>
    <row r="10" spans="2:4" x14ac:dyDescent="0.2">
      <c r="B10" t="s">
        <v>5</v>
      </c>
    </row>
    <row r="11" spans="2:4" x14ac:dyDescent="0.2">
      <c r="B11" t="s">
        <v>56</v>
      </c>
    </row>
    <row r="13" spans="2:4" x14ac:dyDescent="0.2">
      <c r="B13" t="s">
        <v>0</v>
      </c>
    </row>
    <row r="14" spans="2:4" ht="19" x14ac:dyDescent="0.25">
      <c r="B14" s="49" t="s">
        <v>1</v>
      </c>
      <c r="C14" s="49"/>
      <c r="D14" s="49"/>
    </row>
    <row r="15" spans="2:4" ht="64" x14ac:dyDescent="0.2">
      <c r="B15" s="51" t="s">
        <v>50</v>
      </c>
    </row>
    <row r="19" spans="2:9" x14ac:dyDescent="0.2">
      <c r="B19" t="s">
        <v>57</v>
      </c>
      <c r="C19" s="35"/>
      <c r="D19" s="36"/>
      <c r="E19" s="36"/>
      <c r="F19" s="36"/>
      <c r="G19" s="37"/>
      <c r="I19" t="s">
        <v>48</v>
      </c>
    </row>
    <row r="20" spans="2:9" x14ac:dyDescent="0.2">
      <c r="C20" s="38"/>
      <c r="G20" s="39"/>
      <c r="I20" t="s">
        <v>27</v>
      </c>
    </row>
    <row r="21" spans="2:9" ht="16" thickBot="1" x14ac:dyDescent="0.25">
      <c r="C21" s="38" t="s">
        <v>60</v>
      </c>
      <c r="F21" s="33" t="s">
        <v>58</v>
      </c>
      <c r="G21" s="39" t="s">
        <v>59</v>
      </c>
      <c r="I21" t="s">
        <v>2</v>
      </c>
    </row>
    <row r="22" spans="2:9" x14ac:dyDescent="0.2">
      <c r="C22" s="38"/>
      <c r="F22">
        <f>(103+88)/2</f>
        <v>95.5</v>
      </c>
      <c r="G22" s="39"/>
    </row>
    <row r="23" spans="2:9" x14ac:dyDescent="0.2">
      <c r="C23" s="38"/>
      <c r="G23" s="39"/>
    </row>
    <row r="24" spans="2:9" x14ac:dyDescent="0.2">
      <c r="C24" s="38" t="s">
        <v>60</v>
      </c>
      <c r="F24">
        <f>103-88</f>
        <v>15</v>
      </c>
      <c r="G24" s="39"/>
    </row>
    <row r="25" spans="2:9" x14ac:dyDescent="0.2">
      <c r="C25" s="38"/>
      <c r="F25">
        <v>95.5</v>
      </c>
      <c r="G25" s="39"/>
    </row>
    <row r="26" spans="2:9" x14ac:dyDescent="0.2">
      <c r="C26" s="38"/>
      <c r="G26" s="39"/>
    </row>
    <row r="27" spans="2:9" x14ac:dyDescent="0.2">
      <c r="C27" s="38" t="s">
        <v>60</v>
      </c>
      <c r="F27" s="34">
        <f>F24/F25</f>
        <v>0.15706806282722513</v>
      </c>
      <c r="G27" s="39"/>
      <c r="I27" t="s">
        <v>62</v>
      </c>
    </row>
    <row r="28" spans="2:9" x14ac:dyDescent="0.2">
      <c r="C28" s="40"/>
      <c r="D28" s="41"/>
      <c r="E28" s="41"/>
      <c r="F28" s="41"/>
      <c r="G28" s="42"/>
      <c r="I28" t="s">
        <v>38</v>
      </c>
    </row>
    <row r="30" spans="2:9" x14ac:dyDescent="0.2">
      <c r="C30" s="35"/>
      <c r="D30" s="36"/>
      <c r="E30" s="36"/>
      <c r="F30" s="36"/>
      <c r="G30" s="37"/>
    </row>
    <row r="31" spans="2:9" x14ac:dyDescent="0.2">
      <c r="C31" s="38"/>
      <c r="G31" s="39"/>
    </row>
    <row r="32" spans="2:9" ht="16" thickBot="1" x14ac:dyDescent="0.25">
      <c r="C32" s="38" t="s">
        <v>18</v>
      </c>
      <c r="F32" s="33" t="s">
        <v>3</v>
      </c>
      <c r="G32" s="39" t="s">
        <v>59</v>
      </c>
    </row>
    <row r="33" spans="2:9" x14ac:dyDescent="0.2">
      <c r="C33" s="38"/>
      <c r="F33">
        <f>(847+847)/2</f>
        <v>847</v>
      </c>
      <c r="G33" s="39"/>
    </row>
    <row r="34" spans="2:9" x14ac:dyDescent="0.2">
      <c r="C34" s="38"/>
      <c r="G34" s="39"/>
    </row>
    <row r="35" spans="2:9" x14ac:dyDescent="0.2">
      <c r="C35" s="38" t="s">
        <v>18</v>
      </c>
      <c r="F35" s="41">
        <f>(847-847)</f>
        <v>0</v>
      </c>
      <c r="G35" s="39"/>
    </row>
    <row r="36" spans="2:9" x14ac:dyDescent="0.2">
      <c r="C36" s="38"/>
      <c r="F36">
        <f>F33</f>
        <v>847</v>
      </c>
      <c r="G36" s="39"/>
    </row>
    <row r="37" spans="2:9" x14ac:dyDescent="0.2">
      <c r="C37" s="38"/>
      <c r="G37" s="39"/>
    </row>
    <row r="38" spans="2:9" x14ac:dyDescent="0.2">
      <c r="C38" s="38" t="s">
        <v>18</v>
      </c>
      <c r="F38" s="34">
        <f>F35/F36</f>
        <v>0</v>
      </c>
      <c r="G38" s="39"/>
    </row>
    <row r="39" spans="2:9" x14ac:dyDescent="0.2">
      <c r="C39" s="40"/>
      <c r="D39" s="41"/>
      <c r="E39" s="41"/>
      <c r="F39" s="41"/>
      <c r="G39" s="42"/>
    </row>
    <row r="41" spans="2:9" x14ac:dyDescent="0.2">
      <c r="C41" t="s">
        <v>32</v>
      </c>
      <c r="F41" s="41" t="s">
        <v>45</v>
      </c>
      <c r="G41" s="41"/>
      <c r="H41" s="41"/>
      <c r="I41" t="s">
        <v>46</v>
      </c>
    </row>
    <row r="42" spans="2:9" x14ac:dyDescent="0.2">
      <c r="F42" t="s">
        <v>64</v>
      </c>
    </row>
    <row r="44" spans="2:9" x14ac:dyDescent="0.2">
      <c r="C44" t="s">
        <v>47</v>
      </c>
      <c r="F44" s="48">
        <f>F38</f>
        <v>0</v>
      </c>
      <c r="G44" s="43">
        <f>F44/F45</f>
        <v>0</v>
      </c>
    </row>
    <row r="45" spans="2:9" x14ac:dyDescent="0.2">
      <c r="F45" s="34">
        <f>F27</f>
        <v>0.15706806282722513</v>
      </c>
    </row>
    <row r="48" spans="2:9" ht="19" x14ac:dyDescent="0.25">
      <c r="B48" s="52" t="s">
        <v>36</v>
      </c>
    </row>
    <row r="49" spans="2:9" x14ac:dyDescent="0.2">
      <c r="B49" t="s">
        <v>21</v>
      </c>
    </row>
    <row r="52" spans="2:9" x14ac:dyDescent="0.2">
      <c r="B52" t="s">
        <v>22</v>
      </c>
      <c r="C52" s="35"/>
      <c r="D52" s="36"/>
      <c r="E52" s="36"/>
      <c r="F52" s="36"/>
      <c r="G52" s="37"/>
      <c r="I52" t="s">
        <v>23</v>
      </c>
    </row>
    <row r="53" spans="2:9" x14ac:dyDescent="0.2">
      <c r="C53" s="38"/>
      <c r="G53" s="39"/>
      <c r="I53" t="s">
        <v>27</v>
      </c>
    </row>
    <row r="54" spans="2:9" ht="16" thickBot="1" x14ac:dyDescent="0.25">
      <c r="C54" s="38" t="s">
        <v>60</v>
      </c>
      <c r="F54" s="33" t="s">
        <v>58</v>
      </c>
      <c r="G54" s="39" t="s">
        <v>59</v>
      </c>
      <c r="I54" t="s">
        <v>20</v>
      </c>
    </row>
    <row r="55" spans="2:9" x14ac:dyDescent="0.2">
      <c r="C55" s="38"/>
      <c r="F55">
        <f>(103+88)/2</f>
        <v>95.5</v>
      </c>
      <c r="G55" s="39"/>
    </row>
    <row r="56" spans="2:9" x14ac:dyDescent="0.2">
      <c r="C56" s="38"/>
      <c r="G56" s="39"/>
    </row>
    <row r="57" spans="2:9" x14ac:dyDescent="0.2">
      <c r="C57" s="38" t="s">
        <v>60</v>
      </c>
      <c r="F57">
        <f>103-88</f>
        <v>15</v>
      </c>
      <c r="G57" s="39"/>
    </row>
    <row r="58" spans="2:9" x14ac:dyDescent="0.2">
      <c r="C58" s="38"/>
      <c r="F58">
        <v>95.5</v>
      </c>
      <c r="G58" s="39"/>
    </row>
    <row r="59" spans="2:9" x14ac:dyDescent="0.2">
      <c r="C59" s="38"/>
      <c r="G59" s="39"/>
    </row>
    <row r="60" spans="2:9" x14ac:dyDescent="0.2">
      <c r="C60" s="38" t="s">
        <v>60</v>
      </c>
      <c r="F60" s="34">
        <f>F57/F58</f>
        <v>0.15706806282722513</v>
      </c>
      <c r="G60" s="39"/>
      <c r="I60" t="s">
        <v>62</v>
      </c>
    </row>
    <row r="61" spans="2:9" x14ac:dyDescent="0.2">
      <c r="C61" s="40"/>
      <c r="D61" s="41"/>
      <c r="E61" s="41"/>
      <c r="F61" s="41"/>
      <c r="G61" s="42"/>
      <c r="I61" t="s">
        <v>38</v>
      </c>
    </row>
    <row r="63" spans="2:9" x14ac:dyDescent="0.2">
      <c r="C63" s="35"/>
      <c r="D63" s="36"/>
      <c r="E63" s="36"/>
      <c r="F63" s="36"/>
      <c r="G63" s="37"/>
    </row>
    <row r="64" spans="2:9" x14ac:dyDescent="0.2">
      <c r="C64" s="38"/>
      <c r="G64" s="39"/>
    </row>
    <row r="65" spans="3:9" ht="16" thickBot="1" x14ac:dyDescent="0.25">
      <c r="C65" s="38" t="s">
        <v>18</v>
      </c>
      <c r="F65" s="33" t="s">
        <v>39</v>
      </c>
      <c r="G65" s="39" t="s">
        <v>59</v>
      </c>
    </row>
    <row r="66" spans="3:9" x14ac:dyDescent="0.2">
      <c r="C66" s="38"/>
      <c r="F66">
        <f>(889+847)/2</f>
        <v>868</v>
      </c>
      <c r="G66" s="39"/>
    </row>
    <row r="67" spans="3:9" x14ac:dyDescent="0.2">
      <c r="C67" s="38"/>
      <c r="G67" s="39"/>
    </row>
    <row r="68" spans="3:9" x14ac:dyDescent="0.2">
      <c r="C68" s="38" t="s">
        <v>18</v>
      </c>
      <c r="F68" s="41">
        <f>(889-847)</f>
        <v>42</v>
      </c>
      <c r="G68" s="39"/>
    </row>
    <row r="69" spans="3:9" x14ac:dyDescent="0.2">
      <c r="C69" s="38"/>
      <c r="F69">
        <f>F66</f>
        <v>868</v>
      </c>
      <c r="G69" s="39"/>
    </row>
    <row r="70" spans="3:9" x14ac:dyDescent="0.2">
      <c r="C70" s="38"/>
      <c r="G70" s="39"/>
    </row>
    <row r="71" spans="3:9" x14ac:dyDescent="0.2">
      <c r="C71" s="38" t="s">
        <v>18</v>
      </c>
      <c r="F71" s="34">
        <f>F68/F69</f>
        <v>4.8387096774193547E-2</v>
      </c>
      <c r="G71" s="39"/>
    </row>
    <row r="72" spans="3:9" x14ac:dyDescent="0.2">
      <c r="C72" s="40"/>
      <c r="D72" s="41"/>
      <c r="E72" s="41"/>
      <c r="F72" s="41"/>
      <c r="G72" s="42"/>
    </row>
    <row r="74" spans="3:9" x14ac:dyDescent="0.2">
      <c r="C74" t="s">
        <v>32</v>
      </c>
      <c r="F74" s="41" t="s">
        <v>45</v>
      </c>
      <c r="G74" s="41"/>
      <c r="H74" s="41"/>
      <c r="I74" t="s">
        <v>46</v>
      </c>
    </row>
    <row r="75" spans="3:9" x14ac:dyDescent="0.2">
      <c r="F75" t="s">
        <v>64</v>
      </c>
    </row>
    <row r="77" spans="3:9" x14ac:dyDescent="0.2">
      <c r="C77" t="s">
        <v>47</v>
      </c>
      <c r="F77" s="48">
        <f>F71</f>
        <v>4.8387096774193547E-2</v>
      </c>
      <c r="G77" s="43">
        <f>F77/F78</f>
        <v>0.30806451612903224</v>
      </c>
    </row>
    <row r="78" spans="3:9" x14ac:dyDescent="0.2">
      <c r="F78" s="34">
        <f>F60</f>
        <v>0.15706806282722513</v>
      </c>
    </row>
    <row r="82" spans="2:9" ht="20" x14ac:dyDescent="0.25">
      <c r="B82" s="53" t="s">
        <v>17</v>
      </c>
    </row>
    <row r="83" spans="2:9" x14ac:dyDescent="0.2">
      <c r="B83" t="s">
        <v>29</v>
      </c>
    </row>
    <row r="85" spans="2:9" x14ac:dyDescent="0.2">
      <c r="B85" t="s">
        <v>65</v>
      </c>
      <c r="C85" s="35"/>
      <c r="D85" s="36"/>
      <c r="E85" s="36"/>
      <c r="F85" s="36"/>
      <c r="G85" s="37"/>
      <c r="I85" t="s">
        <v>14</v>
      </c>
    </row>
    <row r="86" spans="2:9" x14ac:dyDescent="0.2">
      <c r="C86" s="38"/>
      <c r="G86" s="39"/>
      <c r="I86" t="s">
        <v>27</v>
      </c>
    </row>
    <row r="87" spans="2:9" ht="16" thickBot="1" x14ac:dyDescent="0.25">
      <c r="C87" s="38" t="s">
        <v>60</v>
      </c>
      <c r="F87" s="33" t="s">
        <v>58</v>
      </c>
      <c r="G87" s="39" t="s">
        <v>59</v>
      </c>
      <c r="I87" t="s">
        <v>6</v>
      </c>
    </row>
    <row r="88" spans="2:9" x14ac:dyDescent="0.2">
      <c r="C88" s="38"/>
      <c r="F88">
        <f>(103+88)/2</f>
        <v>95.5</v>
      </c>
      <c r="G88" s="39"/>
    </row>
    <row r="89" spans="2:9" x14ac:dyDescent="0.2">
      <c r="C89" s="38"/>
      <c r="G89" s="39"/>
    </row>
    <row r="90" spans="2:9" x14ac:dyDescent="0.2">
      <c r="C90" s="38" t="s">
        <v>60</v>
      </c>
      <c r="F90">
        <f>103-88</f>
        <v>15</v>
      </c>
      <c r="G90" s="39"/>
    </row>
    <row r="91" spans="2:9" x14ac:dyDescent="0.2">
      <c r="C91" s="38"/>
      <c r="F91">
        <v>95.5</v>
      </c>
      <c r="G91" s="39"/>
    </row>
    <row r="92" spans="2:9" x14ac:dyDescent="0.2">
      <c r="C92" s="38"/>
      <c r="G92" s="39"/>
    </row>
    <row r="93" spans="2:9" x14ac:dyDescent="0.2">
      <c r="C93" s="38" t="s">
        <v>60</v>
      </c>
      <c r="F93" s="34">
        <f>F90/F91</f>
        <v>0.15706806282722513</v>
      </c>
      <c r="G93" s="39"/>
      <c r="I93" t="s">
        <v>62</v>
      </c>
    </row>
    <row r="94" spans="2:9" x14ac:dyDescent="0.2">
      <c r="C94" s="40"/>
      <c r="D94" s="41"/>
      <c r="E94" s="41"/>
      <c r="F94" s="41"/>
      <c r="G94" s="42"/>
      <c r="I94" t="s">
        <v>38</v>
      </c>
    </row>
    <row r="96" spans="2:9" x14ac:dyDescent="0.2">
      <c r="C96" s="35"/>
      <c r="D96" s="36"/>
      <c r="E96" s="36"/>
      <c r="F96" s="36"/>
      <c r="G96" s="37"/>
    </row>
    <row r="97" spans="3:11" x14ac:dyDescent="0.2">
      <c r="C97" s="38"/>
      <c r="G97" s="39"/>
    </row>
    <row r="98" spans="3:11" ht="16" thickBot="1" x14ac:dyDescent="0.25">
      <c r="C98" s="38" t="s">
        <v>18</v>
      </c>
      <c r="F98" s="33" t="s">
        <v>15</v>
      </c>
      <c r="G98" s="39" t="s">
        <v>59</v>
      </c>
      <c r="I98">
        <v>985</v>
      </c>
      <c r="J98">
        <v>847</v>
      </c>
      <c r="K98">
        <f>I98-J98</f>
        <v>138</v>
      </c>
    </row>
    <row r="99" spans="3:11" x14ac:dyDescent="0.2">
      <c r="C99" s="38"/>
      <c r="F99">
        <f>(985+847)/2</f>
        <v>916</v>
      </c>
      <c r="G99" s="39"/>
      <c r="I99">
        <f>(I98+J98)/2</f>
        <v>916</v>
      </c>
    </row>
    <row r="100" spans="3:11" x14ac:dyDescent="0.2">
      <c r="C100" s="38"/>
      <c r="G100" s="39"/>
    </row>
    <row r="101" spans="3:11" x14ac:dyDescent="0.2">
      <c r="C101" s="38" t="s">
        <v>18</v>
      </c>
      <c r="F101" s="41">
        <f>(985-847)</f>
        <v>138</v>
      </c>
      <c r="G101" s="39"/>
      <c r="I101">
        <f>K98/I99</f>
        <v>0.15065502183406113</v>
      </c>
    </row>
    <row r="102" spans="3:11" x14ac:dyDescent="0.2">
      <c r="C102" s="38"/>
      <c r="F102">
        <f>F99</f>
        <v>916</v>
      </c>
      <c r="G102" s="39"/>
    </row>
    <row r="103" spans="3:11" x14ac:dyDescent="0.2">
      <c r="C103" s="38"/>
      <c r="G103" s="39"/>
    </row>
    <row r="104" spans="3:11" x14ac:dyDescent="0.2">
      <c r="C104" s="38" t="s">
        <v>18</v>
      </c>
      <c r="F104" s="34">
        <f>F101/F102</f>
        <v>0.15065502183406113</v>
      </c>
      <c r="G104" s="39"/>
    </row>
    <row r="105" spans="3:11" x14ac:dyDescent="0.2">
      <c r="C105" s="40"/>
      <c r="D105" s="41"/>
      <c r="E105" s="41"/>
      <c r="F105" s="41"/>
      <c r="G105" s="42"/>
    </row>
    <row r="107" spans="3:11" x14ac:dyDescent="0.2">
      <c r="C107" t="s">
        <v>32</v>
      </c>
      <c r="F107" s="41" t="s">
        <v>45</v>
      </c>
      <c r="G107" s="41"/>
      <c r="H107" s="41"/>
      <c r="I107" t="s">
        <v>46</v>
      </c>
    </row>
    <row r="108" spans="3:11" x14ac:dyDescent="0.2">
      <c r="F108" t="s">
        <v>64</v>
      </c>
    </row>
    <row r="110" spans="3:11" x14ac:dyDescent="0.2">
      <c r="C110" t="s">
        <v>47</v>
      </c>
      <c r="F110" s="48">
        <f>F104</f>
        <v>0.15065502183406113</v>
      </c>
      <c r="G110" s="43">
        <f>F110/F111</f>
        <v>0.95917030567685579</v>
      </c>
    </row>
    <row r="111" spans="3:11" x14ac:dyDescent="0.2">
      <c r="F111" s="34">
        <f>F93</f>
        <v>0.15706806282722513</v>
      </c>
    </row>
    <row r="113" spans="2:9" ht="20" x14ac:dyDescent="0.25">
      <c r="B113" s="54" t="s">
        <v>7</v>
      </c>
    </row>
    <row r="114" spans="2:9" x14ac:dyDescent="0.2">
      <c r="B114" t="s">
        <v>30</v>
      </c>
    </row>
    <row r="116" spans="2:9" x14ac:dyDescent="0.2">
      <c r="B116" t="s">
        <v>4</v>
      </c>
      <c r="C116" s="35"/>
      <c r="D116" s="36"/>
      <c r="E116" s="36"/>
      <c r="F116" s="36"/>
      <c r="G116" s="37"/>
      <c r="I116" t="s">
        <v>44</v>
      </c>
    </row>
    <row r="117" spans="2:9" x14ac:dyDescent="0.2">
      <c r="C117" s="38"/>
      <c r="G117" s="39"/>
      <c r="I117" t="s">
        <v>27</v>
      </c>
    </row>
    <row r="118" spans="2:9" ht="16" thickBot="1" x14ac:dyDescent="0.25">
      <c r="C118" s="38" t="s">
        <v>60</v>
      </c>
      <c r="F118" s="33" t="s">
        <v>58</v>
      </c>
      <c r="G118" s="39" t="s">
        <v>59</v>
      </c>
      <c r="I118" t="s">
        <v>43</v>
      </c>
    </row>
    <row r="119" spans="2:9" x14ac:dyDescent="0.2">
      <c r="C119" s="38"/>
      <c r="F119">
        <f>(103+88)/2</f>
        <v>95.5</v>
      </c>
      <c r="G119" s="39"/>
    </row>
    <row r="120" spans="2:9" x14ac:dyDescent="0.2">
      <c r="C120" s="38"/>
      <c r="G120" s="39"/>
    </row>
    <row r="121" spans="2:9" x14ac:dyDescent="0.2">
      <c r="C121" s="38" t="s">
        <v>60</v>
      </c>
      <c r="F121">
        <f>103-88</f>
        <v>15</v>
      </c>
      <c r="G121" s="39"/>
    </row>
    <row r="122" spans="2:9" x14ac:dyDescent="0.2">
      <c r="C122" s="38"/>
      <c r="F122">
        <v>95.5</v>
      </c>
      <c r="G122" s="39"/>
    </row>
    <row r="123" spans="2:9" x14ac:dyDescent="0.2">
      <c r="C123" s="38"/>
      <c r="G123" s="39"/>
    </row>
    <row r="124" spans="2:9" x14ac:dyDescent="0.2">
      <c r="C124" s="38" t="s">
        <v>60</v>
      </c>
      <c r="F124" s="34">
        <f>F121/F122</f>
        <v>0.15706806282722513</v>
      </c>
      <c r="G124" s="39"/>
      <c r="I124" t="s">
        <v>62</v>
      </c>
    </row>
    <row r="125" spans="2:9" x14ac:dyDescent="0.2">
      <c r="C125" s="40"/>
      <c r="D125" s="41"/>
      <c r="E125" s="41"/>
      <c r="F125" s="41"/>
      <c r="G125" s="42"/>
      <c r="I125" t="s">
        <v>38</v>
      </c>
    </row>
    <row r="127" spans="2:9" x14ac:dyDescent="0.2">
      <c r="C127" s="35"/>
      <c r="D127" s="36"/>
      <c r="E127" s="36"/>
      <c r="F127" s="36"/>
      <c r="G127" s="37"/>
    </row>
    <row r="128" spans="2:9" x14ac:dyDescent="0.2">
      <c r="C128" s="38"/>
      <c r="G128" s="39"/>
    </row>
    <row r="129" spans="2:9" ht="16" thickBot="1" x14ac:dyDescent="0.25">
      <c r="C129" s="38" t="s">
        <v>18</v>
      </c>
      <c r="F129" s="33" t="s">
        <v>25</v>
      </c>
      <c r="G129" s="39" t="s">
        <v>59</v>
      </c>
    </row>
    <row r="130" spans="2:9" x14ac:dyDescent="0.2">
      <c r="C130" s="38"/>
      <c r="F130">
        <f>(1000+847)/2</f>
        <v>923.5</v>
      </c>
      <c r="G130" s="39"/>
    </row>
    <row r="131" spans="2:9" x14ac:dyDescent="0.2">
      <c r="C131" s="38"/>
      <c r="G131" s="39"/>
    </row>
    <row r="132" spans="2:9" x14ac:dyDescent="0.2">
      <c r="C132" s="38" t="s">
        <v>18</v>
      </c>
      <c r="F132" s="41">
        <f>(1000-847)</f>
        <v>153</v>
      </c>
      <c r="G132" s="39"/>
    </row>
    <row r="133" spans="2:9" x14ac:dyDescent="0.2">
      <c r="C133" s="38"/>
      <c r="F133">
        <f>F130</f>
        <v>923.5</v>
      </c>
      <c r="G133" s="39"/>
    </row>
    <row r="134" spans="2:9" x14ac:dyDescent="0.2">
      <c r="C134" s="38"/>
      <c r="G134" s="39"/>
    </row>
    <row r="135" spans="2:9" x14ac:dyDescent="0.2">
      <c r="C135" s="38" t="s">
        <v>18</v>
      </c>
      <c r="F135" s="34">
        <f>F132/F133</f>
        <v>0.16567406605305901</v>
      </c>
      <c r="G135" s="39"/>
    </row>
    <row r="136" spans="2:9" x14ac:dyDescent="0.2">
      <c r="C136" s="40"/>
      <c r="D136" s="41"/>
      <c r="E136" s="41"/>
      <c r="F136" s="41"/>
      <c r="G136" s="42"/>
    </row>
    <row r="138" spans="2:9" x14ac:dyDescent="0.2">
      <c r="C138" t="s">
        <v>32</v>
      </c>
      <c r="F138" s="41" t="s">
        <v>45</v>
      </c>
      <c r="G138" s="41"/>
      <c r="H138" s="41"/>
      <c r="I138" t="s">
        <v>46</v>
      </c>
    </row>
    <row r="139" spans="2:9" x14ac:dyDescent="0.2">
      <c r="F139" t="s">
        <v>64</v>
      </c>
    </row>
    <row r="141" spans="2:9" x14ac:dyDescent="0.2">
      <c r="C141" t="s">
        <v>47</v>
      </c>
      <c r="F141" s="48">
        <f>F135</f>
        <v>0.16567406605305901</v>
      </c>
      <c r="G141" s="43">
        <f>F141/F142</f>
        <v>1.0547915538711423</v>
      </c>
    </row>
    <row r="142" spans="2:9" x14ac:dyDescent="0.2">
      <c r="F142" s="34">
        <f>F124</f>
        <v>0.15706806282722513</v>
      </c>
    </row>
    <row r="143" spans="2:9" x14ac:dyDescent="0.2">
      <c r="B143" t="s">
        <v>63</v>
      </c>
    </row>
    <row r="144" spans="2:9" ht="96" x14ac:dyDescent="0.2">
      <c r="B144" s="51" t="s">
        <v>19</v>
      </c>
    </row>
  </sheetData>
  <phoneticPr fontId="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CARNES,PESCADOS Y MARISCOS</vt:lpstr>
      <vt:lpstr>PRUEBAS DE RENDIMIENTO</vt:lpstr>
      <vt:lpstr>arrachera</vt:lpstr>
      <vt:lpstr>pechuga a la plancha</vt:lpstr>
      <vt:lpstr>elasticidad de la oferta</vt:lpstr>
    </vt:vector>
  </TitlesOfParts>
  <Company>powerpeople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rivera</dc:creator>
  <cp:lastModifiedBy>Microsoft Office User</cp:lastModifiedBy>
  <dcterms:created xsi:type="dcterms:W3CDTF">2013-06-06T04:01:21Z</dcterms:created>
  <dcterms:modified xsi:type="dcterms:W3CDTF">2021-04-28T23:33:10Z</dcterms:modified>
</cp:coreProperties>
</file>