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backupFile="1"/>
  <mc:AlternateContent xmlns:mc="http://schemas.openxmlformats.org/markup-compatibility/2006">
    <mc:Choice Requires="x15">
      <x15ac:absPath xmlns:x15ac="http://schemas.microsoft.com/office/spreadsheetml/2010/11/ac" url="C:\Users\Public.PILOTSCHOICE\Documents\"/>
    </mc:Choice>
  </mc:AlternateContent>
  <xr:revisionPtr revIDLastSave="0" documentId="13_ncr:1_{8DEB91A1-31F4-49D0-BC95-B9381ECFA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eight and Balance" sheetId="4" r:id="rId1"/>
    <sheet name="Data" sheetId="1" r:id="rId2"/>
    <sheet name="Sheet1" sheetId="5" r:id="rId3"/>
  </sheets>
  <definedNames>
    <definedName name="AC_LIST">Data!$A$5:$A$24</definedName>
    <definedName name="data">Data!$A$4:$R$24</definedName>
    <definedName name="_xlnm.Print_Area" localSheetId="1">Data!$A$4:$O$24</definedName>
    <definedName name="_xlnm.Print_Area" localSheetId="0">'Weight and Balance'!$A$6:$D$48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M8" i="1"/>
  <c r="M6" i="1"/>
  <c r="M7" i="1"/>
  <c r="M9" i="1"/>
  <c r="M10" i="1"/>
  <c r="M13" i="1"/>
  <c r="M14" i="1"/>
  <c r="M19" i="1"/>
  <c r="M20" i="1"/>
  <c r="M24" i="1"/>
  <c r="M22" i="1"/>
  <c r="M23" i="1"/>
  <c r="M18" i="1"/>
  <c r="M16" i="1"/>
  <c r="M21" i="1"/>
  <c r="M17" i="1"/>
  <c r="C23" i="4"/>
  <c r="D23" i="4" s="1"/>
  <c r="B11" i="4"/>
  <c r="B29" i="4"/>
  <c r="D11" i="4"/>
  <c r="B18" i="4" l="1"/>
  <c r="B22" i="4" s="1"/>
  <c r="A6" i="4"/>
  <c r="C12" i="4"/>
  <c r="D12" i="4" s="1"/>
  <c r="C13" i="4"/>
  <c r="D13" i="4" s="1"/>
  <c r="C14" i="4"/>
  <c r="D14" i="4" s="1"/>
  <c r="C15" i="4"/>
  <c r="D15" i="4" s="1"/>
  <c r="C16" i="4"/>
  <c r="D16" i="4" s="1"/>
  <c r="C20" i="4"/>
  <c r="D20" i="4" s="1"/>
  <c r="A25" i="4"/>
  <c r="G33" i="4"/>
  <c r="H33" i="4"/>
  <c r="B36" i="4"/>
  <c r="B38" i="4"/>
  <c r="A40" i="4"/>
  <c r="A41" i="4"/>
  <c r="A42" i="4"/>
  <c r="B25" i="4" l="1"/>
  <c r="B27" i="4" s="1"/>
  <c r="D18" i="4"/>
  <c r="C19" i="4" s="1"/>
  <c r="D22" i="4" l="1"/>
  <c r="D25" i="4" s="1"/>
  <c r="B33" i="4" l="1"/>
  <c r="C33" i="4" s="1"/>
  <c r="C2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Pilot's Choice</author>
  </authors>
  <commentList>
    <comment ref="D6" authorId="0" shapeId="0" xr:uid="{00000000-0006-0000-0000-000001000000}">
      <text>
        <r>
          <rPr>
            <b/>
            <sz val="8"/>
            <color indexed="81"/>
            <rFont val="Tahoma"/>
          </rPr>
          <t>Select your Aircraft.</t>
        </r>
        <r>
          <rPr>
            <sz val="8"/>
            <color indexed="81"/>
            <rFont val="Tahoma"/>
          </rPr>
          <t xml:space="preserve">
</t>
        </r>
      </text>
    </comment>
    <comment ref="B20" authorId="0" shapeId="0" xr:uid="{00000000-0006-0000-0000-000002000000}">
      <text>
        <r>
          <rPr>
            <b/>
            <sz val="8"/>
            <color indexed="81"/>
            <rFont val="Tahoma"/>
          </rPr>
          <t>Enter lbs. Not gallons! (6 lbs./gal)</t>
        </r>
      </text>
    </comment>
  </commentList>
</comments>
</file>

<file path=xl/sharedStrings.xml><?xml version="1.0" encoding="utf-8"?>
<sst xmlns="http://schemas.openxmlformats.org/spreadsheetml/2006/main" count="98" uniqueCount="80">
  <si>
    <t>Basic Empty Weight</t>
  </si>
  <si>
    <t>Pilot/ Front Passenger</t>
  </si>
  <si>
    <t>Passengers (Rear Seats)</t>
  </si>
  <si>
    <t>N2446N</t>
  </si>
  <si>
    <t>N9451T</t>
  </si>
  <si>
    <t>N38CT</t>
  </si>
  <si>
    <t>N43954</t>
  </si>
  <si>
    <t>N3733G</t>
  </si>
  <si>
    <t>N6001Y</t>
  </si>
  <si>
    <t>Front_Seats</t>
  </si>
  <si>
    <t>Max_TO_Weight</t>
  </si>
  <si>
    <t>FwdCG_Limit</t>
  </si>
  <si>
    <t>AftCG_Limit</t>
  </si>
  <si>
    <t>AC_Moment</t>
  </si>
  <si>
    <t>Basic_Empty</t>
  </si>
  <si>
    <t>Rear_Seats1</t>
  </si>
  <si>
    <t>Rear_Seats2</t>
  </si>
  <si>
    <t>Fuel</t>
  </si>
  <si>
    <t>Baggage1</t>
  </si>
  <si>
    <t>Baggage2</t>
  </si>
  <si>
    <t>Tail_Number</t>
  </si>
  <si>
    <t>Arm Aft</t>
  </si>
  <si>
    <t>Weight</t>
  </si>
  <si>
    <t>Datum</t>
  </si>
  <si>
    <t>Moment/1000</t>
  </si>
  <si>
    <t>(Lbs.)</t>
  </si>
  <si>
    <t>(Inches)</t>
  </si>
  <si>
    <t>(In-Lbs)</t>
  </si>
  <si>
    <t>Fuel Allowance for Start,Taxi, Run Up</t>
  </si>
  <si>
    <t>Weight X Arm = Moment</t>
  </si>
  <si>
    <t>Totals must be within the approved weight &amp; C.G. Limits.  It is your responsibility as the</t>
  </si>
  <si>
    <t>pilot to insure that the airplane is loaded properly.  Please check the FAA approved</t>
  </si>
  <si>
    <t>Pilot's Operationg Handbook to check and make sure this is the most current Basic</t>
  </si>
  <si>
    <t>Empty Weight &amp; Moment.  This is based on the NORMAL CATEGORY, you will need to</t>
  </si>
  <si>
    <t>refer to the POH for Utility Category.</t>
  </si>
  <si>
    <t>Passengers (Middle/Fwd Rear)</t>
  </si>
  <si>
    <t>Baggage (Rear)</t>
  </si>
  <si>
    <t>Baggage (Forward)</t>
  </si>
  <si>
    <t>Useful Load</t>
  </si>
  <si>
    <t>AC Type</t>
  </si>
  <si>
    <t>PA38-112</t>
  </si>
  <si>
    <t>PA28-161</t>
  </si>
  <si>
    <t>PA28-181</t>
  </si>
  <si>
    <t>BE-76</t>
  </si>
  <si>
    <t>* Table MUST be sorted by tail number to work properly!!!</t>
  </si>
  <si>
    <t>Notes_1</t>
  </si>
  <si>
    <t>Notes_2</t>
  </si>
  <si>
    <t>Notes_3</t>
  </si>
  <si>
    <t>Ramp Weight</t>
  </si>
  <si>
    <t>Center of Gravity Inch Limit</t>
  </si>
  <si>
    <t xml:space="preserve">          ( Weight)     *1000</t>
  </si>
  <si>
    <r>
      <t>CG =    (</t>
    </r>
    <r>
      <rPr>
        <u/>
        <sz val="14"/>
        <rFont val="Arial"/>
        <family val="2"/>
      </rPr>
      <t>Total Moment)</t>
    </r>
  </si>
  <si>
    <t>Max Gross Weight</t>
  </si>
  <si>
    <t>Step 3: All calculations should complete instantaneously.</t>
  </si>
  <si>
    <t>Fuel (enter total lbs.)</t>
  </si>
  <si>
    <t>Taxi_Fuel (GAL)</t>
  </si>
  <si>
    <t>Step 1: Select your Tail Number using the drop down menu (Cell D6).</t>
  </si>
  <si>
    <t>Select Aircraft</t>
  </si>
  <si>
    <t>---&gt;</t>
  </si>
  <si>
    <t>N2462C</t>
  </si>
  <si>
    <t>N4308K</t>
  </si>
  <si>
    <t>Front Seat Arm - 104 in Forward Position, 112 in Aft Position</t>
  </si>
  <si>
    <t>Zero Fuel Weight</t>
  </si>
  <si>
    <t>Forward C.G. Limit - 106.6 in when G.W. under 3250 lbs</t>
  </si>
  <si>
    <t>Zero Fuel C.G.</t>
  </si>
  <si>
    <t>Maximum Zero Fuel Weight - 3500 lb,  Maximum Baggage Weight - 200 lb</t>
  </si>
  <si>
    <t xml:space="preserve">  </t>
  </si>
  <si>
    <t>N81891</t>
  </si>
  <si>
    <t>N82554</t>
  </si>
  <si>
    <t>N5231K</t>
  </si>
  <si>
    <t xml:space="preserve">     </t>
  </si>
  <si>
    <t>N2822S</t>
  </si>
  <si>
    <t>N4507N</t>
  </si>
  <si>
    <t>N9411T</t>
  </si>
  <si>
    <t>N30126</t>
  </si>
  <si>
    <t>N</t>
  </si>
  <si>
    <r>
      <t>Step 2: Enter weights (in lbs.) into the</t>
    </r>
    <r>
      <rPr>
        <b/>
        <sz val="12"/>
        <rFont val="Arial"/>
        <family val="2"/>
      </rPr>
      <t xml:space="preserve"> </t>
    </r>
    <r>
      <rPr>
        <b/>
        <u/>
        <sz val="12"/>
        <rFont val="Arial"/>
        <family val="2"/>
      </rPr>
      <t>Yellow shaded</t>
    </r>
    <r>
      <rPr>
        <sz val="12"/>
        <rFont val="Arial"/>
        <family val="2"/>
      </rPr>
      <t xml:space="preserve"> boxes.</t>
    </r>
  </si>
  <si>
    <r>
      <t>Instructions:</t>
    </r>
    <r>
      <rPr>
        <sz val="12"/>
        <rFont val="Arial"/>
        <family val="2"/>
      </rPr>
      <t xml:space="preserve"> Data can only be entered in the </t>
    </r>
    <r>
      <rPr>
        <b/>
        <u/>
        <sz val="12"/>
        <rFont val="Arial"/>
        <family val="2"/>
      </rPr>
      <t>yellow shaded</t>
    </r>
    <r>
      <rPr>
        <sz val="12"/>
        <rFont val="Arial"/>
        <family val="2"/>
      </rPr>
      <t xml:space="preserve"> boxes.</t>
    </r>
  </si>
  <si>
    <t>N2516B</t>
  </si>
  <si>
    <t>N956RW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</si>
</sst>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"/>
    <numFmt numFmtId="166" formatCode="0.000"/>
    <numFmt numFmtId="167" formatCode="_(* #,##0_);_(* \(#,##0\);_(* &quot;-&quot;??_);_(@_)"/>
  </numFmts>
  <fonts count="21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u/>
      <sz val="14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u val="double"/>
      <sz val="14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4"/>
      <color indexed="9"/>
      <name val="Arial"/>
      <family val="2"/>
    </font>
    <font>
      <sz val="10"/>
      <color indexed="9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gray0625">
        <bgColor rgb="FFFFFF99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4" fillId="0" borderId="0" xfId="0" applyFont="1"/>
    <xf numFmtId="164" fontId="4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0" fontId="9" fillId="0" borderId="0" xfId="0" applyFont="1"/>
    <xf numFmtId="0" fontId="5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165" fontId="2" fillId="0" borderId="10" xfId="0" applyNumberFormat="1" applyFont="1" applyBorder="1" applyAlignment="1">
      <alignment horizontal="center"/>
    </xf>
    <xf numFmtId="0" fontId="2" fillId="0" borderId="11" xfId="0" applyFont="1" applyBorder="1"/>
    <xf numFmtId="165" fontId="2" fillId="0" borderId="12" xfId="0" applyNumberFormat="1" applyFont="1" applyBorder="1" applyAlignment="1">
      <alignment horizontal="center"/>
    </xf>
    <xf numFmtId="0" fontId="3" fillId="0" borderId="11" xfId="0" applyFont="1" applyBorder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12" xfId="0" applyNumberFormat="1" applyFont="1" applyBorder="1" applyAlignment="1">
      <alignment horizontal="right"/>
    </xf>
    <xf numFmtId="166" fontId="2" fillId="0" borderId="13" xfId="0" applyNumberFormat="1" applyFont="1" applyBorder="1" applyAlignment="1">
      <alignment horizontal="right"/>
    </xf>
    <xf numFmtId="166" fontId="2" fillId="0" borderId="14" xfId="0" applyNumberFormat="1" applyFont="1" applyBorder="1" applyAlignment="1">
      <alignment horizontal="right"/>
    </xf>
    <xf numFmtId="0" fontId="12" fillId="2" borderId="11" xfId="0" applyFont="1" applyFill="1" applyBorder="1"/>
    <xf numFmtId="165" fontId="12" fillId="2" borderId="12" xfId="0" applyNumberFormat="1" applyFont="1" applyFill="1" applyBorder="1" applyAlignment="1">
      <alignment horizontal="right"/>
    </xf>
    <xf numFmtId="166" fontId="12" fillId="2" borderId="14" xfId="0" applyNumberFormat="1" applyFont="1" applyFill="1" applyBorder="1" applyAlignment="1">
      <alignment horizontal="right"/>
    </xf>
    <xf numFmtId="166" fontId="14" fillId="0" borderId="14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165" fontId="11" fillId="0" borderId="0" xfId="0" applyNumberFormat="1" applyFont="1" applyAlignment="1">
      <alignment horizontal="left"/>
    </xf>
    <xf numFmtId="0" fontId="7" fillId="0" borderId="2" xfId="0" applyFont="1" applyBorder="1"/>
    <xf numFmtId="0" fontId="7" fillId="0" borderId="1" xfId="0" applyFont="1" applyBorder="1"/>
    <xf numFmtId="0" fontId="7" fillId="0" borderId="15" xfId="0" applyFont="1" applyBorder="1"/>
    <xf numFmtId="0" fontId="7" fillId="0" borderId="4" xfId="0" applyFont="1" applyBorder="1"/>
    <xf numFmtId="0" fontId="7" fillId="0" borderId="0" xfId="0" applyFont="1"/>
    <xf numFmtId="0" fontId="7" fillId="0" borderId="16" xfId="0" applyFont="1" applyBorder="1"/>
    <xf numFmtId="0" fontId="8" fillId="0" borderId="0" xfId="0" applyFont="1"/>
    <xf numFmtId="0" fontId="8" fillId="0" borderId="16" xfId="0" applyFont="1" applyBorder="1"/>
    <xf numFmtId="0" fontId="7" fillId="0" borderId="10" xfId="0" applyFont="1" applyBorder="1"/>
    <xf numFmtId="0" fontId="0" fillId="0" borderId="9" xfId="0" applyBorder="1"/>
    <xf numFmtId="0" fontId="0" fillId="0" borderId="17" xfId="0" applyBorder="1"/>
    <xf numFmtId="0" fontId="10" fillId="0" borderId="0" xfId="0" applyFont="1"/>
    <xf numFmtId="164" fontId="2" fillId="0" borderId="10" xfId="0" applyNumberFormat="1" applyFont="1" applyBorder="1" applyAlignment="1">
      <alignment horizontal="right"/>
    </xf>
    <xf numFmtId="164" fontId="2" fillId="3" borderId="12" xfId="0" applyNumberFormat="1" applyFont="1" applyFill="1" applyBorder="1" applyAlignment="1" applyProtection="1">
      <alignment horizontal="right"/>
      <protection locked="0"/>
    </xf>
    <xf numFmtId="164" fontId="13" fillId="2" borderId="0" xfId="0" applyNumberFormat="1" applyFont="1" applyFill="1"/>
    <xf numFmtId="164" fontId="2" fillId="0" borderId="12" xfId="0" applyNumberFormat="1" applyFont="1" applyBorder="1" applyAlignment="1">
      <alignment horizontal="right"/>
    </xf>
    <xf numFmtId="164" fontId="14" fillId="0" borderId="14" xfId="0" applyNumberFormat="1" applyFont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4" fillId="0" borderId="18" xfId="0" applyFont="1" applyBorder="1"/>
    <xf numFmtId="164" fontId="4" fillId="0" borderId="19" xfId="0" applyNumberFormat="1" applyFont="1" applyBorder="1" applyAlignment="1">
      <alignment horizontal="right"/>
    </xf>
    <xf numFmtId="4" fontId="4" fillId="0" borderId="19" xfId="0" applyNumberFormat="1" applyFont="1" applyBorder="1" applyAlignment="1">
      <alignment horizontal="right"/>
    </xf>
    <xf numFmtId="3" fontId="4" fillId="0" borderId="19" xfId="0" applyNumberFormat="1" applyFont="1" applyBorder="1" applyAlignment="1">
      <alignment horizontal="right"/>
    </xf>
    <xf numFmtId="164" fontId="4" fillId="0" borderId="19" xfId="0" applyNumberFormat="1" applyFont="1" applyBorder="1"/>
    <xf numFmtId="0" fontId="4" fillId="0" borderId="19" xfId="0" applyFont="1" applyBorder="1"/>
    <xf numFmtId="0" fontId="4" fillId="0" borderId="19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164" fontId="4" fillId="0" borderId="6" xfId="0" applyNumberFormat="1" applyFont="1" applyBorder="1"/>
    <xf numFmtId="4" fontId="4" fillId="0" borderId="6" xfId="0" applyNumberFormat="1" applyFont="1" applyBorder="1"/>
    <xf numFmtId="3" fontId="4" fillId="0" borderId="6" xfId="0" applyNumberFormat="1" applyFont="1" applyBorder="1"/>
    <xf numFmtId="0" fontId="4" fillId="0" borderId="6" xfId="0" applyFont="1" applyBorder="1"/>
    <xf numFmtId="0" fontId="4" fillId="0" borderId="24" xfId="0" applyFont="1" applyBorder="1"/>
    <xf numFmtId="165" fontId="2" fillId="4" borderId="14" xfId="0" applyNumberFormat="1" applyFont="1" applyFill="1" applyBorder="1"/>
    <xf numFmtId="0" fontId="19" fillId="0" borderId="0" xfId="0" applyFont="1"/>
    <xf numFmtId="167" fontId="2" fillId="0" borderId="0" xfId="1" applyNumberFormat="1" applyFont="1" applyProtection="1"/>
    <xf numFmtId="3" fontId="2" fillId="0" borderId="0" xfId="0" applyNumberFormat="1" applyFont="1"/>
    <xf numFmtId="0" fontId="4" fillId="0" borderId="22" xfId="0" applyFont="1" applyBorder="1" applyAlignment="1">
      <alignment horizontal="right"/>
    </xf>
    <xf numFmtId="0" fontId="5" fillId="5" borderId="14" xfId="0" applyFont="1" applyFill="1" applyBorder="1" applyProtection="1">
      <protection locked="0"/>
    </xf>
    <xf numFmtId="0" fontId="2" fillId="6" borderId="11" xfId="0" applyFont="1" applyFill="1" applyBorder="1"/>
    <xf numFmtId="165" fontId="2" fillId="6" borderId="12" xfId="0" applyNumberFormat="1" applyFont="1" applyFill="1" applyBorder="1" applyAlignment="1">
      <alignment horizontal="right"/>
    </xf>
    <xf numFmtId="166" fontId="2" fillId="6" borderId="14" xfId="0" applyNumberFormat="1" applyFont="1" applyFill="1" applyBorder="1" applyAlignment="1">
      <alignment horizontal="right"/>
    </xf>
    <xf numFmtId="164" fontId="2" fillId="6" borderId="12" xfId="0" applyNumberFormat="1" applyFont="1" applyFill="1" applyBorder="1" applyAlignment="1" applyProtection="1">
      <alignment horizontal="right"/>
      <protection locked="0"/>
    </xf>
    <xf numFmtId="0" fontId="3" fillId="6" borderId="0" xfId="0" applyFont="1" applyFill="1"/>
    <xf numFmtId="164" fontId="2" fillId="6" borderId="12" xfId="0" applyNumberFormat="1" applyFont="1" applyFill="1" applyBorder="1" applyAlignment="1">
      <alignment horizontal="right"/>
    </xf>
    <xf numFmtId="164" fontId="2" fillId="3" borderId="12" xfId="0" applyNumberFormat="1" applyFont="1" applyFill="1" applyBorder="1" applyAlignment="1">
      <alignment horizontal="right"/>
    </xf>
    <xf numFmtId="164" fontId="2" fillId="7" borderId="12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quotePrefix="1" applyFont="1"/>
    <xf numFmtId="0" fontId="4" fillId="0" borderId="0" xfId="0" applyFont="1" applyAlignment="1">
      <alignment horizontal="right"/>
    </xf>
    <xf numFmtId="0" fontId="11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24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4">
    <dxf>
      <fill>
        <patternFill>
          <bgColor rgb="FF1CEC1C"/>
        </patternFill>
      </fill>
    </dxf>
    <dxf>
      <fill>
        <patternFill>
          <bgColor rgb="FFFF000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1CEC1C"/>
      <color rgb="FF00E2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showGridLines="0" tabSelected="1" zoomScale="75" zoomScaleNormal="75" workbookViewId="0">
      <selection activeCell="B21" sqref="B21"/>
    </sheetView>
  </sheetViews>
  <sheetFormatPr defaultRowHeight="12.75" x14ac:dyDescent="0.2"/>
  <cols>
    <col min="1" max="1" width="38.28515625" customWidth="1"/>
    <col min="2" max="2" width="16.85546875" customWidth="1"/>
    <col min="3" max="3" width="13" customWidth="1"/>
    <col min="4" max="4" width="22.28515625" customWidth="1"/>
  </cols>
  <sheetData>
    <row r="1" spans="1:9" ht="19.5" customHeight="1" x14ac:dyDescent="0.25">
      <c r="A1" s="87" t="s">
        <v>77</v>
      </c>
      <c r="B1" s="88"/>
      <c r="C1" s="88"/>
      <c r="D1" s="89"/>
    </row>
    <row r="2" spans="1:9" ht="15" customHeight="1" x14ac:dyDescent="0.2">
      <c r="A2" s="90" t="s">
        <v>56</v>
      </c>
      <c r="B2" s="91"/>
      <c r="C2" s="91"/>
      <c r="D2" s="92"/>
    </row>
    <row r="3" spans="1:9" ht="18" customHeight="1" x14ac:dyDescent="0.25">
      <c r="A3" s="90" t="s">
        <v>76</v>
      </c>
      <c r="B3" s="91"/>
      <c r="C3" s="91"/>
      <c r="D3" s="92"/>
    </row>
    <row r="4" spans="1:9" ht="15.75" customHeight="1" thickBot="1" x14ac:dyDescent="0.25">
      <c r="A4" s="93" t="s">
        <v>53</v>
      </c>
      <c r="B4" s="94"/>
      <c r="C4" s="94"/>
      <c r="D4" s="95"/>
    </row>
    <row r="6" spans="1:9" ht="20.25" x14ac:dyDescent="0.3">
      <c r="A6" s="6" t="str">
        <f>"       Weight &amp; Balance for       "&amp; VLOOKUP(D6,data,14,FALSE)</f>
        <v xml:space="preserve">       Weight &amp; Balance for       PA28-181</v>
      </c>
      <c r="D6" s="73" t="s">
        <v>69</v>
      </c>
    </row>
    <row r="7" spans="1:9" ht="18" x14ac:dyDescent="0.25">
      <c r="A7" s="7"/>
      <c r="B7" s="7"/>
      <c r="C7" s="7"/>
      <c r="D7" s="7"/>
    </row>
    <row r="8" spans="1:9" ht="18" x14ac:dyDescent="0.25">
      <c r="A8" s="8"/>
      <c r="B8" s="9"/>
      <c r="C8" s="10" t="s">
        <v>21</v>
      </c>
      <c r="D8" s="11"/>
    </row>
    <row r="9" spans="1:9" ht="18" x14ac:dyDescent="0.25">
      <c r="A9" s="7"/>
      <c r="B9" s="12" t="s">
        <v>22</v>
      </c>
      <c r="C9" s="12" t="s">
        <v>23</v>
      </c>
      <c r="D9" s="13" t="s">
        <v>24</v>
      </c>
      <c r="I9" t="s">
        <v>66</v>
      </c>
    </row>
    <row r="10" spans="1:9" ht="18.75" thickBot="1" x14ac:dyDescent="0.3">
      <c r="A10" s="14"/>
      <c r="B10" s="15" t="s">
        <v>25</v>
      </c>
      <c r="C10" s="15" t="s">
        <v>26</v>
      </c>
      <c r="D10" s="16" t="s">
        <v>27</v>
      </c>
    </row>
    <row r="11" spans="1:9" ht="18" x14ac:dyDescent="0.25">
      <c r="A11" s="17" t="s">
        <v>0</v>
      </c>
      <c r="B11" s="45">
        <f>VLOOKUP($D$6,data,2,FALSE)</f>
        <v>1632</v>
      </c>
      <c r="C11" s="18"/>
      <c r="D11" s="25">
        <f>VLOOKUP($D$6,data,3,FALSE)</f>
        <v>144.53</v>
      </c>
    </row>
    <row r="12" spans="1:9" ht="18" x14ac:dyDescent="0.25">
      <c r="A12" s="19" t="s">
        <v>1</v>
      </c>
      <c r="B12" s="81">
        <v>375</v>
      </c>
      <c r="C12" s="24">
        <f>VLOOKUP($D$6,data,7,FALSE)</f>
        <v>80.5</v>
      </c>
      <c r="D12" s="26">
        <f>(B12*C12)/1000</f>
        <v>30.1875</v>
      </c>
    </row>
    <row r="13" spans="1:9" ht="18" x14ac:dyDescent="0.25">
      <c r="A13" s="19" t="s">
        <v>35</v>
      </c>
      <c r="B13" s="81"/>
      <c r="C13" s="24">
        <f>VLOOKUP($D$6,data,8,FALSE)</f>
        <v>0</v>
      </c>
      <c r="D13" s="26">
        <f>(B13*C13)/1000</f>
        <v>0</v>
      </c>
    </row>
    <row r="14" spans="1:9" ht="18" x14ac:dyDescent="0.25">
      <c r="A14" s="19" t="s">
        <v>2</v>
      </c>
      <c r="B14" s="81">
        <v>10</v>
      </c>
      <c r="C14" s="24">
        <f>VLOOKUP($D$6,data,9,FALSE)</f>
        <v>118.1</v>
      </c>
      <c r="D14" s="26">
        <f>(B14*C14)/1000</f>
        <v>1.181</v>
      </c>
    </row>
    <row r="15" spans="1:9" ht="18" x14ac:dyDescent="0.25">
      <c r="A15" s="19" t="s">
        <v>37</v>
      </c>
      <c r="B15" s="46">
        <v>0</v>
      </c>
      <c r="C15" s="24">
        <f>VLOOKUP($D$6,data,11,FALSE)</f>
        <v>142.80000000000001</v>
      </c>
      <c r="D15" s="26">
        <f>(B15*C15)/1000</f>
        <v>0</v>
      </c>
    </row>
    <row r="16" spans="1:9" ht="18" x14ac:dyDescent="0.25">
      <c r="A16" s="19" t="s">
        <v>36</v>
      </c>
      <c r="B16" s="81">
        <v>0</v>
      </c>
      <c r="C16" s="24">
        <f>VLOOKUP($D$6,data,12,FALSE)</f>
        <v>0</v>
      </c>
      <c r="D16" s="26">
        <f>(B16*C16)/1000</f>
        <v>0</v>
      </c>
    </row>
    <row r="17" spans="1:4" ht="2.25" customHeight="1" x14ac:dyDescent="0.25">
      <c r="A17" s="74"/>
      <c r="B17" s="77" t="s">
        <v>70</v>
      </c>
      <c r="C17" s="75"/>
      <c r="D17" s="76"/>
    </row>
    <row r="18" spans="1:4" ht="18" x14ac:dyDescent="0.25">
      <c r="A18" s="19" t="s">
        <v>62</v>
      </c>
      <c r="B18" s="80">
        <f>SUM(B11:B16)</f>
        <v>2017</v>
      </c>
      <c r="C18" s="24"/>
      <c r="D18" s="26">
        <f>SUM(D11:D16)</f>
        <v>175.89850000000001</v>
      </c>
    </row>
    <row r="19" spans="1:4" ht="18" x14ac:dyDescent="0.25">
      <c r="A19" s="19" t="s">
        <v>64</v>
      </c>
      <c r="B19" s="80"/>
      <c r="C19" s="24">
        <f>D18/B18*1000</f>
        <v>87.207982151710468</v>
      </c>
      <c r="D19" s="26"/>
    </row>
    <row r="20" spans="1:4" ht="18" x14ac:dyDescent="0.25">
      <c r="A20" s="19" t="s">
        <v>54</v>
      </c>
      <c r="B20" s="46">
        <v>288</v>
      </c>
      <c r="C20" s="24">
        <f>VLOOKUP($D$6,data,10,FALSE)</f>
        <v>95</v>
      </c>
      <c r="D20" s="26">
        <f>(B20*C20)/1000</f>
        <v>27.36</v>
      </c>
    </row>
    <row r="21" spans="1:4" ht="2.25" customHeight="1" x14ac:dyDescent="0.25">
      <c r="A21" s="27"/>
      <c r="B21" s="47" t="s">
        <v>75</v>
      </c>
      <c r="C21" s="28"/>
      <c r="D21" s="29"/>
    </row>
    <row r="22" spans="1:4" ht="18" x14ac:dyDescent="0.25">
      <c r="A22" s="19" t="s">
        <v>48</v>
      </c>
      <c r="B22" s="48">
        <f>B18+B20</f>
        <v>2305</v>
      </c>
      <c r="C22" s="24">
        <f>IF(ISERROR((D22/B22)*1000),0,(D22/B22)*1000)</f>
        <v>88.181561822125829</v>
      </c>
      <c r="D22" s="26">
        <f>D18+D20</f>
        <v>203.25850000000003</v>
      </c>
    </row>
    <row r="23" spans="1:4" ht="18" customHeight="1" x14ac:dyDescent="0.25">
      <c r="A23" s="21" t="s">
        <v>28</v>
      </c>
      <c r="B23" s="48">
        <v>6</v>
      </c>
      <c r="C23" s="24">
        <f>VLOOKUP($D$6,data,10,FALSE)</f>
        <v>95</v>
      </c>
      <c r="D23" s="26">
        <f>SUM(B23*C23)/1000</f>
        <v>0.56999999999999995</v>
      </c>
    </row>
    <row r="24" spans="1:4" ht="1.5" customHeight="1" x14ac:dyDescent="0.25">
      <c r="A24" s="78"/>
      <c r="B24" s="79"/>
      <c r="C24" s="75"/>
      <c r="D24" s="76"/>
    </row>
    <row r="25" spans="1:4" ht="18" x14ac:dyDescent="0.25">
      <c r="A25" s="7" t="str">
        <f>"Takeoff Weight ("&amp; FIXED(VLOOKUP($D$6,data,6,FALSE),0)&amp;" Lbs)"</f>
        <v>Takeoff Weight (2,550 Lbs)</v>
      </c>
      <c r="B25" s="49">
        <f>B22-B23</f>
        <v>2299</v>
      </c>
      <c r="C25" s="20"/>
      <c r="D25" s="30">
        <f>D22-D23</f>
        <v>202.68850000000003</v>
      </c>
    </row>
    <row r="26" spans="1:4" ht="6" customHeight="1" x14ac:dyDescent="0.25">
      <c r="A26" s="7"/>
      <c r="C26" s="22"/>
      <c r="D26" s="23"/>
    </row>
    <row r="27" spans="1:4" ht="18" x14ac:dyDescent="0.25">
      <c r="A27" s="7"/>
      <c r="B27" s="32" t="str">
        <f>IF(B25&gt;=B36,"OVER GROSS BY "&amp;FIXED(B36-B25,1)&amp;" LBS.","")</f>
        <v/>
      </c>
      <c r="C27" s="7"/>
      <c r="D27" s="7"/>
    </row>
    <row r="28" spans="1:4" ht="6" customHeight="1" x14ac:dyDescent="0.25">
      <c r="A28" s="7"/>
      <c r="B28" s="7"/>
      <c r="C28" s="7"/>
      <c r="D28" s="7"/>
    </row>
    <row r="29" spans="1:4" ht="18" x14ac:dyDescent="0.25">
      <c r="A29" s="7" t="s">
        <v>49</v>
      </c>
      <c r="B29" s="31" t="str">
        <f>FIXED(VLOOKUP($D$6,data,4,FALSE),1) &amp; " - " &amp; FIXED(VLOOKUP($D$6,data,5,FALSE),1)</f>
        <v>82.0 - 93.0</v>
      </c>
    </row>
    <row r="30" spans="1:4" ht="6" customHeight="1" x14ac:dyDescent="0.25">
      <c r="A30" s="7"/>
      <c r="B30" s="7"/>
      <c r="C30" s="7"/>
      <c r="D30" s="7"/>
    </row>
    <row r="31" spans="1:4" ht="18" x14ac:dyDescent="0.25">
      <c r="A31" s="7" t="s">
        <v>29</v>
      </c>
      <c r="B31" s="7"/>
      <c r="C31" s="7"/>
      <c r="D31" s="7"/>
    </row>
    <row r="32" spans="1:4" ht="6" customHeight="1" x14ac:dyDescent="0.25">
      <c r="A32" s="7"/>
      <c r="B32" s="7"/>
      <c r="C32" s="7"/>
      <c r="D32" s="7"/>
    </row>
    <row r="33" spans="1:8" ht="18" x14ac:dyDescent="0.25">
      <c r="A33" s="7" t="s">
        <v>51</v>
      </c>
      <c r="B33" s="68">
        <f>SUM(D25/B25)*1000</f>
        <v>88.163766855154421</v>
      </c>
      <c r="C33" s="7" t="str">
        <f>IF((B33&gt;VLOOKUP($D$6,data,4,FALSE)) + (B33&lt;VLOOKUP($D$6,data,5,FALSE))=2,"","OUT OF CG LIMIT")</f>
        <v/>
      </c>
      <c r="G33" s="50">
        <f>VLOOKUP($D$6,data,4,FALSE)</f>
        <v>82</v>
      </c>
      <c r="H33" s="51">
        <f>VLOOKUP($D$6,data,5,FALSE)</f>
        <v>93</v>
      </c>
    </row>
    <row r="34" spans="1:8" ht="18" x14ac:dyDescent="0.25">
      <c r="A34" s="7" t="s">
        <v>50</v>
      </c>
      <c r="B34" s="7"/>
      <c r="C34" s="7"/>
      <c r="D34" s="7"/>
    </row>
    <row r="35" spans="1:8" ht="6" customHeight="1" x14ac:dyDescent="0.25">
      <c r="A35" s="7"/>
      <c r="B35" s="7"/>
      <c r="C35" s="7"/>
      <c r="D35" s="7"/>
    </row>
    <row r="36" spans="1:8" ht="18" x14ac:dyDescent="0.25">
      <c r="A36" s="7" t="s">
        <v>52</v>
      </c>
      <c r="B36" s="71">
        <f>VLOOKUP($D$6,data,6,FALSE)</f>
        <v>2550</v>
      </c>
      <c r="D36" s="7"/>
    </row>
    <row r="37" spans="1:8" ht="6" customHeight="1" x14ac:dyDescent="0.25">
      <c r="A37" s="7"/>
      <c r="B37" s="7"/>
      <c r="C37" s="7"/>
      <c r="D37" s="7"/>
    </row>
    <row r="38" spans="1:8" ht="18" x14ac:dyDescent="0.25">
      <c r="A38" s="7" t="s">
        <v>38</v>
      </c>
      <c r="B38" s="70">
        <f>VLOOKUP($D$6,data,13,FALSE)</f>
        <v>918</v>
      </c>
      <c r="C38" s="7"/>
      <c r="D38" s="7"/>
    </row>
    <row r="39" spans="1:8" ht="17.25" customHeight="1" x14ac:dyDescent="0.25">
      <c r="A39" s="7"/>
      <c r="B39" s="7"/>
      <c r="C39" s="7"/>
      <c r="D39" s="7"/>
    </row>
    <row r="40" spans="1:8" ht="18" x14ac:dyDescent="0.25">
      <c r="A40" s="69" t="str">
        <f>IF(VLOOKUP($D$6,data,16,FALSE)=0,"",VLOOKUP($D$6,data,16,FALSE))</f>
        <v/>
      </c>
      <c r="B40" s="7"/>
      <c r="C40" s="7"/>
      <c r="D40" s="7"/>
    </row>
    <row r="41" spans="1:8" ht="18" x14ac:dyDescent="0.25">
      <c r="A41" s="69" t="str">
        <f>IF(VLOOKUP($D$6,data,16,FALSE)=0,"",VLOOKUP($D$6,data,17,FALSE))</f>
        <v/>
      </c>
      <c r="B41" s="7"/>
      <c r="C41" s="7"/>
      <c r="D41" s="7"/>
    </row>
    <row r="42" spans="1:8" ht="18" x14ac:dyDescent="0.25">
      <c r="A42" s="69" t="str">
        <f>IF(VLOOKUP($D$6,data,16,FALSE)=0,"",VLOOKUP($D$6,data,18,FALSE))</f>
        <v/>
      </c>
      <c r="B42" s="7"/>
      <c r="C42" s="7"/>
      <c r="D42" s="7"/>
    </row>
    <row r="43" spans="1:8" ht="6" customHeight="1" x14ac:dyDescent="0.25">
      <c r="A43" s="44"/>
      <c r="B43" s="7"/>
      <c r="C43" s="7"/>
      <c r="D43" s="7"/>
    </row>
    <row r="44" spans="1:8" ht="15" x14ac:dyDescent="0.2">
      <c r="A44" s="33" t="s">
        <v>30</v>
      </c>
      <c r="B44" s="34"/>
      <c r="C44" s="34"/>
      <c r="D44" s="35"/>
    </row>
    <row r="45" spans="1:8" ht="15" x14ac:dyDescent="0.2">
      <c r="A45" s="36" t="s">
        <v>31</v>
      </c>
      <c r="B45" s="37"/>
      <c r="C45" s="37"/>
      <c r="D45" s="38"/>
    </row>
    <row r="46" spans="1:8" ht="15" x14ac:dyDescent="0.2">
      <c r="A46" s="36" t="s">
        <v>32</v>
      </c>
      <c r="B46" s="37"/>
      <c r="C46" s="37"/>
      <c r="D46" s="38"/>
    </row>
    <row r="47" spans="1:8" ht="15" x14ac:dyDescent="0.2">
      <c r="A47" s="36" t="s">
        <v>33</v>
      </c>
      <c r="B47" s="39"/>
      <c r="C47" s="39"/>
      <c r="D47" s="40"/>
    </row>
    <row r="48" spans="1:8" ht="15" x14ac:dyDescent="0.2">
      <c r="A48" s="41" t="s">
        <v>34</v>
      </c>
      <c r="B48" s="42"/>
      <c r="C48" s="42"/>
      <c r="D48" s="43"/>
    </row>
  </sheetData>
  <sheetProtection selectLockedCells="1"/>
  <mergeCells count="4">
    <mergeCell ref="A1:D1"/>
    <mergeCell ref="A2:D2"/>
    <mergeCell ref="A3:D3"/>
    <mergeCell ref="A4:D4"/>
  </mergeCells>
  <phoneticPr fontId="0" type="noConversion"/>
  <conditionalFormatting sqref="B12:B18 B20">
    <cfRule type="cellIs" dxfId="3" priority="7" stopIfTrue="1" operator="lessThan">
      <formula>$C12</formula>
    </cfRule>
  </conditionalFormatting>
  <conditionalFormatting sqref="B25">
    <cfRule type="cellIs" dxfId="2" priority="4" stopIfTrue="1" operator="greaterThanOrEqual">
      <formula>$B$36</formula>
    </cfRule>
  </conditionalFormatting>
  <conditionalFormatting sqref="B33">
    <cfRule type="cellIs" dxfId="1" priority="2" operator="notBetween">
      <formula>82</formula>
      <formula>93</formula>
    </cfRule>
    <cfRule type="cellIs" dxfId="0" priority="3" operator="between">
      <formula>82</formula>
      <formula>93</formula>
    </cfRule>
  </conditionalFormatting>
  <dataValidations count="1">
    <dataValidation type="list" showInputMessage="1" showErrorMessage="1" promptTitle="Please select your tail number.." sqref="D6" xr:uid="{00000000-0002-0000-0000-000000000000}">
      <formula1>AC_LIST</formula1>
    </dataValidation>
  </dataValidations>
  <pageMargins left="0.75" right="0.75" top="1" bottom="1" header="0.5" footer="0.5"/>
  <pageSetup scale="80" fitToWidth="0" orientation="portrait" r:id="rId1"/>
  <headerFooter alignWithMargins="0">
    <oddFooter>&amp;L&amp;D&amp;C&amp;A&amp;R&amp;F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27"/>
  <sheetViews>
    <sheetView showGridLines="0" zoomScale="110" zoomScaleNormal="110" workbookViewId="0">
      <pane xSplit="1" ySplit="4" topLeftCell="B8" activePane="bottomRight" state="frozen"/>
      <selection activeCell="D6" sqref="D6"/>
      <selection pane="topRight" activeCell="D6" sqref="D6"/>
      <selection pane="bottomLeft" activeCell="D6" sqref="D6"/>
      <selection pane="bottomRight" activeCell="C23" sqref="C23"/>
    </sheetView>
  </sheetViews>
  <sheetFormatPr defaultRowHeight="12.75" x14ac:dyDescent="0.2"/>
  <cols>
    <col min="1" max="1" width="11.28515625" style="1" bestFit="1" customWidth="1"/>
    <col min="2" max="2" width="9.85546875" style="2" bestFit="1" customWidth="1"/>
    <col min="3" max="3" width="9.42578125" style="3" bestFit="1" customWidth="1"/>
    <col min="4" max="4" width="11" style="2" customWidth="1"/>
    <col min="5" max="5" width="10.42578125" style="2" bestFit="1" customWidth="1"/>
    <col min="6" max="6" width="12.5703125" style="4" bestFit="1" customWidth="1"/>
    <col min="7" max="7" width="9.7109375" style="2" bestFit="1" customWidth="1"/>
    <col min="8" max="8" width="10" style="2" bestFit="1" customWidth="1"/>
    <col min="9" max="9" width="10.28515625" style="2" bestFit="1" customWidth="1"/>
    <col min="10" max="10" width="5.42578125" style="2" bestFit="1" customWidth="1"/>
    <col min="11" max="12" width="8.28515625" style="2" bestFit="1" customWidth="1"/>
    <col min="13" max="13" width="9.28515625" style="2" customWidth="1"/>
    <col min="14" max="14" width="9.28515625" style="1" customWidth="1"/>
    <col min="15" max="15" width="12.140625" style="1" bestFit="1" customWidth="1"/>
    <col min="16" max="16" width="18.28515625" style="1" customWidth="1"/>
    <col min="17" max="19" width="9.140625" style="1"/>
  </cols>
  <sheetData>
    <row r="2" spans="1:18" x14ac:dyDescent="0.2">
      <c r="A2" s="1">
        <v>1</v>
      </c>
      <c r="B2" s="2">
        <v>2</v>
      </c>
      <c r="C2" s="3">
        <v>3</v>
      </c>
      <c r="D2" s="2">
        <v>4</v>
      </c>
      <c r="E2" s="2">
        <v>5</v>
      </c>
      <c r="F2" s="4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  <c r="N2" s="2">
        <v>14</v>
      </c>
      <c r="O2" s="2">
        <v>15</v>
      </c>
      <c r="P2" s="2">
        <v>16</v>
      </c>
      <c r="Q2" s="2">
        <v>17</v>
      </c>
      <c r="R2" s="2">
        <v>18</v>
      </c>
    </row>
    <row r="3" spans="1:18" ht="13.5" thickBot="1" x14ac:dyDescent="0.25"/>
    <row r="4" spans="1:18" x14ac:dyDescent="0.2">
      <c r="A4" s="52" t="s">
        <v>20</v>
      </c>
      <c r="B4" s="53" t="s">
        <v>14</v>
      </c>
      <c r="C4" s="54" t="s">
        <v>13</v>
      </c>
      <c r="D4" s="53" t="s">
        <v>11</v>
      </c>
      <c r="E4" s="53" t="s">
        <v>12</v>
      </c>
      <c r="F4" s="55" t="s">
        <v>10</v>
      </c>
      <c r="G4" s="53" t="s">
        <v>9</v>
      </c>
      <c r="H4" s="53" t="s">
        <v>15</v>
      </c>
      <c r="I4" s="53" t="s">
        <v>16</v>
      </c>
      <c r="J4" s="53" t="s">
        <v>17</v>
      </c>
      <c r="K4" s="53" t="s">
        <v>18</v>
      </c>
      <c r="L4" s="53" t="s">
        <v>19</v>
      </c>
      <c r="M4" s="56" t="s">
        <v>38</v>
      </c>
      <c r="N4" s="57" t="s">
        <v>39</v>
      </c>
      <c r="O4" s="58" t="s">
        <v>55</v>
      </c>
      <c r="P4" s="58" t="s">
        <v>45</v>
      </c>
      <c r="Q4" s="58" t="s">
        <v>46</v>
      </c>
      <c r="R4" s="59" t="s">
        <v>47</v>
      </c>
    </row>
    <row r="5" spans="1:18" x14ac:dyDescent="0.2">
      <c r="A5" s="60" t="s">
        <v>57</v>
      </c>
      <c r="B5" s="82">
        <v>0</v>
      </c>
      <c r="C5" s="83">
        <v>0</v>
      </c>
      <c r="D5" s="82">
        <v>0</v>
      </c>
      <c r="E5" s="82">
        <v>0</v>
      </c>
      <c r="F5" s="84">
        <v>0</v>
      </c>
      <c r="G5" s="82">
        <v>0</v>
      </c>
      <c r="H5" s="82">
        <v>0</v>
      </c>
      <c r="I5" s="82">
        <v>0</v>
      </c>
      <c r="J5" s="82">
        <v>0</v>
      </c>
      <c r="K5" s="82">
        <v>0</v>
      </c>
      <c r="L5" s="82">
        <v>0</v>
      </c>
      <c r="M5" s="2">
        <v>0</v>
      </c>
      <c r="N5" s="85" t="s">
        <v>58</v>
      </c>
      <c r="O5" s="86">
        <v>0</v>
      </c>
      <c r="P5" s="86"/>
      <c r="Q5" s="86"/>
      <c r="R5" s="72"/>
    </row>
    <row r="6" spans="1:18" x14ac:dyDescent="0.2">
      <c r="A6" s="60" t="s">
        <v>3</v>
      </c>
      <c r="B6" s="2">
        <v>1199.44</v>
      </c>
      <c r="C6" s="3">
        <v>87.712436999999994</v>
      </c>
      <c r="D6" s="2">
        <v>72.400000000000006</v>
      </c>
      <c r="E6" s="2">
        <v>78.5</v>
      </c>
      <c r="F6" s="4">
        <v>1670</v>
      </c>
      <c r="G6" s="2">
        <v>85.5</v>
      </c>
      <c r="J6" s="2">
        <v>75.400000000000006</v>
      </c>
      <c r="K6" s="2">
        <v>115</v>
      </c>
      <c r="M6" s="2">
        <f t="shared" ref="M6:M14" si="0">F6-B6</f>
        <v>470.55999999999995</v>
      </c>
      <c r="N6" s="1" t="s">
        <v>40</v>
      </c>
      <c r="O6" s="1">
        <v>0</v>
      </c>
      <c r="R6" s="61"/>
    </row>
    <row r="7" spans="1:18" x14ac:dyDescent="0.2">
      <c r="A7" s="60" t="s">
        <v>59</v>
      </c>
      <c r="B7" s="2">
        <v>1167.6300000000001</v>
      </c>
      <c r="C7" s="3">
        <v>84.067589999999996</v>
      </c>
      <c r="D7" s="2">
        <v>72.400000000000006</v>
      </c>
      <c r="E7" s="2">
        <v>78.5</v>
      </c>
      <c r="F7" s="4">
        <v>1670</v>
      </c>
      <c r="G7" s="2">
        <v>85.5</v>
      </c>
      <c r="J7" s="2">
        <v>75.400000000000006</v>
      </c>
      <c r="K7" s="2">
        <v>115</v>
      </c>
      <c r="M7" s="2">
        <f t="shared" si="0"/>
        <v>502.36999999999989</v>
      </c>
      <c r="N7" s="1" t="s">
        <v>40</v>
      </c>
      <c r="O7" s="1">
        <v>0</v>
      </c>
      <c r="R7" s="61"/>
    </row>
    <row r="8" spans="1:18" x14ac:dyDescent="0.2">
      <c r="A8" s="60" t="s">
        <v>78</v>
      </c>
      <c r="B8" s="2">
        <v>1130.5</v>
      </c>
      <c r="C8" s="3">
        <v>83.017915000000002</v>
      </c>
      <c r="D8" s="2">
        <v>72.400000000000006</v>
      </c>
      <c r="E8" s="2">
        <v>78.5</v>
      </c>
      <c r="F8" s="4">
        <v>1670</v>
      </c>
      <c r="G8" s="2">
        <v>85.5</v>
      </c>
      <c r="J8" s="2">
        <v>75.400000000000006</v>
      </c>
      <c r="K8" s="2">
        <v>115</v>
      </c>
      <c r="M8" s="2">
        <f t="shared" ref="M8" si="1">F8-B8</f>
        <v>539.5</v>
      </c>
      <c r="N8" s="1" t="s">
        <v>40</v>
      </c>
      <c r="O8" s="1">
        <v>1</v>
      </c>
      <c r="R8" s="61"/>
    </row>
    <row r="9" spans="1:18" x14ac:dyDescent="0.2">
      <c r="A9" s="60" t="s">
        <v>73</v>
      </c>
      <c r="B9" s="2">
        <v>1172.98</v>
      </c>
      <c r="C9" s="3">
        <v>86.198999999999998</v>
      </c>
      <c r="D9" s="2">
        <v>72.400000000000006</v>
      </c>
      <c r="E9" s="2">
        <v>78.5</v>
      </c>
      <c r="F9" s="4">
        <v>1670</v>
      </c>
      <c r="G9" s="2">
        <v>85.5</v>
      </c>
      <c r="J9" s="2">
        <v>75.400000000000006</v>
      </c>
      <c r="K9" s="2">
        <v>115</v>
      </c>
      <c r="M9" s="2">
        <f t="shared" si="0"/>
        <v>497.02</v>
      </c>
      <c r="N9" s="1" t="s">
        <v>40</v>
      </c>
      <c r="O9" s="1">
        <v>1</v>
      </c>
      <c r="R9" s="61"/>
    </row>
    <row r="10" spans="1:18" x14ac:dyDescent="0.2">
      <c r="A10" s="60" t="s">
        <v>4</v>
      </c>
      <c r="B10" s="2">
        <v>1159</v>
      </c>
      <c r="C10" s="3">
        <v>85.652716999999996</v>
      </c>
      <c r="D10" s="2">
        <v>72.400000000000006</v>
      </c>
      <c r="E10" s="2">
        <v>78.5</v>
      </c>
      <c r="F10" s="4">
        <v>1670</v>
      </c>
      <c r="G10" s="2">
        <v>85.5</v>
      </c>
      <c r="J10" s="2">
        <v>75.400000000000006</v>
      </c>
      <c r="K10" s="2">
        <v>115</v>
      </c>
      <c r="M10" s="2">
        <f t="shared" si="0"/>
        <v>511</v>
      </c>
      <c r="N10" s="1" t="s">
        <v>40</v>
      </c>
      <c r="O10" s="1">
        <v>0</v>
      </c>
      <c r="R10" s="61"/>
    </row>
    <row r="11" spans="1:18" x14ac:dyDescent="0.2">
      <c r="A11" s="60" t="s">
        <v>79</v>
      </c>
      <c r="B11" s="2">
        <v>1162</v>
      </c>
      <c r="C11" s="3">
        <v>85.647000000000006</v>
      </c>
      <c r="D11" s="2">
        <v>72.400000000000006</v>
      </c>
      <c r="E11" s="2">
        <v>78.5</v>
      </c>
      <c r="F11" s="4">
        <v>1670</v>
      </c>
      <c r="G11" s="2">
        <v>85.5</v>
      </c>
      <c r="J11" s="2">
        <v>75.400000000000006</v>
      </c>
      <c r="K11" s="2">
        <v>115</v>
      </c>
      <c r="M11" s="2">
        <f t="shared" ref="M11" si="2">F11-B11</f>
        <v>508</v>
      </c>
      <c r="N11" s="1" t="s">
        <v>40</v>
      </c>
      <c r="O11" s="1">
        <v>1</v>
      </c>
      <c r="R11" s="61"/>
    </row>
    <row r="12" spans="1:18" x14ac:dyDescent="0.2">
      <c r="A12" s="60"/>
      <c r="R12" s="61"/>
    </row>
    <row r="13" spans="1:18" x14ac:dyDescent="0.2">
      <c r="A13" s="60" t="s">
        <v>8</v>
      </c>
      <c r="B13" s="2">
        <v>2547.7199999999998</v>
      </c>
      <c r="C13" s="3">
        <v>279.24900000000002</v>
      </c>
      <c r="D13" s="2">
        <v>110.6</v>
      </c>
      <c r="E13" s="2">
        <v>117.5</v>
      </c>
      <c r="F13" s="4">
        <v>3900</v>
      </c>
      <c r="G13" s="2">
        <v>108</v>
      </c>
      <c r="I13" s="2">
        <v>144</v>
      </c>
      <c r="J13" s="2">
        <v>117</v>
      </c>
      <c r="K13" s="2">
        <v>167</v>
      </c>
      <c r="M13" s="2">
        <f t="shared" si="0"/>
        <v>1352.2800000000002</v>
      </c>
      <c r="N13" s="1" t="s">
        <v>43</v>
      </c>
      <c r="O13" s="1">
        <v>2.6</v>
      </c>
      <c r="P13" s="1" t="s">
        <v>65</v>
      </c>
      <c r="Q13" s="1" t="s">
        <v>63</v>
      </c>
      <c r="R13" s="61" t="s">
        <v>61</v>
      </c>
    </row>
    <row r="14" spans="1:18" x14ac:dyDescent="0.2">
      <c r="A14" s="60" t="s">
        <v>7</v>
      </c>
      <c r="B14" s="2">
        <v>2648.24</v>
      </c>
      <c r="C14" s="3">
        <v>293.43628000000001</v>
      </c>
      <c r="D14" s="2">
        <v>110.6</v>
      </c>
      <c r="E14" s="2">
        <v>117.5</v>
      </c>
      <c r="F14" s="4">
        <v>3900</v>
      </c>
      <c r="G14" s="2">
        <v>108</v>
      </c>
      <c r="I14" s="2">
        <v>144</v>
      </c>
      <c r="J14" s="2">
        <v>117</v>
      </c>
      <c r="K14" s="2">
        <v>167</v>
      </c>
      <c r="M14" s="2">
        <f t="shared" si="0"/>
        <v>1251.7600000000002</v>
      </c>
      <c r="N14" s="1" t="s">
        <v>43</v>
      </c>
      <c r="O14" s="1">
        <v>2.6</v>
      </c>
      <c r="P14" s="1" t="s">
        <v>65</v>
      </c>
      <c r="Q14" s="1" t="s">
        <v>63</v>
      </c>
      <c r="R14" s="61" t="s">
        <v>61</v>
      </c>
    </row>
    <row r="15" spans="1:18" x14ac:dyDescent="0.2">
      <c r="A15" s="60"/>
      <c r="R15" s="61"/>
    </row>
    <row r="16" spans="1:18" x14ac:dyDescent="0.2">
      <c r="A16" s="60" t="s">
        <v>71</v>
      </c>
      <c r="B16" s="2">
        <v>1593.05</v>
      </c>
      <c r="C16" s="3">
        <v>139.7664</v>
      </c>
      <c r="D16" s="2">
        <v>82</v>
      </c>
      <c r="E16" s="2">
        <v>93</v>
      </c>
      <c r="F16" s="4">
        <v>2550</v>
      </c>
      <c r="G16" s="2">
        <v>80.5</v>
      </c>
      <c r="I16" s="2">
        <v>118.1</v>
      </c>
      <c r="J16" s="2">
        <v>95</v>
      </c>
      <c r="K16" s="2">
        <v>142.80000000000001</v>
      </c>
      <c r="M16" s="2">
        <f>F16-B16</f>
        <v>956.95</v>
      </c>
      <c r="N16" s="1" t="s">
        <v>42</v>
      </c>
      <c r="O16" s="1">
        <v>1.1000000000000001</v>
      </c>
      <c r="R16" s="61"/>
    </row>
    <row r="17" spans="1:18" x14ac:dyDescent="0.2">
      <c r="A17" s="60" t="s">
        <v>5</v>
      </c>
      <c r="B17" s="2">
        <v>1576.09</v>
      </c>
      <c r="C17" s="3">
        <v>138.76667</v>
      </c>
      <c r="D17" s="2">
        <v>82</v>
      </c>
      <c r="E17" s="2">
        <v>93</v>
      </c>
      <c r="F17" s="4">
        <v>2550</v>
      </c>
      <c r="G17" s="2">
        <v>80.5</v>
      </c>
      <c r="I17" s="2">
        <v>118.1</v>
      </c>
      <c r="J17" s="2">
        <v>95</v>
      </c>
      <c r="K17" s="2">
        <v>142.80000000000001</v>
      </c>
      <c r="M17" s="2">
        <f>F17-B17</f>
        <v>973.91000000000008</v>
      </c>
      <c r="N17" s="1" t="s">
        <v>42</v>
      </c>
      <c r="O17" s="1">
        <v>1.1000000000000001</v>
      </c>
      <c r="R17" s="61"/>
    </row>
    <row r="18" spans="1:18" x14ac:dyDescent="0.2">
      <c r="A18" s="60" t="s">
        <v>74</v>
      </c>
      <c r="B18" s="2">
        <v>1553.69</v>
      </c>
      <c r="C18" s="3">
        <v>136.71709000000001</v>
      </c>
      <c r="D18" s="2">
        <v>82</v>
      </c>
      <c r="E18" s="2">
        <v>93</v>
      </c>
      <c r="F18" s="4">
        <v>2550</v>
      </c>
      <c r="G18" s="2">
        <v>80.5</v>
      </c>
      <c r="I18" s="2">
        <v>118.1</v>
      </c>
      <c r="J18" s="2">
        <v>95</v>
      </c>
      <c r="K18" s="2">
        <v>142.80000000000001</v>
      </c>
      <c r="M18" s="2">
        <f>F18-B18</f>
        <v>996.31</v>
      </c>
      <c r="N18" s="1" t="s">
        <v>42</v>
      </c>
      <c r="O18" s="1">
        <v>1.1000000000000001</v>
      </c>
      <c r="R18" s="61"/>
    </row>
    <row r="19" spans="1:18" x14ac:dyDescent="0.2">
      <c r="A19" s="60" t="s">
        <v>60</v>
      </c>
      <c r="B19" s="2">
        <v>1509</v>
      </c>
      <c r="C19" s="3">
        <v>128.05180999999999</v>
      </c>
      <c r="D19" s="2">
        <v>83</v>
      </c>
      <c r="E19" s="2">
        <v>94</v>
      </c>
      <c r="F19" s="4">
        <v>2440</v>
      </c>
      <c r="G19" s="2">
        <v>80.5</v>
      </c>
      <c r="I19" s="2">
        <v>118.1</v>
      </c>
      <c r="J19" s="2">
        <v>95</v>
      </c>
      <c r="K19" s="2">
        <v>142.80000000000001</v>
      </c>
      <c r="M19" s="2">
        <f t="shared" ref="M19:M24" si="3">F19-B19</f>
        <v>931</v>
      </c>
      <c r="N19" s="1" t="s">
        <v>41</v>
      </c>
      <c r="O19" s="1">
        <v>1.1000000000000001</v>
      </c>
      <c r="R19" s="61"/>
    </row>
    <row r="20" spans="1:18" x14ac:dyDescent="0.2">
      <c r="A20" s="60" t="s">
        <v>6</v>
      </c>
      <c r="B20" s="2">
        <v>1574.7</v>
      </c>
      <c r="C20" s="3">
        <v>138.30444</v>
      </c>
      <c r="D20" s="2">
        <v>82</v>
      </c>
      <c r="E20" s="2">
        <v>93</v>
      </c>
      <c r="F20" s="4">
        <v>2550</v>
      </c>
      <c r="G20" s="2">
        <v>80.5</v>
      </c>
      <c r="I20" s="2">
        <v>118.1</v>
      </c>
      <c r="J20" s="2">
        <v>95</v>
      </c>
      <c r="K20" s="2">
        <v>142.80000000000001</v>
      </c>
      <c r="M20" s="2">
        <f t="shared" si="3"/>
        <v>975.3</v>
      </c>
      <c r="N20" s="1" t="s">
        <v>42</v>
      </c>
      <c r="O20" s="1">
        <v>1.1000000000000001</v>
      </c>
      <c r="R20" s="61"/>
    </row>
    <row r="21" spans="1:18" ht="12" customHeight="1" x14ac:dyDescent="0.2">
      <c r="A21" s="60" t="s">
        <v>72</v>
      </c>
      <c r="B21" s="2">
        <v>1596</v>
      </c>
      <c r="C21" s="3">
        <v>140.21799999999999</v>
      </c>
      <c r="D21" s="2">
        <v>82</v>
      </c>
      <c r="E21" s="2">
        <v>93</v>
      </c>
      <c r="F21" s="4">
        <v>2550</v>
      </c>
      <c r="G21" s="2">
        <v>80.5</v>
      </c>
      <c r="I21" s="2">
        <v>118.1</v>
      </c>
      <c r="J21" s="2">
        <v>95</v>
      </c>
      <c r="K21" s="2">
        <v>142.80000000000001</v>
      </c>
      <c r="M21" s="2">
        <f>F21-B21</f>
        <v>954</v>
      </c>
      <c r="N21" s="1" t="s">
        <v>42</v>
      </c>
      <c r="O21" s="1">
        <v>1.1000000000000001</v>
      </c>
      <c r="R21" s="61"/>
    </row>
    <row r="22" spans="1:18" x14ac:dyDescent="0.2">
      <c r="A22" s="60" t="s">
        <v>69</v>
      </c>
      <c r="B22" s="2">
        <v>1632</v>
      </c>
      <c r="C22" s="3">
        <v>144.53</v>
      </c>
      <c r="D22" s="2">
        <v>82</v>
      </c>
      <c r="E22" s="2">
        <v>93</v>
      </c>
      <c r="F22" s="4">
        <v>2550</v>
      </c>
      <c r="G22" s="2">
        <v>80.5</v>
      </c>
      <c r="I22" s="2">
        <v>118.1</v>
      </c>
      <c r="J22" s="2">
        <v>95</v>
      </c>
      <c r="K22" s="2">
        <v>142.80000000000001</v>
      </c>
      <c r="M22" s="2">
        <f>F22-B22</f>
        <v>918</v>
      </c>
      <c r="N22" s="1" t="s">
        <v>42</v>
      </c>
      <c r="O22" s="1">
        <v>1.1000000000000001</v>
      </c>
      <c r="R22" s="61"/>
    </row>
    <row r="23" spans="1:18" x14ac:dyDescent="0.2">
      <c r="A23" s="60" t="s">
        <v>67</v>
      </c>
      <c r="B23" s="2">
        <v>1580.92</v>
      </c>
      <c r="C23" s="3">
        <v>140.81310999999999</v>
      </c>
      <c r="D23" s="2">
        <v>82</v>
      </c>
      <c r="E23" s="2">
        <v>93</v>
      </c>
      <c r="F23" s="4">
        <v>2550</v>
      </c>
      <c r="G23" s="2">
        <v>80.5</v>
      </c>
      <c r="I23" s="2">
        <v>118.1</v>
      </c>
      <c r="J23" s="2">
        <v>95</v>
      </c>
      <c r="K23" s="2">
        <v>142.80000000000001</v>
      </c>
      <c r="L23" s="2">
        <v>115</v>
      </c>
      <c r="M23" s="2">
        <f>F23-B23</f>
        <v>969.07999999999993</v>
      </c>
      <c r="N23" s="1" t="s">
        <v>42</v>
      </c>
      <c r="O23" s="1">
        <v>1.1000000000000001</v>
      </c>
      <c r="R23" s="61"/>
    </row>
    <row r="24" spans="1:18" ht="13.5" thickBot="1" x14ac:dyDescent="0.25">
      <c r="A24" s="62" t="s">
        <v>68</v>
      </c>
      <c r="B24" s="63">
        <v>1556.93</v>
      </c>
      <c r="C24" s="64">
        <v>136.02000000000001</v>
      </c>
      <c r="D24" s="63">
        <v>82</v>
      </c>
      <c r="E24" s="63">
        <v>93</v>
      </c>
      <c r="F24" s="65">
        <v>2550</v>
      </c>
      <c r="G24" s="63">
        <v>80.5</v>
      </c>
      <c r="H24" s="63"/>
      <c r="I24" s="63">
        <v>118.1</v>
      </c>
      <c r="J24" s="63">
        <v>95</v>
      </c>
      <c r="K24" s="63">
        <v>142.80000000000001</v>
      </c>
      <c r="L24" s="63"/>
      <c r="M24" s="63">
        <f t="shared" si="3"/>
        <v>993.06999999999994</v>
      </c>
      <c r="N24" s="66" t="s">
        <v>42</v>
      </c>
      <c r="O24" s="66">
        <v>1.1000000000000001</v>
      </c>
      <c r="P24" s="66"/>
      <c r="Q24" s="66"/>
      <c r="R24" s="67"/>
    </row>
    <row r="27" spans="1:18" x14ac:dyDescent="0.2">
      <c r="A27" s="5" t="s">
        <v>44</v>
      </c>
    </row>
  </sheetData>
  <sheetProtection algorithmName="SHA-512" hashValue="xmSsG1OgWOJ6T7UnT0vdO/OtLmfzD5VQXTRzWTt0NGfC3uyhuLWB2NX+TWj1XngUzmEzGfnTjO6he/HUfAY0Jg==" saltValue="5OZg6R2XX9rJhYRuk00Pcg==" spinCount="100000" sheet="1" objects="1" scenarios="1"/>
  <phoneticPr fontId="0" type="noConversion"/>
  <pageMargins left="0.75" right="0.75" top="1" bottom="1" header="0.5" footer="0.5"/>
  <pageSetup scale="83" orientation="landscape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2:B16"/>
  <sheetViews>
    <sheetView workbookViewId="0">
      <selection activeCell="D6" sqref="D6"/>
    </sheetView>
  </sheetViews>
  <sheetFormatPr defaultRowHeight="12.75" x14ac:dyDescent="0.2"/>
  <sheetData>
    <row r="12" spans="2:2" x14ac:dyDescent="0.2">
      <c r="B12">
        <v>472</v>
      </c>
    </row>
    <row r="14" spans="2:2" x14ac:dyDescent="0.2">
      <c r="B14">
        <v>0</v>
      </c>
    </row>
    <row r="15" spans="2:2" x14ac:dyDescent="0.2">
      <c r="B15">
        <v>25</v>
      </c>
    </row>
    <row r="16" spans="2:2" x14ac:dyDescent="0.2">
      <c r="B16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Weight and Balance</vt:lpstr>
      <vt:lpstr>Data</vt:lpstr>
      <vt:lpstr>Sheet1</vt:lpstr>
      <vt:lpstr>AC_LIST</vt:lpstr>
      <vt:lpstr>data</vt:lpstr>
      <vt:lpstr>Data!Print_Area</vt:lpstr>
      <vt:lpstr>'Weight and Balance'!Print_Area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 Jenkins</dc:creator>
  <cp:lastModifiedBy>Public User</cp:lastModifiedBy>
  <cp:lastPrinted>2025-06-07T14:24:35Z</cp:lastPrinted>
  <dcterms:created xsi:type="dcterms:W3CDTF">2002-12-01T15:05:46Z</dcterms:created>
  <dcterms:modified xsi:type="dcterms:W3CDTF">2025-06-13T23:03:04Z</dcterms:modified>
</cp:coreProperties>
</file>