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elliga1\Desktop\Personal\"/>
    </mc:Choice>
  </mc:AlternateContent>
  <xr:revisionPtr revIDLastSave="0" documentId="8_{D00F8D00-059C-4448-867C-AC6B27E36C67}" xr6:coauthVersionLast="36" xr6:coauthVersionMax="36" xr10:uidLastSave="{00000000-0000-0000-0000-000000000000}"/>
  <bookViews>
    <workbookView xWindow="0" yWindow="0" windowWidth="19200" windowHeight="6810" firstSheet="2" activeTab="10" xr2:uid="{00000000-000D-0000-FFFF-FFFF00000000}"/>
  </bookViews>
  <sheets>
    <sheet name="Week 1" sheetId="1" r:id="rId1"/>
    <sheet name="Week 2" sheetId="2" r:id="rId2"/>
    <sheet name="Week 3" sheetId="3" r:id="rId3"/>
    <sheet name="Week 4" sheetId="4" r:id="rId4"/>
    <sheet name="Week 5" sheetId="5" r:id="rId5"/>
    <sheet name="Week 6" sheetId="6" r:id="rId6"/>
    <sheet name="Week 7" sheetId="7" r:id="rId7"/>
    <sheet name="Week 8" sheetId="8" r:id="rId8"/>
    <sheet name="Week 9" sheetId="9" r:id="rId9"/>
    <sheet name="Week 10" sheetId="10" r:id="rId10"/>
    <sheet name="Week 11" sheetId="11" r:id="rId11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" i="11" l="1"/>
  <c r="F2" i="11" s="1"/>
  <c r="E2" i="11"/>
  <c r="D3" i="11"/>
  <c r="E3" i="11"/>
  <c r="F3" i="11"/>
  <c r="D4" i="11"/>
  <c r="E4" i="11"/>
  <c r="F4" i="11"/>
  <c r="D5" i="11"/>
  <c r="E5" i="11"/>
  <c r="F5" i="11"/>
  <c r="D6" i="11"/>
  <c r="E6" i="11"/>
  <c r="F6" i="11"/>
  <c r="D7" i="11"/>
  <c r="E7" i="11"/>
  <c r="F7" i="11" s="1"/>
  <c r="D8" i="11"/>
  <c r="E8" i="11"/>
  <c r="F8" i="11"/>
  <c r="D9" i="11"/>
  <c r="E9" i="11"/>
  <c r="F9" i="11"/>
  <c r="D10" i="11"/>
  <c r="E10" i="11"/>
  <c r="F10" i="11"/>
  <c r="D11" i="11"/>
  <c r="F11" i="11" s="1"/>
  <c r="E11" i="11"/>
  <c r="D12" i="11"/>
  <c r="F12" i="11" s="1"/>
  <c r="E12" i="11"/>
  <c r="D13" i="11"/>
  <c r="F13" i="11" s="1"/>
  <c r="E13" i="11"/>
  <c r="D14" i="11"/>
  <c r="E14" i="11"/>
  <c r="F14" i="11"/>
  <c r="D15" i="11"/>
  <c r="E15" i="11"/>
  <c r="F15" i="11"/>
  <c r="D16" i="11"/>
  <c r="F16" i="11" s="1"/>
  <c r="E16" i="11"/>
  <c r="D17" i="11"/>
  <c r="E17" i="11"/>
  <c r="F17" i="11"/>
  <c r="D18" i="11"/>
  <c r="E18" i="11"/>
  <c r="F18" i="11"/>
  <c r="D19" i="11"/>
  <c r="E19" i="11"/>
  <c r="F19" i="11"/>
  <c r="D20" i="11"/>
  <c r="E20" i="11"/>
  <c r="F20" i="11"/>
  <c r="D21" i="11"/>
  <c r="E21" i="11"/>
  <c r="F21" i="11" s="1"/>
  <c r="D22" i="11"/>
  <c r="E22" i="11"/>
  <c r="F22" i="11"/>
  <c r="D23" i="11"/>
  <c r="E23" i="11"/>
  <c r="F23" i="11"/>
  <c r="D24" i="11"/>
  <c r="E24" i="11"/>
  <c r="F24" i="11"/>
  <c r="D25" i="11"/>
  <c r="F25" i="11" s="1"/>
  <c r="E25" i="11"/>
  <c r="D26" i="11"/>
  <c r="F26" i="11" s="1"/>
  <c r="E26" i="11"/>
  <c r="D27" i="11"/>
  <c r="F27" i="11" s="1"/>
  <c r="E27" i="11"/>
  <c r="D28" i="11"/>
  <c r="E28" i="11"/>
  <c r="F28" i="11"/>
  <c r="D29" i="11"/>
  <c r="E29" i="11"/>
  <c r="F29" i="11"/>
  <c r="D30" i="11"/>
  <c r="F30" i="11" s="1"/>
  <c r="E30" i="11"/>
  <c r="D31" i="11"/>
  <c r="E31" i="11"/>
  <c r="F31" i="11"/>
  <c r="D32" i="11"/>
  <c r="E32" i="11"/>
  <c r="F32" i="11"/>
  <c r="D33" i="11"/>
  <c r="E33" i="11"/>
  <c r="F33" i="11"/>
  <c r="D34" i="11"/>
  <c r="E34" i="11"/>
  <c r="F34" i="11"/>
  <c r="D35" i="11"/>
  <c r="E35" i="11"/>
  <c r="F35" i="11" s="1"/>
  <c r="D36" i="11"/>
  <c r="E36" i="11"/>
  <c r="F36" i="11"/>
  <c r="D37" i="11"/>
  <c r="E37" i="11"/>
  <c r="F37" i="11"/>
  <c r="D38" i="11"/>
  <c r="E38" i="11"/>
  <c r="F38" i="11"/>
  <c r="D39" i="11"/>
  <c r="F39" i="11" s="1"/>
  <c r="E39" i="11"/>
  <c r="D40" i="11"/>
  <c r="F40" i="11" s="1"/>
  <c r="E40" i="11"/>
  <c r="D41" i="11"/>
  <c r="F41" i="11" s="1"/>
  <c r="E41" i="11"/>
  <c r="D42" i="11"/>
  <c r="E42" i="11"/>
  <c r="F42" i="11"/>
  <c r="D43" i="11"/>
  <c r="E43" i="11"/>
  <c r="F43" i="11"/>
  <c r="D44" i="11"/>
  <c r="F44" i="11" s="1"/>
  <c r="E44" i="11"/>
  <c r="D45" i="11"/>
  <c r="E45" i="11"/>
  <c r="F45" i="11"/>
  <c r="D46" i="11"/>
  <c r="E46" i="11"/>
  <c r="F46" i="11"/>
  <c r="D47" i="11"/>
  <c r="E47" i="11"/>
  <c r="F47" i="11"/>
  <c r="D48" i="11"/>
  <c r="E48" i="11"/>
  <c r="F48" i="11"/>
  <c r="D49" i="11"/>
  <c r="E49" i="11"/>
  <c r="F49" i="11" s="1"/>
  <c r="D50" i="11"/>
  <c r="E50" i="11"/>
  <c r="F50" i="11"/>
  <c r="D51" i="11"/>
  <c r="E51" i="11"/>
  <c r="F51" i="11"/>
  <c r="D52" i="11"/>
  <c r="E52" i="11"/>
  <c r="F52" i="11"/>
  <c r="D53" i="11"/>
  <c r="F53" i="11" s="1"/>
  <c r="E53" i="11"/>
  <c r="D54" i="11"/>
  <c r="F54" i="11" s="1"/>
  <c r="E54" i="11"/>
  <c r="D55" i="11"/>
  <c r="E55" i="11"/>
  <c r="F55" i="11" s="1"/>
  <c r="D56" i="11"/>
  <c r="E56" i="11"/>
  <c r="F56" i="11"/>
  <c r="D57" i="11"/>
  <c r="E57" i="11"/>
  <c r="F57" i="11"/>
  <c r="D58" i="11"/>
  <c r="F58" i="11" s="1"/>
  <c r="E58" i="11"/>
  <c r="D2" i="10" l="1"/>
  <c r="E2" i="10"/>
  <c r="F2" i="10"/>
  <c r="D3" i="10"/>
  <c r="E3" i="10"/>
  <c r="F3" i="10" s="1"/>
  <c r="D4" i="10"/>
  <c r="E4" i="10"/>
  <c r="F4" i="10"/>
  <c r="D5" i="10"/>
  <c r="E5" i="10"/>
  <c r="F5" i="10"/>
  <c r="D6" i="10"/>
  <c r="F6" i="10" s="1"/>
  <c r="E6" i="10"/>
  <c r="D7" i="10"/>
  <c r="E7" i="10"/>
  <c r="F7" i="10" s="1"/>
  <c r="D8" i="10"/>
  <c r="E8" i="10"/>
  <c r="F8" i="10"/>
  <c r="D9" i="10"/>
  <c r="E9" i="10"/>
  <c r="F9" i="10"/>
  <c r="D10" i="10"/>
  <c r="E10" i="10"/>
  <c r="F10" i="10"/>
  <c r="D11" i="10"/>
  <c r="F11" i="10" s="1"/>
  <c r="E11" i="10"/>
  <c r="D12" i="10"/>
  <c r="E12" i="10"/>
  <c r="F12" i="10"/>
  <c r="D13" i="10"/>
  <c r="E13" i="10"/>
  <c r="F13" i="10"/>
  <c r="D14" i="10"/>
  <c r="E14" i="10"/>
  <c r="F14" i="10"/>
  <c r="D15" i="10"/>
  <c r="E15" i="10"/>
  <c r="F15" i="10"/>
  <c r="D16" i="10"/>
  <c r="E16" i="10"/>
  <c r="F16" i="10"/>
  <c r="D17" i="10"/>
  <c r="E17" i="10"/>
  <c r="F17" i="10"/>
  <c r="D18" i="10"/>
  <c r="E18" i="10"/>
  <c r="F18" i="10"/>
  <c r="D19" i="10"/>
  <c r="E19" i="10"/>
  <c r="F19" i="10"/>
  <c r="D20" i="10"/>
  <c r="F20" i="10" s="1"/>
  <c r="E20" i="10"/>
  <c r="D21" i="10"/>
  <c r="E21" i="10"/>
  <c r="F21" i="10" s="1"/>
  <c r="D22" i="10"/>
  <c r="E22" i="10"/>
  <c r="F22" i="10"/>
  <c r="D23" i="10"/>
  <c r="E23" i="10"/>
  <c r="F23" i="10"/>
  <c r="D24" i="10"/>
  <c r="E24" i="10"/>
  <c r="F24" i="10"/>
  <c r="D25" i="10"/>
  <c r="F25" i="10" s="1"/>
  <c r="E25" i="10"/>
  <c r="D26" i="10"/>
  <c r="E26" i="10"/>
  <c r="F26" i="10"/>
  <c r="D27" i="10"/>
  <c r="E27" i="10"/>
  <c r="F27" i="10"/>
  <c r="D28" i="10"/>
  <c r="E28" i="10"/>
  <c r="F28" i="10"/>
  <c r="D29" i="10"/>
  <c r="E29" i="10"/>
  <c r="F29" i="10"/>
  <c r="D30" i="10"/>
  <c r="E30" i="10"/>
  <c r="F30" i="10"/>
  <c r="D31" i="10"/>
  <c r="E31" i="10"/>
  <c r="F31" i="10"/>
  <c r="D32" i="10"/>
  <c r="E32" i="10"/>
  <c r="F32" i="10"/>
  <c r="D33" i="10"/>
  <c r="E33" i="10"/>
  <c r="F33" i="10"/>
  <c r="D34" i="10"/>
  <c r="F34" i="10" s="1"/>
  <c r="E34" i="10"/>
  <c r="D35" i="10"/>
  <c r="E35" i="10"/>
  <c r="F35" i="10" s="1"/>
  <c r="D36" i="10"/>
  <c r="E36" i="10"/>
  <c r="F36" i="10"/>
  <c r="D37" i="10"/>
  <c r="E37" i="10"/>
  <c r="F37" i="10"/>
  <c r="D38" i="10"/>
  <c r="E38" i="10"/>
  <c r="F38" i="10"/>
  <c r="D39" i="10"/>
  <c r="F39" i="10" s="1"/>
  <c r="E39" i="10"/>
  <c r="D40" i="10"/>
  <c r="E40" i="10"/>
  <c r="F40" i="10"/>
  <c r="D41" i="10"/>
  <c r="E41" i="10"/>
  <c r="F41" i="10"/>
  <c r="D42" i="10"/>
  <c r="E42" i="10"/>
  <c r="F42" i="10"/>
  <c r="D43" i="10"/>
  <c r="E43" i="10"/>
  <c r="F43" i="10"/>
  <c r="D44" i="10"/>
  <c r="E44" i="10"/>
  <c r="F44" i="10"/>
  <c r="D45" i="10"/>
  <c r="E45" i="10"/>
  <c r="F45" i="10"/>
  <c r="D46" i="10"/>
  <c r="E46" i="10"/>
  <c r="F46" i="10"/>
  <c r="D47" i="10"/>
  <c r="E47" i="10"/>
  <c r="F47" i="10"/>
  <c r="D48" i="10"/>
  <c r="F48" i="10" s="1"/>
  <c r="E48" i="10"/>
  <c r="D49" i="10"/>
  <c r="E49" i="10"/>
  <c r="F49" i="10" s="1"/>
  <c r="D50" i="10"/>
  <c r="E50" i="10"/>
  <c r="F50" i="10"/>
  <c r="D51" i="10"/>
  <c r="E51" i="10"/>
  <c r="F51" i="10"/>
  <c r="D52" i="10"/>
  <c r="E52" i="10"/>
  <c r="F52" i="10"/>
  <c r="D53" i="10"/>
  <c r="F53" i="10" s="1"/>
  <c r="E53" i="10"/>
  <c r="D54" i="10"/>
  <c r="E54" i="10"/>
  <c r="F54" i="10"/>
  <c r="D55" i="10"/>
  <c r="E55" i="10"/>
  <c r="F55" i="10"/>
  <c r="D56" i="10"/>
  <c r="E56" i="10"/>
  <c r="F56" i="10"/>
  <c r="D57" i="10"/>
  <c r="E57" i="10"/>
  <c r="F57" i="10"/>
  <c r="D2" i="9" l="1"/>
  <c r="E2" i="9"/>
  <c r="F2" i="9"/>
  <c r="D3" i="9"/>
  <c r="F3" i="9" s="1"/>
  <c r="E3" i="9"/>
  <c r="D4" i="9"/>
  <c r="E4" i="9"/>
  <c r="F4" i="9"/>
  <c r="D5" i="9"/>
  <c r="E5" i="9"/>
  <c r="F5" i="9"/>
  <c r="D6" i="9"/>
  <c r="F6" i="9" s="1"/>
  <c r="E6" i="9"/>
  <c r="D7" i="9"/>
  <c r="E7" i="9"/>
  <c r="F7" i="9" s="1"/>
  <c r="D8" i="9"/>
  <c r="F8" i="9" s="1"/>
  <c r="E8" i="9"/>
  <c r="D9" i="9"/>
  <c r="E9" i="9"/>
  <c r="F9" i="9"/>
  <c r="D10" i="9"/>
  <c r="E10" i="9"/>
  <c r="F10" i="9"/>
  <c r="D11" i="9"/>
  <c r="F11" i="9" s="1"/>
  <c r="E11" i="9"/>
  <c r="D12" i="9"/>
  <c r="E12" i="9"/>
  <c r="F12" i="9"/>
  <c r="D13" i="9"/>
  <c r="E13" i="9"/>
  <c r="F13" i="9"/>
  <c r="D14" i="9"/>
  <c r="E14" i="9"/>
  <c r="F14" i="9"/>
  <c r="D15" i="9"/>
  <c r="E15" i="9"/>
  <c r="F15" i="9"/>
  <c r="D16" i="9"/>
  <c r="E16" i="9"/>
  <c r="F16" i="9"/>
  <c r="D17" i="9"/>
  <c r="F17" i="9" s="1"/>
  <c r="E17" i="9"/>
  <c r="D18" i="9"/>
  <c r="E18" i="9"/>
  <c r="F18" i="9"/>
  <c r="D19" i="9"/>
  <c r="E19" i="9"/>
  <c r="F19" i="9"/>
  <c r="D20" i="9"/>
  <c r="F20" i="9" s="1"/>
  <c r="E20" i="9"/>
  <c r="D21" i="9"/>
  <c r="E21" i="9"/>
  <c r="F21" i="9"/>
  <c r="D22" i="9"/>
  <c r="F22" i="9" s="1"/>
  <c r="E22" i="9"/>
  <c r="D23" i="9"/>
  <c r="E23" i="9"/>
  <c r="F23" i="9"/>
  <c r="D24" i="9"/>
  <c r="E24" i="9"/>
  <c r="F24" i="9"/>
  <c r="D25" i="9"/>
  <c r="F25" i="9" s="1"/>
  <c r="E25" i="9"/>
  <c r="D26" i="9"/>
  <c r="E26" i="9"/>
  <c r="F26" i="9"/>
  <c r="D27" i="9"/>
  <c r="E27" i="9"/>
  <c r="F27" i="9"/>
  <c r="D28" i="9"/>
  <c r="E28" i="9"/>
  <c r="F28" i="9"/>
  <c r="D29" i="9"/>
  <c r="E29" i="9"/>
  <c r="F29" i="9"/>
  <c r="D30" i="9"/>
  <c r="E30" i="9"/>
  <c r="F30" i="9"/>
  <c r="D31" i="9"/>
  <c r="F31" i="9" s="1"/>
  <c r="E31" i="9"/>
  <c r="D32" i="9"/>
  <c r="E32" i="9"/>
  <c r="F32" i="9"/>
  <c r="D33" i="9"/>
  <c r="E33" i="9"/>
  <c r="F33" i="9"/>
  <c r="D34" i="9"/>
  <c r="F34" i="9" s="1"/>
  <c r="E34" i="9"/>
  <c r="D35" i="9"/>
  <c r="E35" i="9"/>
  <c r="F35" i="9"/>
  <c r="D36" i="9"/>
  <c r="F36" i="9" s="1"/>
  <c r="E36" i="9"/>
  <c r="D37" i="9"/>
  <c r="E37" i="9"/>
  <c r="F37" i="9"/>
  <c r="D38" i="9"/>
  <c r="E38" i="9"/>
  <c r="F38" i="9"/>
  <c r="D39" i="9"/>
  <c r="F39" i="9" s="1"/>
  <c r="E39" i="9"/>
  <c r="D40" i="9"/>
  <c r="E40" i="9"/>
  <c r="F40" i="9"/>
  <c r="D41" i="9"/>
  <c r="E41" i="9"/>
  <c r="F41" i="9"/>
  <c r="D42" i="9"/>
  <c r="E42" i="9"/>
  <c r="F42" i="9"/>
  <c r="D43" i="9"/>
  <c r="E43" i="9"/>
  <c r="F43" i="9"/>
  <c r="D44" i="9"/>
  <c r="E44" i="9"/>
  <c r="F44" i="9"/>
  <c r="D45" i="9"/>
  <c r="F45" i="9" s="1"/>
  <c r="E45" i="9"/>
  <c r="D46" i="9"/>
  <c r="E46" i="9"/>
  <c r="F46" i="9"/>
  <c r="D47" i="9"/>
  <c r="E47" i="9"/>
  <c r="F47" i="9"/>
  <c r="D48" i="9"/>
  <c r="F48" i="9" s="1"/>
  <c r="E48" i="9"/>
  <c r="D49" i="9"/>
  <c r="E49" i="9"/>
  <c r="F49" i="9"/>
  <c r="D50" i="9"/>
  <c r="F50" i="9" s="1"/>
  <c r="E50" i="9"/>
  <c r="D51" i="9"/>
  <c r="E51" i="9"/>
  <c r="F51" i="9"/>
  <c r="D52" i="9"/>
  <c r="E52" i="9"/>
  <c r="F52" i="9"/>
  <c r="D53" i="9"/>
  <c r="F53" i="9" s="1"/>
  <c r="E53" i="9"/>
  <c r="D54" i="9"/>
  <c r="E54" i="9"/>
  <c r="F54" i="9"/>
  <c r="D55" i="9"/>
  <c r="E55" i="9"/>
  <c r="F55" i="9"/>
  <c r="D2" i="8" l="1"/>
  <c r="E2" i="8"/>
  <c r="F2" i="8" s="1"/>
  <c r="D3" i="8"/>
  <c r="E3" i="8"/>
  <c r="F3" i="8"/>
  <c r="D4" i="8"/>
  <c r="E4" i="8"/>
  <c r="F4" i="8"/>
  <c r="D5" i="8"/>
  <c r="E5" i="8"/>
  <c r="F5" i="8"/>
  <c r="D6" i="8"/>
  <c r="F6" i="8" s="1"/>
  <c r="E6" i="8"/>
  <c r="D7" i="8"/>
  <c r="E7" i="8"/>
  <c r="F7" i="8"/>
  <c r="D8" i="8"/>
  <c r="E8" i="8"/>
  <c r="F8" i="8"/>
  <c r="D9" i="8"/>
  <c r="E9" i="8"/>
  <c r="F9" i="8"/>
  <c r="D10" i="8"/>
  <c r="E10" i="8"/>
  <c r="F10" i="8"/>
  <c r="D11" i="8"/>
  <c r="F11" i="8" s="1"/>
  <c r="E11" i="8"/>
  <c r="D12" i="8"/>
  <c r="E12" i="8"/>
  <c r="F12" i="8"/>
  <c r="D13" i="8"/>
  <c r="E13" i="8"/>
  <c r="F13" i="8"/>
  <c r="D14" i="8"/>
  <c r="E14" i="8"/>
  <c r="F14" i="8"/>
  <c r="D15" i="8"/>
  <c r="F15" i="8" s="1"/>
  <c r="E15" i="8"/>
  <c r="D16" i="8"/>
  <c r="E16" i="8"/>
  <c r="F16" i="8" s="1"/>
  <c r="D17" i="8"/>
  <c r="E17" i="8"/>
  <c r="F17" i="8"/>
  <c r="D18" i="8"/>
  <c r="E18" i="8"/>
  <c r="F18" i="8"/>
  <c r="D19" i="8"/>
  <c r="E19" i="8"/>
  <c r="F19" i="8"/>
  <c r="D20" i="8"/>
  <c r="F20" i="8" s="1"/>
  <c r="E20" i="8"/>
  <c r="D21" i="8"/>
  <c r="E21" i="8"/>
  <c r="F21" i="8"/>
  <c r="D22" i="8"/>
  <c r="E22" i="8"/>
  <c r="F22" i="8"/>
  <c r="D23" i="8"/>
  <c r="E23" i="8"/>
  <c r="F23" i="8"/>
  <c r="D24" i="8"/>
  <c r="E24" i="8"/>
  <c r="F24" i="8"/>
  <c r="D25" i="8"/>
  <c r="F25" i="8" s="1"/>
  <c r="E25" i="8"/>
  <c r="D26" i="8"/>
  <c r="E26" i="8"/>
  <c r="F26" i="8"/>
  <c r="D27" i="8"/>
  <c r="E27" i="8"/>
  <c r="F27" i="8"/>
  <c r="D28" i="8"/>
  <c r="E28" i="8"/>
  <c r="F28" i="8"/>
  <c r="D29" i="8"/>
  <c r="E29" i="8"/>
  <c r="F29" i="8" s="1"/>
  <c r="D30" i="8"/>
  <c r="E30" i="8"/>
  <c r="F30" i="8" s="1"/>
  <c r="D31" i="8"/>
  <c r="E31" i="8"/>
  <c r="F31" i="8"/>
  <c r="D32" i="8"/>
  <c r="E32" i="8"/>
  <c r="F32" i="8"/>
  <c r="D33" i="8"/>
  <c r="E33" i="8"/>
  <c r="F33" i="8"/>
  <c r="D34" i="8"/>
  <c r="F34" i="8" s="1"/>
  <c r="E34" i="8"/>
  <c r="D35" i="8"/>
  <c r="E35" i="8"/>
  <c r="F35" i="8"/>
  <c r="D36" i="8"/>
  <c r="E36" i="8"/>
  <c r="F36" i="8"/>
  <c r="D37" i="8"/>
  <c r="E37" i="8"/>
  <c r="F37" i="8"/>
  <c r="D38" i="8"/>
  <c r="E38" i="8"/>
  <c r="F38" i="8"/>
  <c r="D39" i="8"/>
  <c r="F39" i="8" s="1"/>
  <c r="E39" i="8"/>
  <c r="D40" i="8"/>
  <c r="E40" i="8"/>
  <c r="F40" i="8"/>
  <c r="D41" i="8"/>
  <c r="E41" i="8"/>
  <c r="F41" i="8"/>
  <c r="D42" i="8"/>
  <c r="E42" i="8"/>
  <c r="F42" i="8"/>
  <c r="D43" i="8"/>
  <c r="E43" i="8"/>
  <c r="F43" i="8" s="1"/>
  <c r="D44" i="8"/>
  <c r="E44" i="8"/>
  <c r="F44" i="8" s="1"/>
  <c r="D45" i="8"/>
  <c r="E45" i="8"/>
  <c r="F45" i="8"/>
  <c r="D46" i="8"/>
  <c r="E46" i="8"/>
  <c r="F46" i="8" s="1"/>
  <c r="D47" i="8"/>
  <c r="E47" i="8"/>
  <c r="F47" i="8"/>
  <c r="D48" i="8"/>
  <c r="F48" i="8" s="1"/>
  <c r="E48" i="8"/>
  <c r="D49" i="8"/>
  <c r="E49" i="8"/>
  <c r="F49" i="8"/>
  <c r="D50" i="8"/>
  <c r="E50" i="8"/>
  <c r="F50" i="8"/>
  <c r="D51" i="8"/>
  <c r="E51" i="8"/>
  <c r="F51" i="8"/>
  <c r="D52" i="8"/>
  <c r="E52" i="8"/>
  <c r="F52" i="8"/>
  <c r="D2" i="7" l="1"/>
  <c r="E2" i="7"/>
  <c r="F2" i="7" s="1"/>
  <c r="D3" i="7"/>
  <c r="E3" i="7"/>
  <c r="F3" i="7"/>
  <c r="D4" i="7"/>
  <c r="E4" i="7"/>
  <c r="F4" i="7"/>
  <c r="D5" i="7"/>
  <c r="E5" i="7"/>
  <c r="F5" i="7"/>
  <c r="D6" i="7"/>
  <c r="F6" i="7" s="1"/>
  <c r="E6" i="7"/>
  <c r="D7" i="7"/>
  <c r="E7" i="7"/>
  <c r="F7" i="7"/>
  <c r="D8" i="7"/>
  <c r="E8" i="7"/>
  <c r="F8" i="7"/>
  <c r="D9" i="7"/>
  <c r="E9" i="7"/>
  <c r="F9" i="7"/>
  <c r="D10" i="7"/>
  <c r="E10" i="7"/>
  <c r="F10" i="7"/>
  <c r="D11" i="7"/>
  <c r="F11" i="7" s="1"/>
  <c r="E11" i="7"/>
  <c r="D12" i="7"/>
  <c r="E12" i="7"/>
  <c r="F12" i="7"/>
  <c r="D13" i="7"/>
  <c r="E13" i="7"/>
  <c r="F13" i="7"/>
  <c r="D14" i="7"/>
  <c r="E14" i="7"/>
  <c r="F14" i="7" s="1"/>
  <c r="D15" i="7"/>
  <c r="E15" i="7"/>
  <c r="F15" i="7"/>
  <c r="D16" i="7"/>
  <c r="E16" i="7"/>
  <c r="F16" i="7" s="1"/>
  <c r="D17" i="7"/>
  <c r="E17" i="7"/>
  <c r="F17" i="7"/>
  <c r="D18" i="7"/>
  <c r="E18" i="7"/>
  <c r="F18" i="7"/>
  <c r="D19" i="7"/>
  <c r="E19" i="7"/>
  <c r="F19" i="7"/>
  <c r="D20" i="7"/>
  <c r="F20" i="7" s="1"/>
  <c r="E20" i="7"/>
  <c r="D21" i="7"/>
  <c r="E21" i="7"/>
  <c r="F21" i="7"/>
  <c r="D22" i="7"/>
  <c r="E22" i="7"/>
  <c r="F22" i="7"/>
  <c r="D23" i="7"/>
  <c r="E23" i="7"/>
  <c r="F23" i="7"/>
  <c r="D24" i="7"/>
  <c r="E24" i="7"/>
  <c r="F24" i="7"/>
  <c r="D25" i="7"/>
  <c r="F25" i="7" s="1"/>
  <c r="E25" i="7"/>
  <c r="D26" i="7"/>
  <c r="E26" i="7"/>
  <c r="F26" i="7"/>
  <c r="D27" i="7"/>
  <c r="E27" i="7"/>
  <c r="F27" i="7"/>
  <c r="D28" i="7"/>
  <c r="E28" i="7"/>
  <c r="F28" i="7" s="1"/>
  <c r="D29" i="7"/>
  <c r="E29" i="7"/>
  <c r="F29" i="7"/>
  <c r="D30" i="7"/>
  <c r="E30" i="7"/>
  <c r="F30" i="7" s="1"/>
  <c r="D31" i="7"/>
  <c r="E31" i="7"/>
  <c r="F31" i="7"/>
  <c r="D32" i="7"/>
  <c r="E32" i="7"/>
  <c r="F32" i="7"/>
  <c r="D33" i="7"/>
  <c r="E33" i="7"/>
  <c r="F33" i="7"/>
  <c r="D34" i="7"/>
  <c r="F34" i="7" s="1"/>
  <c r="E34" i="7"/>
  <c r="D35" i="7"/>
  <c r="E35" i="7"/>
  <c r="F35" i="7"/>
  <c r="D36" i="7"/>
  <c r="E36" i="7"/>
  <c r="F36" i="7"/>
  <c r="D37" i="7"/>
  <c r="E37" i="7"/>
  <c r="F37" i="7"/>
  <c r="D38" i="7"/>
  <c r="E38" i="7"/>
  <c r="F38" i="7"/>
  <c r="D39" i="7"/>
  <c r="F39" i="7" s="1"/>
  <c r="E39" i="7"/>
  <c r="D40" i="7"/>
  <c r="E40" i="7"/>
  <c r="F40" i="7"/>
  <c r="D41" i="7"/>
  <c r="E41" i="7"/>
  <c r="F41" i="7"/>
  <c r="D42" i="7"/>
  <c r="E42" i="7"/>
  <c r="F42" i="7"/>
  <c r="D43" i="7"/>
  <c r="E43" i="7"/>
  <c r="F43" i="7"/>
  <c r="D44" i="7"/>
  <c r="E44" i="7"/>
  <c r="F44" i="7" s="1"/>
  <c r="D45" i="7"/>
  <c r="E45" i="7"/>
  <c r="F45" i="7"/>
  <c r="D46" i="7"/>
  <c r="E46" i="7"/>
  <c r="F46" i="7"/>
  <c r="D47" i="7"/>
  <c r="E47" i="7"/>
  <c r="F47" i="7"/>
  <c r="D48" i="7"/>
  <c r="F48" i="7" s="1"/>
  <c r="E48" i="7"/>
  <c r="D49" i="7"/>
  <c r="E49" i="7"/>
  <c r="F49" i="7"/>
  <c r="D50" i="7"/>
  <c r="E50" i="7"/>
  <c r="F50" i="7"/>
  <c r="D51" i="7"/>
  <c r="E51" i="7"/>
  <c r="F51" i="7"/>
  <c r="D52" i="7"/>
  <c r="E52" i="7"/>
  <c r="F52" i="7"/>
  <c r="D2" i="6" l="1"/>
  <c r="F2" i="6" s="1"/>
  <c r="E2" i="6"/>
  <c r="D3" i="6"/>
  <c r="E3" i="6"/>
  <c r="F3" i="6"/>
  <c r="D4" i="6"/>
  <c r="E4" i="6"/>
  <c r="F4" i="6"/>
  <c r="D5" i="6"/>
  <c r="E5" i="6"/>
  <c r="F5" i="6"/>
  <c r="D6" i="6"/>
  <c r="F6" i="6" s="1"/>
  <c r="E6" i="6"/>
  <c r="D7" i="6"/>
  <c r="F7" i="6" s="1"/>
  <c r="E7" i="6"/>
  <c r="D8" i="6"/>
  <c r="E8" i="6"/>
  <c r="F8" i="6"/>
  <c r="D9" i="6"/>
  <c r="E9" i="6"/>
  <c r="F9" i="6"/>
  <c r="D10" i="6"/>
  <c r="E10" i="6"/>
  <c r="F10" i="6"/>
  <c r="D11" i="6"/>
  <c r="F11" i="6" s="1"/>
  <c r="E11" i="6"/>
  <c r="D12" i="6"/>
  <c r="E12" i="6"/>
  <c r="F12" i="6"/>
  <c r="D13" i="6"/>
  <c r="E13" i="6"/>
  <c r="F13" i="6"/>
  <c r="D14" i="6"/>
  <c r="E14" i="6"/>
  <c r="F14" i="6"/>
  <c r="D15" i="6"/>
  <c r="E15" i="6"/>
  <c r="F15" i="6"/>
  <c r="D16" i="6"/>
  <c r="F16" i="6" s="1"/>
  <c r="E16" i="6"/>
  <c r="D17" i="6"/>
  <c r="E17" i="6"/>
  <c r="F17" i="6"/>
  <c r="D18" i="6"/>
  <c r="E18" i="6"/>
  <c r="F18" i="6"/>
  <c r="D19" i="6"/>
  <c r="E19" i="6"/>
  <c r="F19" i="6"/>
  <c r="D20" i="6"/>
  <c r="F20" i="6" s="1"/>
  <c r="E20" i="6"/>
  <c r="D21" i="6"/>
  <c r="E21" i="6"/>
  <c r="F21" i="6"/>
  <c r="D22" i="6"/>
  <c r="E22" i="6"/>
  <c r="F22" i="6"/>
  <c r="D23" i="6"/>
  <c r="E23" i="6"/>
  <c r="F23" i="6"/>
  <c r="D24" i="6"/>
  <c r="E24" i="6"/>
  <c r="F24" i="6"/>
  <c r="D25" i="6"/>
  <c r="F25" i="6" s="1"/>
  <c r="E25" i="6"/>
  <c r="D26" i="6"/>
  <c r="E26" i="6"/>
  <c r="F26" i="6"/>
  <c r="D27" i="6"/>
  <c r="E27" i="6"/>
  <c r="F27" i="6"/>
  <c r="D28" i="6"/>
  <c r="E28" i="6"/>
  <c r="F28" i="6"/>
  <c r="D29" i="6"/>
  <c r="E29" i="6"/>
  <c r="F29" i="6"/>
  <c r="D30" i="6"/>
  <c r="F30" i="6" s="1"/>
  <c r="E30" i="6"/>
  <c r="D31" i="6"/>
  <c r="E31" i="6"/>
  <c r="F31" i="6"/>
  <c r="D32" i="6"/>
  <c r="E32" i="6"/>
  <c r="F32" i="6"/>
  <c r="D33" i="6"/>
  <c r="E33" i="6"/>
  <c r="F33" i="6"/>
  <c r="D34" i="6"/>
  <c r="F34" i="6" s="1"/>
  <c r="E34" i="6"/>
  <c r="D35" i="6"/>
  <c r="E35" i="6"/>
  <c r="F35" i="6"/>
  <c r="D36" i="6"/>
  <c r="E36" i="6"/>
  <c r="F36" i="6"/>
  <c r="D37" i="6"/>
  <c r="E37" i="6"/>
  <c r="F37" i="6"/>
  <c r="D38" i="6"/>
  <c r="E38" i="6"/>
  <c r="F38" i="6"/>
  <c r="D39" i="6"/>
  <c r="F39" i="6" s="1"/>
  <c r="E39" i="6"/>
  <c r="D40" i="6"/>
  <c r="E40" i="6"/>
  <c r="F40" i="6"/>
  <c r="D41" i="6"/>
  <c r="E41" i="6"/>
  <c r="F41" i="6"/>
  <c r="D42" i="6"/>
  <c r="E42" i="6"/>
  <c r="F42" i="6"/>
  <c r="D43" i="6"/>
  <c r="E43" i="6"/>
  <c r="F43" i="6"/>
  <c r="D44" i="6"/>
  <c r="F44" i="6" s="1"/>
  <c r="E44" i="6"/>
  <c r="D45" i="6"/>
  <c r="E45" i="6"/>
  <c r="F45" i="6"/>
  <c r="D46" i="6"/>
  <c r="E46" i="6"/>
  <c r="F46" i="6"/>
  <c r="D47" i="6"/>
  <c r="E47" i="6"/>
  <c r="F47" i="6"/>
  <c r="D48" i="6"/>
  <c r="F48" i="6" s="1"/>
  <c r="E48" i="6"/>
  <c r="D49" i="6"/>
  <c r="E49" i="6"/>
  <c r="F49" i="6"/>
  <c r="D50" i="6"/>
  <c r="E50" i="6"/>
  <c r="F50" i="6"/>
  <c r="D51" i="6"/>
  <c r="E51" i="6"/>
  <c r="F51" i="6"/>
  <c r="D52" i="6"/>
  <c r="E52" i="6"/>
  <c r="F52" i="6"/>
  <c r="D2" i="5" l="1"/>
  <c r="F2" i="5" s="1"/>
  <c r="E2" i="5"/>
  <c r="D3" i="5"/>
  <c r="F3" i="5" s="1"/>
  <c r="E3" i="5"/>
  <c r="D4" i="5"/>
  <c r="E4" i="5"/>
  <c r="F4" i="5" s="1"/>
  <c r="D5" i="5"/>
  <c r="E5" i="5"/>
  <c r="F5" i="5"/>
  <c r="D6" i="5"/>
  <c r="E6" i="5"/>
  <c r="F6" i="5"/>
  <c r="D7" i="5"/>
  <c r="E7" i="5"/>
  <c r="F7" i="5"/>
  <c r="D8" i="5"/>
  <c r="E8" i="5"/>
  <c r="F8" i="5"/>
  <c r="D9" i="5"/>
  <c r="E9" i="5"/>
  <c r="F9" i="5"/>
  <c r="D10" i="5"/>
  <c r="E10" i="5"/>
  <c r="F10" i="5"/>
  <c r="D11" i="5"/>
  <c r="F11" i="5" s="1"/>
  <c r="E11" i="5"/>
  <c r="D12" i="5"/>
  <c r="F12" i="5" s="1"/>
  <c r="E12" i="5"/>
  <c r="D13" i="5"/>
  <c r="E13" i="5"/>
  <c r="F13" i="5"/>
  <c r="D14" i="5"/>
  <c r="E14" i="5"/>
  <c r="F14" i="5"/>
  <c r="D15" i="5"/>
  <c r="E15" i="5"/>
  <c r="F15" i="5"/>
  <c r="D16" i="5"/>
  <c r="F16" i="5" s="1"/>
  <c r="E16" i="5"/>
  <c r="D17" i="5"/>
  <c r="F17" i="5" s="1"/>
  <c r="E17" i="5"/>
  <c r="D18" i="5"/>
  <c r="E18" i="5"/>
  <c r="F18" i="5" s="1"/>
  <c r="D19" i="5"/>
  <c r="E19" i="5"/>
  <c r="F19" i="5"/>
  <c r="D20" i="5"/>
  <c r="E20" i="5"/>
  <c r="F20" i="5"/>
  <c r="D21" i="5"/>
  <c r="E21" i="5"/>
  <c r="F21" i="5"/>
  <c r="D22" i="5"/>
  <c r="E22" i="5"/>
  <c r="F22" i="5"/>
  <c r="D23" i="5"/>
  <c r="E23" i="5"/>
  <c r="F23" i="5"/>
  <c r="D24" i="5"/>
  <c r="E24" i="5"/>
  <c r="F24" i="5"/>
  <c r="D25" i="5"/>
  <c r="F25" i="5" s="1"/>
  <c r="E25" i="5"/>
  <c r="D26" i="5"/>
  <c r="F26" i="5" s="1"/>
  <c r="E26" i="5"/>
  <c r="D27" i="5"/>
  <c r="E27" i="5"/>
  <c r="F27" i="5"/>
  <c r="D28" i="5"/>
  <c r="E28" i="5"/>
  <c r="F28" i="5"/>
  <c r="D29" i="5"/>
  <c r="E29" i="5"/>
  <c r="F29" i="5"/>
  <c r="D30" i="5"/>
  <c r="F30" i="5" s="1"/>
  <c r="E30" i="5"/>
  <c r="D31" i="5"/>
  <c r="F31" i="5" s="1"/>
  <c r="E31" i="5"/>
  <c r="D32" i="5"/>
  <c r="E32" i="5"/>
  <c r="F32" i="5"/>
  <c r="D33" i="5"/>
  <c r="E33" i="5"/>
  <c r="F33" i="5"/>
  <c r="D34" i="5"/>
  <c r="E34" i="5"/>
  <c r="F34" i="5"/>
  <c r="D35" i="5"/>
  <c r="E35" i="5"/>
  <c r="F35" i="5"/>
  <c r="D36" i="5"/>
  <c r="E36" i="5"/>
  <c r="F36" i="5"/>
  <c r="D37" i="5"/>
  <c r="E37" i="5"/>
  <c r="F37" i="5"/>
  <c r="D38" i="5"/>
  <c r="E38" i="5"/>
  <c r="F38" i="5"/>
  <c r="D39" i="5"/>
  <c r="F39" i="5" s="1"/>
  <c r="E39" i="5"/>
  <c r="D40" i="5"/>
  <c r="F40" i="5" s="1"/>
  <c r="E40" i="5"/>
  <c r="D41" i="5"/>
  <c r="E41" i="5"/>
  <c r="F41" i="5"/>
  <c r="D42" i="5"/>
  <c r="E42" i="5"/>
  <c r="F42" i="5"/>
  <c r="D43" i="5"/>
  <c r="E43" i="5"/>
  <c r="F43" i="5"/>
  <c r="D44" i="5"/>
  <c r="F44" i="5" s="1"/>
  <c r="E44" i="5"/>
  <c r="D45" i="5"/>
  <c r="F45" i="5" s="1"/>
  <c r="E45" i="5"/>
  <c r="D46" i="5"/>
  <c r="E46" i="5"/>
  <c r="F46" i="5"/>
  <c r="D47" i="5"/>
  <c r="E47" i="5"/>
  <c r="F47" i="5"/>
  <c r="D48" i="5"/>
  <c r="E48" i="5"/>
  <c r="F48" i="5"/>
  <c r="D49" i="5"/>
  <c r="E49" i="5"/>
  <c r="F49" i="5"/>
  <c r="D50" i="5"/>
  <c r="E50" i="5"/>
  <c r="F50" i="5"/>
  <c r="D2" i="4" l="1"/>
  <c r="E2" i="4"/>
  <c r="F2" i="4" s="1"/>
  <c r="D3" i="4"/>
  <c r="E3" i="4"/>
  <c r="F3" i="4"/>
  <c r="D4" i="4"/>
  <c r="E4" i="4"/>
  <c r="F4" i="4"/>
  <c r="D5" i="4"/>
  <c r="E5" i="4"/>
  <c r="F5" i="4"/>
  <c r="D6" i="4"/>
  <c r="F6" i="4" s="1"/>
  <c r="E6" i="4"/>
  <c r="D7" i="4"/>
  <c r="F7" i="4" s="1"/>
  <c r="E7" i="4"/>
  <c r="D8" i="4"/>
  <c r="E8" i="4"/>
  <c r="F8" i="4"/>
  <c r="D9" i="4"/>
  <c r="E9" i="4"/>
  <c r="F9" i="4"/>
  <c r="D10" i="4"/>
  <c r="E10" i="4"/>
  <c r="F10" i="4"/>
  <c r="D11" i="4"/>
  <c r="F11" i="4" s="1"/>
  <c r="E11" i="4"/>
  <c r="D12" i="4"/>
  <c r="E12" i="4"/>
  <c r="F12" i="4"/>
  <c r="D13" i="4"/>
  <c r="E13" i="4"/>
  <c r="F13" i="4"/>
  <c r="D14" i="4"/>
  <c r="E14" i="4"/>
  <c r="F14" i="4"/>
  <c r="D15" i="4"/>
  <c r="E15" i="4"/>
  <c r="F15" i="4"/>
  <c r="D16" i="4"/>
  <c r="E16" i="4"/>
  <c r="F16" i="4" s="1"/>
  <c r="D17" i="4"/>
  <c r="E17" i="4"/>
  <c r="F17" i="4"/>
  <c r="D18" i="4"/>
  <c r="E18" i="4"/>
  <c r="F18" i="4"/>
  <c r="D19" i="4"/>
  <c r="E19" i="4"/>
  <c r="F19" i="4"/>
  <c r="D20" i="4"/>
  <c r="F20" i="4" s="1"/>
  <c r="E20" i="4"/>
  <c r="D21" i="4"/>
  <c r="F21" i="4" s="1"/>
  <c r="E21" i="4"/>
  <c r="D22" i="4"/>
  <c r="E22" i="4"/>
  <c r="F22" i="4" s="1"/>
  <c r="D23" i="4"/>
  <c r="E23" i="4"/>
  <c r="F23" i="4"/>
  <c r="D24" i="4"/>
  <c r="E24" i="4"/>
  <c r="F24" i="4"/>
  <c r="D25" i="4"/>
  <c r="F25" i="4" s="1"/>
  <c r="E25" i="4"/>
  <c r="D26" i="4"/>
  <c r="E26" i="4"/>
  <c r="F26" i="4"/>
  <c r="D27" i="4"/>
  <c r="E27" i="4"/>
  <c r="F27" i="4"/>
  <c r="D28" i="4"/>
  <c r="E28" i="4"/>
  <c r="F28" i="4"/>
  <c r="D29" i="4"/>
  <c r="E29" i="4"/>
  <c r="F29" i="4"/>
  <c r="D30" i="4"/>
  <c r="E30" i="4"/>
  <c r="F30" i="4" s="1"/>
  <c r="D31" i="4"/>
  <c r="E31" i="4"/>
  <c r="F31" i="4"/>
  <c r="D32" i="4"/>
  <c r="E32" i="4"/>
  <c r="F32" i="4"/>
  <c r="D33" i="4"/>
  <c r="E33" i="4"/>
  <c r="F33" i="4"/>
  <c r="D34" i="4"/>
  <c r="F34" i="4" s="1"/>
  <c r="E34" i="4"/>
  <c r="D35" i="4"/>
  <c r="F35" i="4" s="1"/>
  <c r="E35" i="4"/>
  <c r="D36" i="4"/>
  <c r="E36" i="4"/>
  <c r="F36" i="4"/>
  <c r="D37" i="4"/>
  <c r="E37" i="4"/>
  <c r="F37" i="4"/>
  <c r="D38" i="4"/>
  <c r="E38" i="4"/>
  <c r="F38" i="4"/>
  <c r="D39" i="4"/>
  <c r="F39" i="4" s="1"/>
  <c r="E39" i="4"/>
  <c r="D40" i="4"/>
  <c r="E40" i="4"/>
  <c r="F40" i="4"/>
  <c r="D41" i="4"/>
  <c r="E41" i="4"/>
  <c r="F41" i="4"/>
  <c r="D42" i="4"/>
  <c r="E42" i="4"/>
  <c r="F42" i="4"/>
  <c r="D43" i="4"/>
  <c r="E43" i="4"/>
  <c r="F43" i="4"/>
  <c r="D44" i="4"/>
  <c r="F44" i="4" s="1"/>
  <c r="E44" i="4"/>
  <c r="D45" i="4"/>
  <c r="E45" i="4"/>
  <c r="F45" i="4"/>
  <c r="D46" i="4"/>
  <c r="E46" i="4"/>
  <c r="F46" i="4"/>
  <c r="D47" i="4"/>
  <c r="E47" i="4"/>
  <c r="F47" i="4"/>
  <c r="D48" i="4"/>
  <c r="F48" i="4" s="1"/>
  <c r="E48" i="4"/>
  <c r="D2" i="3" l="1"/>
  <c r="E2" i="3"/>
  <c r="F2" i="3"/>
  <c r="D3" i="3"/>
  <c r="E3" i="3"/>
  <c r="F3" i="3"/>
  <c r="D4" i="3"/>
  <c r="E4" i="3"/>
  <c r="F4" i="3"/>
  <c r="D5" i="3"/>
  <c r="E5" i="3"/>
  <c r="F5" i="3"/>
  <c r="D6" i="3"/>
  <c r="F6" i="3" s="1"/>
  <c r="E6" i="3"/>
  <c r="D7" i="3"/>
  <c r="E7" i="3"/>
  <c r="F7" i="3"/>
  <c r="D8" i="3"/>
  <c r="E8" i="3"/>
  <c r="F8" i="3"/>
  <c r="D9" i="3"/>
  <c r="E9" i="3"/>
  <c r="F9" i="3"/>
  <c r="D10" i="3"/>
  <c r="E10" i="3"/>
  <c r="F10" i="3"/>
  <c r="D11" i="3"/>
  <c r="F11" i="3" s="1"/>
  <c r="E11" i="3"/>
  <c r="D12" i="3"/>
  <c r="E12" i="3"/>
  <c r="F12" i="3" s="1"/>
  <c r="D13" i="3"/>
  <c r="E13" i="3"/>
  <c r="F13" i="3"/>
  <c r="D14" i="3"/>
  <c r="E14" i="3"/>
  <c r="F14" i="3"/>
  <c r="D15" i="3"/>
  <c r="E15" i="3"/>
  <c r="F15" i="3"/>
  <c r="D16" i="3"/>
  <c r="E16" i="3"/>
  <c r="F16" i="3"/>
  <c r="D17" i="3"/>
  <c r="E17" i="3"/>
  <c r="F17" i="3"/>
  <c r="D18" i="3"/>
  <c r="E18" i="3"/>
  <c r="F18" i="3"/>
  <c r="D19" i="3"/>
  <c r="E19" i="3"/>
  <c r="F19" i="3"/>
  <c r="D20" i="3"/>
  <c r="F20" i="3" s="1"/>
  <c r="E20" i="3"/>
  <c r="D21" i="3"/>
  <c r="E21" i="3"/>
  <c r="F21" i="3"/>
  <c r="D22" i="3"/>
  <c r="E22" i="3"/>
  <c r="F22" i="3"/>
  <c r="D23" i="3"/>
  <c r="F23" i="3" s="1"/>
  <c r="E23" i="3"/>
  <c r="D24" i="3"/>
  <c r="E24" i="3"/>
  <c r="F24" i="3"/>
  <c r="D25" i="3"/>
  <c r="F25" i="3" s="1"/>
  <c r="E25" i="3"/>
  <c r="D26" i="3"/>
  <c r="E26" i="3"/>
  <c r="F26" i="3" s="1"/>
  <c r="D27" i="3"/>
  <c r="E27" i="3"/>
  <c r="F27" i="3"/>
  <c r="D28" i="3"/>
  <c r="E28" i="3"/>
  <c r="F28" i="3"/>
  <c r="D29" i="3"/>
  <c r="E29" i="3"/>
  <c r="F29" i="3"/>
  <c r="D30" i="3"/>
  <c r="E30" i="3"/>
  <c r="F30" i="3"/>
  <c r="D31" i="3"/>
  <c r="E31" i="3"/>
  <c r="F31" i="3"/>
  <c r="D32" i="3"/>
  <c r="E32" i="3"/>
  <c r="F32" i="3"/>
  <c r="D33" i="3"/>
  <c r="E33" i="3"/>
  <c r="F33" i="3"/>
  <c r="D34" i="3"/>
  <c r="F34" i="3" s="1"/>
  <c r="E34" i="3"/>
  <c r="D35" i="3"/>
  <c r="E35" i="3"/>
  <c r="F35" i="3"/>
  <c r="D36" i="3"/>
  <c r="E36" i="3"/>
  <c r="F36" i="3"/>
  <c r="D37" i="3"/>
  <c r="E37" i="3"/>
  <c r="F37" i="3"/>
  <c r="D38" i="3"/>
  <c r="E38" i="3"/>
  <c r="F38" i="3"/>
  <c r="D39" i="3"/>
  <c r="F39" i="3" s="1"/>
  <c r="E39" i="3"/>
  <c r="D40" i="3"/>
  <c r="E40" i="3"/>
  <c r="F40" i="3" s="1"/>
  <c r="D41" i="3"/>
  <c r="E41" i="3"/>
  <c r="F41" i="3"/>
  <c r="D42" i="3"/>
  <c r="E42" i="3"/>
  <c r="F42" i="3"/>
  <c r="D43" i="3"/>
  <c r="E43" i="3"/>
  <c r="F43" i="3"/>
  <c r="D44" i="3"/>
  <c r="E44" i="3"/>
  <c r="F44" i="3"/>
  <c r="D45" i="3"/>
  <c r="F45" i="3" s="1"/>
  <c r="E45" i="3"/>
  <c r="D46" i="3"/>
  <c r="E46" i="3"/>
  <c r="F46" i="3"/>
  <c r="D47" i="3"/>
  <c r="E47" i="3"/>
  <c r="F47" i="3"/>
  <c r="D48" i="3"/>
  <c r="F48" i="3" s="1"/>
  <c r="E48" i="3"/>
  <c r="D2" i="2" l="1"/>
  <c r="E2" i="2"/>
  <c r="F2" i="2"/>
  <c r="D3" i="2"/>
  <c r="E3" i="2"/>
  <c r="F3" i="2"/>
  <c r="D4" i="2"/>
  <c r="E4" i="2"/>
  <c r="F4" i="2"/>
  <c r="D5" i="2"/>
  <c r="E5" i="2"/>
  <c r="F5" i="2"/>
  <c r="D6" i="2"/>
  <c r="E6" i="2"/>
  <c r="F6" i="2"/>
  <c r="D7" i="2"/>
  <c r="E7" i="2"/>
  <c r="F7" i="2" s="1"/>
  <c r="D8" i="2"/>
  <c r="E8" i="2"/>
  <c r="F8" i="2"/>
  <c r="D9" i="2"/>
  <c r="E9" i="2"/>
  <c r="F9" i="2"/>
  <c r="D10" i="2"/>
  <c r="E10" i="2"/>
  <c r="F10" i="2"/>
  <c r="D11" i="2"/>
  <c r="E11" i="2"/>
  <c r="F11" i="2"/>
  <c r="D12" i="2"/>
  <c r="F12" i="2" s="1"/>
  <c r="E12" i="2"/>
  <c r="D13" i="2"/>
  <c r="E13" i="2"/>
  <c r="F13" i="2"/>
  <c r="D14" i="2"/>
  <c r="E14" i="2"/>
  <c r="F14" i="2"/>
  <c r="D15" i="2"/>
  <c r="E15" i="2"/>
  <c r="F15" i="2" s="1"/>
  <c r="D16" i="2"/>
  <c r="F16" i="2" s="1"/>
  <c r="E16" i="2"/>
  <c r="D17" i="2"/>
  <c r="E17" i="2"/>
  <c r="F17" i="2"/>
  <c r="D18" i="2"/>
  <c r="F18" i="2" s="1"/>
  <c r="E18" i="2"/>
  <c r="D19" i="2"/>
  <c r="F19" i="2" s="1"/>
  <c r="E19" i="2"/>
  <c r="D20" i="2"/>
  <c r="E20" i="2"/>
  <c r="F20" i="2"/>
  <c r="D21" i="2"/>
  <c r="F21" i="2" s="1"/>
  <c r="E21" i="2"/>
  <c r="D22" i="2"/>
  <c r="E22" i="2"/>
  <c r="F22" i="2"/>
  <c r="D23" i="2"/>
  <c r="F23" i="2" s="1"/>
  <c r="E23" i="2"/>
  <c r="D24" i="2"/>
  <c r="F24" i="2" s="1"/>
  <c r="E24" i="2"/>
  <c r="D25" i="2"/>
  <c r="E25" i="2"/>
  <c r="F25" i="2"/>
  <c r="D26" i="2"/>
  <c r="F26" i="2" s="1"/>
  <c r="E26" i="2"/>
  <c r="D27" i="2"/>
  <c r="E27" i="2"/>
  <c r="F27" i="2"/>
  <c r="D28" i="2"/>
  <c r="E28" i="2"/>
  <c r="F28" i="2"/>
  <c r="D29" i="2"/>
  <c r="E29" i="2"/>
  <c r="F29" i="2"/>
  <c r="D30" i="2"/>
  <c r="F30" i="2" s="1"/>
  <c r="E30" i="2"/>
  <c r="D31" i="2"/>
  <c r="E31" i="2"/>
  <c r="F31" i="2"/>
  <c r="D32" i="2"/>
  <c r="F32" i="2" s="1"/>
  <c r="E32" i="2"/>
  <c r="D33" i="2"/>
  <c r="F33" i="2" s="1"/>
  <c r="E33" i="2"/>
  <c r="D34" i="2"/>
  <c r="E34" i="2"/>
  <c r="F34" i="2"/>
  <c r="D35" i="2"/>
  <c r="F35" i="2" s="1"/>
  <c r="E35" i="2"/>
  <c r="D36" i="2"/>
  <c r="E36" i="2"/>
  <c r="F36" i="2"/>
  <c r="D37" i="2"/>
  <c r="F37" i="2" s="1"/>
  <c r="E37" i="2"/>
  <c r="D38" i="2"/>
  <c r="F38" i="2" s="1"/>
  <c r="E38" i="2"/>
  <c r="D39" i="2"/>
  <c r="E39" i="2"/>
  <c r="F39" i="2"/>
  <c r="D40" i="2"/>
  <c r="F40" i="2" s="1"/>
  <c r="E40" i="2"/>
  <c r="D41" i="2"/>
  <c r="E41" i="2"/>
  <c r="F41" i="2"/>
  <c r="D42" i="2"/>
  <c r="E42" i="2"/>
  <c r="F42" i="2"/>
  <c r="D43" i="2"/>
  <c r="E43" i="2"/>
  <c r="F43" i="2"/>
  <c r="D44" i="2"/>
  <c r="F44" i="2" s="1"/>
  <c r="E44" i="2"/>
  <c r="D45" i="2"/>
  <c r="E45" i="2"/>
  <c r="F45" i="2"/>
  <c r="D46" i="2"/>
  <c r="F46" i="2" s="1"/>
  <c r="E46" i="2"/>
  <c r="D47" i="2"/>
  <c r="F47" i="2" s="1"/>
  <c r="E47" i="2"/>
  <c r="E32" i="1" l="1"/>
  <c r="D32" i="1"/>
  <c r="F32" i="1" s="1"/>
  <c r="E38" i="1"/>
  <c r="D38" i="1"/>
  <c r="F38" i="1" s="1"/>
  <c r="E25" i="1"/>
  <c r="D25" i="1"/>
  <c r="E2" i="1"/>
  <c r="D2" i="1"/>
  <c r="E16" i="1"/>
  <c r="D16" i="1"/>
  <c r="E34" i="1"/>
  <c r="D34" i="1"/>
  <c r="E33" i="1"/>
  <c r="D33" i="1"/>
  <c r="E18" i="1"/>
  <c r="D18" i="1"/>
  <c r="E31" i="1"/>
  <c r="D31" i="1"/>
  <c r="E15" i="1"/>
  <c r="D15" i="1"/>
  <c r="E21" i="1"/>
  <c r="D21" i="1"/>
  <c r="F21" i="1" s="1"/>
  <c r="E7" i="1"/>
  <c r="D7" i="1"/>
  <c r="F7" i="1" s="1"/>
  <c r="D27" i="1"/>
  <c r="E14" i="1"/>
  <c r="D14" i="1"/>
  <c r="E12" i="1"/>
  <c r="D12" i="1"/>
  <c r="E5" i="1"/>
  <c r="D5" i="1"/>
  <c r="E11" i="1"/>
  <c r="D11" i="1"/>
  <c r="F11" i="1" s="1"/>
  <c r="E6" i="1"/>
  <c r="F6" i="1" s="1"/>
  <c r="D6" i="1"/>
  <c r="E23" i="1"/>
  <c r="D23" i="1"/>
  <c r="F23" i="1" s="1"/>
  <c r="E17" i="1"/>
  <c r="D17" i="1"/>
  <c r="E29" i="1"/>
  <c r="D29" i="1"/>
  <c r="E9" i="1"/>
  <c r="D9" i="1"/>
  <c r="E28" i="1"/>
  <c r="D28" i="1"/>
  <c r="F28" i="1" s="1"/>
  <c r="E24" i="1"/>
  <c r="F24" i="1" s="1"/>
  <c r="D24" i="1"/>
  <c r="E13" i="1"/>
  <c r="D13" i="1"/>
  <c r="F13" i="1" s="1"/>
  <c r="E20" i="1"/>
  <c r="D20" i="1"/>
  <c r="F20" i="1" s="1"/>
  <c r="E4" i="1"/>
  <c r="D4" i="1"/>
  <c r="E22" i="1"/>
  <c r="D22" i="1"/>
  <c r="F22" i="1" s="1"/>
  <c r="E30" i="1"/>
  <c r="D30" i="1"/>
  <c r="E19" i="1"/>
  <c r="D19" i="1"/>
  <c r="E8" i="1"/>
  <c r="D8" i="1"/>
  <c r="E26" i="1"/>
  <c r="D26" i="1"/>
  <c r="E41" i="1"/>
  <c r="D41" i="1"/>
  <c r="F41" i="1" s="1"/>
  <c r="E35" i="1"/>
  <c r="D35" i="1"/>
  <c r="F35" i="1" s="1"/>
  <c r="F27" i="1"/>
  <c r="F12" i="1"/>
  <c r="F14" i="1"/>
  <c r="F33" i="1"/>
  <c r="F8" i="1"/>
  <c r="F18" i="1"/>
  <c r="F29" i="1"/>
  <c r="F4" i="1"/>
  <c r="F9" i="1"/>
  <c r="E3" i="1"/>
  <c r="F3" i="1" s="1"/>
  <c r="D3" i="1"/>
  <c r="E39" i="1"/>
  <c r="D39" i="1"/>
  <c r="F39" i="1" s="1"/>
  <c r="E40" i="1"/>
  <c r="D40" i="1"/>
  <c r="E36" i="1"/>
  <c r="D36" i="1"/>
  <c r="F36" i="1" s="1"/>
  <c r="E10" i="1"/>
  <c r="D10" i="1"/>
  <c r="F10" i="1" s="1"/>
  <c r="E37" i="1"/>
  <c r="D37" i="1"/>
  <c r="F37" i="1" s="1"/>
  <c r="F5" i="1" l="1"/>
  <c r="F15" i="1"/>
  <c r="F2" i="1"/>
  <c r="F16" i="1"/>
  <c r="F25" i="1"/>
  <c r="F40" i="1"/>
  <c r="F26" i="1"/>
  <c r="F17" i="1"/>
  <c r="F34" i="1"/>
  <c r="F30" i="1"/>
  <c r="F19" i="1"/>
  <c r="F31" i="1"/>
</calcChain>
</file>

<file path=xl/sharedStrings.xml><?xml version="1.0" encoding="utf-8"?>
<sst xmlns="http://schemas.openxmlformats.org/spreadsheetml/2006/main" count="1561" uniqueCount="150">
  <si>
    <t>Rank</t>
  </si>
  <si>
    <t>Player</t>
  </si>
  <si>
    <t>Team</t>
  </si>
  <si>
    <t>Total Points</t>
  </si>
  <si>
    <t>Total Darts</t>
  </si>
  <si>
    <t>Total PPD</t>
  </si>
  <si>
    <t>Wks Played</t>
  </si>
  <si>
    <t>501 BP</t>
  </si>
  <si>
    <t>RON</t>
  </si>
  <si>
    <t xml:space="preserve"> MVP Pts</t>
  </si>
  <si>
    <t>Payout</t>
  </si>
  <si>
    <t>Richie Thomas</t>
  </si>
  <si>
    <t>Luigi's Loose Change</t>
  </si>
  <si>
    <t>VFW 1589 Bad Monkeys</t>
  </si>
  <si>
    <t>Larry Jenkins</t>
  </si>
  <si>
    <t xml:space="preserve">Purple Cow 1  </t>
  </si>
  <si>
    <t>Elks Wiseguys</t>
  </si>
  <si>
    <t>Matt Nacarate</t>
  </si>
  <si>
    <t>Steve Stockett</t>
  </si>
  <si>
    <t>Jimmy Smith</t>
  </si>
  <si>
    <t>Legion Post 174 Snipers</t>
  </si>
  <si>
    <t xml:space="preserve">Sam Powers </t>
  </si>
  <si>
    <t>Richard Whisler</t>
  </si>
  <si>
    <t>Josh Jenkins</t>
  </si>
  <si>
    <t>Beaver Galusky</t>
  </si>
  <si>
    <t>Rob Cicchino</t>
  </si>
  <si>
    <t>Elks Jolly</t>
  </si>
  <si>
    <t>Zach Barlow</t>
  </si>
  <si>
    <t>Travis Ruckle</t>
  </si>
  <si>
    <t>John Powers</t>
  </si>
  <si>
    <t>Griffin Wilcox</t>
  </si>
  <si>
    <t>VFW 1589 Dissapointers</t>
  </si>
  <si>
    <t>Ryan Swaniger</t>
  </si>
  <si>
    <t>Jon Kline</t>
  </si>
  <si>
    <t>Barb Hardy</t>
  </si>
  <si>
    <t>Kevin Ruckle</t>
  </si>
  <si>
    <t>Alex Keenan</t>
  </si>
  <si>
    <t>JL Brown</t>
  </si>
  <si>
    <t>Joe White</t>
  </si>
  <si>
    <t>Marshall Jenkins</t>
  </si>
  <si>
    <t>Alex Rice</t>
  </si>
  <si>
    <t>Bryant Losh</t>
  </si>
  <si>
    <t xml:space="preserve">Teams - Overall </t>
  </si>
  <si>
    <t>Wins</t>
  </si>
  <si>
    <t>Points</t>
  </si>
  <si>
    <t>Weekly Payouts and Season High's</t>
  </si>
  <si>
    <t xml:space="preserve">Season Best Game 501:  </t>
  </si>
  <si>
    <t xml:space="preserve">PURPLE COW 1 </t>
  </si>
  <si>
    <t xml:space="preserve">High Average for Week:   </t>
  </si>
  <si>
    <t>VFW 1589 DISSAPOINTERS</t>
  </si>
  <si>
    <t xml:space="preserve">High in 301 for the week: </t>
  </si>
  <si>
    <t xml:space="preserve">High Out for the week: </t>
  </si>
  <si>
    <t>LUIGI'S LOOSE CHANGE</t>
  </si>
  <si>
    <t xml:space="preserve">Season High In for 301:  </t>
  </si>
  <si>
    <t xml:space="preserve">Season High Out:    </t>
  </si>
  <si>
    <t>ELKS WISEGUYS</t>
  </si>
  <si>
    <t>VFW 1589 BAD MONKEYS</t>
  </si>
  <si>
    <t>LEGION POST 174 SNIPERS</t>
  </si>
  <si>
    <t>ELKS JOLLY</t>
  </si>
  <si>
    <t>Stephen Thurbon</t>
  </si>
  <si>
    <t>Gary Daft</t>
  </si>
  <si>
    <t>Alwyn Thurbon</t>
  </si>
  <si>
    <t>Purple Cow Tippers</t>
  </si>
  <si>
    <t>PURPLE COW TIPPERS</t>
  </si>
  <si>
    <t>Timmy Frymyer</t>
  </si>
  <si>
    <t>Doug Himes</t>
  </si>
  <si>
    <t xml:space="preserve">POP A TOP </t>
  </si>
  <si>
    <t>Todd Wotring</t>
  </si>
  <si>
    <t>Seth Boyles</t>
  </si>
  <si>
    <t>Bob Fox</t>
  </si>
  <si>
    <t>Shawn Cole</t>
  </si>
  <si>
    <t>Thom Douglas</t>
  </si>
  <si>
    <t>Allen Collins</t>
  </si>
  <si>
    <t>Pop A Top</t>
  </si>
  <si>
    <t>John Sinclair</t>
  </si>
  <si>
    <t>Doug Tennant</t>
  </si>
  <si>
    <t>Classics Rocks</t>
  </si>
  <si>
    <t>CLASSICS ROCKS</t>
  </si>
  <si>
    <t>Jerry Shiflett</t>
  </si>
  <si>
    <t>Dave Novotney</t>
  </si>
  <si>
    <t>Week 1</t>
  </si>
  <si>
    <t>Stephen Thurbon 99 Out</t>
  </si>
  <si>
    <t>Jimmy Smith 120 In</t>
  </si>
  <si>
    <t>Chase Freeman</t>
  </si>
  <si>
    <t>Chase Freeman 18 Dart Game</t>
  </si>
  <si>
    <t>Chase Freeman 22.10</t>
  </si>
  <si>
    <t>Bye Week</t>
  </si>
  <si>
    <t>Losses</t>
  </si>
  <si>
    <t>LUIGI'S SPARTANS</t>
  </si>
  <si>
    <t>Jimmy Smith 151 Out</t>
  </si>
  <si>
    <t>Travis Ruckle 100 In</t>
  </si>
  <si>
    <t>Joe White 18.55</t>
  </si>
  <si>
    <t>Week 2</t>
  </si>
  <si>
    <t>Harley Hall</t>
  </si>
  <si>
    <t>Luigi's Spartans</t>
  </si>
  <si>
    <t>Scott Williams</t>
  </si>
  <si>
    <t>Tammy Allen</t>
  </si>
  <si>
    <t>Josh Stegmaier</t>
  </si>
  <si>
    <t>Tim Rosati</t>
  </si>
  <si>
    <t>Alex Ruscin</t>
  </si>
  <si>
    <t>CJ Ruscin</t>
  </si>
  <si>
    <t>Doug Himes 66 Out</t>
  </si>
  <si>
    <t>Rob Cicchino 112 In</t>
  </si>
  <si>
    <t>CJ Ruscin 20.40</t>
  </si>
  <si>
    <t>Chase Freeman/ CJ Ruscin 18 Dart Game</t>
  </si>
  <si>
    <t>Week 3</t>
  </si>
  <si>
    <t>Jimmy Smith 160 In</t>
  </si>
  <si>
    <t>Stephen Thurbon 79 Out</t>
  </si>
  <si>
    <t>Jerry Shiflett 20.04</t>
  </si>
  <si>
    <t>Chase Freeman/CJ Ruscin 18 Dart Game</t>
  </si>
  <si>
    <t>Week 4</t>
  </si>
  <si>
    <t>Travis Ruckle 126 Out</t>
  </si>
  <si>
    <t>CJ Ruscin 19.93</t>
  </si>
  <si>
    <t>Chase Freeman/CJ Ruscin/Travis Ruckle/Pat Nabors 18 Dart Game</t>
  </si>
  <si>
    <t>Week 5</t>
  </si>
  <si>
    <t>Holly Thurbon</t>
  </si>
  <si>
    <t>Pat Nabors</t>
  </si>
  <si>
    <t>Larry Jenkins 137 Out</t>
  </si>
  <si>
    <t>Kathryn Elgin 90 In</t>
  </si>
  <si>
    <t>Marshall Jenkins 17.56</t>
  </si>
  <si>
    <t>Week 6</t>
  </si>
  <si>
    <t>Kathryn Elgin</t>
  </si>
  <si>
    <t>Lee Besse</t>
  </si>
  <si>
    <t>Alex Ruscin 120 Out</t>
  </si>
  <si>
    <t>Richard Whisler 105 In</t>
  </si>
  <si>
    <t>CJ Ruscin 21.47</t>
  </si>
  <si>
    <t>Week 7</t>
  </si>
  <si>
    <t>Shawn Kerr</t>
  </si>
  <si>
    <t>Marshall Jenkins 94 Out</t>
  </si>
  <si>
    <t>Jon Kline 114 In</t>
  </si>
  <si>
    <t>Jerry Shiflett 19.03</t>
  </si>
  <si>
    <t>Week 8</t>
  </si>
  <si>
    <t>Barb Hardy 114 Out</t>
  </si>
  <si>
    <t>Gary Daft 97 In</t>
  </si>
  <si>
    <t>Chase Freeman 20.04</t>
  </si>
  <si>
    <t>Week 9</t>
  </si>
  <si>
    <t>Steve Root</t>
  </si>
  <si>
    <t>Ed Davis</t>
  </si>
  <si>
    <t>Sharea Bishop</t>
  </si>
  <si>
    <t>Kathryn Elgin 90 Out</t>
  </si>
  <si>
    <t>Paul Byer 110 In</t>
  </si>
  <si>
    <t>Sam Powers 19.78</t>
  </si>
  <si>
    <t>Week 10</t>
  </si>
  <si>
    <t>Gabbie Mellie</t>
  </si>
  <si>
    <t>Paul Byer</t>
  </si>
  <si>
    <t>Jerry Shiflett 135 Out</t>
  </si>
  <si>
    <t>Allen Collins 146 In</t>
  </si>
  <si>
    <t>Ryan Swaniger 18.33</t>
  </si>
  <si>
    <t>Week 11</t>
  </si>
  <si>
    <t>Nathan Cope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</si>
</sst>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[$$-409]* #,##0.00_);_([$$-409]* \(#,##0.00\);_([$$-409]* &quot;-&quot;??_);_(@_)"/>
  </numFmts>
  <fonts count="4" x14ac:knownFonts="1">
    <font>
      <sz val="11"/>
      <color theme="1"/>
      <name val="Calibri"/>
      <family val="2"/>
      <scheme val="minor"/>
    </font>
    <font>
      <sz val="14"/>
      <name val="Calibri"/>
      <family val="2"/>
    </font>
    <font>
      <sz val="14"/>
      <color rgb="FF000000"/>
      <name val="Calibri"/>
      <family val="2"/>
    </font>
    <font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theme="2" tint="-9.9978637043366805E-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2" borderId="1" xfId="0" applyFont="1" applyFill="1" applyBorder="1" applyAlignment="1">
      <alignment textRotation="73"/>
    </xf>
    <xf numFmtId="0" fontId="1" fillId="2" borderId="1" xfId="0" applyFont="1" applyFill="1" applyBorder="1" applyAlignment="1">
      <alignment textRotation="73" wrapText="1"/>
    </xf>
    <xf numFmtId="0" fontId="2" fillId="0" borderId="2" xfId="0" applyFont="1" applyBorder="1"/>
    <xf numFmtId="0" fontId="1" fillId="0" borderId="2" xfId="0" applyFont="1" applyBorder="1"/>
    <xf numFmtId="0" fontId="1" fillId="0" borderId="0" xfId="0" applyFont="1"/>
    <xf numFmtId="0" fontId="2" fillId="0" borderId="0" xfId="0" applyFont="1"/>
    <xf numFmtId="0" fontId="1" fillId="0" borderId="3" xfId="0" applyFont="1" applyBorder="1"/>
    <xf numFmtId="0" fontId="1" fillId="0" borderId="1" xfId="0" applyFont="1" applyBorder="1"/>
    <xf numFmtId="0" fontId="3" fillId="0" borderId="3" xfId="0" applyFont="1" applyBorder="1"/>
    <xf numFmtId="0" fontId="3" fillId="0" borderId="5" xfId="0" applyFont="1" applyBorder="1"/>
    <xf numFmtId="0" fontId="2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/>
    </xf>
    <xf numFmtId="164" fontId="2" fillId="0" borderId="2" xfId="0" applyNumberFormat="1" applyFont="1" applyBorder="1" applyAlignment="1">
      <alignment horizontal="center"/>
    </xf>
    <xf numFmtId="0" fontId="3" fillId="0" borderId="2" xfId="0" applyFont="1" applyBorder="1"/>
    <xf numFmtId="0" fontId="1" fillId="0" borderId="5" xfId="0" applyFont="1" applyBorder="1"/>
    <xf numFmtId="0" fontId="2" fillId="0" borderId="5" xfId="0" applyFont="1" applyBorder="1"/>
    <xf numFmtId="0" fontId="1" fillId="0" borderId="9" xfId="0" applyFont="1" applyBorder="1"/>
    <xf numFmtId="0" fontId="3" fillId="0" borderId="9" xfId="0" applyFont="1" applyBorder="1"/>
    <xf numFmtId="0" fontId="1" fillId="0" borderId="4" xfId="0" applyFont="1" applyBorder="1"/>
    <xf numFmtId="0" fontId="1" fillId="4" borderId="26" xfId="0" applyFont="1" applyFill="1" applyBorder="1"/>
    <xf numFmtId="0" fontId="1" fillId="4" borderId="27" xfId="0" applyFont="1" applyFill="1" applyBorder="1"/>
    <xf numFmtId="0" fontId="1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1" fillId="4" borderId="25" xfId="0" applyFont="1" applyFill="1" applyBorder="1" applyAlignment="1">
      <alignment horizontal="center"/>
    </xf>
    <xf numFmtId="0" fontId="1" fillId="4" borderId="26" xfId="0" applyFont="1" applyFill="1" applyBorder="1" applyAlignment="1">
      <alignment horizontal="center"/>
    </xf>
    <xf numFmtId="0" fontId="1" fillId="0" borderId="11" xfId="0" applyFont="1" applyFill="1" applyBorder="1"/>
    <xf numFmtId="0" fontId="0" fillId="0" borderId="12" xfId="0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7" xfId="0" applyFont="1" applyBorder="1"/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3" borderId="8" xfId="0" applyFont="1" applyFill="1" applyBorder="1" applyAlignment="1">
      <alignment horizontal="center" vertical="center" textRotation="90" wrapText="1"/>
    </xf>
    <xf numFmtId="0" fontId="1" fillId="3" borderId="23" xfId="0" applyFont="1" applyFill="1" applyBorder="1" applyAlignment="1">
      <alignment horizontal="center" vertical="center" textRotation="90" wrapText="1"/>
    </xf>
    <xf numFmtId="0" fontId="1" fillId="3" borderId="24" xfId="0" applyFont="1" applyFill="1" applyBorder="1" applyAlignment="1">
      <alignment horizontal="center" vertical="center" textRotation="90" wrapText="1"/>
    </xf>
    <xf numFmtId="0" fontId="2" fillId="0" borderId="3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1" fillId="4" borderId="16" xfId="0" applyFont="1" applyFill="1" applyBorder="1" applyAlignment="1">
      <alignment horizontal="center"/>
    </xf>
    <xf numFmtId="0" fontId="1" fillId="4" borderId="17" xfId="0" applyFont="1" applyFill="1" applyBorder="1" applyAlignment="1">
      <alignment horizontal="center"/>
    </xf>
    <xf numFmtId="0" fontId="1" fillId="4" borderId="18" xfId="0" applyFont="1" applyFill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1" xfId="0" applyFont="1" applyBorder="1"/>
    <xf numFmtId="0" fontId="1" fillId="3" borderId="28" xfId="0" applyFont="1" applyFill="1" applyBorder="1" applyAlignment="1">
      <alignment horizontal="center" vertical="center" textRotation="90" wrapText="1"/>
    </xf>
    <xf numFmtId="0" fontId="1" fillId="3" borderId="29" xfId="0" applyFont="1" applyFill="1" applyBorder="1" applyAlignment="1">
      <alignment horizontal="center" vertical="center" textRotation="90" wrapText="1"/>
    </xf>
    <xf numFmtId="0" fontId="3" fillId="0" borderId="27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25" xfId="0" applyFont="1" applyBorder="1"/>
    <xf numFmtId="0" fontId="1" fillId="4" borderId="30" xfId="0" applyFont="1" applyFill="1" applyBorder="1"/>
    <xf numFmtId="0" fontId="1" fillId="4" borderId="31" xfId="0" applyFont="1" applyFill="1" applyBorder="1"/>
    <xf numFmtId="0" fontId="1" fillId="4" borderId="31" xfId="0" applyFont="1" applyFill="1" applyBorder="1" applyAlignment="1">
      <alignment horizontal="center"/>
    </xf>
    <xf numFmtId="0" fontId="1" fillId="4" borderId="32" xfId="0" applyFont="1" applyFill="1" applyBorder="1" applyAlignment="1">
      <alignment horizontal="center"/>
    </xf>
    <xf numFmtId="0" fontId="1" fillId="0" borderId="7" xfId="0" applyFont="1" applyBorder="1"/>
    <xf numFmtId="0" fontId="3" fillId="0" borderId="4" xfId="0" applyFont="1" applyBorder="1"/>
    <xf numFmtId="0" fontId="2" fillId="0" borderId="3" xfId="0" applyFont="1" applyBorder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8"/>
  <sheetViews>
    <sheetView workbookViewId="0">
      <pane ySplit="1" topLeftCell="A30" activePane="bottomLeft" state="frozen"/>
      <selection pane="bottomLeft" activeCell="A40" sqref="A40"/>
    </sheetView>
  </sheetViews>
  <sheetFormatPr defaultRowHeight="14.5" x14ac:dyDescent="0.35"/>
  <cols>
    <col min="1" max="1" width="5.453125" bestFit="1" customWidth="1"/>
    <col min="2" max="2" width="23.81640625" bestFit="1" customWidth="1"/>
    <col min="3" max="3" width="31.1796875" bestFit="1" customWidth="1"/>
    <col min="4" max="5" width="10.7265625" bestFit="1" customWidth="1"/>
    <col min="6" max="6" width="7.7265625" bestFit="1" customWidth="1"/>
    <col min="7" max="7" width="12.1796875" bestFit="1" customWidth="1"/>
    <col min="8" max="11" width="5.7265625" customWidth="1"/>
    <col min="12" max="12" width="7.7265625" bestFit="1" customWidth="1"/>
    <col min="13" max="13" width="10.81640625" bestFit="1" customWidth="1"/>
    <col min="18" max="18" width="18.81640625" customWidth="1"/>
  </cols>
  <sheetData>
    <row r="1" spans="1:13" ht="73.5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1" t="s">
        <v>7</v>
      </c>
      <c r="I1" s="1">
        <v>180</v>
      </c>
      <c r="J1" s="1">
        <v>171</v>
      </c>
      <c r="K1" s="1" t="s">
        <v>8</v>
      </c>
      <c r="L1" s="2" t="s">
        <v>9</v>
      </c>
      <c r="M1" s="2" t="s">
        <v>10</v>
      </c>
    </row>
    <row r="2" spans="1:13" ht="18.5" x14ac:dyDescent="0.45">
      <c r="A2" s="3">
        <v>1</v>
      </c>
      <c r="B2" s="4" t="s">
        <v>83</v>
      </c>
      <c r="C2" s="4" t="s">
        <v>15</v>
      </c>
      <c r="D2" s="11">
        <f>SUM(1503)</f>
        <v>1503</v>
      </c>
      <c r="E2" s="11">
        <f>SUM(68)</f>
        <v>68</v>
      </c>
      <c r="F2" s="12">
        <f t="shared" ref="F2:F41" si="0">D2/E2</f>
        <v>22.102941176470587</v>
      </c>
      <c r="G2" s="11">
        <v>1</v>
      </c>
      <c r="H2" s="11">
        <v>1</v>
      </c>
      <c r="I2" s="11"/>
      <c r="J2" s="11"/>
      <c r="K2" s="11"/>
      <c r="L2" s="11">
        <v>5</v>
      </c>
      <c r="M2" s="13">
        <v>5</v>
      </c>
    </row>
    <row r="3" spans="1:13" ht="18.5" x14ac:dyDescent="0.45">
      <c r="A3" s="3">
        <v>2</v>
      </c>
      <c r="B3" s="4" t="s">
        <v>25</v>
      </c>
      <c r="C3" s="4" t="s">
        <v>16</v>
      </c>
      <c r="D3" s="11">
        <f>SUM(1503)</f>
        <v>1503</v>
      </c>
      <c r="E3" s="11">
        <f>SUM(80)</f>
        <v>80</v>
      </c>
      <c r="F3" s="12">
        <f t="shared" si="0"/>
        <v>18.787500000000001</v>
      </c>
      <c r="G3" s="11">
        <v>1</v>
      </c>
      <c r="H3" s="11">
        <v>1</v>
      </c>
      <c r="I3" s="11"/>
      <c r="J3" s="11"/>
      <c r="K3" s="11"/>
      <c r="L3" s="11">
        <v>4.5</v>
      </c>
      <c r="M3" s="13"/>
    </row>
    <row r="4" spans="1:13" ht="18.5" x14ac:dyDescent="0.45">
      <c r="A4" s="3">
        <v>3</v>
      </c>
      <c r="B4" s="4" t="s">
        <v>27</v>
      </c>
      <c r="C4" s="4" t="s">
        <v>12</v>
      </c>
      <c r="D4" s="11">
        <f>SUM(1503)</f>
        <v>1503</v>
      </c>
      <c r="E4" s="11">
        <f>SUM(84)</f>
        <v>84</v>
      </c>
      <c r="F4" s="12">
        <f t="shared" si="0"/>
        <v>17.892857142857142</v>
      </c>
      <c r="G4" s="11">
        <v>1</v>
      </c>
      <c r="H4" s="11">
        <v>1</v>
      </c>
      <c r="I4" s="11"/>
      <c r="J4" s="11"/>
      <c r="K4" s="11"/>
      <c r="L4" s="11">
        <v>4.5</v>
      </c>
      <c r="M4" s="13"/>
    </row>
    <row r="5" spans="1:13" ht="18.5" x14ac:dyDescent="0.45">
      <c r="A5" s="3">
        <v>4</v>
      </c>
      <c r="B5" s="4" t="s">
        <v>38</v>
      </c>
      <c r="C5" s="7" t="s">
        <v>31</v>
      </c>
      <c r="D5" s="11">
        <f>SUM(1470)</f>
        <v>1470</v>
      </c>
      <c r="E5" s="11">
        <f>SUM(86)</f>
        <v>86</v>
      </c>
      <c r="F5" s="12">
        <f t="shared" si="0"/>
        <v>17.093023255813954</v>
      </c>
      <c r="G5" s="11">
        <v>1</v>
      </c>
      <c r="H5" s="11"/>
      <c r="I5" s="11"/>
      <c r="J5" s="11"/>
      <c r="K5" s="11"/>
      <c r="L5" s="11">
        <v>3</v>
      </c>
      <c r="M5" s="13"/>
    </row>
    <row r="6" spans="1:13" ht="18.5" x14ac:dyDescent="0.45">
      <c r="A6" s="3">
        <v>5</v>
      </c>
      <c r="B6" s="4" t="s">
        <v>17</v>
      </c>
      <c r="C6" s="4" t="s">
        <v>13</v>
      </c>
      <c r="D6" s="11">
        <f>SUM(1503)</f>
        <v>1503</v>
      </c>
      <c r="E6" s="11">
        <f>SUM(90)</f>
        <v>90</v>
      </c>
      <c r="F6" s="12">
        <f t="shared" si="0"/>
        <v>16.7</v>
      </c>
      <c r="G6" s="11">
        <v>1</v>
      </c>
      <c r="H6" s="11">
        <v>1</v>
      </c>
      <c r="I6" s="11"/>
      <c r="J6" s="11"/>
      <c r="K6" s="11"/>
      <c r="L6" s="11">
        <v>4.5</v>
      </c>
      <c r="M6" s="13"/>
    </row>
    <row r="7" spans="1:13" ht="18.5" x14ac:dyDescent="0.45">
      <c r="A7" s="3">
        <v>6</v>
      </c>
      <c r="B7" s="3" t="s">
        <v>32</v>
      </c>
      <c r="C7" s="4" t="s">
        <v>20</v>
      </c>
      <c r="D7" s="11">
        <f>SUM(1359)</f>
        <v>1359</v>
      </c>
      <c r="E7" s="11">
        <f>SUM(84)</f>
        <v>84</v>
      </c>
      <c r="F7" s="12">
        <f t="shared" si="0"/>
        <v>16.178571428571427</v>
      </c>
      <c r="G7" s="11">
        <v>1</v>
      </c>
      <c r="H7" s="11">
        <v>1</v>
      </c>
      <c r="I7" s="11"/>
      <c r="J7" s="11"/>
      <c r="K7" s="11"/>
      <c r="L7" s="11">
        <v>3</v>
      </c>
      <c r="M7" s="13"/>
    </row>
    <row r="8" spans="1:13" ht="18.5" x14ac:dyDescent="0.45">
      <c r="A8" s="3">
        <v>7</v>
      </c>
      <c r="B8" s="4" t="s">
        <v>28</v>
      </c>
      <c r="C8" s="4" t="s">
        <v>62</v>
      </c>
      <c r="D8" s="11">
        <f>SUM(1327)</f>
        <v>1327</v>
      </c>
      <c r="E8" s="11">
        <f>SUM(84)</f>
        <v>84</v>
      </c>
      <c r="F8" s="12">
        <f t="shared" si="0"/>
        <v>15.797619047619047</v>
      </c>
      <c r="G8" s="11">
        <v>1</v>
      </c>
      <c r="H8" s="11"/>
      <c r="I8" s="11"/>
      <c r="J8" s="11"/>
      <c r="K8" s="11"/>
      <c r="L8" s="11">
        <v>1.5</v>
      </c>
      <c r="M8" s="13"/>
    </row>
    <row r="9" spans="1:13" ht="18.5" x14ac:dyDescent="0.45">
      <c r="A9" s="3">
        <v>8</v>
      </c>
      <c r="B9" s="14" t="s">
        <v>33</v>
      </c>
      <c r="C9" s="4" t="s">
        <v>26</v>
      </c>
      <c r="D9" s="11">
        <f>SUM(1311)</f>
        <v>1311</v>
      </c>
      <c r="E9" s="11">
        <f>SUM(84)</f>
        <v>84</v>
      </c>
      <c r="F9" s="12">
        <f t="shared" si="0"/>
        <v>15.607142857142858</v>
      </c>
      <c r="G9" s="11">
        <v>1</v>
      </c>
      <c r="H9" s="11"/>
      <c r="I9" s="11"/>
      <c r="J9" s="11"/>
      <c r="K9" s="11"/>
      <c r="L9" s="11">
        <v>1.5</v>
      </c>
      <c r="M9" s="13"/>
    </row>
    <row r="10" spans="1:13" ht="18.5" x14ac:dyDescent="0.45">
      <c r="A10" s="3">
        <v>9</v>
      </c>
      <c r="B10" s="4" t="s">
        <v>79</v>
      </c>
      <c r="C10" s="4" t="s">
        <v>76</v>
      </c>
      <c r="D10" s="11">
        <f>SUM(1084)</f>
        <v>1084</v>
      </c>
      <c r="E10" s="11">
        <f>SUM(72)</f>
        <v>72</v>
      </c>
      <c r="F10" s="12">
        <f t="shared" si="0"/>
        <v>15.055555555555555</v>
      </c>
      <c r="G10" s="11">
        <v>1</v>
      </c>
      <c r="H10" s="11"/>
      <c r="I10" s="11"/>
      <c r="J10" s="11"/>
      <c r="K10" s="11"/>
      <c r="L10" s="11">
        <v>1</v>
      </c>
      <c r="M10" s="13"/>
    </row>
    <row r="11" spans="1:13" ht="18.5" x14ac:dyDescent="0.45">
      <c r="A11" s="3">
        <v>10</v>
      </c>
      <c r="B11" s="4" t="s">
        <v>23</v>
      </c>
      <c r="C11" s="4" t="s">
        <v>13</v>
      </c>
      <c r="D11" s="11">
        <f>SUM(1503)</f>
        <v>1503</v>
      </c>
      <c r="E11" s="11">
        <f>SUM(100)</f>
        <v>100</v>
      </c>
      <c r="F11" s="12">
        <f t="shared" si="0"/>
        <v>15.03</v>
      </c>
      <c r="G11" s="11">
        <v>1</v>
      </c>
      <c r="H11" s="11">
        <v>1</v>
      </c>
      <c r="I11" s="11"/>
      <c r="J11" s="11"/>
      <c r="K11" s="11"/>
      <c r="L11" s="11">
        <v>4.5</v>
      </c>
      <c r="M11" s="13"/>
    </row>
    <row r="12" spans="1:13" ht="18.5" x14ac:dyDescent="0.45">
      <c r="A12" s="3">
        <v>11</v>
      </c>
      <c r="B12" s="14" t="s">
        <v>30</v>
      </c>
      <c r="C12" s="4" t="s">
        <v>31</v>
      </c>
      <c r="D12" s="11">
        <f>SUM(1369)</f>
        <v>1369</v>
      </c>
      <c r="E12" s="11">
        <f>SUM(92)</f>
        <v>92</v>
      </c>
      <c r="F12" s="12">
        <f t="shared" si="0"/>
        <v>14.880434782608695</v>
      </c>
      <c r="G12" s="11">
        <v>1</v>
      </c>
      <c r="H12" s="11">
        <v>1</v>
      </c>
      <c r="I12" s="11"/>
      <c r="J12" s="11"/>
      <c r="K12" s="11"/>
      <c r="L12" s="11">
        <v>3.5</v>
      </c>
      <c r="M12" s="13"/>
    </row>
    <row r="13" spans="1:13" ht="18.5" x14ac:dyDescent="0.45">
      <c r="A13" s="3">
        <v>12</v>
      </c>
      <c r="B13" s="4" t="s">
        <v>11</v>
      </c>
      <c r="C13" s="4" t="s">
        <v>12</v>
      </c>
      <c r="D13" s="11">
        <f>SUM(1503)</f>
        <v>1503</v>
      </c>
      <c r="E13" s="11">
        <f>SUM(102)</f>
        <v>102</v>
      </c>
      <c r="F13" s="12">
        <f t="shared" si="0"/>
        <v>14.735294117647058</v>
      </c>
      <c r="G13" s="11">
        <v>1</v>
      </c>
      <c r="H13" s="11">
        <v>1</v>
      </c>
      <c r="I13" s="11"/>
      <c r="J13" s="11"/>
      <c r="K13" s="11"/>
      <c r="L13" s="11">
        <v>5.5</v>
      </c>
      <c r="M13" s="13"/>
    </row>
    <row r="14" spans="1:13" ht="18.5" x14ac:dyDescent="0.45">
      <c r="A14" s="3">
        <v>13</v>
      </c>
      <c r="B14" s="14" t="s">
        <v>72</v>
      </c>
      <c r="C14" s="7" t="s">
        <v>31</v>
      </c>
      <c r="D14" s="11">
        <f>SUM(1503)</f>
        <v>1503</v>
      </c>
      <c r="E14" s="11">
        <f>SUM(102)</f>
        <v>102</v>
      </c>
      <c r="F14" s="12">
        <f t="shared" si="0"/>
        <v>14.735294117647058</v>
      </c>
      <c r="G14" s="11">
        <v>1</v>
      </c>
      <c r="H14" s="11">
        <v>1</v>
      </c>
      <c r="I14" s="11"/>
      <c r="J14" s="11"/>
      <c r="K14" s="11"/>
      <c r="L14" s="11">
        <v>5</v>
      </c>
      <c r="M14" s="13"/>
    </row>
    <row r="15" spans="1:13" ht="18.5" x14ac:dyDescent="0.45">
      <c r="A15" s="3">
        <v>14</v>
      </c>
      <c r="B15" s="4" t="s">
        <v>22</v>
      </c>
      <c r="C15" s="4" t="s">
        <v>20</v>
      </c>
      <c r="D15" s="11">
        <f>SUM(1426)</f>
        <v>1426</v>
      </c>
      <c r="E15" s="11">
        <f>SUM(99)</f>
        <v>99</v>
      </c>
      <c r="F15" s="12">
        <f t="shared" si="0"/>
        <v>14.404040404040405</v>
      </c>
      <c r="G15" s="11">
        <v>1</v>
      </c>
      <c r="H15" s="11"/>
      <c r="I15" s="11"/>
      <c r="J15" s="11"/>
      <c r="K15" s="11"/>
      <c r="L15" s="11">
        <v>1.5</v>
      </c>
      <c r="M15" s="13"/>
    </row>
    <row r="16" spans="1:13" ht="18.5" x14ac:dyDescent="0.45">
      <c r="A16" s="3">
        <v>15</v>
      </c>
      <c r="B16" s="9" t="s">
        <v>69</v>
      </c>
      <c r="C16" s="4" t="s">
        <v>73</v>
      </c>
      <c r="D16" s="11">
        <f>SUM(1475)</f>
        <v>1475</v>
      </c>
      <c r="E16" s="11">
        <f>SUM(103)</f>
        <v>103</v>
      </c>
      <c r="F16" s="12">
        <f t="shared" si="0"/>
        <v>14.320388349514563</v>
      </c>
      <c r="G16" s="11">
        <v>1</v>
      </c>
      <c r="H16" s="11"/>
      <c r="I16" s="11"/>
      <c r="J16" s="11"/>
      <c r="K16" s="11"/>
      <c r="L16" s="11">
        <v>2</v>
      </c>
      <c r="M16" s="13"/>
    </row>
    <row r="17" spans="1:13" ht="18.5" x14ac:dyDescent="0.45">
      <c r="A17" s="3">
        <v>16</v>
      </c>
      <c r="B17" s="7" t="s">
        <v>21</v>
      </c>
      <c r="C17" s="4" t="s">
        <v>13</v>
      </c>
      <c r="D17" s="11">
        <f>SUM(1503)</f>
        <v>1503</v>
      </c>
      <c r="E17" s="11">
        <f>SUM(105)</f>
        <v>105</v>
      </c>
      <c r="F17" s="12">
        <f t="shared" si="0"/>
        <v>14.314285714285715</v>
      </c>
      <c r="G17" s="11">
        <v>1</v>
      </c>
      <c r="H17" s="11">
        <v>1</v>
      </c>
      <c r="I17" s="11"/>
      <c r="J17" s="11"/>
      <c r="K17" s="11"/>
      <c r="L17" s="11">
        <v>4.5</v>
      </c>
      <c r="M17" s="13"/>
    </row>
    <row r="18" spans="1:13" ht="18.5" x14ac:dyDescent="0.45">
      <c r="A18" s="3">
        <v>17</v>
      </c>
      <c r="B18" s="7" t="s">
        <v>68</v>
      </c>
      <c r="C18" s="4" t="s">
        <v>73</v>
      </c>
      <c r="D18" s="11">
        <f>SUM(941)</f>
        <v>941</v>
      </c>
      <c r="E18" s="11">
        <f>SUM(66)</f>
        <v>66</v>
      </c>
      <c r="F18" s="12">
        <f t="shared" si="0"/>
        <v>14.257575757575758</v>
      </c>
      <c r="G18" s="11">
        <v>1</v>
      </c>
      <c r="H18" s="11"/>
      <c r="I18" s="11"/>
      <c r="J18" s="11"/>
      <c r="K18" s="11"/>
      <c r="L18" s="11">
        <v>1</v>
      </c>
      <c r="M18" s="13"/>
    </row>
    <row r="19" spans="1:13" ht="18.5" x14ac:dyDescent="0.45">
      <c r="A19" s="3">
        <v>18</v>
      </c>
      <c r="B19" s="9" t="s">
        <v>41</v>
      </c>
      <c r="C19" s="4" t="s">
        <v>62</v>
      </c>
      <c r="D19" s="11">
        <f>SUM(1443)</f>
        <v>1443</v>
      </c>
      <c r="E19" s="11">
        <f>SUM(102)</f>
        <v>102</v>
      </c>
      <c r="F19" s="12">
        <f t="shared" si="0"/>
        <v>14.147058823529411</v>
      </c>
      <c r="G19" s="11">
        <v>1</v>
      </c>
      <c r="H19" s="11"/>
      <c r="I19" s="11"/>
      <c r="J19" s="11"/>
      <c r="K19" s="11"/>
      <c r="L19" s="11">
        <v>1.5</v>
      </c>
      <c r="M19" s="13"/>
    </row>
    <row r="20" spans="1:13" ht="18.5" x14ac:dyDescent="0.45">
      <c r="A20" s="3">
        <v>19</v>
      </c>
      <c r="B20" s="7" t="s">
        <v>24</v>
      </c>
      <c r="C20" s="4" t="s">
        <v>12</v>
      </c>
      <c r="D20" s="11">
        <f>SUM(1503)</f>
        <v>1503</v>
      </c>
      <c r="E20" s="11">
        <f>SUM(108)</f>
        <v>108</v>
      </c>
      <c r="F20" s="12">
        <f t="shared" si="0"/>
        <v>13.916666666666666</v>
      </c>
      <c r="G20" s="11">
        <v>1</v>
      </c>
      <c r="H20" s="11">
        <v>1</v>
      </c>
      <c r="I20" s="11"/>
      <c r="J20" s="11"/>
      <c r="K20" s="11"/>
      <c r="L20" s="11">
        <v>5</v>
      </c>
      <c r="M20" s="13"/>
    </row>
    <row r="21" spans="1:13" ht="18.5" x14ac:dyDescent="0.45">
      <c r="A21" s="3">
        <v>20</v>
      </c>
      <c r="B21" s="9" t="s">
        <v>29</v>
      </c>
      <c r="C21" s="4" t="s">
        <v>20</v>
      </c>
      <c r="D21" s="11">
        <f>SUM(1301)</f>
        <v>1301</v>
      </c>
      <c r="E21" s="11">
        <f>SUM(96)</f>
        <v>96</v>
      </c>
      <c r="F21" s="12">
        <f t="shared" si="0"/>
        <v>13.552083333333334</v>
      </c>
      <c r="G21" s="11">
        <v>1</v>
      </c>
      <c r="H21" s="11"/>
      <c r="I21" s="11"/>
      <c r="J21" s="11"/>
      <c r="K21" s="11"/>
      <c r="L21" s="11">
        <v>2</v>
      </c>
      <c r="M21" s="13"/>
    </row>
    <row r="22" spans="1:13" ht="18.5" x14ac:dyDescent="0.45">
      <c r="A22" s="3">
        <v>21</v>
      </c>
      <c r="B22" s="19" t="s">
        <v>74</v>
      </c>
      <c r="C22" s="8" t="s">
        <v>12</v>
      </c>
      <c r="D22" s="11">
        <f>SUM(1479)</f>
        <v>1479</v>
      </c>
      <c r="E22" s="11">
        <f>SUM(110)</f>
        <v>110</v>
      </c>
      <c r="F22" s="12">
        <f t="shared" si="0"/>
        <v>13.445454545454545</v>
      </c>
      <c r="G22" s="11">
        <v>1</v>
      </c>
      <c r="H22" s="11"/>
      <c r="I22" s="11"/>
      <c r="J22" s="11"/>
      <c r="K22" s="11"/>
      <c r="L22" s="11">
        <v>4</v>
      </c>
      <c r="M22" s="13"/>
    </row>
    <row r="23" spans="1:13" ht="18.5" x14ac:dyDescent="0.45">
      <c r="A23" s="3">
        <v>22</v>
      </c>
      <c r="B23" s="9" t="s">
        <v>64</v>
      </c>
      <c r="C23" s="7" t="s">
        <v>13</v>
      </c>
      <c r="D23" s="11">
        <f>SUM(1478)</f>
        <v>1478</v>
      </c>
      <c r="E23" s="11">
        <f>SUM(110)</f>
        <v>110</v>
      </c>
      <c r="F23" s="12">
        <f t="shared" si="0"/>
        <v>13.436363636363636</v>
      </c>
      <c r="G23" s="11">
        <v>1</v>
      </c>
      <c r="H23" s="11"/>
      <c r="I23" s="11"/>
      <c r="J23" s="11"/>
      <c r="K23" s="11"/>
      <c r="L23" s="11">
        <v>2.5</v>
      </c>
      <c r="M23" s="13"/>
    </row>
    <row r="24" spans="1:13" ht="18.5" x14ac:dyDescent="0.45">
      <c r="A24" s="3">
        <v>23</v>
      </c>
      <c r="B24" s="10" t="s">
        <v>60</v>
      </c>
      <c r="C24" s="7" t="s">
        <v>26</v>
      </c>
      <c r="D24" s="11">
        <f>SUM(1446)</f>
        <v>1446</v>
      </c>
      <c r="E24" s="11">
        <f>SUM(108)</f>
        <v>108</v>
      </c>
      <c r="F24" s="12">
        <f t="shared" si="0"/>
        <v>13.388888888888889</v>
      </c>
      <c r="G24" s="11">
        <v>1</v>
      </c>
      <c r="H24" s="11"/>
      <c r="I24" s="11"/>
      <c r="J24" s="11"/>
      <c r="K24" s="11"/>
      <c r="L24" s="11">
        <v>1.5</v>
      </c>
      <c r="M24" s="13"/>
    </row>
    <row r="25" spans="1:13" ht="18.5" x14ac:dyDescent="0.45">
      <c r="A25" s="3">
        <v>24</v>
      </c>
      <c r="B25" s="4" t="s">
        <v>14</v>
      </c>
      <c r="C25" s="4" t="s">
        <v>15</v>
      </c>
      <c r="D25" s="11">
        <f>SUM(1483)</f>
        <v>1483</v>
      </c>
      <c r="E25" s="11">
        <f>SUM(111)</f>
        <v>111</v>
      </c>
      <c r="F25" s="12">
        <f t="shared" si="0"/>
        <v>13.36036036036036</v>
      </c>
      <c r="G25" s="11">
        <v>1</v>
      </c>
      <c r="H25" s="11">
        <v>1</v>
      </c>
      <c r="I25" s="11"/>
      <c r="J25" s="11"/>
      <c r="K25" s="11"/>
      <c r="L25" s="11">
        <v>4</v>
      </c>
      <c r="M25" s="13"/>
    </row>
    <row r="26" spans="1:13" ht="18.5" x14ac:dyDescent="0.45">
      <c r="A26" s="3">
        <v>25</v>
      </c>
      <c r="B26" s="15" t="s">
        <v>35</v>
      </c>
      <c r="C26" s="4" t="s">
        <v>62</v>
      </c>
      <c r="D26" s="11">
        <f>SUM(1480)</f>
        <v>1480</v>
      </c>
      <c r="E26" s="11">
        <f>SUM(111)</f>
        <v>111</v>
      </c>
      <c r="F26" s="12">
        <f t="shared" si="0"/>
        <v>13.333333333333334</v>
      </c>
      <c r="G26" s="11">
        <v>1</v>
      </c>
      <c r="H26" s="11">
        <v>1</v>
      </c>
      <c r="I26" s="11"/>
      <c r="J26" s="11"/>
      <c r="K26" s="11"/>
      <c r="L26" s="11">
        <v>2</v>
      </c>
      <c r="M26" s="13"/>
    </row>
    <row r="27" spans="1:13" ht="18.5" x14ac:dyDescent="0.45">
      <c r="A27" s="3">
        <v>26</v>
      </c>
      <c r="B27" s="15" t="s">
        <v>78</v>
      </c>
      <c r="C27" s="7" t="s">
        <v>31</v>
      </c>
      <c r="D27" s="11">
        <f>SUM(1501)</f>
        <v>1501</v>
      </c>
      <c r="E27" s="11">
        <v>113</v>
      </c>
      <c r="F27" s="12">
        <f t="shared" si="0"/>
        <v>13.283185840707965</v>
      </c>
      <c r="G27" s="11">
        <v>1</v>
      </c>
      <c r="H27" s="11">
        <v>1</v>
      </c>
      <c r="I27" s="11"/>
      <c r="J27" s="11"/>
      <c r="K27" s="11"/>
      <c r="L27" s="11">
        <v>3.5</v>
      </c>
      <c r="M27" s="13"/>
    </row>
    <row r="28" spans="1:13" ht="18.5" x14ac:dyDescent="0.45">
      <c r="A28" s="3">
        <v>27</v>
      </c>
      <c r="B28" s="10" t="s">
        <v>59</v>
      </c>
      <c r="C28" s="7" t="s">
        <v>26</v>
      </c>
      <c r="D28" s="11">
        <f>SUM(1499)</f>
        <v>1499</v>
      </c>
      <c r="E28" s="11">
        <f>SUM(114)</f>
        <v>114</v>
      </c>
      <c r="F28" s="12">
        <f t="shared" si="0"/>
        <v>13.149122807017545</v>
      </c>
      <c r="G28" s="11">
        <v>1</v>
      </c>
      <c r="H28" s="11">
        <v>1</v>
      </c>
      <c r="I28" s="11"/>
      <c r="J28" s="11"/>
      <c r="K28" s="11"/>
      <c r="L28" s="11">
        <v>3.5</v>
      </c>
      <c r="M28" s="13">
        <v>5</v>
      </c>
    </row>
    <row r="29" spans="1:13" ht="18.5" x14ac:dyDescent="0.45">
      <c r="A29" s="3">
        <v>28</v>
      </c>
      <c r="B29" s="10" t="s">
        <v>61</v>
      </c>
      <c r="C29" s="7" t="s">
        <v>26</v>
      </c>
      <c r="D29" s="11">
        <f>SUM(1332)</f>
        <v>1332</v>
      </c>
      <c r="E29" s="11">
        <f>SUM(102)</f>
        <v>102</v>
      </c>
      <c r="F29" s="12">
        <f t="shared" si="0"/>
        <v>13.058823529411764</v>
      </c>
      <c r="G29" s="11">
        <v>1</v>
      </c>
      <c r="H29" s="11"/>
      <c r="I29" s="11"/>
      <c r="J29" s="11"/>
      <c r="K29" s="11"/>
      <c r="L29" s="11">
        <v>1.5</v>
      </c>
      <c r="M29" s="13"/>
    </row>
    <row r="30" spans="1:13" ht="18.5" x14ac:dyDescent="0.45">
      <c r="A30" s="3">
        <v>29</v>
      </c>
      <c r="B30" s="15" t="s">
        <v>34</v>
      </c>
      <c r="C30" s="7" t="s">
        <v>62</v>
      </c>
      <c r="D30" s="11">
        <f>SUM(1357)</f>
        <v>1357</v>
      </c>
      <c r="E30" s="11">
        <f>SUM(105)</f>
        <v>105</v>
      </c>
      <c r="F30" s="12">
        <f t="shared" si="0"/>
        <v>12.923809523809524</v>
      </c>
      <c r="G30" s="11">
        <v>1</v>
      </c>
      <c r="H30" s="11"/>
      <c r="I30" s="11"/>
      <c r="J30" s="11"/>
      <c r="K30" s="11"/>
      <c r="L30" s="11"/>
      <c r="M30" s="13"/>
    </row>
    <row r="31" spans="1:13" ht="18.5" x14ac:dyDescent="0.45">
      <c r="A31" s="3">
        <v>30</v>
      </c>
      <c r="B31" s="16" t="s">
        <v>19</v>
      </c>
      <c r="C31" s="7" t="s">
        <v>20</v>
      </c>
      <c r="D31" s="11">
        <f>SUM(1391)</f>
        <v>1391</v>
      </c>
      <c r="E31" s="11">
        <f>SUM(108)</f>
        <v>108</v>
      </c>
      <c r="F31" s="12">
        <f t="shared" si="0"/>
        <v>12.87962962962963</v>
      </c>
      <c r="G31" s="11">
        <v>1</v>
      </c>
      <c r="H31" s="11"/>
      <c r="I31" s="11"/>
      <c r="J31" s="11"/>
      <c r="K31" s="11"/>
      <c r="L31" s="11">
        <v>2.5</v>
      </c>
      <c r="M31" s="13">
        <v>5</v>
      </c>
    </row>
    <row r="32" spans="1:13" ht="18.5" x14ac:dyDescent="0.45">
      <c r="A32" s="3">
        <v>31</v>
      </c>
      <c r="B32" s="15" t="s">
        <v>39</v>
      </c>
      <c r="C32" s="7" t="s">
        <v>15</v>
      </c>
      <c r="D32" s="11">
        <f>SUM(1361)</f>
        <v>1361</v>
      </c>
      <c r="E32" s="11">
        <f>SUM(107)</f>
        <v>107</v>
      </c>
      <c r="F32" s="12">
        <f t="shared" si="0"/>
        <v>12.719626168224298</v>
      </c>
      <c r="G32" s="11">
        <v>1</v>
      </c>
      <c r="H32" s="11">
        <v>1</v>
      </c>
      <c r="I32" s="11"/>
      <c r="J32" s="11"/>
      <c r="K32" s="11"/>
      <c r="L32" s="11">
        <v>4</v>
      </c>
      <c r="M32" s="13"/>
    </row>
    <row r="33" spans="1:18" ht="18.5" x14ac:dyDescent="0.45">
      <c r="A33" s="3">
        <v>32</v>
      </c>
      <c r="B33" s="30" t="s">
        <v>70</v>
      </c>
      <c r="C33" s="7" t="s">
        <v>73</v>
      </c>
      <c r="D33" s="11">
        <f>SUM(1359)</f>
        <v>1359</v>
      </c>
      <c r="E33" s="11">
        <f>SUM(110)</f>
        <v>110</v>
      </c>
      <c r="F33" s="12">
        <f t="shared" si="0"/>
        <v>12.354545454545455</v>
      </c>
      <c r="G33" s="11">
        <v>1</v>
      </c>
      <c r="H33" s="11"/>
      <c r="I33" s="11"/>
      <c r="J33" s="11"/>
      <c r="K33" s="11"/>
      <c r="L33" s="11">
        <v>2</v>
      </c>
      <c r="M33" s="13"/>
    </row>
    <row r="34" spans="1:18" ht="18.5" x14ac:dyDescent="0.45">
      <c r="A34" s="3">
        <v>33</v>
      </c>
      <c r="B34" s="4" t="s">
        <v>75</v>
      </c>
      <c r="C34" s="7" t="s">
        <v>73</v>
      </c>
      <c r="D34" s="11">
        <f>SUM(1499)</f>
        <v>1499</v>
      </c>
      <c r="E34" s="11">
        <f>SUM(123)</f>
        <v>123</v>
      </c>
      <c r="F34" s="12">
        <f t="shared" si="0"/>
        <v>12.1869918699187</v>
      </c>
      <c r="G34" s="11">
        <v>1</v>
      </c>
      <c r="H34" s="11">
        <v>1</v>
      </c>
      <c r="I34" s="11"/>
      <c r="J34" s="11"/>
      <c r="K34" s="11"/>
      <c r="L34" s="11">
        <v>3</v>
      </c>
      <c r="M34" s="13"/>
    </row>
    <row r="35" spans="1:18" ht="18.5" x14ac:dyDescent="0.45">
      <c r="A35" s="3">
        <v>34</v>
      </c>
      <c r="B35" s="14" t="s">
        <v>40</v>
      </c>
      <c r="C35" s="4" t="s">
        <v>16</v>
      </c>
      <c r="D35" s="11">
        <f>SUM(1503)</f>
        <v>1503</v>
      </c>
      <c r="E35" s="11">
        <f>SUM(129)</f>
        <v>129</v>
      </c>
      <c r="F35" s="12">
        <f t="shared" si="0"/>
        <v>11.651162790697674</v>
      </c>
      <c r="G35" s="11">
        <v>1</v>
      </c>
      <c r="H35" s="11">
        <v>1</v>
      </c>
      <c r="I35" s="11"/>
      <c r="J35" s="11"/>
      <c r="K35" s="11"/>
      <c r="L35" s="11">
        <v>4.5</v>
      </c>
      <c r="M35" s="13"/>
    </row>
    <row r="36" spans="1:18" ht="18.5" x14ac:dyDescent="0.45">
      <c r="A36" s="3">
        <v>35</v>
      </c>
      <c r="B36" s="14" t="s">
        <v>36</v>
      </c>
      <c r="C36" s="4" t="s">
        <v>76</v>
      </c>
      <c r="D36" s="11">
        <f>SUM(1372)</f>
        <v>1372</v>
      </c>
      <c r="E36" s="11">
        <f>SUM(123)</f>
        <v>123</v>
      </c>
      <c r="F36" s="12">
        <f t="shared" si="0"/>
        <v>11.154471544715447</v>
      </c>
      <c r="G36" s="11">
        <v>1</v>
      </c>
      <c r="H36" s="11"/>
      <c r="I36" s="11"/>
      <c r="J36" s="11"/>
      <c r="K36" s="11"/>
      <c r="L36" s="11">
        <v>1</v>
      </c>
      <c r="M36" s="13"/>
    </row>
    <row r="37" spans="1:18" ht="18.5" x14ac:dyDescent="0.45">
      <c r="A37" s="3">
        <v>36</v>
      </c>
      <c r="B37" s="14" t="s">
        <v>37</v>
      </c>
      <c r="C37" s="4" t="s">
        <v>76</v>
      </c>
      <c r="D37" s="11">
        <f>SUM(1487)</f>
        <v>1487</v>
      </c>
      <c r="E37" s="11">
        <f>SUM(142)</f>
        <v>142</v>
      </c>
      <c r="F37" s="12">
        <f t="shared" si="0"/>
        <v>10.471830985915492</v>
      </c>
      <c r="G37" s="11">
        <v>1</v>
      </c>
      <c r="H37" s="11"/>
      <c r="I37" s="11"/>
      <c r="J37" s="11"/>
      <c r="K37" s="11"/>
      <c r="L37" s="11">
        <v>1.5</v>
      </c>
      <c r="M37" s="13"/>
    </row>
    <row r="38" spans="1:18" ht="18.5" x14ac:dyDescent="0.45">
      <c r="A38" s="3">
        <v>37</v>
      </c>
      <c r="B38" s="4" t="s">
        <v>18</v>
      </c>
      <c r="C38" s="4" t="s">
        <v>15</v>
      </c>
      <c r="D38" s="11">
        <f>SUM(1267)</f>
        <v>1267</v>
      </c>
      <c r="E38" s="11">
        <f>SUM(121)</f>
        <v>121</v>
      </c>
      <c r="F38" s="12">
        <f t="shared" si="0"/>
        <v>10.471074380165289</v>
      </c>
      <c r="G38" s="11">
        <v>1</v>
      </c>
      <c r="H38" s="11"/>
      <c r="I38" s="11"/>
      <c r="J38" s="11"/>
      <c r="K38" s="11"/>
      <c r="L38" s="11">
        <v>3</v>
      </c>
      <c r="M38" s="13"/>
    </row>
    <row r="39" spans="1:18" ht="18.5" x14ac:dyDescent="0.45">
      <c r="A39" s="3">
        <v>38</v>
      </c>
      <c r="B39" s="4" t="s">
        <v>67</v>
      </c>
      <c r="C39" s="4" t="s">
        <v>16</v>
      </c>
      <c r="D39" s="11">
        <f>SUM(1501)</f>
        <v>1501</v>
      </c>
      <c r="E39" s="11">
        <f>SUM(148)</f>
        <v>148</v>
      </c>
      <c r="F39" s="12">
        <f t="shared" si="0"/>
        <v>10.141891891891891</v>
      </c>
      <c r="G39" s="11">
        <v>1</v>
      </c>
      <c r="H39" s="11">
        <v>1</v>
      </c>
      <c r="I39" s="11"/>
      <c r="J39" s="11"/>
      <c r="K39" s="11"/>
      <c r="L39" s="11">
        <v>4.5</v>
      </c>
      <c r="M39" s="13"/>
    </row>
    <row r="40" spans="1:18" ht="18.5" x14ac:dyDescent="0.45">
      <c r="A40" s="3">
        <v>39</v>
      </c>
      <c r="B40" s="4" t="s">
        <v>71</v>
      </c>
      <c r="C40" s="4" t="s">
        <v>76</v>
      </c>
      <c r="D40" s="11">
        <f>SUM(1501)</f>
        <v>1501</v>
      </c>
      <c r="E40" s="11">
        <f>SUM(156)</f>
        <v>156</v>
      </c>
      <c r="F40" s="12">
        <f t="shared" si="0"/>
        <v>9.6217948717948723</v>
      </c>
      <c r="G40" s="11">
        <v>1</v>
      </c>
      <c r="H40" s="11">
        <v>1</v>
      </c>
      <c r="I40" s="11"/>
      <c r="J40" s="11"/>
      <c r="K40" s="11"/>
      <c r="L40" s="11">
        <v>3.5</v>
      </c>
      <c r="M40" s="13"/>
    </row>
    <row r="41" spans="1:18" ht="18.5" x14ac:dyDescent="0.45">
      <c r="A41" s="3">
        <v>40</v>
      </c>
      <c r="B41" s="14" t="s">
        <v>65</v>
      </c>
      <c r="C41" s="4" t="s">
        <v>16</v>
      </c>
      <c r="D41" s="11">
        <f>SUM(1337)</f>
        <v>1337</v>
      </c>
      <c r="E41" s="11">
        <f>SUM(150)</f>
        <v>150</v>
      </c>
      <c r="F41" s="12">
        <f t="shared" si="0"/>
        <v>8.913333333333334</v>
      </c>
      <c r="G41" s="11">
        <v>1</v>
      </c>
      <c r="H41" s="11"/>
      <c r="I41" s="11"/>
      <c r="J41" s="11"/>
      <c r="K41" s="11"/>
      <c r="L41" s="11">
        <v>3.5</v>
      </c>
      <c r="M41" s="13"/>
    </row>
    <row r="42" spans="1:18" ht="18.5" x14ac:dyDescent="0.45">
      <c r="A42" s="3"/>
      <c r="B42" s="4"/>
      <c r="C42" s="4"/>
      <c r="D42" s="11"/>
      <c r="E42" s="11"/>
      <c r="F42" s="12"/>
      <c r="G42" s="11"/>
      <c r="H42" s="11"/>
      <c r="I42" s="11"/>
      <c r="J42" s="11"/>
      <c r="K42" s="11"/>
      <c r="L42" s="11"/>
      <c r="M42" s="13"/>
    </row>
    <row r="43" spans="1:18" ht="18.5" x14ac:dyDescent="0.45">
      <c r="A43" s="3"/>
      <c r="B43" s="14"/>
      <c r="C43" s="4"/>
      <c r="D43" s="11"/>
      <c r="E43" s="11"/>
      <c r="F43" s="12"/>
      <c r="G43" s="11"/>
      <c r="H43" s="11"/>
      <c r="I43" s="11"/>
      <c r="J43" s="11"/>
      <c r="K43" s="11"/>
      <c r="L43" s="11"/>
      <c r="M43" s="13"/>
    </row>
    <row r="44" spans="1:18" ht="18.5" x14ac:dyDescent="0.45">
      <c r="A44" s="3"/>
      <c r="B44" s="4"/>
      <c r="C44" s="4"/>
      <c r="D44" s="11"/>
      <c r="E44" s="11"/>
      <c r="F44" s="12"/>
      <c r="G44" s="11"/>
      <c r="H44" s="11"/>
      <c r="I44" s="11"/>
      <c r="J44" s="11"/>
      <c r="K44" s="11"/>
      <c r="L44" s="11"/>
      <c r="M44" s="13"/>
    </row>
    <row r="45" spans="1:18" ht="18.5" x14ac:dyDescent="0.45">
      <c r="A45" s="3"/>
      <c r="B45" s="14"/>
      <c r="C45" s="4"/>
      <c r="D45" s="11"/>
      <c r="E45" s="11"/>
      <c r="F45" s="12"/>
      <c r="G45" s="11"/>
      <c r="H45" s="11"/>
      <c r="I45" s="11"/>
      <c r="J45" s="11"/>
      <c r="K45" s="11"/>
      <c r="L45" s="11"/>
      <c r="M45" s="13"/>
    </row>
    <row r="46" spans="1:18" ht="17.25" customHeight="1" thickBot="1" x14ac:dyDescent="0.5">
      <c r="A46" s="5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</row>
    <row r="47" spans="1:18" ht="19.5" customHeight="1" thickBot="1" x14ac:dyDescent="0.5">
      <c r="A47" s="5"/>
      <c r="B47" s="33" t="s">
        <v>80</v>
      </c>
      <c r="C47" s="24" t="s">
        <v>42</v>
      </c>
      <c r="D47" s="25" t="s">
        <v>43</v>
      </c>
      <c r="E47" s="25" t="s">
        <v>87</v>
      </c>
      <c r="F47" s="20" t="s">
        <v>44</v>
      </c>
      <c r="G47" s="21" t="s">
        <v>86</v>
      </c>
      <c r="I47" s="38" t="s">
        <v>45</v>
      </c>
      <c r="J47" s="39"/>
      <c r="K47" s="39"/>
      <c r="L47" s="39"/>
      <c r="M47" s="39"/>
      <c r="N47" s="39"/>
      <c r="O47" s="39"/>
      <c r="P47" s="39"/>
      <c r="Q47" s="39"/>
      <c r="R47" s="40"/>
    </row>
    <row r="48" spans="1:18" ht="18.5" x14ac:dyDescent="0.45">
      <c r="A48" s="5"/>
      <c r="B48" s="34"/>
      <c r="C48" s="17" t="s">
        <v>52</v>
      </c>
      <c r="D48" s="22">
        <v>1</v>
      </c>
      <c r="E48" s="11">
        <v>0</v>
      </c>
      <c r="F48" s="11">
        <v>19</v>
      </c>
      <c r="G48" s="28">
        <v>5</v>
      </c>
      <c r="I48" s="43" t="s">
        <v>46</v>
      </c>
      <c r="J48" s="44"/>
      <c r="K48" s="44"/>
      <c r="L48" s="44"/>
      <c r="M48" s="44"/>
      <c r="N48" s="41" t="s">
        <v>84</v>
      </c>
      <c r="O48" s="41"/>
      <c r="P48" s="41"/>
      <c r="Q48" s="41"/>
      <c r="R48" s="42"/>
    </row>
    <row r="49" spans="1:18" ht="18.5" x14ac:dyDescent="0.45">
      <c r="A49" s="5"/>
      <c r="B49" s="34"/>
      <c r="C49" s="17" t="s">
        <v>55</v>
      </c>
      <c r="D49" s="22">
        <v>1</v>
      </c>
      <c r="E49" s="22">
        <v>0</v>
      </c>
      <c r="F49" s="22">
        <v>17</v>
      </c>
      <c r="G49" s="28">
        <v>2</v>
      </c>
      <c r="I49" s="45" t="s">
        <v>48</v>
      </c>
      <c r="J49" s="46"/>
      <c r="K49" s="46"/>
      <c r="L49" s="46"/>
      <c r="M49" s="46"/>
      <c r="N49" s="36" t="s">
        <v>85</v>
      </c>
      <c r="O49" s="36"/>
      <c r="P49" s="36"/>
      <c r="Q49" s="36"/>
      <c r="R49" s="37"/>
    </row>
    <row r="50" spans="1:18" ht="18.5" x14ac:dyDescent="0.45">
      <c r="A50" s="5"/>
      <c r="B50" s="34"/>
      <c r="C50" s="17" t="s">
        <v>47</v>
      </c>
      <c r="D50" s="22">
        <v>1</v>
      </c>
      <c r="E50" s="22">
        <v>0</v>
      </c>
      <c r="F50" s="22">
        <v>16</v>
      </c>
      <c r="G50" s="28">
        <v>7</v>
      </c>
      <c r="I50" s="45" t="s">
        <v>50</v>
      </c>
      <c r="J50" s="46"/>
      <c r="K50" s="46"/>
      <c r="L50" s="46"/>
      <c r="M50" s="46"/>
      <c r="N50" s="36" t="s">
        <v>82</v>
      </c>
      <c r="O50" s="36"/>
      <c r="P50" s="36"/>
      <c r="Q50" s="36"/>
      <c r="R50" s="37"/>
    </row>
    <row r="51" spans="1:18" ht="18.5" x14ac:dyDescent="0.45">
      <c r="A51" s="6"/>
      <c r="B51" s="34"/>
      <c r="C51" s="17" t="s">
        <v>56</v>
      </c>
      <c r="D51" s="22">
        <v>1</v>
      </c>
      <c r="E51" s="11">
        <v>0</v>
      </c>
      <c r="F51" s="11">
        <v>16</v>
      </c>
      <c r="G51" s="28">
        <v>3</v>
      </c>
      <c r="I51" s="45" t="s">
        <v>51</v>
      </c>
      <c r="J51" s="46"/>
      <c r="K51" s="46"/>
      <c r="L51" s="46"/>
      <c r="M51" s="46"/>
      <c r="N51" s="36" t="s">
        <v>81</v>
      </c>
      <c r="O51" s="36"/>
      <c r="P51" s="36"/>
      <c r="Q51" s="36"/>
      <c r="R51" s="37"/>
    </row>
    <row r="52" spans="1:18" ht="18" customHeight="1" x14ac:dyDescent="0.45">
      <c r="A52" s="6"/>
      <c r="B52" s="34"/>
      <c r="C52" s="17" t="s">
        <v>49</v>
      </c>
      <c r="D52" s="22">
        <v>1</v>
      </c>
      <c r="E52" s="11">
        <v>0</v>
      </c>
      <c r="F52" s="11">
        <v>15</v>
      </c>
      <c r="G52" s="28">
        <v>6</v>
      </c>
      <c r="I52" s="45" t="s">
        <v>53</v>
      </c>
      <c r="J52" s="46"/>
      <c r="K52" s="46"/>
      <c r="L52" s="46"/>
      <c r="M52" s="46"/>
      <c r="N52" s="36" t="s">
        <v>82</v>
      </c>
      <c r="O52" s="36"/>
      <c r="P52" s="36"/>
      <c r="Q52" s="36"/>
      <c r="R52" s="37"/>
    </row>
    <row r="53" spans="1:18" ht="18" customHeight="1" thickBot="1" x14ac:dyDescent="0.5">
      <c r="A53" s="6"/>
      <c r="B53" s="34"/>
      <c r="C53" s="17" t="s">
        <v>57</v>
      </c>
      <c r="D53" s="22">
        <v>0</v>
      </c>
      <c r="E53" s="11">
        <v>1</v>
      </c>
      <c r="F53" s="11">
        <v>9</v>
      </c>
      <c r="G53" s="28">
        <v>9</v>
      </c>
      <c r="I53" s="31" t="s">
        <v>54</v>
      </c>
      <c r="J53" s="32"/>
      <c r="K53" s="32"/>
      <c r="L53" s="32"/>
      <c r="M53" s="32"/>
      <c r="N53" s="36" t="s">
        <v>81</v>
      </c>
      <c r="O53" s="36"/>
      <c r="P53" s="36"/>
      <c r="Q53" s="36"/>
      <c r="R53" s="37"/>
    </row>
    <row r="54" spans="1:18" ht="18.5" x14ac:dyDescent="0.45">
      <c r="A54" s="6"/>
      <c r="B54" s="34"/>
      <c r="C54" s="18" t="s">
        <v>58</v>
      </c>
      <c r="D54" s="23">
        <v>0</v>
      </c>
      <c r="E54" s="23">
        <v>1</v>
      </c>
      <c r="F54" s="23">
        <v>8</v>
      </c>
      <c r="G54" s="28">
        <v>11</v>
      </c>
      <c r="H54" s="6"/>
      <c r="I54" s="6"/>
    </row>
    <row r="55" spans="1:18" ht="18.5" x14ac:dyDescent="0.45">
      <c r="A55" s="6"/>
      <c r="B55" s="34"/>
      <c r="C55" s="17" t="s">
        <v>66</v>
      </c>
      <c r="D55" s="22">
        <v>0</v>
      </c>
      <c r="E55" s="11">
        <v>1</v>
      </c>
      <c r="F55" s="11">
        <v>8</v>
      </c>
      <c r="G55" s="28">
        <v>8</v>
      </c>
      <c r="H55" s="6"/>
    </row>
    <row r="56" spans="1:18" ht="18.5" x14ac:dyDescent="0.45">
      <c r="B56" s="34"/>
      <c r="C56" s="18" t="s">
        <v>77</v>
      </c>
      <c r="D56" s="23">
        <v>0</v>
      </c>
      <c r="E56" s="23">
        <v>1</v>
      </c>
      <c r="F56" s="23">
        <v>7</v>
      </c>
      <c r="G56" s="28">
        <v>4</v>
      </c>
    </row>
    <row r="57" spans="1:18" ht="18.5" x14ac:dyDescent="0.45">
      <c r="B57" s="34"/>
      <c r="C57" s="17" t="s">
        <v>63</v>
      </c>
      <c r="D57" s="23">
        <v>0</v>
      </c>
      <c r="E57" s="23">
        <v>1</v>
      </c>
      <c r="F57" s="23">
        <v>5</v>
      </c>
      <c r="G57" s="28">
        <v>10</v>
      </c>
    </row>
    <row r="58" spans="1:18" ht="19" thickBot="1" x14ac:dyDescent="0.5">
      <c r="B58" s="35"/>
      <c r="C58" s="26" t="s">
        <v>88</v>
      </c>
      <c r="D58" s="27"/>
      <c r="E58" s="27"/>
      <c r="F58" s="27"/>
      <c r="G58" s="29">
        <v>1</v>
      </c>
    </row>
  </sheetData>
  <sortState ref="A2:M41">
    <sortCondition descending="1" ref="F2:F41"/>
  </sortState>
  <mergeCells count="14">
    <mergeCell ref="I53:M53"/>
    <mergeCell ref="B47:B58"/>
    <mergeCell ref="N53:R53"/>
    <mergeCell ref="I47:R47"/>
    <mergeCell ref="N48:R48"/>
    <mergeCell ref="N49:R49"/>
    <mergeCell ref="N50:R50"/>
    <mergeCell ref="N51:R51"/>
    <mergeCell ref="N52:R52"/>
    <mergeCell ref="I48:M48"/>
    <mergeCell ref="I49:M49"/>
    <mergeCell ref="I50:M50"/>
    <mergeCell ref="I51:M51"/>
    <mergeCell ref="I52:M52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86352E-8DCC-4E29-8BF9-734A8600F92D}">
  <dimension ref="A1:R71"/>
  <sheetViews>
    <sheetView workbookViewId="0">
      <pane ySplit="1" topLeftCell="A32" activePane="bottomLeft" state="frozen"/>
      <selection pane="bottomLeft" activeCell="D41" sqref="D41"/>
    </sheetView>
  </sheetViews>
  <sheetFormatPr defaultRowHeight="14.5" x14ac:dyDescent="0.35"/>
  <cols>
    <col min="1" max="1" width="5.453125" bestFit="1" customWidth="1"/>
    <col min="2" max="2" width="23.81640625" bestFit="1" customWidth="1"/>
    <col min="3" max="3" width="31.1796875" bestFit="1" customWidth="1"/>
    <col min="4" max="5" width="10.7265625" bestFit="1" customWidth="1"/>
    <col min="6" max="6" width="7.7265625" bestFit="1" customWidth="1"/>
    <col min="7" max="7" width="12.1796875" bestFit="1" customWidth="1"/>
    <col min="8" max="11" width="5.7265625" customWidth="1"/>
    <col min="12" max="12" width="7.7265625" bestFit="1" customWidth="1"/>
    <col min="13" max="13" width="10.81640625" bestFit="1" customWidth="1"/>
    <col min="18" max="18" width="38.54296875" customWidth="1"/>
  </cols>
  <sheetData>
    <row r="1" spans="1:13" ht="73.5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1" t="s">
        <v>7</v>
      </c>
      <c r="I1" s="1">
        <v>180</v>
      </c>
      <c r="J1" s="1">
        <v>171</v>
      </c>
      <c r="K1" s="1" t="s">
        <v>8</v>
      </c>
      <c r="L1" s="2" t="s">
        <v>9</v>
      </c>
      <c r="M1" s="2" t="s">
        <v>10</v>
      </c>
    </row>
    <row r="2" spans="1:13" ht="18.5" x14ac:dyDescent="0.45">
      <c r="A2" s="3">
        <v>1</v>
      </c>
      <c r="B2" s="14" t="s">
        <v>100</v>
      </c>
      <c r="C2" s="4" t="s">
        <v>94</v>
      </c>
      <c r="D2" s="11">
        <f>SUM(1343+1469+1241+1495+1503+1436+1503)</f>
        <v>9990</v>
      </c>
      <c r="E2" s="11">
        <f>SUM(84+72+88+75+70+87+77)</f>
        <v>553</v>
      </c>
      <c r="F2" s="12">
        <f>D2/E2</f>
        <v>18.06509945750452</v>
      </c>
      <c r="G2" s="11">
        <v>7</v>
      </c>
      <c r="H2" s="11">
        <v>5</v>
      </c>
      <c r="I2" s="11"/>
      <c r="J2" s="11"/>
      <c r="K2" s="11"/>
      <c r="L2" s="11">
        <v>30</v>
      </c>
      <c r="M2" s="13">
        <v>15</v>
      </c>
    </row>
    <row r="3" spans="1:13" ht="18.5" x14ac:dyDescent="0.45">
      <c r="A3" s="3">
        <v>2</v>
      </c>
      <c r="B3" s="4" t="s">
        <v>83</v>
      </c>
      <c r="C3" s="4" t="s">
        <v>15</v>
      </c>
      <c r="D3" s="11">
        <f>SUM(1503+1419+1503+1499+1503+1503+1471+1503+1459)</f>
        <v>13363</v>
      </c>
      <c r="E3" s="11">
        <f>SUM(68+80+79+90+78+109+97+75+88)</f>
        <v>764</v>
      </c>
      <c r="F3" s="12">
        <f>D3/E3</f>
        <v>17.490837696335078</v>
      </c>
      <c r="G3" s="11">
        <v>9</v>
      </c>
      <c r="H3" s="11">
        <v>9</v>
      </c>
      <c r="I3" s="11"/>
      <c r="J3" s="11"/>
      <c r="K3" s="11"/>
      <c r="L3" s="11">
        <v>42</v>
      </c>
      <c r="M3" s="13">
        <v>10</v>
      </c>
    </row>
    <row r="4" spans="1:13" ht="18.5" x14ac:dyDescent="0.45">
      <c r="A4" s="3">
        <v>3</v>
      </c>
      <c r="B4" s="4" t="s">
        <v>21</v>
      </c>
      <c r="C4" s="4" t="s">
        <v>13</v>
      </c>
      <c r="D4" s="11">
        <f>SUM(1503+1470+1503+1457+1472+1503+1503+1471+1503)</f>
        <v>13385</v>
      </c>
      <c r="E4" s="11">
        <f>SUM(105+88+87+90+84+84+88+109+76)</f>
        <v>811</v>
      </c>
      <c r="F4" s="12">
        <f>D4/E4</f>
        <v>16.50431565967941</v>
      </c>
      <c r="G4" s="11">
        <v>9</v>
      </c>
      <c r="H4" s="11">
        <v>7</v>
      </c>
      <c r="I4" s="11"/>
      <c r="J4" s="11"/>
      <c r="K4" s="11"/>
      <c r="L4" s="11">
        <v>37</v>
      </c>
      <c r="M4" s="13">
        <v>5</v>
      </c>
    </row>
    <row r="5" spans="1:13" ht="18.5" x14ac:dyDescent="0.45">
      <c r="A5" s="3">
        <v>4</v>
      </c>
      <c r="B5" s="3" t="s">
        <v>32</v>
      </c>
      <c r="C5" s="7" t="s">
        <v>20</v>
      </c>
      <c r="D5" s="11">
        <f>SUM(1359+1503+1446+1365+1185+1503+1433+1420+1421)</f>
        <v>12635</v>
      </c>
      <c r="E5" s="11">
        <f>SUM(84+96+89+92+75+90+78+87+88)</f>
        <v>779</v>
      </c>
      <c r="F5" s="12">
        <f>D5/E5</f>
        <v>16.219512195121951</v>
      </c>
      <c r="G5" s="11">
        <v>9</v>
      </c>
      <c r="H5" s="11">
        <v>5</v>
      </c>
      <c r="I5" s="11"/>
      <c r="J5" s="11"/>
      <c r="K5" s="11">
        <v>1</v>
      </c>
      <c r="L5" s="11">
        <v>33.5</v>
      </c>
      <c r="M5" s="13"/>
    </row>
    <row r="6" spans="1:13" ht="18.5" x14ac:dyDescent="0.45">
      <c r="A6" s="3">
        <v>5</v>
      </c>
      <c r="B6" s="4" t="s">
        <v>11</v>
      </c>
      <c r="C6" s="4" t="s">
        <v>12</v>
      </c>
      <c r="D6" s="11">
        <f>SUM(1503+1441+1493+1416+1503+1329+1432+1503+1415)</f>
        <v>13035</v>
      </c>
      <c r="E6" s="11">
        <f>SUM(102+84+94+84+96+77+98+88+90)</f>
        <v>813</v>
      </c>
      <c r="F6" s="12">
        <f>D6/E6</f>
        <v>16.033210332103319</v>
      </c>
      <c r="G6" s="11">
        <v>9</v>
      </c>
      <c r="H6" s="11">
        <v>7</v>
      </c>
      <c r="I6" s="11">
        <v>1</v>
      </c>
      <c r="J6" s="11"/>
      <c r="K6" s="11"/>
      <c r="L6" s="11">
        <v>35</v>
      </c>
      <c r="M6" s="13"/>
    </row>
    <row r="7" spans="1:13" ht="18.5" x14ac:dyDescent="0.45">
      <c r="A7" s="3">
        <v>6</v>
      </c>
      <c r="B7" s="4" t="s">
        <v>25</v>
      </c>
      <c r="C7" s="4" t="s">
        <v>16</v>
      </c>
      <c r="D7" s="11">
        <f>SUM(1503+1493+1467+1500+1501+1501+1466+1459)</f>
        <v>11890</v>
      </c>
      <c r="E7" s="11">
        <f>SUM(80+92+84+111+97+107+88+88)</f>
        <v>747</v>
      </c>
      <c r="F7" s="12">
        <f>D7/E7</f>
        <v>15.917001338688086</v>
      </c>
      <c r="G7" s="11">
        <v>8</v>
      </c>
      <c r="H7" s="11">
        <v>7</v>
      </c>
      <c r="I7" s="11"/>
      <c r="J7" s="11">
        <v>1</v>
      </c>
      <c r="K7" s="11"/>
      <c r="L7" s="11">
        <v>27.5</v>
      </c>
      <c r="M7" s="13">
        <v>10</v>
      </c>
    </row>
    <row r="8" spans="1:13" ht="18.5" x14ac:dyDescent="0.45">
      <c r="A8" s="3">
        <v>7</v>
      </c>
      <c r="B8" s="4" t="s">
        <v>78</v>
      </c>
      <c r="C8" s="4" t="s">
        <v>31</v>
      </c>
      <c r="D8" s="11">
        <f>SUM(1501+1503+1503+1503+1436+1503+1503+1479+1333)</f>
        <v>13264</v>
      </c>
      <c r="E8" s="11">
        <f>SUM(113+97+98+75+95+106+79+104+75)</f>
        <v>842</v>
      </c>
      <c r="F8" s="12">
        <f>D8/E8</f>
        <v>15.752969121140142</v>
      </c>
      <c r="G8" s="11">
        <v>9</v>
      </c>
      <c r="H8" s="11">
        <v>6</v>
      </c>
      <c r="I8" s="11"/>
      <c r="J8" s="11"/>
      <c r="K8" s="11"/>
      <c r="L8" s="11">
        <v>35.5</v>
      </c>
      <c r="M8" s="13">
        <v>10</v>
      </c>
    </row>
    <row r="9" spans="1:13" ht="18.5" x14ac:dyDescent="0.45">
      <c r="A9" s="3">
        <v>8</v>
      </c>
      <c r="B9" s="4" t="s">
        <v>39</v>
      </c>
      <c r="C9" s="4" t="s">
        <v>15</v>
      </c>
      <c r="D9" s="11">
        <f>SUM(1361+1488+968+1468+1403+1493+1501+1478+1405)</f>
        <v>12565</v>
      </c>
      <c r="E9" s="11">
        <f>SUM(107+98+81+98+85+85+96+79+86)</f>
        <v>815</v>
      </c>
      <c r="F9" s="12">
        <f>D9/E9</f>
        <v>15.417177914110429</v>
      </c>
      <c r="G9" s="11">
        <v>9</v>
      </c>
      <c r="H9" s="11">
        <v>8</v>
      </c>
      <c r="I9" s="11">
        <v>2</v>
      </c>
      <c r="J9" s="11"/>
      <c r="K9" s="11"/>
      <c r="L9" s="11">
        <v>35</v>
      </c>
      <c r="M9" s="13">
        <v>10</v>
      </c>
    </row>
    <row r="10" spans="1:13" ht="18.5" x14ac:dyDescent="0.45">
      <c r="A10" s="3">
        <v>9</v>
      </c>
      <c r="B10" s="14" t="s">
        <v>72</v>
      </c>
      <c r="C10" s="4" t="s">
        <v>31</v>
      </c>
      <c r="D10" s="11">
        <f>SUM(1503+1475+1503+1447+1483+1493+1411+1467+1483)</f>
        <v>13265</v>
      </c>
      <c r="E10" s="11">
        <f>SUM(102+96+91+98+102+99+96+80+107)</f>
        <v>871</v>
      </c>
      <c r="F10" s="12">
        <f>D10/E10</f>
        <v>15.229621125143513</v>
      </c>
      <c r="G10" s="11">
        <v>9</v>
      </c>
      <c r="H10" s="11">
        <v>6</v>
      </c>
      <c r="I10" s="11"/>
      <c r="J10" s="11"/>
      <c r="K10" s="11"/>
      <c r="L10" s="11">
        <v>32</v>
      </c>
      <c r="M10" s="13"/>
    </row>
    <row r="11" spans="1:13" ht="18.5" x14ac:dyDescent="0.45">
      <c r="A11" s="3">
        <v>10</v>
      </c>
      <c r="B11" s="4" t="s">
        <v>17</v>
      </c>
      <c r="C11" s="4" t="s">
        <v>13</v>
      </c>
      <c r="D11" s="11">
        <f>SUM(1503+1474+1369+1328+1503+1427+1503+1471+1503)</f>
        <v>13081</v>
      </c>
      <c r="E11" s="11">
        <f>SUM(90+83+84+72+99+108+118+86+120)</f>
        <v>860</v>
      </c>
      <c r="F11" s="12">
        <f>D11/E11</f>
        <v>15.210465116279069</v>
      </c>
      <c r="G11" s="11">
        <v>9</v>
      </c>
      <c r="H11" s="11">
        <v>5</v>
      </c>
      <c r="I11" s="11">
        <v>2</v>
      </c>
      <c r="J11" s="11"/>
      <c r="K11" s="11"/>
      <c r="L11" s="11">
        <v>31.5</v>
      </c>
      <c r="M11" s="13"/>
    </row>
    <row r="12" spans="1:13" ht="18.5" x14ac:dyDescent="0.45">
      <c r="A12" s="3">
        <v>11</v>
      </c>
      <c r="B12" s="14" t="s">
        <v>99</v>
      </c>
      <c r="C12" s="4" t="s">
        <v>94</v>
      </c>
      <c r="D12" s="11">
        <f>SUM(1496+1397+1241+1448+1307+1503+1358)</f>
        <v>9750</v>
      </c>
      <c r="E12" s="11">
        <f>SUM(100+91+84+97+105+88+85)</f>
        <v>650</v>
      </c>
      <c r="F12" s="12">
        <f>D12/E12</f>
        <v>15</v>
      </c>
      <c r="G12" s="11">
        <v>7</v>
      </c>
      <c r="H12" s="11">
        <v>2</v>
      </c>
      <c r="I12" s="11"/>
      <c r="J12" s="11"/>
      <c r="K12" s="11"/>
      <c r="L12" s="11">
        <v>18.5</v>
      </c>
      <c r="M12" s="13">
        <v>5</v>
      </c>
    </row>
    <row r="13" spans="1:13" ht="18.5" x14ac:dyDescent="0.45">
      <c r="A13" s="3">
        <v>12</v>
      </c>
      <c r="B13" s="4" t="s">
        <v>28</v>
      </c>
      <c r="C13" s="4" t="s">
        <v>62</v>
      </c>
      <c r="D13" s="11">
        <f>SUM(1327+1229+1367+1115+1503+1393+1493+1354+1419)</f>
        <v>12200</v>
      </c>
      <c r="E13" s="11">
        <f>SUM(84+79+89+81+82+97+120+107+93)</f>
        <v>832</v>
      </c>
      <c r="F13" s="12">
        <f>D13/E13</f>
        <v>14.663461538461538</v>
      </c>
      <c r="G13" s="11">
        <v>9</v>
      </c>
      <c r="H13" s="11">
        <v>4</v>
      </c>
      <c r="I13" s="11"/>
      <c r="J13" s="11"/>
      <c r="K13" s="11">
        <v>1</v>
      </c>
      <c r="L13" s="11">
        <v>23</v>
      </c>
      <c r="M13" s="13">
        <v>10</v>
      </c>
    </row>
    <row r="14" spans="1:13" ht="18.5" x14ac:dyDescent="0.45">
      <c r="A14" s="3">
        <v>13</v>
      </c>
      <c r="B14" s="4" t="s">
        <v>38</v>
      </c>
      <c r="C14" s="7" t="s">
        <v>31</v>
      </c>
      <c r="D14" s="11">
        <f>SUM(1470+1447+1339+1247+1325+1503+1377+1314)</f>
        <v>11022</v>
      </c>
      <c r="E14" s="11">
        <f>SUM(86+78+93+80+107+94+108+114)</f>
        <v>760</v>
      </c>
      <c r="F14" s="12">
        <f>D14/E14</f>
        <v>14.502631578947369</v>
      </c>
      <c r="G14" s="11">
        <v>8</v>
      </c>
      <c r="H14" s="11">
        <v>4</v>
      </c>
      <c r="I14" s="11">
        <v>1</v>
      </c>
      <c r="J14" s="11"/>
      <c r="K14" s="11"/>
      <c r="L14" s="11">
        <v>28</v>
      </c>
      <c r="M14" s="13">
        <v>5</v>
      </c>
    </row>
    <row r="15" spans="1:13" ht="18.5" x14ac:dyDescent="0.45">
      <c r="A15" s="3">
        <v>14</v>
      </c>
      <c r="B15" s="4" t="s">
        <v>96</v>
      </c>
      <c r="C15" s="4" t="s">
        <v>73</v>
      </c>
      <c r="D15" s="11">
        <f>SUM(1497+1481)</f>
        <v>2978</v>
      </c>
      <c r="E15" s="11">
        <f>SUM(116+90)</f>
        <v>206</v>
      </c>
      <c r="F15" s="12">
        <f>D15/E15</f>
        <v>14.456310679611651</v>
      </c>
      <c r="G15" s="11">
        <v>2</v>
      </c>
      <c r="H15" s="11">
        <v>2</v>
      </c>
      <c r="I15" s="11"/>
      <c r="J15" s="11"/>
      <c r="K15" s="11"/>
      <c r="L15" s="11">
        <v>6</v>
      </c>
      <c r="M15" s="13"/>
    </row>
    <row r="16" spans="1:13" ht="18.5" x14ac:dyDescent="0.45">
      <c r="A16" s="3">
        <v>15</v>
      </c>
      <c r="B16" s="61" t="s">
        <v>19</v>
      </c>
      <c r="C16" s="4" t="s">
        <v>20</v>
      </c>
      <c r="D16" s="11">
        <f>SUM(1391+1503+1498+1495+1471+1464+1499+1450+1356)</f>
        <v>13127</v>
      </c>
      <c r="E16" s="11">
        <f>SUM(108+83+99+110+96+103+113+120+82)</f>
        <v>914</v>
      </c>
      <c r="F16" s="12">
        <f>D16/E16</f>
        <v>14.36214442013129</v>
      </c>
      <c r="G16" s="11">
        <v>9</v>
      </c>
      <c r="H16" s="11">
        <v>5</v>
      </c>
      <c r="I16" s="11">
        <v>1</v>
      </c>
      <c r="J16" s="11"/>
      <c r="K16" s="11"/>
      <c r="L16" s="11">
        <v>29</v>
      </c>
      <c r="M16" s="13">
        <v>15</v>
      </c>
    </row>
    <row r="17" spans="1:13" ht="18.5" x14ac:dyDescent="0.45">
      <c r="A17" s="3">
        <v>16</v>
      </c>
      <c r="B17" s="9" t="s">
        <v>60</v>
      </c>
      <c r="C17" s="4" t="s">
        <v>26</v>
      </c>
      <c r="D17" s="11">
        <f>SUM(1446+1409+953+1451+1475+1256+1487+1483)</f>
        <v>10960</v>
      </c>
      <c r="E17" s="11">
        <f>SUM(108+84+72+88+112+102+114+90)</f>
        <v>770</v>
      </c>
      <c r="F17" s="12">
        <f>D17/E17</f>
        <v>14.233766233766234</v>
      </c>
      <c r="G17" s="11">
        <v>8</v>
      </c>
      <c r="H17" s="11">
        <v>2</v>
      </c>
      <c r="I17" s="11"/>
      <c r="J17" s="11"/>
      <c r="K17" s="11"/>
      <c r="L17" s="11">
        <v>16.5</v>
      </c>
      <c r="M17" s="13">
        <v>5</v>
      </c>
    </row>
    <row r="18" spans="1:13" ht="18.5" x14ac:dyDescent="0.45">
      <c r="A18" s="3">
        <v>17</v>
      </c>
      <c r="B18" s="7" t="s">
        <v>27</v>
      </c>
      <c r="C18" s="4" t="s">
        <v>12</v>
      </c>
      <c r="D18" s="11">
        <f>SUM(1503+1443+1324+1489+1268+1347+1405+1472+1481)</f>
        <v>12732</v>
      </c>
      <c r="E18" s="11">
        <f>SUM(84+101+74+92+93+114+92+123+122)</f>
        <v>895</v>
      </c>
      <c r="F18" s="12">
        <f>D18/E18</f>
        <v>14.225698324022346</v>
      </c>
      <c r="G18" s="11">
        <v>9</v>
      </c>
      <c r="H18" s="11">
        <v>4</v>
      </c>
      <c r="I18" s="11"/>
      <c r="J18" s="11"/>
      <c r="K18" s="11"/>
      <c r="L18" s="11">
        <v>30</v>
      </c>
      <c r="M18" s="13"/>
    </row>
    <row r="19" spans="1:13" ht="18.5" x14ac:dyDescent="0.45">
      <c r="A19" s="3">
        <v>18</v>
      </c>
      <c r="B19" s="9" t="s">
        <v>40</v>
      </c>
      <c r="C19" s="4" t="s">
        <v>16</v>
      </c>
      <c r="D19" s="11">
        <f>SUM(1503+1298+1500+1442+1190+1418+1101)</f>
        <v>9452</v>
      </c>
      <c r="E19" s="11">
        <f>SUM(129+87+96+107+81+88+78)</f>
        <v>666</v>
      </c>
      <c r="F19" s="12">
        <f>D19/E19</f>
        <v>14.192192192192191</v>
      </c>
      <c r="G19" s="11">
        <v>7</v>
      </c>
      <c r="H19" s="11">
        <v>4</v>
      </c>
      <c r="I19" s="11"/>
      <c r="J19" s="11"/>
      <c r="K19" s="11"/>
      <c r="L19" s="11">
        <v>23</v>
      </c>
      <c r="M19" s="13"/>
    </row>
    <row r="20" spans="1:13" ht="18.5" x14ac:dyDescent="0.45">
      <c r="A20" s="3">
        <v>19</v>
      </c>
      <c r="B20" s="9" t="s">
        <v>64</v>
      </c>
      <c r="C20" s="4" t="s">
        <v>13</v>
      </c>
      <c r="D20" s="11">
        <f>SUM(1478+1503+1471+1374+1451+1332+1465+1503+1503)</f>
        <v>13080</v>
      </c>
      <c r="E20" s="11">
        <f>SUM(110+97+109+92+104+105+97+116+96)</f>
        <v>926</v>
      </c>
      <c r="F20" s="12">
        <f>D20/E20</f>
        <v>14.125269978401727</v>
      </c>
      <c r="G20" s="11">
        <v>9</v>
      </c>
      <c r="H20" s="11">
        <v>5</v>
      </c>
      <c r="I20" s="11"/>
      <c r="J20" s="11"/>
      <c r="K20" s="11"/>
      <c r="L20" s="11">
        <v>32.5</v>
      </c>
      <c r="M20" s="13"/>
    </row>
    <row r="21" spans="1:13" ht="18.5" x14ac:dyDescent="0.45">
      <c r="A21" s="3">
        <v>20</v>
      </c>
      <c r="B21" s="7" t="s">
        <v>68</v>
      </c>
      <c r="C21" s="4" t="s">
        <v>73</v>
      </c>
      <c r="D21" s="11">
        <f>SUM(941+1293+1503+1385+1473+1493+1444)</f>
        <v>9532</v>
      </c>
      <c r="E21" s="11">
        <f>SUM(66+89+95+105+96+124+100)</f>
        <v>675</v>
      </c>
      <c r="F21" s="12">
        <f>D21/E21</f>
        <v>14.121481481481482</v>
      </c>
      <c r="G21" s="11">
        <v>7</v>
      </c>
      <c r="H21" s="11">
        <v>2</v>
      </c>
      <c r="I21" s="11"/>
      <c r="J21" s="11"/>
      <c r="K21" s="11"/>
      <c r="L21" s="11">
        <v>19.5</v>
      </c>
      <c r="M21" s="13"/>
    </row>
    <row r="22" spans="1:13" ht="18.5" x14ac:dyDescent="0.45">
      <c r="A22" s="3">
        <v>21</v>
      </c>
      <c r="B22" s="60" t="s">
        <v>69</v>
      </c>
      <c r="C22" s="8" t="s">
        <v>73</v>
      </c>
      <c r="D22" s="11">
        <f>SUM(1475+1487+1479+1350+1492+1494+1471)</f>
        <v>10248</v>
      </c>
      <c r="E22" s="11">
        <f>SUM(103+99+95+88+109+123+116)</f>
        <v>733</v>
      </c>
      <c r="F22" s="12">
        <f>D22/E22</f>
        <v>13.980900409276945</v>
      </c>
      <c r="G22" s="11">
        <v>7</v>
      </c>
      <c r="H22" s="11">
        <v>1</v>
      </c>
      <c r="I22" s="11"/>
      <c r="J22" s="11"/>
      <c r="K22" s="11"/>
      <c r="L22" s="11">
        <v>16</v>
      </c>
      <c r="M22" s="13"/>
    </row>
    <row r="23" spans="1:13" ht="18.5" x14ac:dyDescent="0.45">
      <c r="A23" s="3">
        <v>22</v>
      </c>
      <c r="B23" s="7" t="s">
        <v>79</v>
      </c>
      <c r="C23" s="7" t="s">
        <v>76</v>
      </c>
      <c r="D23" s="11">
        <f>SUM(1084+1251+1495+1121+1494+905+1392+1230+969)</f>
        <v>10941</v>
      </c>
      <c r="E23" s="11">
        <f>SUM(72+90+94+78+121+66+114+81+69)</f>
        <v>785</v>
      </c>
      <c r="F23" s="12">
        <f>D23/E23</f>
        <v>13.937579617834395</v>
      </c>
      <c r="G23" s="11">
        <v>9</v>
      </c>
      <c r="H23" s="11">
        <v>1</v>
      </c>
      <c r="I23" s="11"/>
      <c r="J23" s="11"/>
      <c r="K23" s="11"/>
      <c r="L23" s="11">
        <v>11.5</v>
      </c>
      <c r="M23" s="13"/>
    </row>
    <row r="24" spans="1:13" ht="18.5" x14ac:dyDescent="0.45">
      <c r="A24" s="3">
        <v>23</v>
      </c>
      <c r="B24" s="10" t="s">
        <v>59</v>
      </c>
      <c r="C24" s="7" t="s">
        <v>26</v>
      </c>
      <c r="D24" s="11">
        <f>SUM(1499+1463+1002+1326+1438+1240+1222+1412)</f>
        <v>10602</v>
      </c>
      <c r="E24" s="11">
        <f>SUM(114+98+80+80+104+87+96+104)</f>
        <v>763</v>
      </c>
      <c r="F24" s="12">
        <f>D24/E24</f>
        <v>13.895150720838794</v>
      </c>
      <c r="G24" s="11">
        <v>8</v>
      </c>
      <c r="H24" s="11">
        <v>5</v>
      </c>
      <c r="I24" s="11"/>
      <c r="J24" s="11"/>
      <c r="K24" s="11"/>
      <c r="L24" s="11">
        <v>17</v>
      </c>
      <c r="M24" s="13">
        <v>10</v>
      </c>
    </row>
    <row r="25" spans="1:13" ht="18.5" x14ac:dyDescent="0.45">
      <c r="A25" s="3">
        <v>24</v>
      </c>
      <c r="B25" s="14" t="s">
        <v>29</v>
      </c>
      <c r="C25" s="4" t="s">
        <v>20</v>
      </c>
      <c r="D25" s="11">
        <f>SUM(1301+1503+1503+1465+1483+1463+1503+1467+1503)</f>
        <v>13191</v>
      </c>
      <c r="E25" s="11">
        <f>SUM(96+110+161+88+101+97+102+120+86)</f>
        <v>961</v>
      </c>
      <c r="F25" s="12">
        <f>D25/E25</f>
        <v>13.726326742976067</v>
      </c>
      <c r="G25" s="11">
        <v>9</v>
      </c>
      <c r="H25" s="11">
        <v>7</v>
      </c>
      <c r="I25" s="11"/>
      <c r="J25" s="11"/>
      <c r="K25" s="11"/>
      <c r="L25" s="11">
        <v>34.5</v>
      </c>
      <c r="M25" s="13"/>
    </row>
    <row r="26" spans="1:13" ht="18.5" x14ac:dyDescent="0.45">
      <c r="A26" s="3">
        <v>25</v>
      </c>
      <c r="B26" s="15" t="s">
        <v>14</v>
      </c>
      <c r="C26" s="4" t="s">
        <v>15</v>
      </c>
      <c r="D26" s="11">
        <f>SUM(1483+1501+1503+1497+1324+1503+1480+1320+1205)</f>
        <v>12816</v>
      </c>
      <c r="E26" s="11">
        <f>SUM(111+96+127+125+86+117+91+102+90)</f>
        <v>945</v>
      </c>
      <c r="F26" s="12">
        <f>D26/E26</f>
        <v>13.561904761904762</v>
      </c>
      <c r="G26" s="11">
        <v>9</v>
      </c>
      <c r="H26" s="11">
        <v>4</v>
      </c>
      <c r="I26" s="11"/>
      <c r="J26" s="11"/>
      <c r="K26" s="11"/>
      <c r="L26" s="11">
        <v>33.5</v>
      </c>
      <c r="M26" s="13">
        <v>5</v>
      </c>
    </row>
    <row r="27" spans="1:13" ht="18.5" x14ac:dyDescent="0.45">
      <c r="A27" s="3">
        <v>26</v>
      </c>
      <c r="B27" s="10" t="s">
        <v>41</v>
      </c>
      <c r="C27" s="7" t="s">
        <v>62</v>
      </c>
      <c r="D27" s="11">
        <f>SUM(1443+1326+1271+1316+1281+1467+1494+1148+1467)</f>
        <v>12213</v>
      </c>
      <c r="E27" s="11">
        <f>SUM(102+95+98+96+99+124+108+78+104)</f>
        <v>904</v>
      </c>
      <c r="F27" s="12">
        <f>D27/E27</f>
        <v>13.50995575221239</v>
      </c>
      <c r="G27" s="11">
        <v>9</v>
      </c>
      <c r="H27" s="11">
        <v>3</v>
      </c>
      <c r="I27" s="11"/>
      <c r="J27" s="11"/>
      <c r="K27" s="11"/>
      <c r="L27" s="11">
        <v>20.5</v>
      </c>
      <c r="M27" s="13"/>
    </row>
    <row r="28" spans="1:13" ht="18.5" x14ac:dyDescent="0.45">
      <c r="A28" s="3">
        <v>27</v>
      </c>
      <c r="B28" s="15" t="s">
        <v>22</v>
      </c>
      <c r="C28" s="7" t="s">
        <v>20</v>
      </c>
      <c r="D28" s="11">
        <f>SUM(1426+1503+1499+1270+1503+1498+1368+1487+1375)</f>
        <v>12929</v>
      </c>
      <c r="E28" s="11">
        <f>SUM(99+116+108+87+110+129+89+97+123)</f>
        <v>958</v>
      </c>
      <c r="F28" s="12">
        <f>D28/E28</f>
        <v>13.495824634655532</v>
      </c>
      <c r="G28" s="11">
        <v>9</v>
      </c>
      <c r="H28" s="11">
        <v>5</v>
      </c>
      <c r="I28" s="11"/>
      <c r="J28" s="11"/>
      <c r="K28" s="11"/>
      <c r="L28" s="11">
        <v>30</v>
      </c>
      <c r="M28" s="13">
        <v>5</v>
      </c>
    </row>
    <row r="29" spans="1:13" ht="18.5" x14ac:dyDescent="0.45">
      <c r="A29" s="3">
        <v>28</v>
      </c>
      <c r="B29" s="10" t="s">
        <v>138</v>
      </c>
      <c r="C29" s="7" t="s">
        <v>76</v>
      </c>
      <c r="D29" s="11">
        <f>SUM(1422)</f>
        <v>1422</v>
      </c>
      <c r="E29" s="11">
        <f>SUM(107)</f>
        <v>107</v>
      </c>
      <c r="F29" s="12">
        <f>D29/E29</f>
        <v>13.289719626168225</v>
      </c>
      <c r="G29" s="11">
        <v>1</v>
      </c>
      <c r="H29" s="11">
        <v>1</v>
      </c>
      <c r="I29" s="11"/>
      <c r="J29" s="11"/>
      <c r="K29" s="11"/>
      <c r="L29" s="11">
        <v>2</v>
      </c>
      <c r="M29" s="13"/>
    </row>
    <row r="30" spans="1:13" ht="18.5" x14ac:dyDescent="0.45">
      <c r="A30" s="3">
        <v>29</v>
      </c>
      <c r="B30" s="15" t="s">
        <v>97</v>
      </c>
      <c r="C30" s="7" t="s">
        <v>15</v>
      </c>
      <c r="D30" s="11">
        <f>SUM(1212+1473+1483+1485+1499)</f>
        <v>7152</v>
      </c>
      <c r="E30" s="11">
        <f>SUM(91+113+103+104+128)</f>
        <v>539</v>
      </c>
      <c r="F30" s="12">
        <f>D30/E30</f>
        <v>13.269016697588127</v>
      </c>
      <c r="G30" s="11">
        <v>5</v>
      </c>
      <c r="H30" s="11">
        <v>2</v>
      </c>
      <c r="I30" s="11"/>
      <c r="J30" s="11"/>
      <c r="K30" s="11"/>
      <c r="L30" s="11">
        <v>10.5</v>
      </c>
      <c r="M30" s="13"/>
    </row>
    <row r="31" spans="1:13" ht="18.5" x14ac:dyDescent="0.45">
      <c r="A31" s="3">
        <v>30</v>
      </c>
      <c r="B31" s="15" t="s">
        <v>35</v>
      </c>
      <c r="C31" s="7" t="s">
        <v>62</v>
      </c>
      <c r="D31" s="11">
        <f>SUM(1480+1242+1379+1465+1503+1501+1427+1411+1503)</f>
        <v>12911</v>
      </c>
      <c r="E31" s="11">
        <f>SUM(111+87+100+128+114+110+103+102+124)</f>
        <v>979</v>
      </c>
      <c r="F31" s="12">
        <f>D31/E31</f>
        <v>13.187946884576098</v>
      </c>
      <c r="G31" s="11">
        <v>9</v>
      </c>
      <c r="H31" s="11">
        <v>5</v>
      </c>
      <c r="I31" s="11"/>
      <c r="J31" s="11"/>
      <c r="K31" s="11"/>
      <c r="L31" s="11">
        <v>25.5</v>
      </c>
      <c r="M31" s="13"/>
    </row>
    <row r="32" spans="1:13" ht="18.5" x14ac:dyDescent="0.45">
      <c r="A32" s="3">
        <v>31</v>
      </c>
      <c r="B32" s="15" t="s">
        <v>24</v>
      </c>
      <c r="C32" s="7" t="s">
        <v>12</v>
      </c>
      <c r="D32" s="11">
        <f>SUM(1503+1503+1503+1398+1481+1377+1483+1469+1499)</f>
        <v>13216</v>
      </c>
      <c r="E32" s="11">
        <f>SUM(108+98+101+143+135+88+103+109+120)</f>
        <v>1005</v>
      </c>
      <c r="F32" s="12">
        <f>D32/E32</f>
        <v>13.150248756218906</v>
      </c>
      <c r="G32" s="11">
        <v>9</v>
      </c>
      <c r="H32" s="11">
        <v>7</v>
      </c>
      <c r="I32" s="11"/>
      <c r="J32" s="11"/>
      <c r="K32" s="11"/>
      <c r="L32" s="11">
        <v>36</v>
      </c>
      <c r="M32" s="13"/>
    </row>
    <row r="33" spans="1:13" ht="18.5" x14ac:dyDescent="0.45">
      <c r="A33" s="3">
        <v>32</v>
      </c>
      <c r="B33" s="59" t="s">
        <v>116</v>
      </c>
      <c r="C33" s="7" t="s">
        <v>16</v>
      </c>
      <c r="D33" s="11">
        <f>SUM(1503+1394+1501+1402+1253+1495)</f>
        <v>8548</v>
      </c>
      <c r="E33" s="11">
        <f>SUM(94+126+104+129+77+121)</f>
        <v>651</v>
      </c>
      <c r="F33" s="12">
        <f>D33/E33</f>
        <v>13.130568356374807</v>
      </c>
      <c r="G33" s="11">
        <v>6</v>
      </c>
      <c r="H33" s="11">
        <v>3</v>
      </c>
      <c r="I33" s="11"/>
      <c r="J33" s="11"/>
      <c r="K33" s="11"/>
      <c r="L33" s="11">
        <v>18</v>
      </c>
      <c r="M33" s="13"/>
    </row>
    <row r="34" spans="1:13" ht="18.5" x14ac:dyDescent="0.45">
      <c r="A34" s="3">
        <v>33</v>
      </c>
      <c r="B34" s="14" t="s">
        <v>30</v>
      </c>
      <c r="C34" s="7" t="s">
        <v>31</v>
      </c>
      <c r="D34" s="11">
        <f>SUM(1369+1280+1318+1495+1487+1333+1503+1491+1499)</f>
        <v>12775</v>
      </c>
      <c r="E34" s="11">
        <f>SUM(92+92+105+111+99+126+121+120+108)</f>
        <v>974</v>
      </c>
      <c r="F34" s="12">
        <f>D34/E34</f>
        <v>13.116016427104723</v>
      </c>
      <c r="G34" s="11">
        <v>9</v>
      </c>
      <c r="H34" s="11">
        <v>6</v>
      </c>
      <c r="I34" s="11"/>
      <c r="J34" s="11"/>
      <c r="K34" s="11"/>
      <c r="L34" s="11">
        <v>30.5</v>
      </c>
      <c r="M34" s="13"/>
    </row>
    <row r="35" spans="1:13" ht="18.5" x14ac:dyDescent="0.45">
      <c r="A35" s="3">
        <v>34</v>
      </c>
      <c r="B35" s="4" t="s">
        <v>75</v>
      </c>
      <c r="C35" s="4" t="s">
        <v>73</v>
      </c>
      <c r="D35" s="11">
        <f>SUM(1499+1275+1131+1305+1499+1407)</f>
        <v>8116</v>
      </c>
      <c r="E35" s="11">
        <f>SUM(123+99+96+101+99+104)</f>
        <v>622</v>
      </c>
      <c r="F35" s="12">
        <f>D35/E35</f>
        <v>13.04823151125402</v>
      </c>
      <c r="G35" s="11">
        <v>6</v>
      </c>
      <c r="H35" s="11">
        <v>4</v>
      </c>
      <c r="I35" s="11"/>
      <c r="J35" s="11"/>
      <c r="K35" s="11"/>
      <c r="L35" s="11">
        <v>14</v>
      </c>
      <c r="M35" s="13"/>
    </row>
    <row r="36" spans="1:13" ht="18.5" x14ac:dyDescent="0.45">
      <c r="A36" s="3">
        <v>35</v>
      </c>
      <c r="B36" s="4" t="s">
        <v>23</v>
      </c>
      <c r="C36" s="4" t="s">
        <v>13</v>
      </c>
      <c r="D36" s="11">
        <f>SUM(1503+1499+1483+1483+1503+1497+1487)</f>
        <v>10455</v>
      </c>
      <c r="E36" s="11">
        <f>SUM(100+99+110+105+132+140+116)</f>
        <v>802</v>
      </c>
      <c r="F36" s="12">
        <f>D36/E36</f>
        <v>13.036159600997506</v>
      </c>
      <c r="G36" s="11">
        <v>7</v>
      </c>
      <c r="H36" s="11">
        <v>7</v>
      </c>
      <c r="I36" s="11"/>
      <c r="J36" s="11"/>
      <c r="K36" s="11"/>
      <c r="L36" s="11">
        <v>28.5</v>
      </c>
      <c r="M36" s="13"/>
    </row>
    <row r="37" spans="1:13" ht="18.5" x14ac:dyDescent="0.45">
      <c r="A37" s="3">
        <v>36</v>
      </c>
      <c r="B37" s="4" t="s">
        <v>71</v>
      </c>
      <c r="C37" s="4" t="s">
        <v>76</v>
      </c>
      <c r="D37" s="11">
        <f>SUM(1501+1174+1489+1503+1435+1376+1397)</f>
        <v>9875</v>
      </c>
      <c r="E37" s="11">
        <f>SUM(156+81+108+103+125+84+102)</f>
        <v>759</v>
      </c>
      <c r="F37" s="12">
        <f>D37/E37</f>
        <v>13.010540184453228</v>
      </c>
      <c r="G37" s="11">
        <v>7</v>
      </c>
      <c r="H37" s="11">
        <v>4</v>
      </c>
      <c r="I37" s="11"/>
      <c r="J37" s="11"/>
      <c r="K37" s="11"/>
      <c r="L37" s="11">
        <v>19.5</v>
      </c>
      <c r="M37" s="13"/>
    </row>
    <row r="38" spans="1:13" ht="18.5" x14ac:dyDescent="0.45">
      <c r="A38" s="3">
        <v>37</v>
      </c>
      <c r="B38" s="4" t="s">
        <v>144</v>
      </c>
      <c r="C38" s="4" t="s">
        <v>76</v>
      </c>
      <c r="D38" s="11">
        <f>SUM(1373)</f>
        <v>1373</v>
      </c>
      <c r="E38" s="11">
        <f>SUM(106)</f>
        <v>106</v>
      </c>
      <c r="F38" s="12">
        <f>D38/E38</f>
        <v>12.952830188679245</v>
      </c>
      <c r="G38" s="11">
        <v>1</v>
      </c>
      <c r="H38" s="11">
        <v>1</v>
      </c>
      <c r="I38" s="11"/>
      <c r="J38" s="11"/>
      <c r="K38" s="11"/>
      <c r="L38" s="11">
        <v>2</v>
      </c>
      <c r="M38" s="13">
        <v>5</v>
      </c>
    </row>
    <row r="39" spans="1:13" ht="18.5" x14ac:dyDescent="0.45">
      <c r="A39" s="3">
        <v>38</v>
      </c>
      <c r="B39" s="4" t="s">
        <v>74</v>
      </c>
      <c r="C39" s="4" t="s">
        <v>12</v>
      </c>
      <c r="D39" s="11">
        <f>SUM(1479+1459+1501+1503+1448+1257+1418+1475+1370)</f>
        <v>12910</v>
      </c>
      <c r="E39" s="11">
        <f>SUM(110+116+147+118+106+99+86+110+110)</f>
        <v>1002</v>
      </c>
      <c r="F39" s="12">
        <f>D39/E39</f>
        <v>12.884231536926148</v>
      </c>
      <c r="G39" s="11">
        <v>9</v>
      </c>
      <c r="H39" s="11">
        <v>4</v>
      </c>
      <c r="I39" s="11"/>
      <c r="J39" s="11"/>
      <c r="K39" s="11"/>
      <c r="L39" s="11">
        <v>31</v>
      </c>
      <c r="M39" s="13"/>
    </row>
    <row r="40" spans="1:13" ht="18.5" x14ac:dyDescent="0.45">
      <c r="A40" s="3">
        <v>39</v>
      </c>
      <c r="B40" s="14" t="s">
        <v>95</v>
      </c>
      <c r="C40" s="4" t="s">
        <v>94</v>
      </c>
      <c r="D40" s="11">
        <f>SUM(1455+1482+1452+1434+1427+1489+1362)</f>
        <v>10101</v>
      </c>
      <c r="E40" s="11">
        <f>SUM(129+147+107+101+114+97+103)</f>
        <v>798</v>
      </c>
      <c r="F40" s="12">
        <f>D40/E40</f>
        <v>12.657894736842104</v>
      </c>
      <c r="G40" s="11">
        <v>7</v>
      </c>
      <c r="H40" s="11">
        <v>1</v>
      </c>
      <c r="I40" s="11"/>
      <c r="J40" s="11"/>
      <c r="K40" s="11"/>
      <c r="L40" s="11">
        <v>13.5</v>
      </c>
      <c r="M40" s="13"/>
    </row>
    <row r="41" spans="1:13" ht="18.5" x14ac:dyDescent="0.45">
      <c r="A41" s="3">
        <v>40</v>
      </c>
      <c r="B41" s="4" t="s">
        <v>67</v>
      </c>
      <c r="C41" s="4" t="s">
        <v>16</v>
      </c>
      <c r="D41" s="11">
        <f>SUM(1501+1503+1225+1495+1420+1493+1289+1499+1487)</f>
        <v>12912</v>
      </c>
      <c r="E41" s="11">
        <f>SUM(148+104+75+129+108+136+99+102+122)</f>
        <v>1023</v>
      </c>
      <c r="F41" s="12">
        <f>D41/E41</f>
        <v>12.621700879765395</v>
      </c>
      <c r="G41" s="11">
        <v>9</v>
      </c>
      <c r="H41" s="11">
        <v>4</v>
      </c>
      <c r="I41" s="11"/>
      <c r="J41" s="11"/>
      <c r="K41" s="11"/>
      <c r="L41" s="11">
        <v>19.5</v>
      </c>
      <c r="M41" s="13"/>
    </row>
    <row r="42" spans="1:13" ht="18.5" x14ac:dyDescent="0.45">
      <c r="A42" s="3">
        <v>41</v>
      </c>
      <c r="B42" s="4" t="s">
        <v>98</v>
      </c>
      <c r="C42" s="7" t="s">
        <v>94</v>
      </c>
      <c r="D42" s="11">
        <f>SUM(1457+1241+1440+1384+1205+1503+1501+1337)</f>
        <v>11068</v>
      </c>
      <c r="E42" s="11">
        <f>SUM(99+99+114+102+82+143+129+109)</f>
        <v>877</v>
      </c>
      <c r="F42" s="12">
        <f>D42/E42</f>
        <v>12.620296465222349</v>
      </c>
      <c r="G42" s="11">
        <v>8</v>
      </c>
      <c r="H42" s="11">
        <v>2</v>
      </c>
      <c r="I42" s="11"/>
      <c r="J42" s="11"/>
      <c r="K42" s="11"/>
      <c r="L42" s="11">
        <v>22</v>
      </c>
      <c r="M42" s="13"/>
    </row>
    <row r="43" spans="1:13" ht="18.5" x14ac:dyDescent="0.45">
      <c r="A43" s="3">
        <v>42</v>
      </c>
      <c r="B43" s="14" t="s">
        <v>137</v>
      </c>
      <c r="C43" s="4" t="s">
        <v>13</v>
      </c>
      <c r="D43" s="11">
        <f>SUM(1319+1495)</f>
        <v>2814</v>
      </c>
      <c r="E43" s="11">
        <f>SUM(114+111)</f>
        <v>225</v>
      </c>
      <c r="F43" s="12">
        <f>D43/E43</f>
        <v>12.506666666666666</v>
      </c>
      <c r="G43" s="11">
        <v>2</v>
      </c>
      <c r="H43" s="11">
        <v>1</v>
      </c>
      <c r="I43" s="11"/>
      <c r="J43" s="11"/>
      <c r="K43" s="11"/>
      <c r="L43" s="11">
        <v>4.5</v>
      </c>
      <c r="M43" s="13"/>
    </row>
    <row r="44" spans="1:13" ht="18.5" x14ac:dyDescent="0.45">
      <c r="A44" s="3">
        <v>43</v>
      </c>
      <c r="B44" s="14" t="s">
        <v>33</v>
      </c>
      <c r="C44" s="4" t="s">
        <v>26</v>
      </c>
      <c r="D44" s="11">
        <f>SUM(1311+1257+1471+1499+1355+1408+1471+1439)</f>
        <v>11211</v>
      </c>
      <c r="E44" s="11">
        <f>SUM(84+98+123+139+105+124+128+103)</f>
        <v>904</v>
      </c>
      <c r="F44" s="12">
        <f>D44/E44</f>
        <v>12.401548672566372</v>
      </c>
      <c r="G44" s="11">
        <v>8</v>
      </c>
      <c r="H44" s="11">
        <v>2</v>
      </c>
      <c r="I44" s="11"/>
      <c r="J44" s="11"/>
      <c r="K44" s="11"/>
      <c r="L44" s="11">
        <v>16.5</v>
      </c>
      <c r="M44" s="13">
        <v>5</v>
      </c>
    </row>
    <row r="45" spans="1:13" ht="18.5" x14ac:dyDescent="0.45">
      <c r="A45" s="3">
        <v>44</v>
      </c>
      <c r="B45" s="14" t="s">
        <v>61</v>
      </c>
      <c r="C45" s="4" t="s">
        <v>26</v>
      </c>
      <c r="D45" s="11">
        <f>SUM(1332+1457+1481+1441+1493+1492+1503)</f>
        <v>10199</v>
      </c>
      <c r="E45" s="11">
        <f>SUM(102+131+110+117+131+134+102)</f>
        <v>827</v>
      </c>
      <c r="F45" s="12">
        <f>D45/E45</f>
        <v>12.332527206771463</v>
      </c>
      <c r="G45" s="11">
        <v>7</v>
      </c>
      <c r="H45" s="11">
        <v>2</v>
      </c>
      <c r="I45" s="11"/>
      <c r="J45" s="11"/>
      <c r="K45" s="11"/>
      <c r="L45" s="11">
        <v>14.5</v>
      </c>
      <c r="M45" s="13"/>
    </row>
    <row r="46" spans="1:13" ht="18.5" x14ac:dyDescent="0.45">
      <c r="A46" s="3">
        <v>45</v>
      </c>
      <c r="B46" s="14" t="s">
        <v>70</v>
      </c>
      <c r="C46" s="4" t="s">
        <v>73</v>
      </c>
      <c r="D46" s="11">
        <f>SUM(1359+1497+1412+1293+1503+1499)</f>
        <v>8563</v>
      </c>
      <c r="E46" s="11">
        <f>SUM(110+135+87+97+131+137)</f>
        <v>697</v>
      </c>
      <c r="F46" s="12">
        <f>D46/E46</f>
        <v>12.285509325681492</v>
      </c>
      <c r="G46" s="11">
        <v>6</v>
      </c>
      <c r="H46" s="11">
        <v>3</v>
      </c>
      <c r="I46" s="11"/>
      <c r="J46" s="11"/>
      <c r="K46" s="11"/>
      <c r="L46" s="11">
        <v>17.5</v>
      </c>
      <c r="M46" s="13"/>
    </row>
    <row r="47" spans="1:13" ht="18.5" x14ac:dyDescent="0.45">
      <c r="A47" s="3">
        <v>46</v>
      </c>
      <c r="B47" s="4" t="s">
        <v>115</v>
      </c>
      <c r="C47" s="4" t="s">
        <v>26</v>
      </c>
      <c r="D47" s="11">
        <f>SUM(1014)</f>
        <v>1014</v>
      </c>
      <c r="E47" s="11">
        <f>SUM(87)</f>
        <v>87</v>
      </c>
      <c r="F47" s="12">
        <f>D47/E47</f>
        <v>11.655172413793103</v>
      </c>
      <c r="G47" s="11">
        <v>1</v>
      </c>
      <c r="H47" s="11"/>
      <c r="I47" s="11"/>
      <c r="J47" s="11"/>
      <c r="K47" s="11"/>
      <c r="L47" s="11">
        <v>0.5</v>
      </c>
      <c r="M47" s="13"/>
    </row>
    <row r="48" spans="1:13" ht="18.5" x14ac:dyDescent="0.45">
      <c r="A48" s="3">
        <v>47</v>
      </c>
      <c r="B48" s="14" t="s">
        <v>36</v>
      </c>
      <c r="C48" s="4" t="s">
        <v>76</v>
      </c>
      <c r="D48" s="11">
        <f>SUM(1372+1316+996+1229+1440+1483+1487+1477+1200)</f>
        <v>12000</v>
      </c>
      <c r="E48" s="11">
        <f>SUM(123+111+87+111+126+138+126+122+93)</f>
        <v>1037</v>
      </c>
      <c r="F48" s="12">
        <f>D48/E48</f>
        <v>11.571841851494696</v>
      </c>
      <c r="G48" s="11">
        <v>9</v>
      </c>
      <c r="H48" s="11">
        <v>1</v>
      </c>
      <c r="I48" s="11"/>
      <c r="J48" s="11"/>
      <c r="K48" s="11"/>
      <c r="L48" s="11">
        <v>14</v>
      </c>
      <c r="M48" s="13"/>
    </row>
    <row r="49" spans="1:18" ht="18.5" x14ac:dyDescent="0.45">
      <c r="A49" s="3">
        <v>48</v>
      </c>
      <c r="B49" s="14" t="s">
        <v>37</v>
      </c>
      <c r="C49" s="4" t="s">
        <v>76</v>
      </c>
      <c r="D49" s="11">
        <f>SUM(1487+1270+1281+1456+1315+1438+1202+1400+1290)</f>
        <v>12139</v>
      </c>
      <c r="E49" s="11">
        <f>SUM(142+105+93+150+105+147+96+108+114)</f>
        <v>1060</v>
      </c>
      <c r="F49" s="12">
        <f>D49/E49</f>
        <v>11.45188679245283</v>
      </c>
      <c r="G49" s="11">
        <v>9</v>
      </c>
      <c r="H49" s="11"/>
      <c r="I49" s="11"/>
      <c r="J49" s="11"/>
      <c r="K49" s="11"/>
      <c r="L49" s="11">
        <v>11</v>
      </c>
      <c r="M49" s="13"/>
    </row>
    <row r="50" spans="1:18" ht="18.5" x14ac:dyDescent="0.45">
      <c r="A50" s="3">
        <v>49</v>
      </c>
      <c r="B50" s="4" t="s">
        <v>122</v>
      </c>
      <c r="C50" s="4" t="s">
        <v>26</v>
      </c>
      <c r="D50" s="11">
        <f>SUM(1284+1031+1383)</f>
        <v>3698</v>
      </c>
      <c r="E50" s="11">
        <f>SUM(99+98+126)</f>
        <v>323</v>
      </c>
      <c r="F50" s="12">
        <f>D50/E50</f>
        <v>11.448916408668731</v>
      </c>
      <c r="G50" s="11">
        <v>3</v>
      </c>
      <c r="H50" s="11"/>
      <c r="I50" s="11"/>
      <c r="J50" s="11"/>
      <c r="K50" s="11"/>
      <c r="L50" s="11">
        <v>5.5</v>
      </c>
      <c r="M50" s="13"/>
    </row>
    <row r="51" spans="1:18" ht="18.5" x14ac:dyDescent="0.45">
      <c r="A51" s="3">
        <v>50</v>
      </c>
      <c r="B51" s="4" t="s">
        <v>18</v>
      </c>
      <c r="C51" s="4" t="s">
        <v>15</v>
      </c>
      <c r="D51" s="11">
        <f>SUM(1267+1491+1493+1493)</f>
        <v>5744</v>
      </c>
      <c r="E51" s="11">
        <f>SUM(121+139+133+112)</f>
        <v>505</v>
      </c>
      <c r="F51" s="12">
        <f>D51/E51</f>
        <v>11.374257425742574</v>
      </c>
      <c r="G51" s="11">
        <v>4</v>
      </c>
      <c r="H51" s="11">
        <v>3</v>
      </c>
      <c r="I51" s="11"/>
      <c r="J51" s="11"/>
      <c r="K51" s="11"/>
      <c r="L51" s="11">
        <v>21</v>
      </c>
      <c r="M51" s="13"/>
    </row>
    <row r="52" spans="1:18" ht="18.5" x14ac:dyDescent="0.45">
      <c r="A52" s="3">
        <v>51</v>
      </c>
      <c r="B52" s="14" t="s">
        <v>65</v>
      </c>
      <c r="C52" s="4" t="s">
        <v>16</v>
      </c>
      <c r="D52" s="11">
        <f>SUM(1337+1489+1467+1477+1431+1448)</f>
        <v>8649</v>
      </c>
      <c r="E52" s="11">
        <f>SUM(150+138+111+139+109+115)</f>
        <v>762</v>
      </c>
      <c r="F52" s="12">
        <f>D52/E52</f>
        <v>11.350393700787402</v>
      </c>
      <c r="G52" s="11">
        <v>6</v>
      </c>
      <c r="H52" s="11">
        <v>2</v>
      </c>
      <c r="I52" s="11"/>
      <c r="J52" s="11"/>
      <c r="K52" s="11"/>
      <c r="L52" s="11">
        <v>15.5</v>
      </c>
      <c r="M52" s="13">
        <v>5</v>
      </c>
    </row>
    <row r="53" spans="1:18" ht="18.5" x14ac:dyDescent="0.45">
      <c r="A53" s="3">
        <v>52</v>
      </c>
      <c r="B53" s="4" t="s">
        <v>34</v>
      </c>
      <c r="C53" s="4" t="s">
        <v>62</v>
      </c>
      <c r="D53" s="11">
        <f>SUM(1357+1211+1501+1381+1328+1468)</f>
        <v>8246</v>
      </c>
      <c r="E53" s="11">
        <f>SUM(105+90+149+138+114+131)</f>
        <v>727</v>
      </c>
      <c r="F53" s="12">
        <f>D53/E53</f>
        <v>11.342503438789546</v>
      </c>
      <c r="G53" s="11">
        <v>6</v>
      </c>
      <c r="H53" s="11">
        <v>1</v>
      </c>
      <c r="I53" s="11"/>
      <c r="J53" s="11"/>
      <c r="K53" s="11"/>
      <c r="L53" s="11">
        <v>10</v>
      </c>
      <c r="M53" s="13">
        <v>5</v>
      </c>
    </row>
    <row r="54" spans="1:18" ht="18.5" x14ac:dyDescent="0.45">
      <c r="A54" s="3">
        <v>53</v>
      </c>
      <c r="B54" s="14" t="s">
        <v>136</v>
      </c>
      <c r="C54" s="4" t="s">
        <v>26</v>
      </c>
      <c r="D54" s="11">
        <f>SUM(1503)</f>
        <v>1503</v>
      </c>
      <c r="E54" s="11">
        <f>SUM(135)</f>
        <v>135</v>
      </c>
      <c r="F54" s="12">
        <f>D54/E54</f>
        <v>11.133333333333333</v>
      </c>
      <c r="G54" s="11">
        <v>1</v>
      </c>
      <c r="H54" s="11">
        <v>1</v>
      </c>
      <c r="I54" s="11"/>
      <c r="J54" s="11"/>
      <c r="K54" s="11"/>
      <c r="L54" s="11">
        <v>4</v>
      </c>
      <c r="M54" s="13"/>
    </row>
    <row r="55" spans="1:18" ht="18.5" x14ac:dyDescent="0.45">
      <c r="A55" s="3">
        <v>54</v>
      </c>
      <c r="B55" s="4" t="s">
        <v>121</v>
      </c>
      <c r="C55" s="4" t="s">
        <v>94</v>
      </c>
      <c r="D55" s="11">
        <f>SUM(1419+1464+1497)</f>
        <v>4380</v>
      </c>
      <c r="E55" s="11">
        <f>SUM(132+136+152)</f>
        <v>420</v>
      </c>
      <c r="F55" s="12">
        <f>D55/E55</f>
        <v>10.428571428571429</v>
      </c>
      <c r="G55" s="11">
        <v>3</v>
      </c>
      <c r="H55" s="11">
        <v>1</v>
      </c>
      <c r="I55" s="11"/>
      <c r="J55" s="11"/>
      <c r="K55" s="11"/>
      <c r="L55" s="11">
        <v>7</v>
      </c>
      <c r="M55" s="13">
        <v>10</v>
      </c>
    </row>
    <row r="56" spans="1:18" ht="18.5" x14ac:dyDescent="0.45">
      <c r="A56" s="3">
        <v>55</v>
      </c>
      <c r="B56" s="14" t="s">
        <v>93</v>
      </c>
      <c r="C56" s="4" t="s">
        <v>62</v>
      </c>
      <c r="D56" s="11">
        <f>SUM(1476+1440+1478)</f>
        <v>4394</v>
      </c>
      <c r="E56" s="11">
        <f>SUM(156+138+139)</f>
        <v>433</v>
      </c>
      <c r="F56" s="12">
        <f>D56/E56</f>
        <v>10.147806004618937</v>
      </c>
      <c r="G56" s="11">
        <v>3</v>
      </c>
      <c r="H56" s="11"/>
      <c r="I56" s="11"/>
      <c r="J56" s="11"/>
      <c r="K56" s="11"/>
      <c r="L56" s="11">
        <v>3</v>
      </c>
      <c r="M56" s="13"/>
    </row>
    <row r="57" spans="1:18" ht="18.5" x14ac:dyDescent="0.45">
      <c r="A57" s="3">
        <v>56</v>
      </c>
      <c r="B57" s="4" t="s">
        <v>143</v>
      </c>
      <c r="C57" s="4" t="s">
        <v>31</v>
      </c>
      <c r="D57" s="11">
        <f>SUM(1445)</f>
        <v>1445</v>
      </c>
      <c r="E57" s="11">
        <f>SUM(149)</f>
        <v>149</v>
      </c>
      <c r="F57" s="12">
        <f>D57/E57</f>
        <v>9.6979865771812079</v>
      </c>
      <c r="G57" s="11">
        <v>1</v>
      </c>
      <c r="H57" s="11"/>
      <c r="I57" s="11"/>
      <c r="J57" s="11"/>
      <c r="K57" s="11"/>
      <c r="L57" s="11">
        <v>1</v>
      </c>
      <c r="M57" s="13"/>
    </row>
    <row r="58" spans="1:18" ht="18.5" x14ac:dyDescent="0.45">
      <c r="A58" s="3">
        <v>57</v>
      </c>
      <c r="B58" s="14" t="s">
        <v>127</v>
      </c>
      <c r="C58" s="4" t="s">
        <v>26</v>
      </c>
      <c r="D58" s="11"/>
      <c r="E58" s="11"/>
      <c r="F58" s="12"/>
      <c r="G58" s="11"/>
      <c r="H58" s="11"/>
      <c r="I58" s="11"/>
      <c r="J58" s="11"/>
      <c r="K58" s="11"/>
      <c r="L58" s="11">
        <v>0.5</v>
      </c>
      <c r="M58" s="13"/>
    </row>
    <row r="59" spans="1:18" ht="17.25" customHeight="1" thickBot="1" x14ac:dyDescent="0.5">
      <c r="A59" s="5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</row>
    <row r="60" spans="1:18" ht="19.5" customHeight="1" thickBot="1" x14ac:dyDescent="0.5">
      <c r="A60" s="5"/>
      <c r="B60" s="33" t="s">
        <v>142</v>
      </c>
      <c r="C60" s="58" t="s">
        <v>42</v>
      </c>
      <c r="D60" s="57" t="s">
        <v>43</v>
      </c>
      <c r="E60" s="57" t="s">
        <v>87</v>
      </c>
      <c r="F60" s="56" t="s">
        <v>44</v>
      </c>
      <c r="G60" s="55" t="s">
        <v>86</v>
      </c>
      <c r="I60" s="38" t="s">
        <v>45</v>
      </c>
      <c r="J60" s="39"/>
      <c r="K60" s="39"/>
      <c r="L60" s="39"/>
      <c r="M60" s="39"/>
      <c r="N60" s="39"/>
      <c r="O60" s="39"/>
      <c r="P60" s="39"/>
      <c r="Q60" s="39"/>
      <c r="R60" s="40"/>
    </row>
    <row r="61" spans="1:18" ht="19" thickBot="1" x14ac:dyDescent="0.5">
      <c r="A61" s="5"/>
      <c r="B61" s="50"/>
      <c r="C61" s="17" t="s">
        <v>47</v>
      </c>
      <c r="D61" s="22">
        <v>9</v>
      </c>
      <c r="E61" s="22">
        <v>0</v>
      </c>
      <c r="F61" s="22">
        <v>145</v>
      </c>
      <c r="G61" s="28">
        <v>7</v>
      </c>
      <c r="I61" s="43" t="s">
        <v>46</v>
      </c>
      <c r="J61" s="44"/>
      <c r="K61" s="44"/>
      <c r="L61" s="44"/>
      <c r="M61" s="44"/>
      <c r="N61" s="41" t="s">
        <v>113</v>
      </c>
      <c r="O61" s="41"/>
      <c r="P61" s="41"/>
      <c r="Q61" s="41"/>
      <c r="R61" s="42"/>
    </row>
    <row r="62" spans="1:18" ht="18.5" x14ac:dyDescent="0.45">
      <c r="A62" s="5"/>
      <c r="B62" s="50"/>
      <c r="C62" s="54" t="s">
        <v>52</v>
      </c>
      <c r="D62" s="53">
        <v>7</v>
      </c>
      <c r="E62" s="52">
        <v>2</v>
      </c>
      <c r="F62" s="52">
        <v>132</v>
      </c>
      <c r="G62" s="51">
        <v>5</v>
      </c>
      <c r="I62" s="45" t="s">
        <v>48</v>
      </c>
      <c r="J62" s="46"/>
      <c r="K62" s="46"/>
      <c r="L62" s="46"/>
      <c r="M62" s="46"/>
      <c r="N62" s="36" t="s">
        <v>141</v>
      </c>
      <c r="O62" s="36"/>
      <c r="P62" s="36"/>
      <c r="Q62" s="36"/>
      <c r="R62" s="37"/>
    </row>
    <row r="63" spans="1:18" ht="18.5" x14ac:dyDescent="0.45">
      <c r="A63" s="5"/>
      <c r="B63" s="50"/>
      <c r="C63" s="17" t="s">
        <v>56</v>
      </c>
      <c r="D63" s="22">
        <v>6</v>
      </c>
      <c r="E63" s="11">
        <v>3</v>
      </c>
      <c r="F63" s="11">
        <v>134</v>
      </c>
      <c r="G63" s="28">
        <v>3</v>
      </c>
      <c r="I63" s="45" t="s">
        <v>50</v>
      </c>
      <c r="J63" s="46"/>
      <c r="K63" s="46"/>
      <c r="L63" s="46"/>
      <c r="M63" s="46"/>
      <c r="N63" s="36" t="s">
        <v>140</v>
      </c>
      <c r="O63" s="36"/>
      <c r="P63" s="36"/>
      <c r="Q63" s="36"/>
      <c r="R63" s="37"/>
    </row>
    <row r="64" spans="1:18" ht="18.5" x14ac:dyDescent="0.45">
      <c r="A64" s="6"/>
      <c r="B64" s="50"/>
      <c r="C64" s="17" t="s">
        <v>49</v>
      </c>
      <c r="D64" s="22">
        <v>6</v>
      </c>
      <c r="E64" s="11">
        <v>3</v>
      </c>
      <c r="F64" s="11">
        <v>127</v>
      </c>
      <c r="G64" s="28">
        <v>6</v>
      </c>
      <c r="I64" s="45" t="s">
        <v>51</v>
      </c>
      <c r="J64" s="46"/>
      <c r="K64" s="46"/>
      <c r="L64" s="46"/>
      <c r="M64" s="46"/>
      <c r="N64" s="36" t="s">
        <v>139</v>
      </c>
      <c r="O64" s="36"/>
      <c r="P64" s="36"/>
      <c r="Q64" s="36"/>
      <c r="R64" s="37"/>
    </row>
    <row r="65" spans="1:18" ht="18" customHeight="1" x14ac:dyDescent="0.45">
      <c r="A65" s="6"/>
      <c r="B65" s="50"/>
      <c r="C65" s="17" t="s">
        <v>57</v>
      </c>
      <c r="D65" s="22">
        <v>6</v>
      </c>
      <c r="E65" s="11">
        <v>3</v>
      </c>
      <c r="F65" s="11">
        <v>127</v>
      </c>
      <c r="G65" s="28">
        <v>9</v>
      </c>
      <c r="I65" s="45" t="s">
        <v>53</v>
      </c>
      <c r="J65" s="46"/>
      <c r="K65" s="46"/>
      <c r="L65" s="46"/>
      <c r="M65" s="46"/>
      <c r="N65" s="36" t="s">
        <v>106</v>
      </c>
      <c r="O65" s="36"/>
      <c r="P65" s="36"/>
      <c r="Q65" s="36"/>
      <c r="R65" s="37"/>
    </row>
    <row r="66" spans="1:18" ht="18" customHeight="1" thickBot="1" x14ac:dyDescent="0.5">
      <c r="A66" s="6"/>
      <c r="B66" s="50"/>
      <c r="C66" s="17" t="s">
        <v>88</v>
      </c>
      <c r="D66" s="23">
        <v>5</v>
      </c>
      <c r="E66" s="23">
        <v>4</v>
      </c>
      <c r="F66" s="23">
        <v>103</v>
      </c>
      <c r="G66" s="28">
        <v>1</v>
      </c>
      <c r="I66" s="31" t="s">
        <v>54</v>
      </c>
      <c r="J66" s="32"/>
      <c r="K66" s="32"/>
      <c r="L66" s="32"/>
      <c r="M66" s="32"/>
      <c r="N66" s="36" t="s">
        <v>89</v>
      </c>
      <c r="O66" s="36"/>
      <c r="P66" s="36"/>
      <c r="Q66" s="36"/>
      <c r="R66" s="37"/>
    </row>
    <row r="67" spans="1:18" ht="18.5" x14ac:dyDescent="0.45">
      <c r="A67" s="6"/>
      <c r="B67" s="50"/>
      <c r="C67" s="17" t="s">
        <v>55</v>
      </c>
      <c r="D67" s="22">
        <v>4</v>
      </c>
      <c r="E67" s="22">
        <v>5</v>
      </c>
      <c r="F67" s="22">
        <v>105</v>
      </c>
      <c r="G67" s="28">
        <v>2</v>
      </c>
      <c r="H67" s="6"/>
      <c r="I67" s="6"/>
    </row>
    <row r="68" spans="1:18" ht="18.5" x14ac:dyDescent="0.45">
      <c r="A68" s="6"/>
      <c r="B68" s="50"/>
      <c r="C68" s="17" t="s">
        <v>63</v>
      </c>
      <c r="D68" s="23">
        <v>2</v>
      </c>
      <c r="E68" s="23">
        <v>7</v>
      </c>
      <c r="F68" s="23">
        <v>82</v>
      </c>
      <c r="G68" s="28">
        <v>10</v>
      </c>
      <c r="H68" s="6"/>
    </row>
    <row r="69" spans="1:18" ht="18.5" x14ac:dyDescent="0.45">
      <c r="B69" s="50"/>
      <c r="C69" s="17" t="s">
        <v>66</v>
      </c>
      <c r="D69" s="22">
        <v>2</v>
      </c>
      <c r="E69" s="11">
        <v>6</v>
      </c>
      <c r="F69" s="11">
        <v>73</v>
      </c>
      <c r="G69" s="28">
        <v>8</v>
      </c>
    </row>
    <row r="70" spans="1:18" ht="18.5" x14ac:dyDescent="0.45">
      <c r="B70" s="50"/>
      <c r="C70" s="18" t="s">
        <v>58</v>
      </c>
      <c r="D70" s="23">
        <v>1</v>
      </c>
      <c r="E70" s="23">
        <v>8</v>
      </c>
      <c r="F70" s="23">
        <v>76</v>
      </c>
      <c r="G70" s="28">
        <v>11</v>
      </c>
    </row>
    <row r="71" spans="1:18" ht="19" thickBot="1" x14ac:dyDescent="0.5">
      <c r="B71" s="49"/>
      <c r="C71" s="48" t="s">
        <v>77</v>
      </c>
      <c r="D71" s="47">
        <v>1</v>
      </c>
      <c r="E71" s="47">
        <v>8</v>
      </c>
      <c r="F71" s="47">
        <v>60</v>
      </c>
      <c r="G71" s="29">
        <v>4</v>
      </c>
    </row>
  </sheetData>
  <mergeCells count="14">
    <mergeCell ref="I62:M62"/>
    <mergeCell ref="I63:M63"/>
    <mergeCell ref="I64:M64"/>
    <mergeCell ref="I65:M65"/>
    <mergeCell ref="I66:M66"/>
    <mergeCell ref="B60:B71"/>
    <mergeCell ref="N66:R66"/>
    <mergeCell ref="I60:R60"/>
    <mergeCell ref="N61:R61"/>
    <mergeCell ref="N62:R62"/>
    <mergeCell ref="N63:R63"/>
    <mergeCell ref="N64:R64"/>
    <mergeCell ref="N65:R65"/>
    <mergeCell ref="I61:M6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5EE6D3-E79B-4F4B-A4B2-786E7ED16094}">
  <dimension ref="A1:R72"/>
  <sheetViews>
    <sheetView tabSelected="1" workbookViewId="0">
      <pane ySplit="1" topLeftCell="A2" activePane="bottomLeft" state="frozen"/>
      <selection pane="bottomLeft" activeCell="B14" sqref="B14"/>
    </sheetView>
  </sheetViews>
  <sheetFormatPr defaultRowHeight="14.5" x14ac:dyDescent="0.35"/>
  <cols>
    <col min="1" max="1" width="5.453125" bestFit="1" customWidth="1"/>
    <col min="2" max="2" width="23.81640625" bestFit="1" customWidth="1"/>
    <col min="3" max="3" width="31.1796875" bestFit="1" customWidth="1"/>
    <col min="4" max="5" width="10.7265625" bestFit="1" customWidth="1"/>
    <col min="6" max="6" width="7.7265625" bestFit="1" customWidth="1"/>
    <col min="7" max="7" width="12.1796875" bestFit="1" customWidth="1"/>
    <col min="8" max="11" width="5.7265625" customWidth="1"/>
    <col min="12" max="12" width="7.7265625" bestFit="1" customWidth="1"/>
    <col min="13" max="13" width="10.81640625" bestFit="1" customWidth="1"/>
    <col min="18" max="18" width="38.54296875" customWidth="1"/>
  </cols>
  <sheetData>
    <row r="1" spans="1:13" ht="73.5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1" t="s">
        <v>7</v>
      </c>
      <c r="I1" s="1">
        <v>180</v>
      </c>
      <c r="J1" s="1">
        <v>171</v>
      </c>
      <c r="K1" s="1" t="s">
        <v>8</v>
      </c>
      <c r="L1" s="2" t="s">
        <v>9</v>
      </c>
      <c r="M1" s="2" t="s">
        <v>10</v>
      </c>
    </row>
    <row r="2" spans="1:13" ht="18.5" x14ac:dyDescent="0.45">
      <c r="A2" s="3">
        <v>1</v>
      </c>
      <c r="B2" s="14" t="s">
        <v>100</v>
      </c>
      <c r="C2" s="4" t="s">
        <v>94</v>
      </c>
      <c r="D2" s="11">
        <f>SUM(1343+1469+1241+1495+1503+1436+1503+1503)</f>
        <v>11493</v>
      </c>
      <c r="E2" s="11">
        <f>SUM(84+72+88+75+70+87+77+84)</f>
        <v>637</v>
      </c>
      <c r="F2" s="12">
        <f>D2/E2</f>
        <v>18.042386185243327</v>
      </c>
      <c r="G2" s="11">
        <v>8</v>
      </c>
      <c r="H2" s="11">
        <v>6</v>
      </c>
      <c r="I2" s="11"/>
      <c r="J2" s="11"/>
      <c r="K2" s="11"/>
      <c r="L2" s="11">
        <v>36</v>
      </c>
      <c r="M2" s="13">
        <v>15</v>
      </c>
    </row>
    <row r="3" spans="1:13" ht="18.5" x14ac:dyDescent="0.45">
      <c r="A3" s="3">
        <v>2</v>
      </c>
      <c r="B3" s="4" t="s">
        <v>83</v>
      </c>
      <c r="C3" s="4" t="s">
        <v>15</v>
      </c>
      <c r="D3" s="11">
        <f>SUM(1503+1419+1503+1499+1503+1503+1471+1503+1459+1483)</f>
        <v>14846</v>
      </c>
      <c r="E3" s="11">
        <f>SUM(68+80+79+90+78+109+97+75+88+105)</f>
        <v>869</v>
      </c>
      <c r="F3" s="12">
        <f>D3/E3</f>
        <v>17.084004602991946</v>
      </c>
      <c r="G3" s="11">
        <v>10</v>
      </c>
      <c r="H3" s="11">
        <v>9</v>
      </c>
      <c r="I3" s="11"/>
      <c r="J3" s="11"/>
      <c r="K3" s="11"/>
      <c r="L3" s="11">
        <v>46</v>
      </c>
      <c r="M3" s="13">
        <v>10</v>
      </c>
    </row>
    <row r="4" spans="1:13" ht="18.5" x14ac:dyDescent="0.45">
      <c r="A4" s="3">
        <v>3</v>
      </c>
      <c r="B4" s="3" t="s">
        <v>32</v>
      </c>
      <c r="C4" s="4" t="s">
        <v>20</v>
      </c>
      <c r="D4" s="11">
        <f>SUM(1359+1503+1446+1365+1185+1503+1433+1420+1421+1503)</f>
        <v>14138</v>
      </c>
      <c r="E4" s="11">
        <f>SUM(84+96+89+92+75+90+78+87+88+82)</f>
        <v>861</v>
      </c>
      <c r="F4" s="12">
        <f>D4/E4</f>
        <v>16.420441347270614</v>
      </c>
      <c r="G4" s="11">
        <v>10</v>
      </c>
      <c r="H4" s="11">
        <v>6</v>
      </c>
      <c r="I4" s="11"/>
      <c r="J4" s="11"/>
      <c r="K4" s="11">
        <v>1</v>
      </c>
      <c r="L4" s="11">
        <v>38</v>
      </c>
      <c r="M4" s="13">
        <v>5</v>
      </c>
    </row>
    <row r="5" spans="1:13" ht="18.5" x14ac:dyDescent="0.45">
      <c r="A5" s="3">
        <v>4</v>
      </c>
      <c r="B5" s="4" t="s">
        <v>21</v>
      </c>
      <c r="C5" s="7" t="s">
        <v>13</v>
      </c>
      <c r="D5" s="11">
        <f>SUM(1503+1470+1503+1457+1472+1503+1503+1471+1503+1497)</f>
        <v>14882</v>
      </c>
      <c r="E5" s="11">
        <f>SUM(105+88+87+90+84+84+88+109+76+99)</f>
        <v>910</v>
      </c>
      <c r="F5" s="12">
        <f>D5/E5</f>
        <v>16.353846153846153</v>
      </c>
      <c r="G5" s="11">
        <v>10</v>
      </c>
      <c r="H5" s="11">
        <v>8</v>
      </c>
      <c r="I5" s="11"/>
      <c r="J5" s="11"/>
      <c r="K5" s="11"/>
      <c r="L5" s="11">
        <v>40.5</v>
      </c>
      <c r="M5" s="13">
        <v>5</v>
      </c>
    </row>
    <row r="6" spans="1:13" ht="18.5" x14ac:dyDescent="0.45">
      <c r="A6" s="3">
        <v>5</v>
      </c>
      <c r="B6" s="4" t="s">
        <v>11</v>
      </c>
      <c r="C6" s="4" t="s">
        <v>12</v>
      </c>
      <c r="D6" s="11">
        <f>SUM(1503+1441+1493+1416+1503+1329+1432+1503+1415+1256)</f>
        <v>14291</v>
      </c>
      <c r="E6" s="11">
        <f>SUM(102+84+94+84+96+77+98+88+90+71)</f>
        <v>884</v>
      </c>
      <c r="F6" s="12">
        <f>D6/E6</f>
        <v>16.16628959276018</v>
      </c>
      <c r="G6" s="11">
        <v>10</v>
      </c>
      <c r="H6" s="11">
        <v>7</v>
      </c>
      <c r="I6" s="11">
        <v>1</v>
      </c>
      <c r="J6" s="11"/>
      <c r="K6" s="11"/>
      <c r="L6" s="11">
        <v>38</v>
      </c>
      <c r="M6" s="13"/>
    </row>
    <row r="7" spans="1:13" ht="18.5" x14ac:dyDescent="0.45">
      <c r="A7" s="3">
        <v>6</v>
      </c>
      <c r="B7" s="4" t="s">
        <v>25</v>
      </c>
      <c r="C7" s="4" t="s">
        <v>16</v>
      </c>
      <c r="D7" s="11">
        <f>SUM(1503+1493+1467+1500+1501+1501+1466+1459)</f>
        <v>11890</v>
      </c>
      <c r="E7" s="11">
        <f>SUM(80+92+84+111+97+107+88+88)</f>
        <v>747</v>
      </c>
      <c r="F7" s="12">
        <f>D7/E7</f>
        <v>15.917001338688086</v>
      </c>
      <c r="G7" s="11">
        <v>8</v>
      </c>
      <c r="H7" s="11">
        <v>7</v>
      </c>
      <c r="I7" s="11"/>
      <c r="J7" s="11">
        <v>1</v>
      </c>
      <c r="K7" s="11"/>
      <c r="L7" s="11">
        <v>27.5</v>
      </c>
      <c r="M7" s="13">
        <v>10</v>
      </c>
    </row>
    <row r="8" spans="1:13" ht="18.5" x14ac:dyDescent="0.45">
      <c r="A8" s="3">
        <v>7</v>
      </c>
      <c r="B8" s="4" t="s">
        <v>78</v>
      </c>
      <c r="C8" s="4" t="s">
        <v>31</v>
      </c>
      <c r="D8" s="11">
        <f>SUM(1501+1503+1503+1503+1436+1503+1503+1479+1333+1251)</f>
        <v>14515</v>
      </c>
      <c r="E8" s="11">
        <f>SUM(113+97+98+75+95+106+79+104+75+74)</f>
        <v>916</v>
      </c>
      <c r="F8" s="12">
        <f>D8/E8</f>
        <v>15.846069868995633</v>
      </c>
      <c r="G8" s="11">
        <v>10</v>
      </c>
      <c r="H8" s="11">
        <v>7</v>
      </c>
      <c r="I8" s="11"/>
      <c r="J8" s="11"/>
      <c r="K8" s="11"/>
      <c r="L8" s="11">
        <v>38.5</v>
      </c>
      <c r="M8" s="13">
        <v>15</v>
      </c>
    </row>
    <row r="9" spans="1:13" ht="18.5" x14ac:dyDescent="0.45">
      <c r="A9" s="3">
        <v>8</v>
      </c>
      <c r="B9" s="4" t="s">
        <v>17</v>
      </c>
      <c r="C9" s="4" t="s">
        <v>13</v>
      </c>
      <c r="D9" s="11">
        <f>SUM(1503+1474+1369+1328+1503+1427+1503+1471+1503+1228)</f>
        <v>14309</v>
      </c>
      <c r="E9" s="11">
        <f>SUM(90+83+84+72+99+108+118+86+120+87)</f>
        <v>947</v>
      </c>
      <c r="F9" s="12">
        <f>D9/E9</f>
        <v>15.109820485744455</v>
      </c>
      <c r="G9" s="11">
        <v>10</v>
      </c>
      <c r="H9" s="11">
        <v>5</v>
      </c>
      <c r="I9" s="11">
        <v>2</v>
      </c>
      <c r="J9" s="11"/>
      <c r="K9" s="11"/>
      <c r="L9" s="11">
        <v>34</v>
      </c>
      <c r="M9" s="13"/>
    </row>
    <row r="10" spans="1:13" ht="18.5" x14ac:dyDescent="0.45">
      <c r="A10" s="3">
        <v>9</v>
      </c>
      <c r="B10" s="4" t="s">
        <v>39</v>
      </c>
      <c r="C10" s="4" t="s">
        <v>15</v>
      </c>
      <c r="D10" s="11">
        <f>SUM(1361+1488+968+1468+1403+1493+1501+1478+1405+1498)</f>
        <v>14063</v>
      </c>
      <c r="E10" s="11">
        <f>SUM(107+98+81+98+85+85+96+79+86+117)</f>
        <v>932</v>
      </c>
      <c r="F10" s="12">
        <f>D10/E10</f>
        <v>15.089055793991417</v>
      </c>
      <c r="G10" s="11">
        <v>10</v>
      </c>
      <c r="H10" s="11">
        <v>9</v>
      </c>
      <c r="I10" s="11">
        <v>2</v>
      </c>
      <c r="J10" s="11"/>
      <c r="K10" s="11"/>
      <c r="L10" s="11">
        <v>38.5</v>
      </c>
      <c r="M10" s="13">
        <v>10</v>
      </c>
    </row>
    <row r="11" spans="1:13" ht="18.5" x14ac:dyDescent="0.45">
      <c r="A11" s="3">
        <v>10</v>
      </c>
      <c r="B11" s="14" t="s">
        <v>72</v>
      </c>
      <c r="C11" s="4" t="s">
        <v>31</v>
      </c>
      <c r="D11" s="11">
        <f>SUM(1503+1475+1503+1447+1483+1493+1411+1467+1483+1407)</f>
        <v>14672</v>
      </c>
      <c r="E11" s="11">
        <f>SUM(102+96+91+98+102+99+96+80+107+104)</f>
        <v>975</v>
      </c>
      <c r="F11" s="12">
        <f>D11/E11</f>
        <v>15.048205128205128</v>
      </c>
      <c r="G11" s="11">
        <v>10</v>
      </c>
      <c r="H11" s="11">
        <v>6</v>
      </c>
      <c r="I11" s="11"/>
      <c r="J11" s="11"/>
      <c r="K11" s="11"/>
      <c r="L11" s="11">
        <v>35</v>
      </c>
      <c r="M11" s="13">
        <v>5</v>
      </c>
    </row>
    <row r="12" spans="1:13" ht="18.5" x14ac:dyDescent="0.45">
      <c r="A12" s="3">
        <v>11</v>
      </c>
      <c r="B12" s="4" t="s">
        <v>38</v>
      </c>
      <c r="C12" s="4" t="s">
        <v>31</v>
      </c>
      <c r="D12" s="11">
        <f>SUM(1470+1447+1339+1247+1325+1503+1377+1314+1503)</f>
        <v>12525</v>
      </c>
      <c r="E12" s="11">
        <f>SUM(86+78+93+80+107+94+108+114+97)</f>
        <v>857</v>
      </c>
      <c r="F12" s="12">
        <f>D12/E12</f>
        <v>14.614935822637106</v>
      </c>
      <c r="G12" s="11">
        <v>9</v>
      </c>
      <c r="H12" s="11">
        <v>5</v>
      </c>
      <c r="I12" s="11">
        <v>1</v>
      </c>
      <c r="J12" s="11"/>
      <c r="K12" s="11"/>
      <c r="L12" s="11">
        <v>33</v>
      </c>
      <c r="M12" s="13">
        <v>5</v>
      </c>
    </row>
    <row r="13" spans="1:13" ht="18.5" x14ac:dyDescent="0.45">
      <c r="A13" s="3">
        <v>12</v>
      </c>
      <c r="B13" s="4" t="s">
        <v>28</v>
      </c>
      <c r="C13" s="4" t="s">
        <v>62</v>
      </c>
      <c r="D13" s="11">
        <f>SUM(1327+1229+1367+1115+1503+1393+1493+1354+1419+1012)</f>
        <v>13212</v>
      </c>
      <c r="E13" s="11">
        <f>SUM(84+79+89+81+82+97+120+107+93+78)</f>
        <v>910</v>
      </c>
      <c r="F13" s="12">
        <f>D13/E13</f>
        <v>14.518681318681319</v>
      </c>
      <c r="G13" s="11">
        <v>10</v>
      </c>
      <c r="H13" s="11">
        <v>4</v>
      </c>
      <c r="I13" s="11"/>
      <c r="J13" s="11"/>
      <c r="K13" s="11">
        <v>1</v>
      </c>
      <c r="L13" s="11">
        <v>24.5</v>
      </c>
      <c r="M13" s="13">
        <v>10</v>
      </c>
    </row>
    <row r="14" spans="1:13" ht="18.5" x14ac:dyDescent="0.45">
      <c r="A14" s="3">
        <v>13</v>
      </c>
      <c r="B14" s="4" t="s">
        <v>96</v>
      </c>
      <c r="C14" s="7" t="s">
        <v>73</v>
      </c>
      <c r="D14" s="11">
        <f>SUM(1497+1481)</f>
        <v>2978</v>
      </c>
      <c r="E14" s="11">
        <f>SUM(116+90)</f>
        <v>206</v>
      </c>
      <c r="F14" s="12">
        <f>D14/E14</f>
        <v>14.456310679611651</v>
      </c>
      <c r="G14" s="11">
        <v>2</v>
      </c>
      <c r="H14" s="11">
        <v>2</v>
      </c>
      <c r="I14" s="11"/>
      <c r="J14" s="11"/>
      <c r="K14" s="11"/>
      <c r="L14" s="11">
        <v>7.5</v>
      </c>
      <c r="M14" s="13"/>
    </row>
    <row r="15" spans="1:13" ht="18.5" x14ac:dyDescent="0.45">
      <c r="A15" s="3">
        <v>14</v>
      </c>
      <c r="B15" s="14" t="s">
        <v>69</v>
      </c>
      <c r="C15" s="4" t="s">
        <v>73</v>
      </c>
      <c r="D15" s="11">
        <f>SUM(1475+1487+1479+1350+1492+1494+1471+1503+1436)</f>
        <v>13187</v>
      </c>
      <c r="E15" s="11">
        <f>SUM(103+99+95+88+109+123+116+88+92)</f>
        <v>913</v>
      </c>
      <c r="F15" s="12">
        <f>D15/E15</f>
        <v>14.443592552026287</v>
      </c>
      <c r="G15" s="11">
        <v>9</v>
      </c>
      <c r="H15" s="11">
        <v>2</v>
      </c>
      <c r="I15" s="11"/>
      <c r="J15" s="11"/>
      <c r="K15" s="11"/>
      <c r="L15" s="11">
        <v>23</v>
      </c>
      <c r="M15" s="13"/>
    </row>
    <row r="16" spans="1:13" ht="18.5" x14ac:dyDescent="0.45">
      <c r="A16" s="3">
        <v>15</v>
      </c>
      <c r="B16" s="9" t="s">
        <v>99</v>
      </c>
      <c r="C16" s="4" t="s">
        <v>94</v>
      </c>
      <c r="D16" s="11">
        <f>SUM(1496+1397+1241+1448+1307+1503+1358+1499)</f>
        <v>11249</v>
      </c>
      <c r="E16" s="11">
        <f>SUM(100+91+84+97+105+88+85+130)</f>
        <v>780</v>
      </c>
      <c r="F16" s="12">
        <f>D16/E16</f>
        <v>14.421794871794871</v>
      </c>
      <c r="G16" s="11">
        <v>8</v>
      </c>
      <c r="H16" s="11">
        <v>3</v>
      </c>
      <c r="I16" s="11"/>
      <c r="J16" s="11"/>
      <c r="K16" s="11"/>
      <c r="L16" s="11">
        <v>22.5</v>
      </c>
      <c r="M16" s="13">
        <v>5</v>
      </c>
    </row>
    <row r="17" spans="1:13" ht="18.5" x14ac:dyDescent="0.45">
      <c r="A17" s="3">
        <v>16</v>
      </c>
      <c r="B17" s="9" t="s">
        <v>60</v>
      </c>
      <c r="C17" s="4" t="s">
        <v>26</v>
      </c>
      <c r="D17" s="11">
        <f>SUM(1446+1409+953+1451+1475+1256+1487+1483+1483)</f>
        <v>12443</v>
      </c>
      <c r="E17" s="11">
        <f>SUM(108+84+72+88+112+102+114+90+95)</f>
        <v>865</v>
      </c>
      <c r="F17" s="12">
        <f>D17/E17</f>
        <v>14.384971098265895</v>
      </c>
      <c r="G17" s="11">
        <v>9</v>
      </c>
      <c r="H17" s="11">
        <v>3</v>
      </c>
      <c r="I17" s="11"/>
      <c r="J17" s="11"/>
      <c r="K17" s="11"/>
      <c r="L17" s="11">
        <v>20</v>
      </c>
      <c r="M17" s="13">
        <v>5</v>
      </c>
    </row>
    <row r="18" spans="1:13" ht="18.5" x14ac:dyDescent="0.45">
      <c r="A18" s="3">
        <v>17</v>
      </c>
      <c r="B18" s="7" t="s">
        <v>27</v>
      </c>
      <c r="C18" s="4" t="s">
        <v>12</v>
      </c>
      <c r="D18" s="11">
        <f>SUM(1503+1443+1324+1489+1268+1347+1405+1472+1481+1489)</f>
        <v>14221</v>
      </c>
      <c r="E18" s="11">
        <f>SUM(84+101+74+92+93+114+92+123+122+100)</f>
        <v>995</v>
      </c>
      <c r="F18" s="12">
        <f>D18/E18</f>
        <v>14.29246231155779</v>
      </c>
      <c r="G18" s="11">
        <v>10</v>
      </c>
      <c r="H18" s="11">
        <v>5</v>
      </c>
      <c r="I18" s="11"/>
      <c r="J18" s="11"/>
      <c r="K18" s="11"/>
      <c r="L18" s="11">
        <v>33</v>
      </c>
      <c r="M18" s="13"/>
    </row>
    <row r="19" spans="1:13" ht="18.5" x14ac:dyDescent="0.45">
      <c r="A19" s="3">
        <v>18</v>
      </c>
      <c r="B19" s="9" t="s">
        <v>64</v>
      </c>
      <c r="C19" s="4" t="s">
        <v>13</v>
      </c>
      <c r="D19" s="11">
        <f>SUM(1478+1503+1471+1374+1451+1332+1465+1503+1503+1463)</f>
        <v>14543</v>
      </c>
      <c r="E19" s="11">
        <f>SUM(110+97+109+92+104+105+97+116+96+94)</f>
        <v>1020</v>
      </c>
      <c r="F19" s="12">
        <f>D19/E19</f>
        <v>14.257843137254902</v>
      </c>
      <c r="G19" s="11">
        <v>10</v>
      </c>
      <c r="H19" s="11">
        <v>6</v>
      </c>
      <c r="I19" s="11"/>
      <c r="J19" s="11"/>
      <c r="K19" s="11"/>
      <c r="L19" s="11">
        <v>36.5</v>
      </c>
      <c r="M19" s="13"/>
    </row>
    <row r="20" spans="1:13" ht="18.5" x14ac:dyDescent="0.45">
      <c r="A20" s="3">
        <v>19</v>
      </c>
      <c r="B20" s="9" t="s">
        <v>40</v>
      </c>
      <c r="C20" s="4" t="s">
        <v>16</v>
      </c>
      <c r="D20" s="11">
        <f>SUM(1503+1298+1500+1442+1190+1418+1101+1164)</f>
        <v>10616</v>
      </c>
      <c r="E20" s="11">
        <f>SUM(129+87+96+107+81+88+78+81)</f>
        <v>747</v>
      </c>
      <c r="F20" s="12">
        <f>D20/E20</f>
        <v>14.211512717536815</v>
      </c>
      <c r="G20" s="11">
        <v>8</v>
      </c>
      <c r="H20" s="11">
        <v>4</v>
      </c>
      <c r="I20" s="11"/>
      <c r="J20" s="11"/>
      <c r="K20" s="11"/>
      <c r="L20" s="11">
        <v>24.5</v>
      </c>
      <c r="M20" s="13"/>
    </row>
    <row r="21" spans="1:13" ht="18.5" x14ac:dyDescent="0.45">
      <c r="A21" s="3">
        <v>20</v>
      </c>
      <c r="B21" s="61" t="s">
        <v>19</v>
      </c>
      <c r="C21" s="4" t="s">
        <v>20</v>
      </c>
      <c r="D21" s="11">
        <f>SUM(1391+1503+1498+1495+1471+1464+1499+1450+1356+1485)</f>
        <v>14612</v>
      </c>
      <c r="E21" s="11">
        <f>SUM(108+83+99+110+96+103+113+120+82+118)</f>
        <v>1032</v>
      </c>
      <c r="F21" s="12">
        <f>D21/E21</f>
        <v>14.15891472868217</v>
      </c>
      <c r="G21" s="11">
        <v>10</v>
      </c>
      <c r="H21" s="11">
        <v>5</v>
      </c>
      <c r="I21" s="11">
        <v>1</v>
      </c>
      <c r="J21" s="11"/>
      <c r="K21" s="11"/>
      <c r="L21" s="11">
        <v>31.5</v>
      </c>
      <c r="M21" s="13">
        <v>15</v>
      </c>
    </row>
    <row r="22" spans="1:13" ht="18.5" x14ac:dyDescent="0.45">
      <c r="A22" s="3">
        <v>21</v>
      </c>
      <c r="B22" s="60" t="s">
        <v>29</v>
      </c>
      <c r="C22" s="8" t="s">
        <v>20</v>
      </c>
      <c r="D22" s="11">
        <f>SUM(1301+1503+1503+1465+1483+1463+1503+1467+1503+1457)</f>
        <v>14648</v>
      </c>
      <c r="E22" s="11">
        <f>SUM(96+110+161+88+101+97+102+120+86+81)</f>
        <v>1042</v>
      </c>
      <c r="F22" s="12">
        <f>D22/E22</f>
        <v>14.057581573896353</v>
      </c>
      <c r="G22" s="11">
        <v>10</v>
      </c>
      <c r="H22" s="11">
        <v>7</v>
      </c>
      <c r="I22" s="11"/>
      <c r="J22" s="11"/>
      <c r="K22" s="11"/>
      <c r="L22" s="11">
        <v>37</v>
      </c>
      <c r="M22" s="13"/>
    </row>
    <row r="23" spans="1:13" ht="18.5" x14ac:dyDescent="0.45">
      <c r="A23" s="3">
        <v>22</v>
      </c>
      <c r="B23" s="9" t="s">
        <v>59</v>
      </c>
      <c r="C23" s="7" t="s">
        <v>26</v>
      </c>
      <c r="D23" s="11">
        <f>SUM(1499+1463+1002+1326+1438+1240+1222+1412+1501)</f>
        <v>12103</v>
      </c>
      <c r="E23" s="11">
        <f>SUM(114+98+80+80+104+87+96+104+113)</f>
        <v>876</v>
      </c>
      <c r="F23" s="12">
        <f>D23/E23</f>
        <v>13.8162100456621</v>
      </c>
      <c r="G23" s="11">
        <v>9</v>
      </c>
      <c r="H23" s="11">
        <v>6</v>
      </c>
      <c r="I23" s="11"/>
      <c r="J23" s="11"/>
      <c r="K23" s="11"/>
      <c r="L23" s="11">
        <v>21</v>
      </c>
      <c r="M23" s="13">
        <v>10</v>
      </c>
    </row>
    <row r="24" spans="1:13" ht="18.5" x14ac:dyDescent="0.45">
      <c r="A24" s="3">
        <v>23</v>
      </c>
      <c r="B24" s="15" t="s">
        <v>68</v>
      </c>
      <c r="C24" s="7" t="s">
        <v>73</v>
      </c>
      <c r="D24" s="11">
        <f>SUM(941+1293+1503+1385+1473+1493+1444+1248+1426)</f>
        <v>12206</v>
      </c>
      <c r="E24" s="11">
        <f>SUM(66+89+95+105+96+124+100+100+111)</f>
        <v>886</v>
      </c>
      <c r="F24" s="12">
        <f>D24/E24</f>
        <v>13.776523702031604</v>
      </c>
      <c r="G24" s="11">
        <v>9</v>
      </c>
      <c r="H24" s="11">
        <v>2</v>
      </c>
      <c r="I24" s="11"/>
      <c r="J24" s="11"/>
      <c r="K24" s="11"/>
      <c r="L24" s="11">
        <v>22</v>
      </c>
      <c r="M24" s="13"/>
    </row>
    <row r="25" spans="1:13" ht="18.5" x14ac:dyDescent="0.45">
      <c r="A25" s="3">
        <v>24</v>
      </c>
      <c r="B25" s="4" t="s">
        <v>79</v>
      </c>
      <c r="C25" s="4" t="s">
        <v>76</v>
      </c>
      <c r="D25" s="11">
        <f>SUM(1084+1251+1495+1121+1494+905+1392+1230+969+1288)</f>
        <v>12229</v>
      </c>
      <c r="E25" s="11">
        <f>SUM(72+90+94+78+121+66+114+81+69+108)</f>
        <v>893</v>
      </c>
      <c r="F25" s="12">
        <f>D25/E25</f>
        <v>13.694288913773796</v>
      </c>
      <c r="G25" s="11">
        <v>10</v>
      </c>
      <c r="H25" s="11">
        <v>2</v>
      </c>
      <c r="I25" s="11"/>
      <c r="J25" s="11"/>
      <c r="K25" s="11"/>
      <c r="L25" s="11">
        <v>14.5</v>
      </c>
      <c r="M25" s="13"/>
    </row>
    <row r="26" spans="1:13" ht="18.5" x14ac:dyDescent="0.45">
      <c r="A26" s="3">
        <v>25</v>
      </c>
      <c r="B26" s="15" t="s">
        <v>14</v>
      </c>
      <c r="C26" s="4" t="s">
        <v>15</v>
      </c>
      <c r="D26" s="11">
        <f>SUM(1483+1501+1503+1497+1324+1503+1480+1320+1205+1503)</f>
        <v>14319</v>
      </c>
      <c r="E26" s="11">
        <f>SUM(111+96+127+125+86+117+91+102+90+114)</f>
        <v>1059</v>
      </c>
      <c r="F26" s="12">
        <f>D26/E26</f>
        <v>13.521246458923512</v>
      </c>
      <c r="G26" s="11">
        <v>10</v>
      </c>
      <c r="H26" s="11">
        <v>5</v>
      </c>
      <c r="I26" s="11"/>
      <c r="J26" s="11"/>
      <c r="K26" s="11"/>
      <c r="L26" s="11">
        <v>38.5</v>
      </c>
      <c r="M26" s="13">
        <v>5</v>
      </c>
    </row>
    <row r="27" spans="1:13" ht="18.5" x14ac:dyDescent="0.45">
      <c r="A27" s="3">
        <v>26</v>
      </c>
      <c r="B27" s="15" t="s">
        <v>149</v>
      </c>
      <c r="C27" s="7" t="s">
        <v>73</v>
      </c>
      <c r="D27" s="11">
        <f>SUM(1475+1445)</f>
        <v>2920</v>
      </c>
      <c r="E27" s="11">
        <f>SUM(132+86)</f>
        <v>218</v>
      </c>
      <c r="F27" s="12">
        <f>D27/E27</f>
        <v>13.394495412844037</v>
      </c>
      <c r="G27" s="11">
        <v>2</v>
      </c>
      <c r="H27" s="11"/>
      <c r="I27" s="11"/>
      <c r="J27" s="11"/>
      <c r="K27" s="11"/>
      <c r="L27" s="11">
        <v>3.5</v>
      </c>
      <c r="M27" s="13"/>
    </row>
    <row r="28" spans="1:13" ht="18.5" x14ac:dyDescent="0.45">
      <c r="A28" s="3">
        <v>27</v>
      </c>
      <c r="B28" s="10" t="s">
        <v>138</v>
      </c>
      <c r="C28" s="7" t="s">
        <v>76</v>
      </c>
      <c r="D28" s="11">
        <f>SUM(1422)</f>
        <v>1422</v>
      </c>
      <c r="E28" s="11">
        <f>SUM(107)</f>
        <v>107</v>
      </c>
      <c r="F28" s="12">
        <f>D28/E28</f>
        <v>13.289719626168225</v>
      </c>
      <c r="G28" s="11">
        <v>1</v>
      </c>
      <c r="H28" s="11">
        <v>1</v>
      </c>
      <c r="I28" s="11"/>
      <c r="J28" s="11"/>
      <c r="K28" s="11"/>
      <c r="L28" s="11">
        <v>2</v>
      </c>
      <c r="M28" s="13"/>
    </row>
    <row r="29" spans="1:13" ht="18.5" x14ac:dyDescent="0.45">
      <c r="A29" s="3">
        <v>28</v>
      </c>
      <c r="B29" s="15" t="s">
        <v>24</v>
      </c>
      <c r="C29" s="7" t="s">
        <v>12</v>
      </c>
      <c r="D29" s="11">
        <f>SUM(1503+1503+1503+1398+1481+1377+1483+1469+1499+1331)</f>
        <v>14547</v>
      </c>
      <c r="E29" s="11">
        <f>SUM(108+98+101+143+135+88+103+109+120+90)</f>
        <v>1095</v>
      </c>
      <c r="F29" s="12">
        <f>D29/E29</f>
        <v>13.284931506849315</v>
      </c>
      <c r="G29" s="11">
        <v>10</v>
      </c>
      <c r="H29" s="11">
        <v>7</v>
      </c>
      <c r="I29" s="11"/>
      <c r="J29" s="11"/>
      <c r="K29" s="11"/>
      <c r="L29" s="11">
        <v>37</v>
      </c>
      <c r="M29" s="13"/>
    </row>
    <row r="30" spans="1:13" ht="18.5" x14ac:dyDescent="0.45">
      <c r="A30" s="3">
        <v>29</v>
      </c>
      <c r="B30" s="15" t="s">
        <v>97</v>
      </c>
      <c r="C30" s="7" t="s">
        <v>15</v>
      </c>
      <c r="D30" s="11">
        <f>SUM(1212+1473+1483+1485+1499)</f>
        <v>7152</v>
      </c>
      <c r="E30" s="11">
        <f>SUM(91+113+103+104+128)</f>
        <v>539</v>
      </c>
      <c r="F30" s="12">
        <f>D30/E30</f>
        <v>13.269016697588127</v>
      </c>
      <c r="G30" s="11">
        <v>5</v>
      </c>
      <c r="H30" s="11">
        <v>2</v>
      </c>
      <c r="I30" s="11"/>
      <c r="J30" s="11"/>
      <c r="K30" s="11"/>
      <c r="L30" s="11">
        <v>10.5</v>
      </c>
      <c r="M30" s="13"/>
    </row>
    <row r="31" spans="1:13" ht="18.5" x14ac:dyDescent="0.45">
      <c r="A31" s="3">
        <v>30</v>
      </c>
      <c r="B31" s="10" t="s">
        <v>30</v>
      </c>
      <c r="C31" s="7" t="s">
        <v>31</v>
      </c>
      <c r="D31" s="11">
        <f>SUM(1369+1280+1318+1495+1487+1333+1503+1491+1499+1354)</f>
        <v>14129</v>
      </c>
      <c r="E31" s="11">
        <f>SUM(92+92+105+111+99+126+121+120+108+92)</f>
        <v>1066</v>
      </c>
      <c r="F31" s="12">
        <f>D31/E31</f>
        <v>13.25422138836773</v>
      </c>
      <c r="G31" s="11">
        <v>10</v>
      </c>
      <c r="H31" s="11">
        <v>6</v>
      </c>
      <c r="I31" s="11"/>
      <c r="J31" s="11"/>
      <c r="K31" s="11"/>
      <c r="L31" s="11">
        <v>32.5</v>
      </c>
      <c r="M31" s="13"/>
    </row>
    <row r="32" spans="1:13" ht="18.5" x14ac:dyDescent="0.45">
      <c r="A32" s="3">
        <v>31</v>
      </c>
      <c r="B32" s="10" t="s">
        <v>41</v>
      </c>
      <c r="C32" s="7" t="s">
        <v>62</v>
      </c>
      <c r="D32" s="11">
        <f>SUM(1443+1326+1271+1316+1281+1467+1494+1148+1467+1369)</f>
        <v>13582</v>
      </c>
      <c r="E32" s="11">
        <f>SUM(102+95+98+96+99+124+108+78+104+126)</f>
        <v>1030</v>
      </c>
      <c r="F32" s="12">
        <f>D32/E32</f>
        <v>13.186407766990291</v>
      </c>
      <c r="G32" s="11">
        <v>10</v>
      </c>
      <c r="H32" s="11">
        <v>3</v>
      </c>
      <c r="I32" s="11"/>
      <c r="J32" s="11"/>
      <c r="K32" s="11"/>
      <c r="L32" s="11">
        <v>21</v>
      </c>
      <c r="M32" s="13"/>
    </row>
    <row r="33" spans="1:13" ht="18.5" x14ac:dyDescent="0.45">
      <c r="A33" s="3">
        <v>32</v>
      </c>
      <c r="B33" s="59" t="s">
        <v>75</v>
      </c>
      <c r="C33" s="7" t="s">
        <v>73</v>
      </c>
      <c r="D33" s="11">
        <f>SUM(1499+1275+1131+1305+1499+1407+1497)</f>
        <v>9613</v>
      </c>
      <c r="E33" s="11">
        <f>SUM(123+99+96+101+99+104+108)</f>
        <v>730</v>
      </c>
      <c r="F33" s="12">
        <f>D33/E33</f>
        <v>13.168493150684931</v>
      </c>
      <c r="G33" s="11">
        <v>7</v>
      </c>
      <c r="H33" s="11">
        <v>5</v>
      </c>
      <c r="I33" s="11"/>
      <c r="J33" s="11"/>
      <c r="K33" s="11"/>
      <c r="L33" s="11">
        <v>17</v>
      </c>
      <c r="M33" s="13"/>
    </row>
    <row r="34" spans="1:13" ht="18.5" x14ac:dyDescent="0.45">
      <c r="A34" s="3">
        <v>33</v>
      </c>
      <c r="B34" s="4" t="s">
        <v>74</v>
      </c>
      <c r="C34" s="7" t="s">
        <v>12</v>
      </c>
      <c r="D34" s="11">
        <f>SUM(1479+1459+1501+1503+1448+1257+1418+1475+1370+1443)</f>
        <v>14353</v>
      </c>
      <c r="E34" s="11">
        <f>SUM(110+116+147+118+106+99+86+110+110+94)</f>
        <v>1096</v>
      </c>
      <c r="F34" s="12">
        <f>D34/E34</f>
        <v>13.09580291970803</v>
      </c>
      <c r="G34" s="11">
        <v>10</v>
      </c>
      <c r="H34" s="11">
        <v>5</v>
      </c>
      <c r="I34" s="11"/>
      <c r="J34" s="11"/>
      <c r="K34" s="11"/>
      <c r="L34" s="11">
        <v>35</v>
      </c>
      <c r="M34" s="13"/>
    </row>
    <row r="35" spans="1:13" ht="18.5" x14ac:dyDescent="0.45">
      <c r="A35" s="3">
        <v>34</v>
      </c>
      <c r="B35" s="4" t="s">
        <v>22</v>
      </c>
      <c r="C35" s="4" t="s">
        <v>20</v>
      </c>
      <c r="D35" s="11">
        <f>SUM(1426+1503+1499+1270+1503+1498+1368+1487+1375+1484)</f>
        <v>14413</v>
      </c>
      <c r="E35" s="11">
        <f>SUM(99+116+108+87+110+129+89+97+123+144)</f>
        <v>1102</v>
      </c>
      <c r="F35" s="12">
        <f>D35/E35</f>
        <v>13.078947368421053</v>
      </c>
      <c r="G35" s="11">
        <v>10</v>
      </c>
      <c r="H35" s="11">
        <v>5</v>
      </c>
      <c r="I35" s="11"/>
      <c r="J35" s="11"/>
      <c r="K35" s="11"/>
      <c r="L35" s="11">
        <v>31.5</v>
      </c>
      <c r="M35" s="13">
        <v>5</v>
      </c>
    </row>
    <row r="36" spans="1:13" ht="18.5" x14ac:dyDescent="0.45">
      <c r="A36" s="3">
        <v>35</v>
      </c>
      <c r="B36" s="4" t="s">
        <v>23</v>
      </c>
      <c r="C36" s="4" t="s">
        <v>13</v>
      </c>
      <c r="D36" s="11">
        <f>SUM(1503+1499+1483+1483+1503+1497+1487)</f>
        <v>10455</v>
      </c>
      <c r="E36" s="11">
        <f>SUM(100+99+110+105+132+140+116)</f>
        <v>802</v>
      </c>
      <c r="F36" s="12">
        <f>D36/E36</f>
        <v>13.036159600997506</v>
      </c>
      <c r="G36" s="11">
        <v>7</v>
      </c>
      <c r="H36" s="11">
        <v>7</v>
      </c>
      <c r="I36" s="11"/>
      <c r="J36" s="11"/>
      <c r="K36" s="11"/>
      <c r="L36" s="11">
        <v>29.5</v>
      </c>
      <c r="M36" s="13"/>
    </row>
    <row r="37" spans="1:13" ht="18.5" x14ac:dyDescent="0.45">
      <c r="A37" s="3">
        <v>36</v>
      </c>
      <c r="B37" s="4" t="s">
        <v>71</v>
      </c>
      <c r="C37" s="4" t="s">
        <v>76</v>
      </c>
      <c r="D37" s="11">
        <f>SUM(1501+1174+1489+1503+1435+1376+1397)</f>
        <v>9875</v>
      </c>
      <c r="E37" s="11">
        <f>SUM(156+81+108+103+125+84+102)</f>
        <v>759</v>
      </c>
      <c r="F37" s="12">
        <f>D37/E37</f>
        <v>13.010540184453228</v>
      </c>
      <c r="G37" s="11">
        <v>7</v>
      </c>
      <c r="H37" s="11">
        <v>4</v>
      </c>
      <c r="I37" s="11"/>
      <c r="J37" s="11"/>
      <c r="K37" s="11"/>
      <c r="L37" s="11">
        <v>19.5</v>
      </c>
      <c r="M37" s="13"/>
    </row>
    <row r="38" spans="1:13" ht="18.5" x14ac:dyDescent="0.45">
      <c r="A38" s="3">
        <v>37</v>
      </c>
      <c r="B38" s="4" t="s">
        <v>116</v>
      </c>
      <c r="C38" s="4" t="s">
        <v>16</v>
      </c>
      <c r="D38" s="11">
        <f>SUM(1503+1394+1501+1402+1253+1495+1495)</f>
        <v>10043</v>
      </c>
      <c r="E38" s="11">
        <f>SUM(94+126+104+129+77+121+121)</f>
        <v>772</v>
      </c>
      <c r="F38" s="12">
        <f>D38/E38</f>
        <v>13.009067357512953</v>
      </c>
      <c r="G38" s="11">
        <v>7</v>
      </c>
      <c r="H38" s="11">
        <v>4</v>
      </c>
      <c r="I38" s="11"/>
      <c r="J38" s="11"/>
      <c r="K38" s="11"/>
      <c r="L38" s="11">
        <v>21.5</v>
      </c>
      <c r="M38" s="13"/>
    </row>
    <row r="39" spans="1:13" ht="18.5" x14ac:dyDescent="0.45">
      <c r="A39" s="3">
        <v>38</v>
      </c>
      <c r="B39" s="4" t="s">
        <v>67</v>
      </c>
      <c r="C39" s="4" t="s">
        <v>16</v>
      </c>
      <c r="D39" s="11">
        <f>SUM(1501+1503+1225+1495+1420+1493+1289+1499+1487+1414)</f>
        <v>14326</v>
      </c>
      <c r="E39" s="11">
        <f>SUM(148+104+75+129+108+136+99+102+122+79)</f>
        <v>1102</v>
      </c>
      <c r="F39" s="12">
        <f>D39/E39</f>
        <v>13</v>
      </c>
      <c r="G39" s="11">
        <v>10</v>
      </c>
      <c r="H39" s="11">
        <v>4</v>
      </c>
      <c r="I39" s="11"/>
      <c r="J39" s="11"/>
      <c r="K39" s="11"/>
      <c r="L39" s="11">
        <v>23</v>
      </c>
      <c r="M39" s="13"/>
    </row>
    <row r="40" spans="1:13" ht="18.5" x14ac:dyDescent="0.45">
      <c r="A40" s="3">
        <v>39</v>
      </c>
      <c r="B40" s="4" t="s">
        <v>35</v>
      </c>
      <c r="C40" s="4" t="s">
        <v>62</v>
      </c>
      <c r="D40" s="11">
        <f>SUM(1480+1242+1379+1465+1503+1501+1427+1411+1503+1503)</f>
        <v>14414</v>
      </c>
      <c r="E40" s="11">
        <f>SUM(111+87+100+128+114+110+103+102+124+134)</f>
        <v>1113</v>
      </c>
      <c r="F40" s="12">
        <f>D40/E40</f>
        <v>12.95058400718778</v>
      </c>
      <c r="G40" s="11">
        <v>10</v>
      </c>
      <c r="H40" s="11">
        <v>6</v>
      </c>
      <c r="I40" s="11"/>
      <c r="J40" s="11"/>
      <c r="K40" s="11"/>
      <c r="L40" s="11">
        <v>28.5</v>
      </c>
      <c r="M40" s="13"/>
    </row>
    <row r="41" spans="1:13" ht="18.5" x14ac:dyDescent="0.45">
      <c r="A41" s="3">
        <v>40</v>
      </c>
      <c r="B41" s="14" t="s">
        <v>61</v>
      </c>
      <c r="C41" s="4" t="s">
        <v>26</v>
      </c>
      <c r="D41" s="11">
        <f>SUM(1332+1457+1481+1441+1493+1492+1503+1427)</f>
        <v>11626</v>
      </c>
      <c r="E41" s="11">
        <f>SUM(102+131+110+117+131+134+102+85)</f>
        <v>912</v>
      </c>
      <c r="F41" s="12">
        <f>D41/E41</f>
        <v>12.74780701754386</v>
      </c>
      <c r="G41" s="11">
        <v>8</v>
      </c>
      <c r="H41" s="11">
        <v>3</v>
      </c>
      <c r="I41" s="11"/>
      <c r="J41" s="11"/>
      <c r="K41" s="11"/>
      <c r="L41" s="11">
        <v>18.5</v>
      </c>
      <c r="M41" s="13"/>
    </row>
    <row r="42" spans="1:13" ht="18.5" x14ac:dyDescent="0.45">
      <c r="A42" s="3">
        <v>41</v>
      </c>
      <c r="B42" s="14" t="s">
        <v>70</v>
      </c>
      <c r="C42" s="7" t="s">
        <v>73</v>
      </c>
      <c r="D42" s="11">
        <f>SUM(1359+1497+1412+1293+1503+1499+1361)</f>
        <v>9924</v>
      </c>
      <c r="E42" s="11">
        <f>SUM(110+135+87+97+131+137+92)</f>
        <v>789</v>
      </c>
      <c r="F42" s="12">
        <f>D42/E42</f>
        <v>12.577946768060837</v>
      </c>
      <c r="G42" s="11">
        <v>7</v>
      </c>
      <c r="H42" s="11">
        <v>3</v>
      </c>
      <c r="I42" s="11"/>
      <c r="J42" s="11"/>
      <c r="K42" s="11"/>
      <c r="L42" s="11">
        <v>20</v>
      </c>
      <c r="M42" s="13"/>
    </row>
    <row r="43" spans="1:13" ht="18.5" x14ac:dyDescent="0.45">
      <c r="A43" s="3">
        <v>42</v>
      </c>
      <c r="B43" s="14" t="s">
        <v>33</v>
      </c>
      <c r="C43" s="4" t="s">
        <v>26</v>
      </c>
      <c r="D43" s="11">
        <f>SUM(1311+1257+1471+1499+1355+1408+1471+1439+1421)</f>
        <v>12632</v>
      </c>
      <c r="E43" s="11">
        <f>SUM(84+98+123+139+105+124+128+103+104)</f>
        <v>1008</v>
      </c>
      <c r="F43" s="12">
        <f>D43/E43</f>
        <v>12.531746031746032</v>
      </c>
      <c r="G43" s="11">
        <v>9</v>
      </c>
      <c r="H43" s="11">
        <v>2</v>
      </c>
      <c r="I43" s="11"/>
      <c r="J43" s="11"/>
      <c r="K43" s="11"/>
      <c r="L43" s="11">
        <v>19</v>
      </c>
      <c r="M43" s="13">
        <v>5</v>
      </c>
    </row>
    <row r="44" spans="1:13" ht="18.5" x14ac:dyDescent="0.45">
      <c r="A44" s="3">
        <v>43</v>
      </c>
      <c r="B44" s="4" t="s">
        <v>98</v>
      </c>
      <c r="C44" s="4" t="s">
        <v>94</v>
      </c>
      <c r="D44" s="11">
        <f>SUM(1457+1241+1440+1384+1205+1503+1501+1337+1501)</f>
        <v>12569</v>
      </c>
      <c r="E44" s="11">
        <f>SUM(99+99+114+102+82+143+129+109+128)</f>
        <v>1005</v>
      </c>
      <c r="F44" s="12">
        <f>D44/E44</f>
        <v>12.506467661691543</v>
      </c>
      <c r="G44" s="11">
        <v>9</v>
      </c>
      <c r="H44" s="11">
        <v>3</v>
      </c>
      <c r="I44" s="11"/>
      <c r="J44" s="11"/>
      <c r="K44" s="11"/>
      <c r="L44" s="11">
        <v>25</v>
      </c>
      <c r="M44" s="13"/>
    </row>
    <row r="45" spans="1:13" ht="18.5" x14ac:dyDescent="0.45">
      <c r="A45" s="3">
        <v>44</v>
      </c>
      <c r="B45" s="14" t="s">
        <v>95</v>
      </c>
      <c r="C45" s="4" t="s">
        <v>94</v>
      </c>
      <c r="D45" s="11">
        <f>SUM(1455+1482+1452+1434+1427+1489+1362+1358)</f>
        <v>11459</v>
      </c>
      <c r="E45" s="11">
        <f>SUM(129+147+107+101+114+97+103+132)</f>
        <v>930</v>
      </c>
      <c r="F45" s="12">
        <f>D45/E45</f>
        <v>12.321505376344087</v>
      </c>
      <c r="G45" s="11">
        <v>8</v>
      </c>
      <c r="H45" s="11">
        <v>1</v>
      </c>
      <c r="I45" s="11"/>
      <c r="J45" s="11"/>
      <c r="K45" s="11"/>
      <c r="L45" s="11">
        <v>16.5</v>
      </c>
      <c r="M45" s="13"/>
    </row>
    <row r="46" spans="1:13" ht="18.5" x14ac:dyDescent="0.45">
      <c r="A46" s="3">
        <v>45</v>
      </c>
      <c r="B46" s="4" t="s">
        <v>144</v>
      </c>
      <c r="C46" s="4" t="s">
        <v>76</v>
      </c>
      <c r="D46" s="11">
        <f>SUM(1373+1320)</f>
        <v>2693</v>
      </c>
      <c r="E46" s="11">
        <f>SUM(106+117)</f>
        <v>223</v>
      </c>
      <c r="F46" s="12">
        <f>D46/E46</f>
        <v>12.076233183856502</v>
      </c>
      <c r="G46" s="11">
        <v>2</v>
      </c>
      <c r="H46" s="11">
        <v>1</v>
      </c>
      <c r="I46" s="11"/>
      <c r="J46" s="11"/>
      <c r="K46" s="11"/>
      <c r="L46" s="11">
        <v>3.5</v>
      </c>
      <c r="M46" s="13">
        <v>5</v>
      </c>
    </row>
    <row r="47" spans="1:13" ht="18.5" x14ac:dyDescent="0.45">
      <c r="A47" s="3">
        <v>46</v>
      </c>
      <c r="B47" s="14" t="s">
        <v>137</v>
      </c>
      <c r="C47" s="4" t="s">
        <v>13</v>
      </c>
      <c r="D47" s="11">
        <f>SUM(1319+1495+1503)</f>
        <v>4317</v>
      </c>
      <c r="E47" s="11">
        <f>SUM(114+111+133)</f>
        <v>358</v>
      </c>
      <c r="F47" s="12">
        <f>D47/E47</f>
        <v>12.058659217877095</v>
      </c>
      <c r="G47" s="11">
        <v>3</v>
      </c>
      <c r="H47" s="11">
        <v>2</v>
      </c>
      <c r="I47" s="11"/>
      <c r="J47" s="11"/>
      <c r="K47" s="11"/>
      <c r="L47" s="11">
        <v>7.5</v>
      </c>
      <c r="M47" s="13"/>
    </row>
    <row r="48" spans="1:13" ht="18.5" x14ac:dyDescent="0.45">
      <c r="A48" s="3">
        <v>47</v>
      </c>
      <c r="B48" s="4" t="s">
        <v>115</v>
      </c>
      <c r="C48" s="4" t="s">
        <v>26</v>
      </c>
      <c r="D48" s="11">
        <f>SUM(1014)</f>
        <v>1014</v>
      </c>
      <c r="E48" s="11">
        <f>SUM(87)</f>
        <v>87</v>
      </c>
      <c r="F48" s="12">
        <f>D48/E48</f>
        <v>11.655172413793103</v>
      </c>
      <c r="G48" s="11">
        <v>1</v>
      </c>
      <c r="H48" s="11"/>
      <c r="I48" s="11"/>
      <c r="J48" s="11"/>
      <c r="K48" s="11"/>
      <c r="L48" s="11">
        <v>0.5</v>
      </c>
      <c r="M48" s="13"/>
    </row>
    <row r="49" spans="1:18" ht="18.5" x14ac:dyDescent="0.45">
      <c r="A49" s="3">
        <v>48</v>
      </c>
      <c r="B49" s="4" t="s">
        <v>18</v>
      </c>
      <c r="C49" s="4" t="s">
        <v>15</v>
      </c>
      <c r="D49" s="11">
        <f>SUM(1267+1491+1493+1493+1503)</f>
        <v>7247</v>
      </c>
      <c r="E49" s="11">
        <f>SUM(121+139+133+112+119)</f>
        <v>624</v>
      </c>
      <c r="F49" s="12">
        <f>D49/E49</f>
        <v>11.613782051282051</v>
      </c>
      <c r="G49" s="11">
        <v>5</v>
      </c>
      <c r="H49" s="11">
        <v>4</v>
      </c>
      <c r="I49" s="11"/>
      <c r="J49" s="11"/>
      <c r="K49" s="11"/>
      <c r="L49" s="11">
        <v>26.5</v>
      </c>
      <c r="M49" s="13"/>
    </row>
    <row r="50" spans="1:18" ht="18.5" x14ac:dyDescent="0.45">
      <c r="A50" s="3">
        <v>49</v>
      </c>
      <c r="B50" s="14" t="s">
        <v>37</v>
      </c>
      <c r="C50" s="4" t="s">
        <v>76</v>
      </c>
      <c r="D50" s="11">
        <f>SUM(1487+1270+1281+1456+1315+1438+1202+1400+1290+1391)</f>
        <v>13530</v>
      </c>
      <c r="E50" s="11">
        <f>SUM(142+105+93+150+105+147+96+108+114+114)</f>
        <v>1174</v>
      </c>
      <c r="F50" s="12">
        <f>D50/E50</f>
        <v>11.524701873935264</v>
      </c>
      <c r="G50" s="11">
        <v>10</v>
      </c>
      <c r="H50" s="11"/>
      <c r="I50" s="11"/>
      <c r="J50" s="11"/>
      <c r="K50" s="11"/>
      <c r="L50" s="11">
        <v>12</v>
      </c>
      <c r="M50" s="13"/>
    </row>
    <row r="51" spans="1:18" ht="18.5" x14ac:dyDescent="0.45">
      <c r="A51" s="3">
        <v>50</v>
      </c>
      <c r="B51" s="14" t="s">
        <v>36</v>
      </c>
      <c r="C51" s="4" t="s">
        <v>76</v>
      </c>
      <c r="D51" s="11">
        <f>SUM(1372+1316+996+1229+1440+1483+1487+1477+1200+1160)</f>
        <v>13160</v>
      </c>
      <c r="E51" s="11">
        <f>SUM(123+111+87+111+126+138+126+122+93+111)</f>
        <v>1148</v>
      </c>
      <c r="F51" s="12">
        <f>D51/E51</f>
        <v>11.463414634146341</v>
      </c>
      <c r="G51" s="11">
        <v>10</v>
      </c>
      <c r="H51" s="11">
        <v>1</v>
      </c>
      <c r="I51" s="11"/>
      <c r="J51" s="11"/>
      <c r="K51" s="11"/>
      <c r="L51" s="11">
        <v>14.5</v>
      </c>
      <c r="M51" s="13"/>
    </row>
    <row r="52" spans="1:18" ht="18.5" x14ac:dyDescent="0.45">
      <c r="A52" s="3">
        <v>51</v>
      </c>
      <c r="B52" s="4" t="s">
        <v>122</v>
      </c>
      <c r="C52" s="4" t="s">
        <v>26</v>
      </c>
      <c r="D52" s="11">
        <f>SUM(1284+1031+1383)</f>
        <v>3698</v>
      </c>
      <c r="E52" s="11">
        <f>SUM(99+98+126)</f>
        <v>323</v>
      </c>
      <c r="F52" s="12">
        <f>D52/E52</f>
        <v>11.448916408668731</v>
      </c>
      <c r="G52" s="11">
        <v>3</v>
      </c>
      <c r="H52" s="11"/>
      <c r="I52" s="11"/>
      <c r="J52" s="11"/>
      <c r="K52" s="11"/>
      <c r="L52" s="11">
        <v>5.5</v>
      </c>
      <c r="M52" s="13"/>
    </row>
    <row r="53" spans="1:18" ht="18.5" x14ac:dyDescent="0.45">
      <c r="A53" s="3">
        <v>52</v>
      </c>
      <c r="B53" s="4" t="s">
        <v>34</v>
      </c>
      <c r="C53" s="4" t="s">
        <v>62</v>
      </c>
      <c r="D53" s="11">
        <f>SUM(1357+1211+1501+1381+1328+1468+1359)</f>
        <v>9605</v>
      </c>
      <c r="E53" s="11">
        <f>SUM(105+90+149+138+114+131+128)</f>
        <v>855</v>
      </c>
      <c r="F53" s="12">
        <f>D53/E53</f>
        <v>11.23391812865497</v>
      </c>
      <c r="G53" s="11">
        <v>7</v>
      </c>
      <c r="H53" s="11">
        <v>1</v>
      </c>
      <c r="I53" s="11"/>
      <c r="J53" s="11"/>
      <c r="K53" s="11"/>
      <c r="L53" s="11">
        <v>13</v>
      </c>
      <c r="M53" s="13">
        <v>5</v>
      </c>
    </row>
    <row r="54" spans="1:18" ht="18.5" x14ac:dyDescent="0.45">
      <c r="A54" s="3">
        <v>53</v>
      </c>
      <c r="B54" s="14" t="s">
        <v>65</v>
      </c>
      <c r="C54" s="4" t="s">
        <v>16</v>
      </c>
      <c r="D54" s="11">
        <f>SUM(1337+1489+1467+1477+1431+1448+1501)</f>
        <v>10150</v>
      </c>
      <c r="E54" s="11">
        <f>SUM(150+138+111+139+109+115+143)</f>
        <v>905</v>
      </c>
      <c r="F54" s="12">
        <f>D54/E54</f>
        <v>11.215469613259668</v>
      </c>
      <c r="G54" s="11">
        <v>7</v>
      </c>
      <c r="H54" s="11">
        <v>3</v>
      </c>
      <c r="I54" s="11"/>
      <c r="J54" s="11"/>
      <c r="K54" s="11"/>
      <c r="L54" s="11">
        <v>20</v>
      </c>
      <c r="M54" s="13">
        <v>5</v>
      </c>
    </row>
    <row r="55" spans="1:18" ht="18.5" x14ac:dyDescent="0.45">
      <c r="A55" s="3">
        <v>54</v>
      </c>
      <c r="B55" s="14" t="s">
        <v>136</v>
      </c>
      <c r="C55" s="4" t="s">
        <v>26</v>
      </c>
      <c r="D55" s="11">
        <f>SUM(1503)</f>
        <v>1503</v>
      </c>
      <c r="E55" s="11">
        <f>SUM(135)</f>
        <v>135</v>
      </c>
      <c r="F55" s="12">
        <f>D55/E55</f>
        <v>11.133333333333333</v>
      </c>
      <c r="G55" s="11">
        <v>1</v>
      </c>
      <c r="H55" s="11">
        <v>1</v>
      </c>
      <c r="I55" s="11"/>
      <c r="J55" s="11"/>
      <c r="K55" s="11"/>
      <c r="L55" s="11">
        <v>4</v>
      </c>
      <c r="M55" s="13"/>
    </row>
    <row r="56" spans="1:18" ht="18.5" x14ac:dyDescent="0.45">
      <c r="A56" s="3">
        <v>55</v>
      </c>
      <c r="B56" s="4" t="s">
        <v>121</v>
      </c>
      <c r="C56" s="4" t="s">
        <v>94</v>
      </c>
      <c r="D56" s="11">
        <f>SUM(1419+1464+1497)</f>
        <v>4380</v>
      </c>
      <c r="E56" s="11">
        <f>SUM(132+136+152)</f>
        <v>420</v>
      </c>
      <c r="F56" s="12">
        <f>D56/E56</f>
        <v>10.428571428571429</v>
      </c>
      <c r="G56" s="11">
        <v>3</v>
      </c>
      <c r="H56" s="11">
        <v>1</v>
      </c>
      <c r="I56" s="11"/>
      <c r="J56" s="11"/>
      <c r="K56" s="11"/>
      <c r="L56" s="11">
        <v>7</v>
      </c>
      <c r="M56" s="13">
        <v>10</v>
      </c>
    </row>
    <row r="57" spans="1:18" ht="18.5" x14ac:dyDescent="0.45">
      <c r="A57" s="3">
        <v>56</v>
      </c>
      <c r="B57" s="14" t="s">
        <v>93</v>
      </c>
      <c r="C57" s="4" t="s">
        <v>62</v>
      </c>
      <c r="D57" s="11">
        <f>SUM(1476+1440+1478)</f>
        <v>4394</v>
      </c>
      <c r="E57" s="11">
        <f>SUM(156+138+139)</f>
        <v>433</v>
      </c>
      <c r="F57" s="12">
        <f>D57/E57</f>
        <v>10.147806004618937</v>
      </c>
      <c r="G57" s="11">
        <v>3</v>
      </c>
      <c r="H57" s="11"/>
      <c r="I57" s="11"/>
      <c r="J57" s="11"/>
      <c r="K57" s="11"/>
      <c r="L57" s="11">
        <v>3</v>
      </c>
      <c r="M57" s="13"/>
    </row>
    <row r="58" spans="1:18" ht="18.5" x14ac:dyDescent="0.45">
      <c r="A58" s="3">
        <v>57</v>
      </c>
      <c r="B58" s="4" t="s">
        <v>143</v>
      </c>
      <c r="C58" s="4" t="s">
        <v>31</v>
      </c>
      <c r="D58" s="11">
        <f>SUM(1445)</f>
        <v>1445</v>
      </c>
      <c r="E58" s="11">
        <f>SUM(149)</f>
        <v>149</v>
      </c>
      <c r="F58" s="12">
        <f>D58/E58</f>
        <v>9.6979865771812079</v>
      </c>
      <c r="G58" s="11">
        <v>1</v>
      </c>
      <c r="H58" s="11"/>
      <c r="I58" s="11"/>
      <c r="J58" s="11"/>
      <c r="K58" s="11"/>
      <c r="L58" s="11">
        <v>1</v>
      </c>
      <c r="M58" s="13"/>
    </row>
    <row r="59" spans="1:18" ht="18.5" x14ac:dyDescent="0.45">
      <c r="A59" s="3">
        <v>58</v>
      </c>
      <c r="B59" s="14" t="s">
        <v>127</v>
      </c>
      <c r="C59" s="4" t="s">
        <v>26</v>
      </c>
      <c r="D59" s="11"/>
      <c r="E59" s="11"/>
      <c r="F59" s="12"/>
      <c r="G59" s="11"/>
      <c r="H59" s="11"/>
      <c r="I59" s="11"/>
      <c r="J59" s="11"/>
      <c r="K59" s="11"/>
      <c r="L59" s="11">
        <v>0.5</v>
      </c>
      <c r="M59" s="13"/>
    </row>
    <row r="60" spans="1:18" ht="17.25" customHeight="1" thickBot="1" x14ac:dyDescent="0.5">
      <c r="A60" s="5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</row>
    <row r="61" spans="1:18" ht="19.5" customHeight="1" thickBot="1" x14ac:dyDescent="0.5">
      <c r="A61" s="5"/>
      <c r="B61" s="33" t="s">
        <v>148</v>
      </c>
      <c r="C61" s="58" t="s">
        <v>42</v>
      </c>
      <c r="D61" s="57" t="s">
        <v>43</v>
      </c>
      <c r="E61" s="57" t="s">
        <v>87</v>
      </c>
      <c r="F61" s="56" t="s">
        <v>44</v>
      </c>
      <c r="G61" s="55" t="s">
        <v>86</v>
      </c>
      <c r="I61" s="38" t="s">
        <v>45</v>
      </c>
      <c r="J61" s="39"/>
      <c r="K61" s="39"/>
      <c r="L61" s="39"/>
      <c r="M61" s="39"/>
      <c r="N61" s="39"/>
      <c r="O61" s="39"/>
      <c r="P61" s="39"/>
      <c r="Q61" s="39"/>
      <c r="R61" s="40"/>
    </row>
    <row r="62" spans="1:18" ht="18.5" x14ac:dyDescent="0.45">
      <c r="A62" s="5"/>
      <c r="B62" s="50"/>
      <c r="C62" s="17" t="s">
        <v>47</v>
      </c>
      <c r="D62" s="22">
        <v>10</v>
      </c>
      <c r="E62" s="22">
        <v>0</v>
      </c>
      <c r="F62" s="22">
        <v>163</v>
      </c>
      <c r="G62" s="28">
        <v>7</v>
      </c>
      <c r="I62" s="43" t="s">
        <v>46</v>
      </c>
      <c r="J62" s="44"/>
      <c r="K62" s="44"/>
      <c r="L62" s="44"/>
      <c r="M62" s="44"/>
      <c r="N62" s="41" t="s">
        <v>113</v>
      </c>
      <c r="O62" s="41"/>
      <c r="P62" s="41"/>
      <c r="Q62" s="41"/>
      <c r="R62" s="42"/>
    </row>
    <row r="63" spans="1:18" ht="19" thickBot="1" x14ac:dyDescent="0.5">
      <c r="A63" s="5"/>
      <c r="B63" s="50"/>
      <c r="C63" s="17" t="s">
        <v>56</v>
      </c>
      <c r="D63" s="22">
        <v>7</v>
      </c>
      <c r="E63" s="11">
        <v>3</v>
      </c>
      <c r="F63" s="11">
        <v>148</v>
      </c>
      <c r="G63" s="28">
        <v>3</v>
      </c>
      <c r="I63" s="45" t="s">
        <v>48</v>
      </c>
      <c r="J63" s="46"/>
      <c r="K63" s="46"/>
      <c r="L63" s="46"/>
      <c r="M63" s="46"/>
      <c r="N63" s="36" t="s">
        <v>147</v>
      </c>
      <c r="O63" s="36"/>
      <c r="P63" s="36"/>
      <c r="Q63" s="36"/>
      <c r="R63" s="37"/>
    </row>
    <row r="64" spans="1:18" ht="18.5" x14ac:dyDescent="0.45">
      <c r="A64" s="5"/>
      <c r="B64" s="50"/>
      <c r="C64" s="54" t="s">
        <v>52</v>
      </c>
      <c r="D64" s="53">
        <v>7</v>
      </c>
      <c r="E64" s="52">
        <v>3</v>
      </c>
      <c r="F64" s="52">
        <v>143</v>
      </c>
      <c r="G64" s="51">
        <v>5</v>
      </c>
      <c r="I64" s="45" t="s">
        <v>50</v>
      </c>
      <c r="J64" s="46"/>
      <c r="K64" s="46"/>
      <c r="L64" s="46"/>
      <c r="M64" s="46"/>
      <c r="N64" s="36" t="s">
        <v>146</v>
      </c>
      <c r="O64" s="36"/>
      <c r="P64" s="36"/>
      <c r="Q64" s="36"/>
      <c r="R64" s="37"/>
    </row>
    <row r="65" spans="1:18" ht="18.5" x14ac:dyDescent="0.45">
      <c r="A65" s="6"/>
      <c r="B65" s="50"/>
      <c r="C65" s="17" t="s">
        <v>49</v>
      </c>
      <c r="D65" s="22">
        <v>7</v>
      </c>
      <c r="E65" s="11">
        <v>3</v>
      </c>
      <c r="F65" s="11">
        <v>140</v>
      </c>
      <c r="G65" s="28">
        <v>6</v>
      </c>
      <c r="I65" s="45" t="s">
        <v>51</v>
      </c>
      <c r="J65" s="46"/>
      <c r="K65" s="46"/>
      <c r="L65" s="46"/>
      <c r="M65" s="46"/>
      <c r="N65" s="36" t="s">
        <v>145</v>
      </c>
      <c r="O65" s="36"/>
      <c r="P65" s="36"/>
      <c r="Q65" s="36"/>
      <c r="R65" s="37"/>
    </row>
    <row r="66" spans="1:18" ht="18" customHeight="1" x14ac:dyDescent="0.45">
      <c r="A66" s="6"/>
      <c r="B66" s="50"/>
      <c r="C66" s="17" t="s">
        <v>57</v>
      </c>
      <c r="D66" s="22">
        <v>6</v>
      </c>
      <c r="E66" s="11">
        <v>4</v>
      </c>
      <c r="F66" s="11">
        <v>138</v>
      </c>
      <c r="G66" s="28">
        <v>9</v>
      </c>
      <c r="I66" s="45" t="s">
        <v>53</v>
      </c>
      <c r="J66" s="46"/>
      <c r="K66" s="46"/>
      <c r="L66" s="46"/>
      <c r="M66" s="46"/>
      <c r="N66" s="36" t="s">
        <v>106</v>
      </c>
      <c r="O66" s="36"/>
      <c r="P66" s="36"/>
      <c r="Q66" s="36"/>
      <c r="R66" s="37"/>
    </row>
    <row r="67" spans="1:18" ht="18" customHeight="1" thickBot="1" x14ac:dyDescent="0.5">
      <c r="A67" s="6"/>
      <c r="B67" s="50"/>
      <c r="C67" s="17" t="s">
        <v>88</v>
      </c>
      <c r="D67" s="23">
        <v>6</v>
      </c>
      <c r="E67" s="23">
        <v>4</v>
      </c>
      <c r="F67" s="23">
        <v>119</v>
      </c>
      <c r="G67" s="28">
        <v>1</v>
      </c>
      <c r="I67" s="31" t="s">
        <v>54</v>
      </c>
      <c r="J67" s="32"/>
      <c r="K67" s="32"/>
      <c r="L67" s="32"/>
      <c r="M67" s="32"/>
      <c r="N67" s="36" t="s">
        <v>89</v>
      </c>
      <c r="O67" s="36"/>
      <c r="P67" s="36"/>
      <c r="Q67" s="36"/>
      <c r="R67" s="37"/>
    </row>
    <row r="68" spans="1:18" ht="18.5" x14ac:dyDescent="0.45">
      <c r="A68" s="6"/>
      <c r="B68" s="50"/>
      <c r="C68" s="17" t="s">
        <v>55</v>
      </c>
      <c r="D68" s="22">
        <v>5</v>
      </c>
      <c r="E68" s="22">
        <v>5</v>
      </c>
      <c r="F68" s="22">
        <v>118</v>
      </c>
      <c r="G68" s="28">
        <v>2</v>
      </c>
      <c r="H68" s="6"/>
      <c r="I68" s="6"/>
    </row>
    <row r="69" spans="1:18" ht="18.5" x14ac:dyDescent="0.45">
      <c r="A69" s="6"/>
      <c r="B69" s="50"/>
      <c r="C69" s="17" t="s">
        <v>66</v>
      </c>
      <c r="D69" s="22">
        <v>2</v>
      </c>
      <c r="E69" s="11">
        <v>8</v>
      </c>
      <c r="F69" s="11">
        <v>93</v>
      </c>
      <c r="G69" s="28">
        <v>8</v>
      </c>
      <c r="H69" s="6"/>
    </row>
    <row r="70" spans="1:18" ht="18.5" x14ac:dyDescent="0.45">
      <c r="B70" s="50"/>
      <c r="C70" s="17" t="s">
        <v>63</v>
      </c>
      <c r="D70" s="23">
        <v>2</v>
      </c>
      <c r="E70" s="23">
        <v>8</v>
      </c>
      <c r="F70" s="23">
        <v>90</v>
      </c>
      <c r="G70" s="28">
        <v>10</v>
      </c>
    </row>
    <row r="71" spans="1:18" ht="18.5" x14ac:dyDescent="0.45">
      <c r="B71" s="50"/>
      <c r="C71" s="18" t="s">
        <v>58</v>
      </c>
      <c r="D71" s="23">
        <v>2</v>
      </c>
      <c r="E71" s="23">
        <v>8</v>
      </c>
      <c r="F71" s="23">
        <v>90</v>
      </c>
      <c r="G71" s="28">
        <v>11</v>
      </c>
    </row>
    <row r="72" spans="1:18" ht="19" thickBot="1" x14ac:dyDescent="0.5">
      <c r="B72" s="49"/>
      <c r="C72" s="48" t="s">
        <v>77</v>
      </c>
      <c r="D72" s="47">
        <v>1</v>
      </c>
      <c r="E72" s="47">
        <v>9</v>
      </c>
      <c r="F72" s="47">
        <v>66</v>
      </c>
      <c r="G72" s="29">
        <v>4</v>
      </c>
    </row>
  </sheetData>
  <mergeCells count="14">
    <mergeCell ref="I63:M63"/>
    <mergeCell ref="I64:M64"/>
    <mergeCell ref="I65:M65"/>
    <mergeCell ref="I66:M66"/>
    <mergeCell ref="I67:M67"/>
    <mergeCell ref="B61:B72"/>
    <mergeCell ref="N67:R67"/>
    <mergeCell ref="I61:R61"/>
    <mergeCell ref="N62:R62"/>
    <mergeCell ref="N63:R63"/>
    <mergeCell ref="N64:R64"/>
    <mergeCell ref="N65:R65"/>
    <mergeCell ref="N66:R66"/>
    <mergeCell ref="I62:M6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D2BFFB-9A7B-40C0-A381-400AC01812FE}">
  <dimension ref="A1:R61"/>
  <sheetViews>
    <sheetView workbookViewId="0">
      <pane ySplit="1" topLeftCell="A2" activePane="bottomLeft" state="frozen"/>
      <selection pane="bottomLeft" activeCell="I62" sqref="I62"/>
    </sheetView>
  </sheetViews>
  <sheetFormatPr defaultRowHeight="14.5" x14ac:dyDescent="0.35"/>
  <cols>
    <col min="1" max="1" width="5.453125" bestFit="1" customWidth="1"/>
    <col min="2" max="2" width="23.81640625" bestFit="1" customWidth="1"/>
    <col min="3" max="3" width="31.1796875" bestFit="1" customWidth="1"/>
    <col min="4" max="5" width="10.7265625" bestFit="1" customWidth="1"/>
    <col min="6" max="6" width="7.7265625" bestFit="1" customWidth="1"/>
    <col min="7" max="7" width="12.1796875" bestFit="1" customWidth="1"/>
    <col min="8" max="11" width="5.7265625" customWidth="1"/>
    <col min="12" max="12" width="7.7265625" bestFit="1" customWidth="1"/>
    <col min="13" max="13" width="10.81640625" bestFit="1" customWidth="1"/>
    <col min="18" max="18" width="18.81640625" customWidth="1"/>
  </cols>
  <sheetData>
    <row r="1" spans="1:13" ht="73.5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1" t="s">
        <v>7</v>
      </c>
      <c r="I1" s="1">
        <v>180</v>
      </c>
      <c r="J1" s="1">
        <v>171</v>
      </c>
      <c r="K1" s="1" t="s">
        <v>8</v>
      </c>
      <c r="L1" s="2" t="s">
        <v>9</v>
      </c>
      <c r="M1" s="2" t="s">
        <v>10</v>
      </c>
    </row>
    <row r="2" spans="1:13" ht="18.5" x14ac:dyDescent="0.45">
      <c r="A2" s="3">
        <v>1</v>
      </c>
      <c r="B2" s="4" t="s">
        <v>83</v>
      </c>
      <c r="C2" s="4" t="s">
        <v>15</v>
      </c>
      <c r="D2" s="11">
        <f>SUM(1503+1419)</f>
        <v>2922</v>
      </c>
      <c r="E2" s="11">
        <f>SUM(68+80)</f>
        <v>148</v>
      </c>
      <c r="F2" s="12">
        <f>D2/E2</f>
        <v>19.743243243243242</v>
      </c>
      <c r="G2" s="11">
        <v>2</v>
      </c>
      <c r="H2" s="11">
        <v>2</v>
      </c>
      <c r="I2" s="11"/>
      <c r="J2" s="11"/>
      <c r="K2" s="11"/>
      <c r="L2" s="11">
        <v>9.5</v>
      </c>
      <c r="M2" s="13">
        <v>5</v>
      </c>
    </row>
    <row r="3" spans="1:13" ht="18.5" x14ac:dyDescent="0.45">
      <c r="A3" s="3">
        <v>2</v>
      </c>
      <c r="B3" s="4" t="s">
        <v>25</v>
      </c>
      <c r="C3" s="4" t="s">
        <v>16</v>
      </c>
      <c r="D3" s="11">
        <f>SUM(1503)</f>
        <v>1503</v>
      </c>
      <c r="E3" s="11">
        <f>SUM(80)</f>
        <v>80</v>
      </c>
      <c r="F3" s="12">
        <f>D3/E3</f>
        <v>18.787500000000001</v>
      </c>
      <c r="G3" s="11">
        <v>1</v>
      </c>
      <c r="H3" s="11">
        <v>1</v>
      </c>
      <c r="I3" s="11"/>
      <c r="J3" s="11"/>
      <c r="K3" s="11"/>
      <c r="L3" s="11">
        <v>4.5</v>
      </c>
      <c r="M3" s="13"/>
    </row>
    <row r="4" spans="1:13" ht="18.5" x14ac:dyDescent="0.45">
      <c r="A4" s="3">
        <v>3</v>
      </c>
      <c r="B4" s="4" t="s">
        <v>38</v>
      </c>
      <c r="C4" s="4" t="s">
        <v>31</v>
      </c>
      <c r="D4" s="11">
        <f>SUM(1470+1447)</f>
        <v>2917</v>
      </c>
      <c r="E4" s="11">
        <f>SUM(86+78)</f>
        <v>164</v>
      </c>
      <c r="F4" s="12">
        <f>D4/E4</f>
        <v>17.786585365853657</v>
      </c>
      <c r="G4" s="11">
        <v>2</v>
      </c>
      <c r="H4" s="11"/>
      <c r="I4" s="11"/>
      <c r="J4" s="11"/>
      <c r="K4" s="11"/>
      <c r="L4" s="11">
        <v>5</v>
      </c>
      <c r="M4" s="13">
        <v>5</v>
      </c>
    </row>
    <row r="5" spans="1:13" ht="18.5" x14ac:dyDescent="0.45">
      <c r="A5" s="3">
        <v>4</v>
      </c>
      <c r="B5" s="4" t="s">
        <v>17</v>
      </c>
      <c r="C5" s="7" t="s">
        <v>13</v>
      </c>
      <c r="D5" s="11">
        <f>SUM(1503+1474)</f>
        <v>2977</v>
      </c>
      <c r="E5" s="11">
        <f>SUM(90+83)</f>
        <v>173</v>
      </c>
      <c r="F5" s="12">
        <f>D5/E5</f>
        <v>17.208092485549134</v>
      </c>
      <c r="G5" s="11">
        <v>2</v>
      </c>
      <c r="H5" s="11">
        <v>1</v>
      </c>
      <c r="I5" s="11"/>
      <c r="J5" s="11"/>
      <c r="K5" s="11"/>
      <c r="L5" s="11">
        <v>8</v>
      </c>
      <c r="M5" s="13"/>
    </row>
    <row r="6" spans="1:13" ht="18.5" x14ac:dyDescent="0.45">
      <c r="A6" s="3">
        <v>5</v>
      </c>
      <c r="B6" s="14" t="s">
        <v>100</v>
      </c>
      <c r="C6" s="4" t="s">
        <v>94</v>
      </c>
      <c r="D6" s="11">
        <f>SUM(1343)</f>
        <v>1343</v>
      </c>
      <c r="E6" s="11">
        <f>SUM(84)</f>
        <v>84</v>
      </c>
      <c r="F6" s="12">
        <f>D6/E6</f>
        <v>15.988095238095237</v>
      </c>
      <c r="G6" s="11">
        <v>1</v>
      </c>
      <c r="H6" s="11">
        <v>1</v>
      </c>
      <c r="I6" s="11"/>
      <c r="J6" s="11"/>
      <c r="K6" s="11"/>
      <c r="L6" s="11">
        <v>4</v>
      </c>
      <c r="M6" s="13"/>
    </row>
    <row r="7" spans="1:13" ht="18.5" x14ac:dyDescent="0.45">
      <c r="A7" s="3">
        <v>6</v>
      </c>
      <c r="B7" s="4" t="s">
        <v>27</v>
      </c>
      <c r="C7" s="4" t="s">
        <v>12</v>
      </c>
      <c r="D7" s="11">
        <f>SUM(1503+1443)</f>
        <v>2946</v>
      </c>
      <c r="E7" s="11">
        <f>SUM(84+101)</f>
        <v>185</v>
      </c>
      <c r="F7" s="12">
        <f>D7/E7</f>
        <v>15.924324324324324</v>
      </c>
      <c r="G7" s="11">
        <v>2</v>
      </c>
      <c r="H7" s="11">
        <v>1</v>
      </c>
      <c r="I7" s="11"/>
      <c r="J7" s="11"/>
      <c r="K7" s="11"/>
      <c r="L7" s="11">
        <v>7.5</v>
      </c>
      <c r="M7" s="13"/>
    </row>
    <row r="8" spans="1:13" ht="18.5" x14ac:dyDescent="0.45">
      <c r="A8" s="3">
        <v>7</v>
      </c>
      <c r="B8" s="3" t="s">
        <v>32</v>
      </c>
      <c r="C8" s="4" t="s">
        <v>20</v>
      </c>
      <c r="D8" s="11">
        <f>SUM(1359+1503)</f>
        <v>2862</v>
      </c>
      <c r="E8" s="11">
        <f>SUM(84+96)</f>
        <v>180</v>
      </c>
      <c r="F8" s="12">
        <f>D8/E8</f>
        <v>15.9</v>
      </c>
      <c r="G8" s="11">
        <v>2</v>
      </c>
      <c r="H8" s="11">
        <v>2</v>
      </c>
      <c r="I8" s="11"/>
      <c r="J8" s="11"/>
      <c r="K8" s="11"/>
      <c r="L8" s="11">
        <v>9</v>
      </c>
      <c r="M8" s="13"/>
    </row>
    <row r="9" spans="1:13" ht="18.5" x14ac:dyDescent="0.45">
      <c r="A9" s="3">
        <v>8</v>
      </c>
      <c r="B9" s="4" t="s">
        <v>11</v>
      </c>
      <c r="C9" s="4" t="s">
        <v>12</v>
      </c>
      <c r="D9" s="11">
        <f>SUM(1503+1441)</f>
        <v>2944</v>
      </c>
      <c r="E9" s="11">
        <f>SUM(102+84)</f>
        <v>186</v>
      </c>
      <c r="F9" s="12">
        <f>D9/E9</f>
        <v>15.827956989247312</v>
      </c>
      <c r="G9" s="11">
        <v>2</v>
      </c>
      <c r="H9" s="11">
        <v>2</v>
      </c>
      <c r="I9" s="11"/>
      <c r="J9" s="11"/>
      <c r="K9" s="11"/>
      <c r="L9" s="11">
        <v>9</v>
      </c>
      <c r="M9" s="13"/>
    </row>
    <row r="10" spans="1:13" ht="18.5" x14ac:dyDescent="0.45">
      <c r="A10" s="3">
        <v>9</v>
      </c>
      <c r="B10" s="4" t="s">
        <v>28</v>
      </c>
      <c r="C10" s="4" t="s">
        <v>62</v>
      </c>
      <c r="D10" s="11">
        <f>SUM(1327+1229)</f>
        <v>2556</v>
      </c>
      <c r="E10" s="11">
        <f>SUM(84+79)</f>
        <v>163</v>
      </c>
      <c r="F10" s="12">
        <f>D10/E10</f>
        <v>15.680981595092025</v>
      </c>
      <c r="G10" s="11">
        <v>2</v>
      </c>
      <c r="H10" s="11">
        <v>1</v>
      </c>
      <c r="I10" s="11"/>
      <c r="J10" s="11"/>
      <c r="K10" s="11"/>
      <c r="L10" s="11">
        <v>5.5</v>
      </c>
      <c r="M10" s="13">
        <v>5</v>
      </c>
    </row>
    <row r="11" spans="1:13" ht="18.5" x14ac:dyDescent="0.45">
      <c r="A11" s="3">
        <v>10</v>
      </c>
      <c r="B11" s="4" t="s">
        <v>21</v>
      </c>
      <c r="C11" s="4" t="s">
        <v>13</v>
      </c>
      <c r="D11" s="11">
        <f>SUM(1503+1470)</f>
        <v>2973</v>
      </c>
      <c r="E11" s="11">
        <f>SUM(105+88)</f>
        <v>193</v>
      </c>
      <c r="F11" s="12">
        <f>D11/E11</f>
        <v>15.404145077720207</v>
      </c>
      <c r="G11" s="11">
        <v>2</v>
      </c>
      <c r="H11" s="11">
        <v>2</v>
      </c>
      <c r="I11" s="11"/>
      <c r="J11" s="11"/>
      <c r="K11" s="11"/>
      <c r="L11" s="11">
        <v>7.5</v>
      </c>
      <c r="M11" s="13"/>
    </row>
    <row r="12" spans="1:13" ht="18.5" x14ac:dyDescent="0.45">
      <c r="A12" s="3">
        <v>11</v>
      </c>
      <c r="B12" s="3" t="s">
        <v>19</v>
      </c>
      <c r="C12" s="4" t="s">
        <v>20</v>
      </c>
      <c r="D12" s="11">
        <f>SUM(1391+1503)</f>
        <v>2894</v>
      </c>
      <c r="E12" s="11">
        <f>SUM(108+83)</f>
        <v>191</v>
      </c>
      <c r="F12" s="12">
        <f>D12/E12</f>
        <v>15.151832460732985</v>
      </c>
      <c r="G12" s="11">
        <v>2</v>
      </c>
      <c r="H12" s="11">
        <v>1</v>
      </c>
      <c r="I12" s="11"/>
      <c r="J12" s="11"/>
      <c r="K12" s="11"/>
      <c r="L12" s="11">
        <v>7.5</v>
      </c>
      <c r="M12" s="13">
        <v>10</v>
      </c>
    </row>
    <row r="13" spans="1:13" ht="18.5" x14ac:dyDescent="0.45">
      <c r="A13" s="3">
        <v>12</v>
      </c>
      <c r="B13" s="4" t="s">
        <v>23</v>
      </c>
      <c r="C13" s="4" t="s">
        <v>13</v>
      </c>
      <c r="D13" s="11">
        <f>SUM(1503+1499)</f>
        <v>3002</v>
      </c>
      <c r="E13" s="11">
        <f>SUM(100+99)</f>
        <v>199</v>
      </c>
      <c r="F13" s="12">
        <f>D13/E13</f>
        <v>15.085427135678392</v>
      </c>
      <c r="G13" s="11">
        <v>2</v>
      </c>
      <c r="H13" s="11">
        <v>2</v>
      </c>
      <c r="I13" s="11"/>
      <c r="J13" s="11"/>
      <c r="K13" s="11"/>
      <c r="L13" s="11">
        <v>9</v>
      </c>
      <c r="M13" s="13"/>
    </row>
    <row r="14" spans="1:13" ht="18.5" x14ac:dyDescent="0.45">
      <c r="A14" s="3">
        <v>13</v>
      </c>
      <c r="B14" s="14" t="s">
        <v>72</v>
      </c>
      <c r="C14" s="7" t="s">
        <v>31</v>
      </c>
      <c r="D14" s="11">
        <f>SUM(1503+1475)</f>
        <v>2978</v>
      </c>
      <c r="E14" s="11">
        <f>SUM(102+96)</f>
        <v>198</v>
      </c>
      <c r="F14" s="12">
        <f>D14/E14</f>
        <v>15.04040404040404</v>
      </c>
      <c r="G14" s="11">
        <v>2</v>
      </c>
      <c r="H14" s="11">
        <v>1</v>
      </c>
      <c r="I14" s="11"/>
      <c r="J14" s="11"/>
      <c r="K14" s="11"/>
      <c r="L14" s="11">
        <v>6.5</v>
      </c>
      <c r="M14" s="13"/>
    </row>
    <row r="15" spans="1:13" ht="18.5" x14ac:dyDescent="0.45">
      <c r="A15" s="3">
        <v>14</v>
      </c>
      <c r="B15" s="14" t="s">
        <v>99</v>
      </c>
      <c r="C15" s="4" t="s">
        <v>94</v>
      </c>
      <c r="D15" s="11">
        <f>SUM(1496)</f>
        <v>1496</v>
      </c>
      <c r="E15" s="11">
        <f>SUM(100)</f>
        <v>100</v>
      </c>
      <c r="F15" s="12">
        <f>D15/E15</f>
        <v>14.96</v>
      </c>
      <c r="G15" s="11">
        <v>1</v>
      </c>
      <c r="H15" s="11">
        <v>1</v>
      </c>
      <c r="I15" s="11"/>
      <c r="J15" s="11"/>
      <c r="K15" s="11"/>
      <c r="L15" s="11">
        <v>4</v>
      </c>
      <c r="M15" s="13"/>
    </row>
    <row r="16" spans="1:13" ht="18.5" x14ac:dyDescent="0.45">
      <c r="A16" s="3">
        <v>15</v>
      </c>
      <c r="B16" s="9" t="s">
        <v>60</v>
      </c>
      <c r="C16" s="4" t="s">
        <v>26</v>
      </c>
      <c r="D16" s="11">
        <f>SUM(1446+1409)</f>
        <v>2855</v>
      </c>
      <c r="E16" s="11">
        <f>SUM(108+84)</f>
        <v>192</v>
      </c>
      <c r="F16" s="12">
        <f>D16/E16</f>
        <v>14.869791666666666</v>
      </c>
      <c r="G16" s="11">
        <v>2</v>
      </c>
      <c r="H16" s="11"/>
      <c r="I16" s="11"/>
      <c r="J16" s="11"/>
      <c r="K16" s="11"/>
      <c r="L16" s="11">
        <v>4</v>
      </c>
      <c r="M16" s="13"/>
    </row>
    <row r="17" spans="1:13" ht="18.5" x14ac:dyDescent="0.45">
      <c r="A17" s="3">
        <v>16</v>
      </c>
      <c r="B17" s="7" t="s">
        <v>98</v>
      </c>
      <c r="C17" s="4" t="s">
        <v>94</v>
      </c>
      <c r="D17" s="11">
        <f>SUM(1457)</f>
        <v>1457</v>
      </c>
      <c r="E17" s="11">
        <f>SUM(99)</f>
        <v>99</v>
      </c>
      <c r="F17" s="12">
        <f>D17/E17</f>
        <v>14.717171717171718</v>
      </c>
      <c r="G17" s="11">
        <v>1</v>
      </c>
      <c r="H17" s="11"/>
      <c r="I17" s="11"/>
      <c r="J17" s="11"/>
      <c r="K17" s="11"/>
      <c r="L17" s="11">
        <v>2.5</v>
      </c>
      <c r="M17" s="13"/>
    </row>
    <row r="18" spans="1:13" ht="18.5" x14ac:dyDescent="0.45">
      <c r="A18" s="3">
        <v>17</v>
      </c>
      <c r="B18" s="9" t="s">
        <v>69</v>
      </c>
      <c r="C18" s="4" t="s">
        <v>73</v>
      </c>
      <c r="D18" s="11">
        <f>SUM(1475+1487)</f>
        <v>2962</v>
      </c>
      <c r="E18" s="11">
        <f>SUM(103+99)</f>
        <v>202</v>
      </c>
      <c r="F18" s="12">
        <f>D18/E18</f>
        <v>14.663366336633663</v>
      </c>
      <c r="G18" s="11">
        <v>2</v>
      </c>
      <c r="H18" s="11">
        <v>1</v>
      </c>
      <c r="I18" s="11"/>
      <c r="J18" s="11"/>
      <c r="K18" s="11"/>
      <c r="L18" s="11">
        <v>5.5</v>
      </c>
      <c r="M18" s="13"/>
    </row>
    <row r="19" spans="1:13" ht="18.5" x14ac:dyDescent="0.45">
      <c r="A19" s="3">
        <v>18</v>
      </c>
      <c r="B19" s="7" t="s">
        <v>24</v>
      </c>
      <c r="C19" s="4" t="s">
        <v>12</v>
      </c>
      <c r="D19" s="11">
        <f>SUM(1503+1503)</f>
        <v>3006</v>
      </c>
      <c r="E19" s="11">
        <f>SUM(108+98)</f>
        <v>206</v>
      </c>
      <c r="F19" s="12">
        <f>D19/E19</f>
        <v>14.592233009708737</v>
      </c>
      <c r="G19" s="11">
        <v>2</v>
      </c>
      <c r="H19" s="11">
        <v>2</v>
      </c>
      <c r="I19" s="11"/>
      <c r="J19" s="11"/>
      <c r="K19" s="11"/>
      <c r="L19" s="11">
        <v>11</v>
      </c>
      <c r="M19" s="13"/>
    </row>
    <row r="20" spans="1:13" ht="18.5" x14ac:dyDescent="0.45">
      <c r="A20" s="3">
        <v>19</v>
      </c>
      <c r="B20" s="7" t="s">
        <v>14</v>
      </c>
      <c r="C20" s="4" t="s">
        <v>15</v>
      </c>
      <c r="D20" s="11">
        <f>SUM(1483+1501)</f>
        <v>2984</v>
      </c>
      <c r="E20" s="11">
        <f>SUM(111+96)</f>
        <v>207</v>
      </c>
      <c r="F20" s="12">
        <f>D20/E20</f>
        <v>14.415458937198068</v>
      </c>
      <c r="G20" s="11">
        <v>2</v>
      </c>
      <c r="H20" s="11">
        <v>2</v>
      </c>
      <c r="I20" s="11"/>
      <c r="J20" s="11"/>
      <c r="K20" s="11"/>
      <c r="L20" s="11">
        <v>8</v>
      </c>
      <c r="M20" s="13"/>
    </row>
    <row r="21" spans="1:13" ht="18.5" x14ac:dyDescent="0.45">
      <c r="A21" s="3">
        <v>20</v>
      </c>
      <c r="B21" s="7" t="s">
        <v>79</v>
      </c>
      <c r="C21" s="4" t="s">
        <v>76</v>
      </c>
      <c r="D21" s="11">
        <f>SUM(1084+1251)</f>
        <v>2335</v>
      </c>
      <c r="E21" s="11">
        <f>SUM(72+90)</f>
        <v>162</v>
      </c>
      <c r="F21" s="12">
        <f>D21/E21</f>
        <v>14.413580246913581</v>
      </c>
      <c r="G21" s="11">
        <v>2</v>
      </c>
      <c r="H21" s="11"/>
      <c r="I21" s="11"/>
      <c r="J21" s="11"/>
      <c r="K21" s="11"/>
      <c r="L21" s="11">
        <v>1</v>
      </c>
      <c r="M21" s="13"/>
    </row>
    <row r="22" spans="1:13" ht="18.5" x14ac:dyDescent="0.45">
      <c r="A22" s="3">
        <v>21</v>
      </c>
      <c r="B22" s="19" t="s">
        <v>68</v>
      </c>
      <c r="C22" s="8" t="s">
        <v>73</v>
      </c>
      <c r="D22" s="11">
        <f>SUM(941+1293)</f>
        <v>2234</v>
      </c>
      <c r="E22" s="11">
        <f>SUM(66+89)</f>
        <v>155</v>
      </c>
      <c r="F22" s="12">
        <f>D22/E22</f>
        <v>14.412903225806451</v>
      </c>
      <c r="G22" s="11">
        <v>2</v>
      </c>
      <c r="H22" s="11"/>
      <c r="I22" s="11"/>
      <c r="J22" s="11"/>
      <c r="K22" s="11"/>
      <c r="L22" s="11">
        <v>3.5</v>
      </c>
      <c r="M22" s="13"/>
    </row>
    <row r="23" spans="1:13" ht="18.5" x14ac:dyDescent="0.45">
      <c r="A23" s="3">
        <v>22</v>
      </c>
      <c r="B23" s="9" t="s">
        <v>64</v>
      </c>
      <c r="C23" s="7" t="s">
        <v>13</v>
      </c>
      <c r="D23" s="11">
        <f>SUM(1478+1503)</f>
        <v>2981</v>
      </c>
      <c r="E23" s="11">
        <f>SUM(110+97)</f>
        <v>207</v>
      </c>
      <c r="F23" s="12">
        <f>D23/E23</f>
        <v>14.400966183574878</v>
      </c>
      <c r="G23" s="11">
        <v>2</v>
      </c>
      <c r="H23" s="11">
        <v>1</v>
      </c>
      <c r="I23" s="11"/>
      <c r="J23" s="11"/>
      <c r="K23" s="11"/>
      <c r="L23" s="11">
        <v>6.5</v>
      </c>
      <c r="M23" s="13"/>
    </row>
    <row r="24" spans="1:13" ht="18.5" x14ac:dyDescent="0.45">
      <c r="A24" s="3">
        <v>23</v>
      </c>
      <c r="B24" s="10" t="s">
        <v>30</v>
      </c>
      <c r="C24" s="7" t="s">
        <v>31</v>
      </c>
      <c r="D24" s="11">
        <f>SUM(1369+1280)</f>
        <v>2649</v>
      </c>
      <c r="E24" s="11">
        <f>SUM(92+92)</f>
        <v>184</v>
      </c>
      <c r="F24" s="12">
        <f>D24/E24</f>
        <v>14.396739130434783</v>
      </c>
      <c r="G24" s="11">
        <v>2</v>
      </c>
      <c r="H24" s="11">
        <v>1</v>
      </c>
      <c r="I24" s="11"/>
      <c r="J24" s="11"/>
      <c r="K24" s="11"/>
      <c r="L24" s="11">
        <v>5.5</v>
      </c>
      <c r="M24" s="13"/>
    </row>
    <row r="25" spans="1:13" ht="18.5" x14ac:dyDescent="0.45">
      <c r="A25" s="3">
        <v>24</v>
      </c>
      <c r="B25" s="4" t="s">
        <v>78</v>
      </c>
      <c r="C25" s="4" t="s">
        <v>31</v>
      </c>
      <c r="D25" s="11">
        <f>SUM(1501+1503)</f>
        <v>3004</v>
      </c>
      <c r="E25" s="11">
        <f>SUM(113+97)</f>
        <v>210</v>
      </c>
      <c r="F25" s="12">
        <f>D25/E25</f>
        <v>14.304761904761905</v>
      </c>
      <c r="G25" s="11">
        <v>2</v>
      </c>
      <c r="H25" s="11">
        <v>2</v>
      </c>
      <c r="I25" s="11"/>
      <c r="J25" s="11"/>
      <c r="K25" s="11"/>
      <c r="L25" s="11">
        <v>8</v>
      </c>
      <c r="M25" s="13"/>
    </row>
    <row r="26" spans="1:13" ht="18.5" x14ac:dyDescent="0.45">
      <c r="A26" s="3">
        <v>25</v>
      </c>
      <c r="B26" s="10" t="s">
        <v>33</v>
      </c>
      <c r="C26" s="4" t="s">
        <v>26</v>
      </c>
      <c r="D26" s="11">
        <f>SUM(1311+1257)</f>
        <v>2568</v>
      </c>
      <c r="E26" s="11">
        <f>SUM(84+98)</f>
        <v>182</v>
      </c>
      <c r="F26" s="12">
        <f>D26/E26</f>
        <v>14.109890109890109</v>
      </c>
      <c r="G26" s="11">
        <v>2</v>
      </c>
      <c r="H26" s="11"/>
      <c r="I26" s="11"/>
      <c r="J26" s="11"/>
      <c r="K26" s="11"/>
      <c r="L26" s="11">
        <v>3.5</v>
      </c>
      <c r="M26" s="13"/>
    </row>
    <row r="27" spans="1:13" ht="18.5" x14ac:dyDescent="0.45">
      <c r="A27" s="3">
        <v>26</v>
      </c>
      <c r="B27" s="10" t="s">
        <v>41</v>
      </c>
      <c r="C27" s="7" t="s">
        <v>62</v>
      </c>
      <c r="D27" s="11">
        <f>SUM(1443+1326)</f>
        <v>2769</v>
      </c>
      <c r="E27" s="11">
        <f>SUM(102+95)</f>
        <v>197</v>
      </c>
      <c r="F27" s="12">
        <f>D27/E27</f>
        <v>14.055837563451776</v>
      </c>
      <c r="G27" s="11">
        <v>2</v>
      </c>
      <c r="H27" s="11"/>
      <c r="I27" s="11"/>
      <c r="J27" s="11"/>
      <c r="K27" s="11"/>
      <c r="L27" s="11">
        <v>3.5</v>
      </c>
      <c r="M27" s="13"/>
    </row>
    <row r="28" spans="1:13" ht="18.5" x14ac:dyDescent="0.45">
      <c r="A28" s="3">
        <v>27</v>
      </c>
      <c r="B28" s="10" t="s">
        <v>59</v>
      </c>
      <c r="C28" s="7" t="s">
        <v>26</v>
      </c>
      <c r="D28" s="11">
        <f>SUM(1499+1463)</f>
        <v>2962</v>
      </c>
      <c r="E28" s="11">
        <f>SUM(114+98)</f>
        <v>212</v>
      </c>
      <c r="F28" s="12">
        <f>D28/E28</f>
        <v>13.971698113207546</v>
      </c>
      <c r="G28" s="11">
        <v>2</v>
      </c>
      <c r="H28" s="11">
        <v>2</v>
      </c>
      <c r="I28" s="11"/>
      <c r="J28" s="11"/>
      <c r="K28" s="11"/>
      <c r="L28" s="11">
        <v>7</v>
      </c>
      <c r="M28" s="13">
        <v>5</v>
      </c>
    </row>
    <row r="29" spans="1:13" ht="18.5" x14ac:dyDescent="0.45">
      <c r="A29" s="3">
        <v>28</v>
      </c>
      <c r="B29" s="15" t="s">
        <v>39</v>
      </c>
      <c r="C29" s="7" t="s">
        <v>15</v>
      </c>
      <c r="D29" s="11">
        <f>SUM(1361+1488)</f>
        <v>2849</v>
      </c>
      <c r="E29" s="11">
        <f>SUM(107+98)</f>
        <v>205</v>
      </c>
      <c r="F29" s="12">
        <f>D29/E29</f>
        <v>13.897560975609757</v>
      </c>
      <c r="G29" s="11">
        <v>2</v>
      </c>
      <c r="H29" s="11">
        <v>2</v>
      </c>
      <c r="I29" s="11"/>
      <c r="J29" s="11"/>
      <c r="K29" s="11"/>
      <c r="L29" s="11">
        <v>7.5</v>
      </c>
      <c r="M29" s="13"/>
    </row>
    <row r="30" spans="1:13" ht="18.5" x14ac:dyDescent="0.45">
      <c r="A30" s="3">
        <v>29</v>
      </c>
      <c r="B30" s="15" t="s">
        <v>35</v>
      </c>
      <c r="C30" s="7" t="s">
        <v>62</v>
      </c>
      <c r="D30" s="11">
        <f>SUM(1480+1242)</f>
        <v>2722</v>
      </c>
      <c r="E30" s="11">
        <f>SUM(111+87)</f>
        <v>198</v>
      </c>
      <c r="F30" s="12">
        <f>D30/E30</f>
        <v>13.747474747474747</v>
      </c>
      <c r="G30" s="11">
        <v>2</v>
      </c>
      <c r="H30" s="11">
        <v>1</v>
      </c>
      <c r="I30" s="11"/>
      <c r="J30" s="11"/>
      <c r="K30" s="11"/>
      <c r="L30" s="11">
        <v>3</v>
      </c>
      <c r="M30" s="13"/>
    </row>
    <row r="31" spans="1:13" ht="18.5" x14ac:dyDescent="0.45">
      <c r="A31" s="3">
        <v>30</v>
      </c>
      <c r="B31" s="15" t="s">
        <v>22</v>
      </c>
      <c r="C31" s="7" t="s">
        <v>20</v>
      </c>
      <c r="D31" s="11">
        <f>SUM(1426+1503)</f>
        <v>2929</v>
      </c>
      <c r="E31" s="11">
        <f>SUM(99+116)</f>
        <v>215</v>
      </c>
      <c r="F31" s="12">
        <f>D31/E31</f>
        <v>13.623255813953488</v>
      </c>
      <c r="G31" s="11">
        <v>2</v>
      </c>
      <c r="H31" s="11">
        <v>1</v>
      </c>
      <c r="I31" s="11"/>
      <c r="J31" s="11"/>
      <c r="K31" s="11"/>
      <c r="L31" s="11">
        <v>6.5</v>
      </c>
      <c r="M31" s="13"/>
    </row>
    <row r="32" spans="1:13" ht="18.5" x14ac:dyDescent="0.45">
      <c r="A32" s="3">
        <v>31</v>
      </c>
      <c r="B32" s="10" t="s">
        <v>29</v>
      </c>
      <c r="C32" s="7" t="s">
        <v>20</v>
      </c>
      <c r="D32" s="11">
        <f>SUM(1301+1503)</f>
        <v>2804</v>
      </c>
      <c r="E32" s="11">
        <f>SUM(96+110)</f>
        <v>206</v>
      </c>
      <c r="F32" s="12">
        <f>D32/E32</f>
        <v>13.611650485436893</v>
      </c>
      <c r="G32" s="11">
        <v>2</v>
      </c>
      <c r="H32" s="11">
        <v>1</v>
      </c>
      <c r="I32" s="11"/>
      <c r="J32" s="11"/>
      <c r="K32" s="11"/>
      <c r="L32" s="11">
        <v>8</v>
      </c>
      <c r="M32" s="13"/>
    </row>
    <row r="33" spans="1:13" ht="18.5" x14ac:dyDescent="0.45">
      <c r="A33" s="3">
        <v>32</v>
      </c>
      <c r="B33" s="59" t="s">
        <v>97</v>
      </c>
      <c r="C33" s="7" t="s">
        <v>15</v>
      </c>
      <c r="D33" s="11">
        <f>SUM(1212)</f>
        <v>1212</v>
      </c>
      <c r="E33" s="11">
        <f>SUM(91)</f>
        <v>91</v>
      </c>
      <c r="F33" s="12">
        <f>D33/E33</f>
        <v>13.318681318681319</v>
      </c>
      <c r="G33" s="11">
        <v>1</v>
      </c>
      <c r="H33" s="11"/>
      <c r="I33" s="11"/>
      <c r="J33" s="11"/>
      <c r="K33" s="11"/>
      <c r="L33" s="11">
        <v>1.5</v>
      </c>
      <c r="M33" s="13"/>
    </row>
    <row r="34" spans="1:13" ht="18.5" x14ac:dyDescent="0.45">
      <c r="A34" s="3">
        <v>33</v>
      </c>
      <c r="B34" s="4" t="s">
        <v>34</v>
      </c>
      <c r="C34" s="7" t="s">
        <v>62</v>
      </c>
      <c r="D34" s="11">
        <f>SUM(1357+1211)</f>
        <v>2568</v>
      </c>
      <c r="E34" s="11">
        <f>SUM(105+90)</f>
        <v>195</v>
      </c>
      <c r="F34" s="12">
        <f>D34/E34</f>
        <v>13.169230769230769</v>
      </c>
      <c r="G34" s="11">
        <v>2</v>
      </c>
      <c r="H34" s="11"/>
      <c r="I34" s="11"/>
      <c r="J34" s="11"/>
      <c r="K34" s="11"/>
      <c r="L34" s="11">
        <v>1.5</v>
      </c>
      <c r="M34" s="13"/>
    </row>
    <row r="35" spans="1:13" ht="18.5" x14ac:dyDescent="0.45">
      <c r="A35" s="3">
        <v>34</v>
      </c>
      <c r="B35" s="4" t="s">
        <v>74</v>
      </c>
      <c r="C35" s="4" t="s">
        <v>12</v>
      </c>
      <c r="D35" s="11">
        <f>SUM(1479+1459)</f>
        <v>2938</v>
      </c>
      <c r="E35" s="11">
        <f>SUM(110+116)</f>
        <v>226</v>
      </c>
      <c r="F35" s="12">
        <f>D35/E35</f>
        <v>13</v>
      </c>
      <c r="G35" s="11">
        <v>2</v>
      </c>
      <c r="H35" s="11"/>
      <c r="I35" s="11"/>
      <c r="J35" s="11"/>
      <c r="K35" s="11"/>
      <c r="L35" s="11">
        <v>7.5</v>
      </c>
      <c r="M35" s="13"/>
    </row>
    <row r="36" spans="1:13" ht="18.5" x14ac:dyDescent="0.45">
      <c r="A36" s="3">
        <v>35</v>
      </c>
      <c r="B36" s="4" t="s">
        <v>96</v>
      </c>
      <c r="C36" s="4" t="s">
        <v>73</v>
      </c>
      <c r="D36" s="11">
        <f>SUM(1497)</f>
        <v>1497</v>
      </c>
      <c r="E36" s="11">
        <f>SUM(116)</f>
        <v>116</v>
      </c>
      <c r="F36" s="12">
        <f>D36/E36</f>
        <v>12.905172413793103</v>
      </c>
      <c r="G36" s="11">
        <v>1</v>
      </c>
      <c r="H36" s="11">
        <v>1</v>
      </c>
      <c r="I36" s="11"/>
      <c r="J36" s="11"/>
      <c r="K36" s="11"/>
      <c r="L36" s="11">
        <v>2</v>
      </c>
      <c r="M36" s="13"/>
    </row>
    <row r="37" spans="1:13" ht="18.5" x14ac:dyDescent="0.45">
      <c r="A37" s="3">
        <v>36</v>
      </c>
      <c r="B37" s="4" t="s">
        <v>75</v>
      </c>
      <c r="C37" s="4" t="s">
        <v>73</v>
      </c>
      <c r="D37" s="11">
        <f>SUM(1499+1275)</f>
        <v>2774</v>
      </c>
      <c r="E37" s="11">
        <f>SUM(123+99)</f>
        <v>222</v>
      </c>
      <c r="F37" s="12">
        <f>D37/E37</f>
        <v>12.495495495495495</v>
      </c>
      <c r="G37" s="11">
        <v>2</v>
      </c>
      <c r="H37" s="11">
        <v>1</v>
      </c>
      <c r="I37" s="11"/>
      <c r="J37" s="11"/>
      <c r="K37" s="11"/>
      <c r="L37" s="11">
        <v>3</v>
      </c>
      <c r="M37" s="13"/>
    </row>
    <row r="38" spans="1:13" ht="18.5" x14ac:dyDescent="0.45">
      <c r="A38" s="3">
        <v>37</v>
      </c>
      <c r="B38" s="14" t="s">
        <v>70</v>
      </c>
      <c r="C38" s="4" t="s">
        <v>73</v>
      </c>
      <c r="D38" s="11">
        <f>SUM(1359)</f>
        <v>1359</v>
      </c>
      <c r="E38" s="11">
        <f>SUM(110)</f>
        <v>110</v>
      </c>
      <c r="F38" s="12">
        <f>D38/E38</f>
        <v>12.354545454545455</v>
      </c>
      <c r="G38" s="11">
        <v>1</v>
      </c>
      <c r="H38" s="11"/>
      <c r="I38" s="11"/>
      <c r="J38" s="11"/>
      <c r="K38" s="11"/>
      <c r="L38" s="11">
        <v>2</v>
      </c>
      <c r="M38" s="13"/>
    </row>
    <row r="39" spans="1:13" ht="18.5" x14ac:dyDescent="0.45">
      <c r="A39" s="3">
        <v>38</v>
      </c>
      <c r="B39" s="14" t="s">
        <v>61</v>
      </c>
      <c r="C39" s="4" t="s">
        <v>26</v>
      </c>
      <c r="D39" s="11">
        <f>SUM(1332+1457)</f>
        <v>2789</v>
      </c>
      <c r="E39" s="11">
        <f>SUM(102+131)</f>
        <v>233</v>
      </c>
      <c r="F39" s="12">
        <f>D39/E39</f>
        <v>11.969957081545065</v>
      </c>
      <c r="G39" s="11">
        <v>2</v>
      </c>
      <c r="H39" s="11">
        <v>1</v>
      </c>
      <c r="I39" s="11"/>
      <c r="J39" s="11"/>
      <c r="K39" s="11"/>
      <c r="L39" s="11">
        <v>4.5</v>
      </c>
      <c r="M39" s="13"/>
    </row>
    <row r="40" spans="1:13" ht="18.5" x14ac:dyDescent="0.45">
      <c r="A40" s="3">
        <v>39</v>
      </c>
      <c r="B40" s="14" t="s">
        <v>40</v>
      </c>
      <c r="C40" s="4" t="s">
        <v>16</v>
      </c>
      <c r="D40" s="11">
        <f>SUM(1503)</f>
        <v>1503</v>
      </c>
      <c r="E40" s="11">
        <f>SUM(129)</f>
        <v>129</v>
      </c>
      <c r="F40" s="12">
        <f>D40/E40</f>
        <v>11.651162790697674</v>
      </c>
      <c r="G40" s="11">
        <v>1</v>
      </c>
      <c r="H40" s="11">
        <v>1</v>
      </c>
      <c r="I40" s="11"/>
      <c r="J40" s="11"/>
      <c r="K40" s="11"/>
      <c r="L40" s="11">
        <v>4.5</v>
      </c>
      <c r="M40" s="13"/>
    </row>
    <row r="41" spans="1:13" ht="18.5" x14ac:dyDescent="0.45">
      <c r="A41" s="3">
        <v>40</v>
      </c>
      <c r="B41" s="14" t="s">
        <v>36</v>
      </c>
      <c r="C41" s="4" t="s">
        <v>76</v>
      </c>
      <c r="D41" s="11">
        <f>SUM(1372+1316)</f>
        <v>2688</v>
      </c>
      <c r="E41" s="11">
        <f>SUM(123+111)</f>
        <v>234</v>
      </c>
      <c r="F41" s="12">
        <f>D41/E41</f>
        <v>11.487179487179487</v>
      </c>
      <c r="G41" s="11">
        <v>2</v>
      </c>
      <c r="H41" s="11"/>
      <c r="I41" s="11"/>
      <c r="J41" s="11"/>
      <c r="K41" s="11"/>
      <c r="L41" s="11">
        <v>2</v>
      </c>
      <c r="M41" s="13"/>
    </row>
    <row r="42" spans="1:13" ht="18.5" x14ac:dyDescent="0.45">
      <c r="A42" s="3">
        <v>41</v>
      </c>
      <c r="B42" s="4" t="s">
        <v>71</v>
      </c>
      <c r="C42" s="7" t="s">
        <v>76</v>
      </c>
      <c r="D42" s="11">
        <f>SUM(1501+1174)</f>
        <v>2675</v>
      </c>
      <c r="E42" s="11">
        <f>SUM(156+81)</f>
        <v>237</v>
      </c>
      <c r="F42" s="12">
        <f>D42/E42</f>
        <v>11.286919831223628</v>
      </c>
      <c r="G42" s="11">
        <v>2</v>
      </c>
      <c r="H42" s="11">
        <v>1</v>
      </c>
      <c r="I42" s="11"/>
      <c r="J42" s="11"/>
      <c r="K42" s="11"/>
      <c r="L42" s="11">
        <v>4.5</v>
      </c>
      <c r="M42" s="13"/>
    </row>
    <row r="43" spans="1:13" ht="18.5" x14ac:dyDescent="0.45">
      <c r="A43" s="3">
        <v>42</v>
      </c>
      <c r="B43" s="14" t="s">
        <v>95</v>
      </c>
      <c r="C43" s="4" t="s">
        <v>94</v>
      </c>
      <c r="D43" s="11">
        <f>SUM(1455)</f>
        <v>1455</v>
      </c>
      <c r="E43" s="11">
        <f>SUM(129)</f>
        <v>129</v>
      </c>
      <c r="F43" s="12">
        <f>D43/E43</f>
        <v>11.279069767441861</v>
      </c>
      <c r="G43" s="11">
        <v>1</v>
      </c>
      <c r="H43" s="11"/>
      <c r="I43" s="11"/>
      <c r="J43" s="11"/>
      <c r="K43" s="11"/>
      <c r="L43" s="11">
        <v>2.5</v>
      </c>
      <c r="M43" s="13"/>
    </row>
    <row r="44" spans="1:13" ht="18.5" x14ac:dyDescent="0.45">
      <c r="A44" s="3">
        <v>43</v>
      </c>
      <c r="B44" s="14" t="s">
        <v>37</v>
      </c>
      <c r="C44" s="4" t="s">
        <v>76</v>
      </c>
      <c r="D44" s="11">
        <f>SUM(1487+1270)</f>
        <v>2757</v>
      </c>
      <c r="E44" s="11">
        <f>SUM(142+105)</f>
        <v>247</v>
      </c>
      <c r="F44" s="12">
        <f>D44/E44</f>
        <v>11.161943319838057</v>
      </c>
      <c r="G44" s="11">
        <v>2</v>
      </c>
      <c r="H44" s="11"/>
      <c r="I44" s="11"/>
      <c r="J44" s="11"/>
      <c r="K44" s="11"/>
      <c r="L44" s="11">
        <v>1.5</v>
      </c>
      <c r="M44" s="13"/>
    </row>
    <row r="45" spans="1:13" ht="18.5" x14ac:dyDescent="0.45">
      <c r="A45" s="3">
        <v>44</v>
      </c>
      <c r="B45" s="4" t="s">
        <v>18</v>
      </c>
      <c r="C45" s="4" t="s">
        <v>15</v>
      </c>
      <c r="D45" s="11">
        <f>SUM(1267)</f>
        <v>1267</v>
      </c>
      <c r="E45" s="11">
        <f>SUM(121)</f>
        <v>121</v>
      </c>
      <c r="F45" s="12">
        <f>D45/E45</f>
        <v>10.471074380165289</v>
      </c>
      <c r="G45" s="11">
        <v>1</v>
      </c>
      <c r="H45" s="11"/>
      <c r="I45" s="11"/>
      <c r="J45" s="11"/>
      <c r="K45" s="11"/>
      <c r="L45" s="11">
        <v>3.5</v>
      </c>
      <c r="M45" s="13"/>
    </row>
    <row r="46" spans="1:13" ht="18.5" x14ac:dyDescent="0.45">
      <c r="A46" s="3">
        <v>45</v>
      </c>
      <c r="B46" s="4" t="s">
        <v>67</v>
      </c>
      <c r="C46" s="4" t="s">
        <v>16</v>
      </c>
      <c r="D46" s="11">
        <f>SUM(1501)</f>
        <v>1501</v>
      </c>
      <c r="E46" s="11">
        <f>SUM(148)</f>
        <v>148</v>
      </c>
      <c r="F46" s="12">
        <f>D46/E46</f>
        <v>10.141891891891891</v>
      </c>
      <c r="G46" s="11">
        <v>1</v>
      </c>
      <c r="H46" s="11">
        <v>1</v>
      </c>
      <c r="I46" s="11"/>
      <c r="J46" s="11"/>
      <c r="K46" s="11"/>
      <c r="L46" s="11">
        <v>4.5</v>
      </c>
      <c r="M46" s="13"/>
    </row>
    <row r="47" spans="1:13" ht="18.5" x14ac:dyDescent="0.45">
      <c r="A47" s="3">
        <v>46</v>
      </c>
      <c r="B47" s="14" t="s">
        <v>65</v>
      </c>
      <c r="C47" s="4" t="s">
        <v>16</v>
      </c>
      <c r="D47" s="11">
        <f>SUM(1337)</f>
        <v>1337</v>
      </c>
      <c r="E47" s="11">
        <f>SUM(150)</f>
        <v>150</v>
      </c>
      <c r="F47" s="12">
        <f>D47/E47</f>
        <v>8.913333333333334</v>
      </c>
      <c r="G47" s="11">
        <v>1</v>
      </c>
      <c r="H47" s="11"/>
      <c r="I47" s="11"/>
      <c r="J47" s="11"/>
      <c r="K47" s="11"/>
      <c r="L47" s="11">
        <v>3.5</v>
      </c>
      <c r="M47" s="13"/>
    </row>
    <row r="48" spans="1:13" ht="18.5" x14ac:dyDescent="0.45">
      <c r="A48" s="3">
        <v>47</v>
      </c>
      <c r="B48" s="14" t="s">
        <v>93</v>
      </c>
      <c r="C48" s="4" t="s">
        <v>62</v>
      </c>
      <c r="D48" s="11"/>
      <c r="E48" s="11"/>
      <c r="F48" s="12"/>
      <c r="G48" s="11"/>
      <c r="H48" s="11"/>
      <c r="I48" s="11"/>
      <c r="J48" s="11"/>
      <c r="K48" s="11"/>
      <c r="L48" s="11">
        <v>0.5</v>
      </c>
      <c r="M48" s="13"/>
    </row>
    <row r="49" spans="1:18" ht="17.25" customHeight="1" thickBot="1" x14ac:dyDescent="0.5">
      <c r="A49" s="5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</row>
    <row r="50" spans="1:18" ht="19.5" customHeight="1" thickBot="1" x14ac:dyDescent="0.5">
      <c r="A50" s="5"/>
      <c r="B50" s="33" t="s">
        <v>92</v>
      </c>
      <c r="C50" s="58" t="s">
        <v>42</v>
      </c>
      <c r="D50" s="57" t="s">
        <v>43</v>
      </c>
      <c r="E50" s="57" t="s">
        <v>87</v>
      </c>
      <c r="F50" s="56" t="s">
        <v>44</v>
      </c>
      <c r="G50" s="55" t="s">
        <v>86</v>
      </c>
      <c r="I50" s="38" t="s">
        <v>45</v>
      </c>
      <c r="J50" s="39"/>
      <c r="K50" s="39"/>
      <c r="L50" s="39"/>
      <c r="M50" s="39"/>
      <c r="N50" s="39"/>
      <c r="O50" s="39"/>
      <c r="P50" s="39"/>
      <c r="Q50" s="39"/>
      <c r="R50" s="40"/>
    </row>
    <row r="51" spans="1:18" ht="18.5" x14ac:dyDescent="0.45">
      <c r="A51" s="5"/>
      <c r="B51" s="50"/>
      <c r="C51" s="54" t="s">
        <v>52</v>
      </c>
      <c r="D51" s="53">
        <v>2</v>
      </c>
      <c r="E51" s="52">
        <v>0</v>
      </c>
      <c r="F51" s="52">
        <v>35</v>
      </c>
      <c r="G51" s="51">
        <v>5</v>
      </c>
      <c r="I51" s="43" t="s">
        <v>46</v>
      </c>
      <c r="J51" s="44"/>
      <c r="K51" s="44"/>
      <c r="L51" s="44"/>
      <c r="M51" s="44"/>
      <c r="N51" s="41" t="s">
        <v>84</v>
      </c>
      <c r="O51" s="41"/>
      <c r="P51" s="41"/>
      <c r="Q51" s="41"/>
      <c r="R51" s="42"/>
    </row>
    <row r="52" spans="1:18" ht="18.5" x14ac:dyDescent="0.45">
      <c r="A52" s="5"/>
      <c r="B52" s="50"/>
      <c r="C52" s="17" t="s">
        <v>56</v>
      </c>
      <c r="D52" s="22">
        <v>2</v>
      </c>
      <c r="E52" s="11">
        <v>0</v>
      </c>
      <c r="F52" s="11">
        <v>31</v>
      </c>
      <c r="G52" s="28">
        <v>3</v>
      </c>
      <c r="I52" s="45" t="s">
        <v>48</v>
      </c>
      <c r="J52" s="46"/>
      <c r="K52" s="46"/>
      <c r="L52" s="46"/>
      <c r="M52" s="46"/>
      <c r="N52" s="36" t="s">
        <v>91</v>
      </c>
      <c r="O52" s="36"/>
      <c r="P52" s="36"/>
      <c r="Q52" s="36"/>
      <c r="R52" s="37"/>
    </row>
    <row r="53" spans="1:18" ht="18.5" x14ac:dyDescent="0.45">
      <c r="A53" s="5"/>
      <c r="B53" s="50"/>
      <c r="C53" s="17" t="s">
        <v>47</v>
      </c>
      <c r="D53" s="22">
        <v>2</v>
      </c>
      <c r="E53" s="22">
        <v>0</v>
      </c>
      <c r="F53" s="22">
        <v>30</v>
      </c>
      <c r="G53" s="28">
        <v>7</v>
      </c>
      <c r="I53" s="45" t="s">
        <v>50</v>
      </c>
      <c r="J53" s="46"/>
      <c r="K53" s="46"/>
      <c r="L53" s="46"/>
      <c r="M53" s="46"/>
      <c r="N53" s="36" t="s">
        <v>90</v>
      </c>
      <c r="O53" s="36"/>
      <c r="P53" s="36"/>
      <c r="Q53" s="36"/>
      <c r="R53" s="37"/>
    </row>
    <row r="54" spans="1:18" ht="18.5" x14ac:dyDescent="0.45">
      <c r="A54" s="6"/>
      <c r="B54" s="50"/>
      <c r="C54" s="17" t="s">
        <v>57</v>
      </c>
      <c r="D54" s="22">
        <v>1</v>
      </c>
      <c r="E54" s="11">
        <v>1</v>
      </c>
      <c r="F54" s="11">
        <v>31</v>
      </c>
      <c r="G54" s="28">
        <v>9</v>
      </c>
      <c r="I54" s="45" t="s">
        <v>51</v>
      </c>
      <c r="J54" s="46"/>
      <c r="K54" s="46"/>
      <c r="L54" s="46"/>
      <c r="M54" s="46"/>
      <c r="N54" s="36" t="s">
        <v>89</v>
      </c>
      <c r="O54" s="36"/>
      <c r="P54" s="36"/>
      <c r="Q54" s="36"/>
      <c r="R54" s="37"/>
    </row>
    <row r="55" spans="1:18" ht="18" customHeight="1" x14ac:dyDescent="0.45">
      <c r="A55" s="6"/>
      <c r="B55" s="50"/>
      <c r="C55" s="17" t="s">
        <v>49</v>
      </c>
      <c r="D55" s="22">
        <v>1</v>
      </c>
      <c r="E55" s="11">
        <v>1</v>
      </c>
      <c r="F55" s="11">
        <v>25</v>
      </c>
      <c r="G55" s="28">
        <v>6</v>
      </c>
      <c r="I55" s="45" t="s">
        <v>53</v>
      </c>
      <c r="J55" s="46"/>
      <c r="K55" s="46"/>
      <c r="L55" s="46"/>
      <c r="M55" s="46"/>
      <c r="N55" s="36" t="s">
        <v>82</v>
      </c>
      <c r="O55" s="36"/>
      <c r="P55" s="36"/>
      <c r="Q55" s="36"/>
      <c r="R55" s="37"/>
    </row>
    <row r="56" spans="1:18" ht="18" customHeight="1" thickBot="1" x14ac:dyDescent="0.5">
      <c r="A56" s="6"/>
      <c r="B56" s="50"/>
      <c r="C56" s="17" t="s">
        <v>55</v>
      </c>
      <c r="D56" s="22">
        <v>1</v>
      </c>
      <c r="E56" s="22">
        <v>0</v>
      </c>
      <c r="F56" s="22">
        <v>17</v>
      </c>
      <c r="G56" s="28">
        <v>2</v>
      </c>
      <c r="I56" s="31" t="s">
        <v>54</v>
      </c>
      <c r="J56" s="32"/>
      <c r="K56" s="32"/>
      <c r="L56" s="32"/>
      <c r="M56" s="32"/>
      <c r="N56" s="36" t="s">
        <v>89</v>
      </c>
      <c r="O56" s="36"/>
      <c r="P56" s="36"/>
      <c r="Q56" s="36"/>
      <c r="R56" s="37"/>
    </row>
    <row r="57" spans="1:18" ht="18.5" x14ac:dyDescent="0.45">
      <c r="A57" s="6"/>
      <c r="B57" s="50"/>
      <c r="C57" s="17" t="s">
        <v>88</v>
      </c>
      <c r="D57" s="23">
        <v>1</v>
      </c>
      <c r="E57" s="23">
        <v>0</v>
      </c>
      <c r="F57" s="23">
        <v>13</v>
      </c>
      <c r="G57" s="28">
        <v>1</v>
      </c>
      <c r="H57" s="6"/>
      <c r="I57" s="6"/>
    </row>
    <row r="58" spans="1:18" ht="18.5" x14ac:dyDescent="0.45">
      <c r="A58" s="6"/>
      <c r="B58" s="50"/>
      <c r="C58" s="18" t="s">
        <v>58</v>
      </c>
      <c r="D58" s="23">
        <v>0</v>
      </c>
      <c r="E58" s="23">
        <v>2</v>
      </c>
      <c r="F58" s="23">
        <v>19</v>
      </c>
      <c r="G58" s="28">
        <v>11</v>
      </c>
      <c r="H58" s="6"/>
    </row>
    <row r="59" spans="1:18" ht="18.5" x14ac:dyDescent="0.45">
      <c r="B59" s="50"/>
      <c r="C59" s="17" t="s">
        <v>66</v>
      </c>
      <c r="D59" s="22">
        <v>0</v>
      </c>
      <c r="E59" s="11">
        <v>2</v>
      </c>
      <c r="F59" s="11">
        <v>16</v>
      </c>
      <c r="G59" s="28">
        <v>8</v>
      </c>
    </row>
    <row r="60" spans="1:18" ht="18.5" x14ac:dyDescent="0.45">
      <c r="B60" s="50"/>
      <c r="C60" s="17" t="s">
        <v>63</v>
      </c>
      <c r="D60" s="23">
        <v>0</v>
      </c>
      <c r="E60" s="23">
        <v>2</v>
      </c>
      <c r="F60" s="23">
        <v>14</v>
      </c>
      <c r="G60" s="28">
        <v>10</v>
      </c>
    </row>
    <row r="61" spans="1:18" ht="19" thickBot="1" x14ac:dyDescent="0.5">
      <c r="B61" s="49"/>
      <c r="C61" s="48" t="s">
        <v>77</v>
      </c>
      <c r="D61" s="47">
        <v>0</v>
      </c>
      <c r="E61" s="47">
        <v>2</v>
      </c>
      <c r="F61" s="47">
        <v>9</v>
      </c>
      <c r="G61" s="29">
        <v>4</v>
      </c>
    </row>
  </sheetData>
  <mergeCells count="14">
    <mergeCell ref="I52:M52"/>
    <mergeCell ref="I53:M53"/>
    <mergeCell ref="I54:M54"/>
    <mergeCell ref="I55:M55"/>
    <mergeCell ref="I56:M56"/>
    <mergeCell ref="B50:B61"/>
    <mergeCell ref="N56:R56"/>
    <mergeCell ref="I50:R50"/>
    <mergeCell ref="N51:R51"/>
    <mergeCell ref="N52:R52"/>
    <mergeCell ref="N53:R53"/>
    <mergeCell ref="N54:R54"/>
    <mergeCell ref="N55:R55"/>
    <mergeCell ref="I51:M5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CE1E27-92CC-454F-977E-8CA2C27C0CF5}">
  <dimension ref="A1:R61"/>
  <sheetViews>
    <sheetView workbookViewId="0">
      <pane ySplit="1" topLeftCell="A36" activePane="bottomLeft" state="frozen"/>
      <selection pane="bottomLeft" activeCell="C41" sqref="C41"/>
    </sheetView>
  </sheetViews>
  <sheetFormatPr defaultRowHeight="14.5" x14ac:dyDescent="0.35"/>
  <cols>
    <col min="1" max="1" width="5.453125" bestFit="1" customWidth="1"/>
    <col min="2" max="2" width="23.81640625" bestFit="1" customWidth="1"/>
    <col min="3" max="3" width="31.1796875" bestFit="1" customWidth="1"/>
    <col min="4" max="5" width="10.7265625" bestFit="1" customWidth="1"/>
    <col min="6" max="6" width="7.7265625" bestFit="1" customWidth="1"/>
    <col min="7" max="7" width="12.1796875" bestFit="1" customWidth="1"/>
    <col min="8" max="11" width="5.7265625" customWidth="1"/>
    <col min="12" max="12" width="7.7265625" bestFit="1" customWidth="1"/>
    <col min="13" max="13" width="10.81640625" bestFit="1" customWidth="1"/>
    <col min="18" max="18" width="18.81640625" customWidth="1"/>
  </cols>
  <sheetData>
    <row r="1" spans="1:13" ht="73.5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1" t="s">
        <v>7</v>
      </c>
      <c r="I1" s="1">
        <v>180</v>
      </c>
      <c r="J1" s="1">
        <v>171</v>
      </c>
      <c r="K1" s="1" t="s">
        <v>8</v>
      </c>
      <c r="L1" s="2" t="s">
        <v>9</v>
      </c>
      <c r="M1" s="2" t="s">
        <v>10</v>
      </c>
    </row>
    <row r="2" spans="1:13" ht="18.5" x14ac:dyDescent="0.45">
      <c r="A2" s="3">
        <v>1</v>
      </c>
      <c r="B2" s="4" t="s">
        <v>83</v>
      </c>
      <c r="C2" s="4" t="s">
        <v>15</v>
      </c>
      <c r="D2" s="11">
        <f>SUM(1503+1419+1503)</f>
        <v>4425</v>
      </c>
      <c r="E2" s="11">
        <f>SUM(68+80+79)</f>
        <v>227</v>
      </c>
      <c r="F2" s="12">
        <f>D2/E2</f>
        <v>19.493392070484582</v>
      </c>
      <c r="G2" s="11">
        <v>3</v>
      </c>
      <c r="H2" s="11">
        <v>3</v>
      </c>
      <c r="I2" s="11"/>
      <c r="J2" s="11"/>
      <c r="K2" s="11"/>
      <c r="L2" s="11">
        <v>15.5</v>
      </c>
      <c r="M2" s="13">
        <v>5</v>
      </c>
    </row>
    <row r="3" spans="1:13" ht="18.5" x14ac:dyDescent="0.45">
      <c r="A3" s="3">
        <v>2</v>
      </c>
      <c r="B3" s="14" t="s">
        <v>100</v>
      </c>
      <c r="C3" s="4" t="s">
        <v>94</v>
      </c>
      <c r="D3" s="11">
        <f>SUM(1343+1469)</f>
        <v>2812</v>
      </c>
      <c r="E3" s="11">
        <f>SUM(84+72)</f>
        <v>156</v>
      </c>
      <c r="F3" s="12">
        <f>D3/E3</f>
        <v>18.025641025641026</v>
      </c>
      <c r="G3" s="11">
        <v>2</v>
      </c>
      <c r="H3" s="11">
        <v>1</v>
      </c>
      <c r="I3" s="11"/>
      <c r="J3" s="11"/>
      <c r="K3" s="11"/>
      <c r="L3" s="11">
        <v>7</v>
      </c>
      <c r="M3" s="13">
        <v>5</v>
      </c>
    </row>
    <row r="4" spans="1:13" ht="18.5" x14ac:dyDescent="0.45">
      <c r="A4" s="3">
        <v>3</v>
      </c>
      <c r="B4" s="4" t="s">
        <v>25</v>
      </c>
      <c r="C4" s="4" t="s">
        <v>16</v>
      </c>
      <c r="D4" s="11">
        <f>SUM(1503+1493)</f>
        <v>2996</v>
      </c>
      <c r="E4" s="11">
        <f>SUM(80+92)</f>
        <v>172</v>
      </c>
      <c r="F4" s="12">
        <f>D4/E4</f>
        <v>17.418604651162791</v>
      </c>
      <c r="G4" s="11">
        <v>2</v>
      </c>
      <c r="H4" s="11">
        <v>2</v>
      </c>
      <c r="I4" s="11"/>
      <c r="J4" s="11"/>
      <c r="K4" s="11"/>
      <c r="L4" s="11">
        <v>8</v>
      </c>
      <c r="M4" s="13">
        <v>5</v>
      </c>
    </row>
    <row r="5" spans="1:13" ht="18.5" x14ac:dyDescent="0.45">
      <c r="A5" s="3">
        <v>4</v>
      </c>
      <c r="B5" s="4" t="s">
        <v>17</v>
      </c>
      <c r="C5" s="7" t="s">
        <v>13</v>
      </c>
      <c r="D5" s="11">
        <f>SUM(1503+1474)</f>
        <v>2977</v>
      </c>
      <c r="E5" s="11">
        <f>SUM(90+83)</f>
        <v>173</v>
      </c>
      <c r="F5" s="12">
        <f>D5/E5</f>
        <v>17.208092485549134</v>
      </c>
      <c r="G5" s="11">
        <v>2</v>
      </c>
      <c r="H5" s="11">
        <v>1</v>
      </c>
      <c r="I5" s="11"/>
      <c r="J5" s="11"/>
      <c r="K5" s="11"/>
      <c r="L5" s="11">
        <v>8</v>
      </c>
      <c r="M5" s="13"/>
    </row>
    <row r="6" spans="1:13" ht="18.5" x14ac:dyDescent="0.45">
      <c r="A6" s="3">
        <v>5</v>
      </c>
      <c r="B6" s="4" t="s">
        <v>38</v>
      </c>
      <c r="C6" s="4" t="s">
        <v>31</v>
      </c>
      <c r="D6" s="11">
        <f>SUM(1470+1447+1339)</f>
        <v>4256</v>
      </c>
      <c r="E6" s="11">
        <f>SUM(86+78+93)</f>
        <v>257</v>
      </c>
      <c r="F6" s="12">
        <f>D6/E6</f>
        <v>16.560311284046694</v>
      </c>
      <c r="G6" s="11">
        <v>3</v>
      </c>
      <c r="H6" s="11">
        <v>1</v>
      </c>
      <c r="I6" s="11"/>
      <c r="J6" s="11"/>
      <c r="K6" s="11"/>
      <c r="L6" s="11">
        <v>9</v>
      </c>
      <c r="M6" s="13">
        <v>5</v>
      </c>
    </row>
    <row r="7" spans="1:13" ht="18.5" x14ac:dyDescent="0.45">
      <c r="A7" s="3">
        <v>6</v>
      </c>
      <c r="B7" s="4" t="s">
        <v>27</v>
      </c>
      <c r="C7" s="4" t="s">
        <v>12</v>
      </c>
      <c r="D7" s="11">
        <f>SUM(1503+1443+1324)</f>
        <v>4270</v>
      </c>
      <c r="E7" s="11">
        <f>SUM(84+101+74)</f>
        <v>259</v>
      </c>
      <c r="F7" s="12">
        <f>D7/E7</f>
        <v>16.486486486486488</v>
      </c>
      <c r="G7" s="11">
        <v>3</v>
      </c>
      <c r="H7" s="11">
        <v>2</v>
      </c>
      <c r="I7" s="11"/>
      <c r="J7" s="11"/>
      <c r="K7" s="11"/>
      <c r="L7" s="11">
        <v>11.5</v>
      </c>
      <c r="M7" s="13"/>
    </row>
    <row r="8" spans="1:13" ht="18.5" x14ac:dyDescent="0.45">
      <c r="A8" s="3">
        <v>7</v>
      </c>
      <c r="B8" s="3" t="s">
        <v>32</v>
      </c>
      <c r="C8" s="4" t="s">
        <v>20</v>
      </c>
      <c r="D8" s="11">
        <f>SUM(1359+1503+1446)</f>
        <v>4308</v>
      </c>
      <c r="E8" s="11">
        <f>SUM(84+96+89)</f>
        <v>269</v>
      </c>
      <c r="F8" s="12">
        <f>D8/E8</f>
        <v>16.014869888475836</v>
      </c>
      <c r="G8" s="11">
        <v>3</v>
      </c>
      <c r="H8" s="11">
        <v>2</v>
      </c>
      <c r="I8" s="11"/>
      <c r="J8" s="11"/>
      <c r="K8" s="11"/>
      <c r="L8" s="11">
        <v>13</v>
      </c>
      <c r="M8" s="13"/>
    </row>
    <row r="9" spans="1:13" ht="18.5" x14ac:dyDescent="0.45">
      <c r="A9" s="3">
        <v>8</v>
      </c>
      <c r="B9" s="4" t="s">
        <v>11</v>
      </c>
      <c r="C9" s="4" t="s">
        <v>12</v>
      </c>
      <c r="D9" s="11">
        <f>SUM(1503+1441+1493)</f>
        <v>4437</v>
      </c>
      <c r="E9" s="11">
        <f>SUM(102+84+94)</f>
        <v>280</v>
      </c>
      <c r="F9" s="12">
        <f>D9/E9</f>
        <v>15.846428571428572</v>
      </c>
      <c r="G9" s="11">
        <v>3</v>
      </c>
      <c r="H9" s="11">
        <v>3</v>
      </c>
      <c r="I9" s="11"/>
      <c r="J9" s="11"/>
      <c r="K9" s="11"/>
      <c r="L9" s="11">
        <v>12</v>
      </c>
      <c r="M9" s="13"/>
    </row>
    <row r="10" spans="1:13" ht="18.5" x14ac:dyDescent="0.45">
      <c r="A10" s="3">
        <v>9</v>
      </c>
      <c r="B10" s="4" t="s">
        <v>28</v>
      </c>
      <c r="C10" s="4" t="s">
        <v>62</v>
      </c>
      <c r="D10" s="11">
        <f>SUM(1327+1229+1367)</f>
        <v>3923</v>
      </c>
      <c r="E10" s="11">
        <f>SUM(84+79+89)</f>
        <v>252</v>
      </c>
      <c r="F10" s="12">
        <f>D10/E10</f>
        <v>15.567460317460318</v>
      </c>
      <c r="G10" s="11">
        <v>3</v>
      </c>
      <c r="H10" s="11">
        <v>2</v>
      </c>
      <c r="I10" s="11"/>
      <c r="J10" s="11"/>
      <c r="K10" s="11">
        <v>1</v>
      </c>
      <c r="L10" s="11">
        <v>8</v>
      </c>
      <c r="M10" s="13">
        <v>5</v>
      </c>
    </row>
    <row r="11" spans="1:13" ht="18.5" x14ac:dyDescent="0.45">
      <c r="A11" s="3">
        <v>10</v>
      </c>
      <c r="B11" s="14" t="s">
        <v>72</v>
      </c>
      <c r="C11" s="4" t="s">
        <v>31</v>
      </c>
      <c r="D11" s="11">
        <f>SUM(1503+1475+1503)</f>
        <v>4481</v>
      </c>
      <c r="E11" s="11">
        <f>SUM(102+96+91)</f>
        <v>289</v>
      </c>
      <c r="F11" s="12">
        <f>D11/E11</f>
        <v>15.505190311418685</v>
      </c>
      <c r="G11" s="11">
        <v>3</v>
      </c>
      <c r="H11" s="11">
        <v>2</v>
      </c>
      <c r="I11" s="11"/>
      <c r="J11" s="11"/>
      <c r="K11" s="11"/>
      <c r="L11" s="11">
        <v>11.5</v>
      </c>
      <c r="M11" s="13"/>
    </row>
    <row r="12" spans="1:13" ht="18.5" x14ac:dyDescent="0.45">
      <c r="A12" s="3">
        <v>11</v>
      </c>
      <c r="B12" s="4" t="s">
        <v>21</v>
      </c>
      <c r="C12" s="4" t="s">
        <v>13</v>
      </c>
      <c r="D12" s="11">
        <f>SUM(1503+1470)</f>
        <v>2973</v>
      </c>
      <c r="E12" s="11">
        <f>SUM(105+88)</f>
        <v>193</v>
      </c>
      <c r="F12" s="12">
        <f>D12/E12</f>
        <v>15.404145077720207</v>
      </c>
      <c r="G12" s="11">
        <v>2</v>
      </c>
      <c r="H12" s="11">
        <v>2</v>
      </c>
      <c r="I12" s="11"/>
      <c r="J12" s="11"/>
      <c r="K12" s="11"/>
      <c r="L12" s="11">
        <v>7.5</v>
      </c>
      <c r="M12" s="13"/>
    </row>
    <row r="13" spans="1:13" ht="18.5" x14ac:dyDescent="0.45">
      <c r="A13" s="3">
        <v>12</v>
      </c>
      <c r="B13" s="14" t="s">
        <v>99</v>
      </c>
      <c r="C13" s="4" t="s">
        <v>94</v>
      </c>
      <c r="D13" s="11">
        <f>SUM(1496+1397)</f>
        <v>2893</v>
      </c>
      <c r="E13" s="11">
        <f>SUM(100+91)</f>
        <v>191</v>
      </c>
      <c r="F13" s="12">
        <f>D13/E13</f>
        <v>15.146596858638743</v>
      </c>
      <c r="G13" s="11">
        <v>2</v>
      </c>
      <c r="H13" s="11">
        <v>1</v>
      </c>
      <c r="I13" s="11"/>
      <c r="J13" s="11"/>
      <c r="K13" s="11"/>
      <c r="L13" s="11">
        <v>5.5</v>
      </c>
      <c r="M13" s="13"/>
    </row>
    <row r="14" spans="1:13" ht="18.5" x14ac:dyDescent="0.45">
      <c r="A14" s="3">
        <v>13</v>
      </c>
      <c r="B14" s="3" t="s">
        <v>19</v>
      </c>
      <c r="C14" s="7" t="s">
        <v>20</v>
      </c>
      <c r="D14" s="11">
        <f>SUM(1391+1503+1498)</f>
        <v>4392</v>
      </c>
      <c r="E14" s="11">
        <f>SUM(108+83+99)</f>
        <v>290</v>
      </c>
      <c r="F14" s="12">
        <f>D14/E14</f>
        <v>15.144827586206896</v>
      </c>
      <c r="G14" s="11">
        <v>3</v>
      </c>
      <c r="H14" s="11">
        <v>2</v>
      </c>
      <c r="I14" s="11"/>
      <c r="J14" s="11"/>
      <c r="K14" s="11"/>
      <c r="L14" s="11">
        <v>11.5</v>
      </c>
      <c r="M14" s="13">
        <v>10</v>
      </c>
    </row>
    <row r="15" spans="1:13" ht="18.5" x14ac:dyDescent="0.45">
      <c r="A15" s="3">
        <v>14</v>
      </c>
      <c r="B15" s="4" t="s">
        <v>23</v>
      </c>
      <c r="C15" s="4" t="s">
        <v>13</v>
      </c>
      <c r="D15" s="11">
        <f>SUM(1503+1499)</f>
        <v>3002</v>
      </c>
      <c r="E15" s="11">
        <f>SUM(100+99)</f>
        <v>199</v>
      </c>
      <c r="F15" s="12">
        <f>D15/E15</f>
        <v>15.085427135678392</v>
      </c>
      <c r="G15" s="11">
        <v>2</v>
      </c>
      <c r="H15" s="11">
        <v>2</v>
      </c>
      <c r="I15" s="11"/>
      <c r="J15" s="11"/>
      <c r="K15" s="11"/>
      <c r="L15" s="11">
        <v>9</v>
      </c>
      <c r="M15" s="13"/>
    </row>
    <row r="16" spans="1:13" ht="18.5" x14ac:dyDescent="0.45">
      <c r="A16" s="3">
        <v>15</v>
      </c>
      <c r="B16" s="7" t="s">
        <v>79</v>
      </c>
      <c r="C16" s="4" t="s">
        <v>76</v>
      </c>
      <c r="D16" s="11">
        <f>SUM(1084+1251+1495)</f>
        <v>3830</v>
      </c>
      <c r="E16" s="11">
        <f>SUM(72+90+94)</f>
        <v>256</v>
      </c>
      <c r="F16" s="12">
        <f>D16/E16</f>
        <v>14.9609375</v>
      </c>
      <c r="G16" s="11">
        <v>3</v>
      </c>
      <c r="H16" s="11"/>
      <c r="I16" s="11"/>
      <c r="J16" s="11"/>
      <c r="K16" s="11"/>
      <c r="L16" s="11">
        <v>3.5</v>
      </c>
      <c r="M16" s="13"/>
    </row>
    <row r="17" spans="1:13" ht="18.5" x14ac:dyDescent="0.45">
      <c r="A17" s="3">
        <v>16</v>
      </c>
      <c r="B17" s="9" t="s">
        <v>69</v>
      </c>
      <c r="C17" s="4" t="s">
        <v>73</v>
      </c>
      <c r="D17" s="11">
        <f>SUM(1475+1487+1479)</f>
        <v>4441</v>
      </c>
      <c r="E17" s="11">
        <f>SUM(103+99+95)</f>
        <v>297</v>
      </c>
      <c r="F17" s="12">
        <f>D17/E17</f>
        <v>14.952861952861953</v>
      </c>
      <c r="G17" s="11">
        <v>3</v>
      </c>
      <c r="H17" s="11">
        <v>1</v>
      </c>
      <c r="I17" s="11"/>
      <c r="J17" s="11"/>
      <c r="K17" s="11"/>
      <c r="L17" s="11">
        <v>8.5</v>
      </c>
      <c r="M17" s="13"/>
    </row>
    <row r="18" spans="1:13" ht="18.5" x14ac:dyDescent="0.45">
      <c r="A18" s="3">
        <v>17</v>
      </c>
      <c r="B18" s="7" t="s">
        <v>68</v>
      </c>
      <c r="C18" s="4" t="s">
        <v>73</v>
      </c>
      <c r="D18" s="11">
        <f>SUM(941+1293+1503)</f>
        <v>3737</v>
      </c>
      <c r="E18" s="11">
        <f>SUM(66+89+95)</f>
        <v>250</v>
      </c>
      <c r="F18" s="12">
        <f>D18/E18</f>
        <v>14.948</v>
      </c>
      <c r="G18" s="11">
        <v>3</v>
      </c>
      <c r="H18" s="11">
        <v>1</v>
      </c>
      <c r="I18" s="11"/>
      <c r="J18" s="11"/>
      <c r="K18" s="11"/>
      <c r="L18" s="11">
        <v>8.5</v>
      </c>
      <c r="M18" s="13"/>
    </row>
    <row r="19" spans="1:13" ht="18.5" x14ac:dyDescent="0.45">
      <c r="A19" s="3">
        <v>18</v>
      </c>
      <c r="B19" s="7" t="s">
        <v>24</v>
      </c>
      <c r="C19" s="4" t="s">
        <v>12</v>
      </c>
      <c r="D19" s="11">
        <f>SUM(1503+1503+1503)</f>
        <v>4509</v>
      </c>
      <c r="E19" s="11">
        <f>SUM(108+98+101)</f>
        <v>307</v>
      </c>
      <c r="F19" s="12">
        <f>D19/E19</f>
        <v>14.687296416938111</v>
      </c>
      <c r="G19" s="11">
        <v>3</v>
      </c>
      <c r="H19" s="11">
        <v>3</v>
      </c>
      <c r="I19" s="11"/>
      <c r="J19" s="11"/>
      <c r="K19" s="11"/>
      <c r="L19" s="11">
        <v>16.5</v>
      </c>
      <c r="M19" s="13"/>
    </row>
    <row r="20" spans="1:13" ht="18.5" x14ac:dyDescent="0.45">
      <c r="A20" s="3">
        <v>19</v>
      </c>
      <c r="B20" s="7" t="s">
        <v>78</v>
      </c>
      <c r="C20" s="4" t="s">
        <v>31</v>
      </c>
      <c r="D20" s="11">
        <f>SUM(1501+1503+1503)</f>
        <v>4507</v>
      </c>
      <c r="E20" s="11">
        <f>SUM(113+97+98)</f>
        <v>308</v>
      </c>
      <c r="F20" s="12">
        <f>D20/E20</f>
        <v>14.633116883116884</v>
      </c>
      <c r="G20" s="11">
        <v>3</v>
      </c>
      <c r="H20" s="11">
        <v>3</v>
      </c>
      <c r="I20" s="11"/>
      <c r="J20" s="11"/>
      <c r="K20" s="11"/>
      <c r="L20" s="11">
        <v>13.5</v>
      </c>
      <c r="M20" s="13"/>
    </row>
    <row r="21" spans="1:13" ht="18.5" x14ac:dyDescent="0.45">
      <c r="A21" s="3">
        <v>20</v>
      </c>
      <c r="B21" s="9" t="s">
        <v>60</v>
      </c>
      <c r="C21" s="4" t="s">
        <v>26</v>
      </c>
      <c r="D21" s="11">
        <f>SUM(1446+1409+953)</f>
        <v>3808</v>
      </c>
      <c r="E21" s="11">
        <f>SUM(108+84+72)</f>
        <v>264</v>
      </c>
      <c r="F21" s="12">
        <f>D21/E21</f>
        <v>14.424242424242424</v>
      </c>
      <c r="G21" s="11">
        <v>3</v>
      </c>
      <c r="H21" s="11"/>
      <c r="I21" s="11"/>
      <c r="J21" s="11"/>
      <c r="K21" s="11"/>
      <c r="L21" s="11">
        <v>4</v>
      </c>
      <c r="M21" s="13"/>
    </row>
    <row r="22" spans="1:13" ht="18.5" x14ac:dyDescent="0.45">
      <c r="A22" s="3">
        <v>21</v>
      </c>
      <c r="B22" s="60" t="s">
        <v>64</v>
      </c>
      <c r="C22" s="8" t="s">
        <v>13</v>
      </c>
      <c r="D22" s="11">
        <f>SUM(1478+1503)</f>
        <v>2981</v>
      </c>
      <c r="E22" s="11">
        <f>SUM(110+97)</f>
        <v>207</v>
      </c>
      <c r="F22" s="12">
        <f>D22/E22</f>
        <v>14.400966183574878</v>
      </c>
      <c r="G22" s="11">
        <v>2</v>
      </c>
      <c r="H22" s="11">
        <v>1</v>
      </c>
      <c r="I22" s="11"/>
      <c r="J22" s="11"/>
      <c r="K22" s="11"/>
      <c r="L22" s="11">
        <v>6.5</v>
      </c>
      <c r="M22" s="13"/>
    </row>
    <row r="23" spans="1:13" ht="18.5" x14ac:dyDescent="0.45">
      <c r="A23" s="3">
        <v>22</v>
      </c>
      <c r="B23" s="7" t="s">
        <v>35</v>
      </c>
      <c r="C23" s="7" t="s">
        <v>62</v>
      </c>
      <c r="D23" s="11">
        <f>SUM(1480+1242+1379)</f>
        <v>4101</v>
      </c>
      <c r="E23" s="11">
        <f>SUM(111+87+100)</f>
        <v>298</v>
      </c>
      <c r="F23" s="12">
        <f>D23/E23</f>
        <v>13.761744966442953</v>
      </c>
      <c r="G23" s="11">
        <v>3</v>
      </c>
      <c r="H23" s="11">
        <v>1</v>
      </c>
      <c r="I23" s="11"/>
      <c r="J23" s="11"/>
      <c r="K23" s="11"/>
      <c r="L23" s="11">
        <v>4.5</v>
      </c>
      <c r="M23" s="13"/>
    </row>
    <row r="24" spans="1:13" ht="18.5" x14ac:dyDescent="0.45">
      <c r="A24" s="3">
        <v>23</v>
      </c>
      <c r="B24" s="10" t="s">
        <v>30</v>
      </c>
      <c r="C24" s="7" t="s">
        <v>31</v>
      </c>
      <c r="D24" s="11">
        <f>SUM(1369+1280+1318)</f>
        <v>3967</v>
      </c>
      <c r="E24" s="11">
        <f>SUM(92+92+105)</f>
        <v>289</v>
      </c>
      <c r="F24" s="12">
        <f>D24/E24</f>
        <v>13.726643598615917</v>
      </c>
      <c r="G24" s="11">
        <v>3</v>
      </c>
      <c r="H24" s="11">
        <v>1</v>
      </c>
      <c r="I24" s="11"/>
      <c r="J24" s="11"/>
      <c r="K24" s="11"/>
      <c r="L24" s="11">
        <v>8</v>
      </c>
      <c r="M24" s="13"/>
    </row>
    <row r="25" spans="1:13" ht="18.5" x14ac:dyDescent="0.45">
      <c r="A25" s="3">
        <v>24</v>
      </c>
      <c r="B25" s="4" t="s">
        <v>22</v>
      </c>
      <c r="C25" s="4" t="s">
        <v>20</v>
      </c>
      <c r="D25" s="11">
        <f>SUM(1426+1503+1499)</f>
        <v>4428</v>
      </c>
      <c r="E25" s="11">
        <f>SUM(99+116+108)</f>
        <v>323</v>
      </c>
      <c r="F25" s="12">
        <f>D25/E25</f>
        <v>13.708978328173375</v>
      </c>
      <c r="G25" s="11">
        <v>3</v>
      </c>
      <c r="H25" s="11">
        <v>2</v>
      </c>
      <c r="I25" s="11"/>
      <c r="J25" s="11"/>
      <c r="K25" s="11"/>
      <c r="L25" s="11">
        <v>11.5</v>
      </c>
      <c r="M25" s="13"/>
    </row>
    <row r="26" spans="1:13" ht="18.5" x14ac:dyDescent="0.45">
      <c r="A26" s="3">
        <v>25</v>
      </c>
      <c r="B26" s="10" t="s">
        <v>41</v>
      </c>
      <c r="C26" s="4" t="s">
        <v>62</v>
      </c>
      <c r="D26" s="11">
        <f>SUM(1443+1326+1271)</f>
        <v>4040</v>
      </c>
      <c r="E26" s="11">
        <f>SUM(102+95+98)</f>
        <v>295</v>
      </c>
      <c r="F26" s="12">
        <f>D26/E26</f>
        <v>13.694915254237289</v>
      </c>
      <c r="G26" s="11">
        <v>3</v>
      </c>
      <c r="H26" s="11"/>
      <c r="I26" s="11"/>
      <c r="J26" s="11"/>
      <c r="K26" s="11"/>
      <c r="L26" s="11">
        <v>5</v>
      </c>
      <c r="M26" s="13"/>
    </row>
    <row r="27" spans="1:13" ht="18.5" x14ac:dyDescent="0.45">
      <c r="A27" s="3">
        <v>26</v>
      </c>
      <c r="B27" s="15" t="s">
        <v>98</v>
      </c>
      <c r="C27" s="7" t="s">
        <v>94</v>
      </c>
      <c r="D27" s="11">
        <f>SUM(1457+1241)</f>
        <v>2698</v>
      </c>
      <c r="E27" s="11">
        <f>SUM(99+99)</f>
        <v>198</v>
      </c>
      <c r="F27" s="12">
        <f>D27/E27</f>
        <v>13.626262626262626</v>
      </c>
      <c r="G27" s="11">
        <v>2</v>
      </c>
      <c r="H27" s="11"/>
      <c r="I27" s="11"/>
      <c r="J27" s="11"/>
      <c r="K27" s="11"/>
      <c r="L27" s="11">
        <v>4</v>
      </c>
      <c r="M27" s="13"/>
    </row>
    <row r="28" spans="1:13" ht="18.5" x14ac:dyDescent="0.45">
      <c r="A28" s="3">
        <v>27</v>
      </c>
      <c r="B28" s="10" t="s">
        <v>59</v>
      </c>
      <c r="C28" s="7" t="s">
        <v>26</v>
      </c>
      <c r="D28" s="11">
        <f>SUM(1499+1463+1002)</f>
        <v>3964</v>
      </c>
      <c r="E28" s="11">
        <f>SUM(114+98+80)</f>
        <v>292</v>
      </c>
      <c r="F28" s="12">
        <f>D28/E28</f>
        <v>13.575342465753424</v>
      </c>
      <c r="G28" s="11">
        <v>3</v>
      </c>
      <c r="H28" s="11">
        <v>3</v>
      </c>
      <c r="I28" s="11"/>
      <c r="J28" s="11"/>
      <c r="K28" s="11"/>
      <c r="L28" s="11">
        <v>9.5</v>
      </c>
      <c r="M28" s="13">
        <v>5</v>
      </c>
    </row>
    <row r="29" spans="1:13" ht="18.5" x14ac:dyDescent="0.45">
      <c r="A29" s="3">
        <v>28</v>
      </c>
      <c r="B29" s="15" t="s">
        <v>14</v>
      </c>
      <c r="C29" s="7" t="s">
        <v>15</v>
      </c>
      <c r="D29" s="11">
        <f>SUM(1483+1501+1503)</f>
        <v>4487</v>
      </c>
      <c r="E29" s="11">
        <f>SUM(111+96+127)</f>
        <v>334</v>
      </c>
      <c r="F29" s="12">
        <f>D29/E29</f>
        <v>13.434131736526947</v>
      </c>
      <c r="G29" s="11">
        <v>3</v>
      </c>
      <c r="H29" s="11">
        <v>3</v>
      </c>
      <c r="I29" s="11"/>
      <c r="J29" s="11"/>
      <c r="K29" s="11"/>
      <c r="L29" s="11">
        <v>14</v>
      </c>
      <c r="M29" s="13"/>
    </row>
    <row r="30" spans="1:13" ht="18.5" x14ac:dyDescent="0.45">
      <c r="A30" s="3">
        <v>29</v>
      </c>
      <c r="B30" s="15" t="s">
        <v>39</v>
      </c>
      <c r="C30" s="7" t="s">
        <v>15</v>
      </c>
      <c r="D30" s="11">
        <f>SUM(1361+1488+968)</f>
        <v>3817</v>
      </c>
      <c r="E30" s="11">
        <f>SUM(107+98+81)</f>
        <v>286</v>
      </c>
      <c r="F30" s="12">
        <f>D30/E30</f>
        <v>13.346153846153847</v>
      </c>
      <c r="G30" s="11">
        <v>3</v>
      </c>
      <c r="H30" s="11">
        <v>2</v>
      </c>
      <c r="I30" s="11"/>
      <c r="J30" s="11"/>
      <c r="K30" s="11"/>
      <c r="L30" s="11">
        <v>9.5</v>
      </c>
      <c r="M30" s="13"/>
    </row>
    <row r="31" spans="1:13" ht="18.5" x14ac:dyDescent="0.45">
      <c r="A31" s="3">
        <v>30</v>
      </c>
      <c r="B31" s="10" t="s">
        <v>33</v>
      </c>
      <c r="C31" s="7" t="s">
        <v>26</v>
      </c>
      <c r="D31" s="11">
        <f>SUM(1311+1257+1471)</f>
        <v>4039</v>
      </c>
      <c r="E31" s="11">
        <f>SUM(84+98+123)</f>
        <v>305</v>
      </c>
      <c r="F31" s="12">
        <f>D31/E31</f>
        <v>13.242622950819673</v>
      </c>
      <c r="G31" s="11">
        <v>3</v>
      </c>
      <c r="H31" s="11"/>
      <c r="I31" s="11"/>
      <c r="J31" s="11"/>
      <c r="K31" s="11"/>
      <c r="L31" s="11">
        <v>3.5</v>
      </c>
      <c r="M31" s="13"/>
    </row>
    <row r="32" spans="1:13" ht="18.5" x14ac:dyDescent="0.45">
      <c r="A32" s="3">
        <v>31</v>
      </c>
      <c r="B32" s="15" t="s">
        <v>34</v>
      </c>
      <c r="C32" s="7" t="s">
        <v>62</v>
      </c>
      <c r="D32" s="11">
        <f>SUM(1357+1211)</f>
        <v>2568</v>
      </c>
      <c r="E32" s="11">
        <f>SUM(105+90)</f>
        <v>195</v>
      </c>
      <c r="F32" s="12">
        <f>D32/E32</f>
        <v>13.169230769230769</v>
      </c>
      <c r="G32" s="11">
        <v>2</v>
      </c>
      <c r="H32" s="11"/>
      <c r="I32" s="11"/>
      <c r="J32" s="11"/>
      <c r="K32" s="11"/>
      <c r="L32" s="11">
        <v>1.5</v>
      </c>
      <c r="M32" s="13"/>
    </row>
    <row r="33" spans="1:13" ht="18.5" x14ac:dyDescent="0.45">
      <c r="A33" s="3">
        <v>32</v>
      </c>
      <c r="B33" s="59" t="s">
        <v>97</v>
      </c>
      <c r="C33" s="7" t="s">
        <v>15</v>
      </c>
      <c r="D33" s="11">
        <f>SUM(1212+1473)</f>
        <v>2685</v>
      </c>
      <c r="E33" s="11">
        <f>SUM(91+113)</f>
        <v>204</v>
      </c>
      <c r="F33" s="12">
        <f>D33/E33</f>
        <v>13.161764705882353</v>
      </c>
      <c r="G33" s="11">
        <v>2</v>
      </c>
      <c r="H33" s="11">
        <v>1</v>
      </c>
      <c r="I33" s="11"/>
      <c r="J33" s="11"/>
      <c r="K33" s="11"/>
      <c r="L33" s="11">
        <v>4.5</v>
      </c>
      <c r="M33" s="13"/>
    </row>
    <row r="34" spans="1:13" ht="18.5" x14ac:dyDescent="0.45">
      <c r="A34" s="3">
        <v>33</v>
      </c>
      <c r="B34" s="14" t="s">
        <v>40</v>
      </c>
      <c r="C34" s="7" t="s">
        <v>16</v>
      </c>
      <c r="D34" s="11">
        <f>SUM(1503+1298)</f>
        <v>2801</v>
      </c>
      <c r="E34" s="11">
        <f>SUM(129+87)</f>
        <v>216</v>
      </c>
      <c r="F34" s="12">
        <f>D34/E34</f>
        <v>12.967592592592593</v>
      </c>
      <c r="G34" s="11">
        <v>2</v>
      </c>
      <c r="H34" s="11">
        <v>1</v>
      </c>
      <c r="I34" s="11"/>
      <c r="J34" s="11"/>
      <c r="K34" s="11"/>
      <c r="L34" s="11">
        <v>6</v>
      </c>
      <c r="M34" s="13"/>
    </row>
    <row r="35" spans="1:13" ht="18.5" x14ac:dyDescent="0.45">
      <c r="A35" s="3">
        <v>34</v>
      </c>
      <c r="B35" s="4" t="s">
        <v>96</v>
      </c>
      <c r="C35" s="4" t="s">
        <v>73</v>
      </c>
      <c r="D35" s="11">
        <f>SUM(1497)</f>
        <v>1497</v>
      </c>
      <c r="E35" s="11">
        <f>SUM(116)</f>
        <v>116</v>
      </c>
      <c r="F35" s="12">
        <f>D35/E35</f>
        <v>12.905172413793103</v>
      </c>
      <c r="G35" s="11">
        <v>1</v>
      </c>
      <c r="H35" s="11">
        <v>1</v>
      </c>
      <c r="I35" s="11"/>
      <c r="J35" s="11"/>
      <c r="K35" s="11"/>
      <c r="L35" s="11">
        <v>2</v>
      </c>
      <c r="M35" s="13"/>
    </row>
    <row r="36" spans="1:13" ht="18.5" x14ac:dyDescent="0.45">
      <c r="A36" s="3">
        <v>35</v>
      </c>
      <c r="B36" s="14" t="s">
        <v>61</v>
      </c>
      <c r="C36" s="4" t="s">
        <v>26</v>
      </c>
      <c r="D36" s="11">
        <f>SUM(1332+1457+1481)</f>
        <v>4270</v>
      </c>
      <c r="E36" s="11">
        <f>SUM(102+131+110)</f>
        <v>343</v>
      </c>
      <c r="F36" s="12">
        <f>D36/E36</f>
        <v>12.448979591836734</v>
      </c>
      <c r="G36" s="11">
        <v>3</v>
      </c>
      <c r="H36" s="11">
        <v>1</v>
      </c>
      <c r="I36" s="11"/>
      <c r="J36" s="11"/>
      <c r="K36" s="11"/>
      <c r="L36" s="11">
        <v>6</v>
      </c>
      <c r="M36" s="13"/>
    </row>
    <row r="37" spans="1:13" ht="18.5" x14ac:dyDescent="0.45">
      <c r="A37" s="3">
        <v>36</v>
      </c>
      <c r="B37" s="4" t="s">
        <v>75</v>
      </c>
      <c r="C37" s="4" t="s">
        <v>73</v>
      </c>
      <c r="D37" s="11">
        <f>SUM(1499+1275+1131)</f>
        <v>3905</v>
      </c>
      <c r="E37" s="11">
        <f>SUM(123+99+96)</f>
        <v>318</v>
      </c>
      <c r="F37" s="12">
        <f>D37/E37</f>
        <v>12.279874213836479</v>
      </c>
      <c r="G37" s="11">
        <v>3</v>
      </c>
      <c r="H37" s="11">
        <v>2</v>
      </c>
      <c r="I37" s="11"/>
      <c r="J37" s="11"/>
      <c r="K37" s="11"/>
      <c r="L37" s="11">
        <v>5</v>
      </c>
      <c r="M37" s="13"/>
    </row>
    <row r="38" spans="1:13" ht="18.5" x14ac:dyDescent="0.45">
      <c r="A38" s="3">
        <v>37</v>
      </c>
      <c r="B38" s="4" t="s">
        <v>71</v>
      </c>
      <c r="C38" s="4" t="s">
        <v>76</v>
      </c>
      <c r="D38" s="11">
        <f>SUM(1501+1174+1489)</f>
        <v>4164</v>
      </c>
      <c r="E38" s="11">
        <f>SUM(156+81+108)</f>
        <v>345</v>
      </c>
      <c r="F38" s="12">
        <f>D38/E38</f>
        <v>12.069565217391304</v>
      </c>
      <c r="G38" s="11">
        <v>3</v>
      </c>
      <c r="H38" s="11">
        <v>2</v>
      </c>
      <c r="I38" s="11"/>
      <c r="J38" s="11"/>
      <c r="K38" s="11"/>
      <c r="L38" s="11">
        <v>7</v>
      </c>
      <c r="M38" s="13"/>
    </row>
    <row r="39" spans="1:13" ht="18.5" x14ac:dyDescent="0.45">
      <c r="A39" s="3">
        <v>38</v>
      </c>
      <c r="B39" s="4" t="s">
        <v>67</v>
      </c>
      <c r="C39" s="4" t="s">
        <v>16</v>
      </c>
      <c r="D39" s="11">
        <f>SUM(1501+1503)</f>
        <v>3004</v>
      </c>
      <c r="E39" s="11">
        <f>SUM(148+104)</f>
        <v>252</v>
      </c>
      <c r="F39" s="12">
        <f>D39/E39</f>
        <v>11.920634920634921</v>
      </c>
      <c r="G39" s="11">
        <v>2</v>
      </c>
      <c r="H39" s="11">
        <v>2</v>
      </c>
      <c r="I39" s="11"/>
      <c r="J39" s="11"/>
      <c r="K39" s="11"/>
      <c r="L39" s="11">
        <v>8</v>
      </c>
      <c r="M39" s="13"/>
    </row>
    <row r="40" spans="1:13" ht="18.5" x14ac:dyDescent="0.45">
      <c r="A40" s="3">
        <v>39</v>
      </c>
      <c r="B40" s="4" t="s">
        <v>74</v>
      </c>
      <c r="C40" s="4" t="s">
        <v>12</v>
      </c>
      <c r="D40" s="11">
        <f>SUM(1479+1459+1501)</f>
        <v>4439</v>
      </c>
      <c r="E40" s="11">
        <f>SUM(110+116+147)</f>
        <v>373</v>
      </c>
      <c r="F40" s="12">
        <f>D40/E40</f>
        <v>11.900804289544237</v>
      </c>
      <c r="G40" s="11">
        <v>3</v>
      </c>
      <c r="H40" s="11">
        <v>1</v>
      </c>
      <c r="I40" s="11"/>
      <c r="J40" s="11"/>
      <c r="K40" s="11"/>
      <c r="L40" s="11">
        <v>12</v>
      </c>
      <c r="M40" s="13"/>
    </row>
    <row r="41" spans="1:13" ht="18.5" x14ac:dyDescent="0.45">
      <c r="A41" s="3">
        <v>40</v>
      </c>
      <c r="B41" s="14" t="s">
        <v>37</v>
      </c>
      <c r="C41" s="4" t="s">
        <v>76</v>
      </c>
      <c r="D41" s="11">
        <f>SUM(1487+1270+1281)</f>
        <v>4038</v>
      </c>
      <c r="E41" s="11">
        <f>SUM(142+105+93)</f>
        <v>340</v>
      </c>
      <c r="F41" s="12">
        <f>D41/E41</f>
        <v>11.876470588235295</v>
      </c>
      <c r="G41" s="11">
        <v>3</v>
      </c>
      <c r="H41" s="11"/>
      <c r="I41" s="11"/>
      <c r="J41" s="11"/>
      <c r="K41" s="11"/>
      <c r="L41" s="11">
        <v>3</v>
      </c>
      <c r="M41" s="13"/>
    </row>
    <row r="42" spans="1:13" ht="18.5" x14ac:dyDescent="0.45">
      <c r="A42" s="3">
        <v>41</v>
      </c>
      <c r="B42" s="14" t="s">
        <v>29</v>
      </c>
      <c r="C42" s="7" t="s">
        <v>20</v>
      </c>
      <c r="D42" s="11">
        <f>SUM(1301+1503+1503)</f>
        <v>4307</v>
      </c>
      <c r="E42" s="11">
        <f>SUM(96+110+161)</f>
        <v>367</v>
      </c>
      <c r="F42" s="12">
        <f>D42/E42</f>
        <v>11.735694822888284</v>
      </c>
      <c r="G42" s="11">
        <v>3</v>
      </c>
      <c r="H42" s="11">
        <v>2</v>
      </c>
      <c r="I42" s="11"/>
      <c r="J42" s="11"/>
      <c r="K42" s="11"/>
      <c r="L42" s="11">
        <v>13</v>
      </c>
      <c r="M42" s="13"/>
    </row>
    <row r="43" spans="1:13" ht="18.5" x14ac:dyDescent="0.45">
      <c r="A43" s="3">
        <v>42</v>
      </c>
      <c r="B43" s="14" t="s">
        <v>70</v>
      </c>
      <c r="C43" s="4" t="s">
        <v>73</v>
      </c>
      <c r="D43" s="11">
        <f>SUM(1359+1497)</f>
        <v>2856</v>
      </c>
      <c r="E43" s="11">
        <f>SUM(110+135)</f>
        <v>245</v>
      </c>
      <c r="F43" s="12">
        <f>D43/E43</f>
        <v>11.657142857142857</v>
      </c>
      <c r="G43" s="11">
        <v>2</v>
      </c>
      <c r="H43" s="11">
        <v>1</v>
      </c>
      <c r="I43" s="11"/>
      <c r="J43" s="11"/>
      <c r="K43" s="11"/>
      <c r="L43" s="11">
        <v>6</v>
      </c>
      <c r="M43" s="13"/>
    </row>
    <row r="44" spans="1:13" ht="18.5" x14ac:dyDescent="0.45">
      <c r="A44" s="3">
        <v>43</v>
      </c>
      <c r="B44" s="14" t="s">
        <v>36</v>
      </c>
      <c r="C44" s="4" t="s">
        <v>76</v>
      </c>
      <c r="D44" s="11">
        <f>SUM(1372+1316+996)</f>
        <v>3684</v>
      </c>
      <c r="E44" s="11">
        <f>SUM(123+111+87)</f>
        <v>321</v>
      </c>
      <c r="F44" s="12">
        <f>D44/E44</f>
        <v>11.476635514018692</v>
      </c>
      <c r="G44" s="11">
        <v>3</v>
      </c>
      <c r="H44" s="11"/>
      <c r="I44" s="11"/>
      <c r="J44" s="11"/>
      <c r="K44" s="11"/>
      <c r="L44" s="11">
        <v>2.5</v>
      </c>
      <c r="M44" s="13"/>
    </row>
    <row r="45" spans="1:13" ht="18.5" x14ac:dyDescent="0.45">
      <c r="A45" s="3">
        <v>44</v>
      </c>
      <c r="B45" s="14" t="s">
        <v>95</v>
      </c>
      <c r="C45" s="4" t="s">
        <v>94</v>
      </c>
      <c r="D45" s="11">
        <f>SUM(1455+1482)</f>
        <v>2937</v>
      </c>
      <c r="E45" s="11">
        <f>SUM(129+147)</f>
        <v>276</v>
      </c>
      <c r="F45" s="12">
        <f>D45/E45</f>
        <v>10.641304347826088</v>
      </c>
      <c r="G45" s="11">
        <v>2</v>
      </c>
      <c r="H45" s="11"/>
      <c r="I45" s="11"/>
      <c r="J45" s="11"/>
      <c r="K45" s="11"/>
      <c r="L45" s="11">
        <v>3.5</v>
      </c>
      <c r="M45" s="13"/>
    </row>
    <row r="46" spans="1:13" ht="18.5" x14ac:dyDescent="0.45">
      <c r="A46" s="3">
        <v>45</v>
      </c>
      <c r="B46" s="4" t="s">
        <v>18</v>
      </c>
      <c r="C46" s="4" t="s">
        <v>15</v>
      </c>
      <c r="D46" s="11">
        <f>SUM(1267)</f>
        <v>1267</v>
      </c>
      <c r="E46" s="11">
        <f>SUM(121)</f>
        <v>121</v>
      </c>
      <c r="F46" s="12">
        <f>D46/E46</f>
        <v>10.471074380165289</v>
      </c>
      <c r="G46" s="11">
        <v>1</v>
      </c>
      <c r="H46" s="11"/>
      <c r="I46" s="11"/>
      <c r="J46" s="11"/>
      <c r="K46" s="11"/>
      <c r="L46" s="11">
        <v>3.5</v>
      </c>
      <c r="M46" s="13"/>
    </row>
    <row r="47" spans="1:13" ht="18.5" x14ac:dyDescent="0.45">
      <c r="A47" s="3">
        <v>46</v>
      </c>
      <c r="B47" s="14" t="s">
        <v>65</v>
      </c>
      <c r="C47" s="4" t="s">
        <v>16</v>
      </c>
      <c r="D47" s="11">
        <f>SUM(1337+1489)</f>
        <v>2826</v>
      </c>
      <c r="E47" s="11">
        <f>SUM(150+138)</f>
        <v>288</v>
      </c>
      <c r="F47" s="12">
        <f>D47/E47</f>
        <v>9.8125</v>
      </c>
      <c r="G47" s="11">
        <v>2</v>
      </c>
      <c r="H47" s="11"/>
      <c r="I47" s="11"/>
      <c r="J47" s="11"/>
      <c r="K47" s="11"/>
      <c r="L47" s="11">
        <v>5</v>
      </c>
      <c r="M47" s="13">
        <v>5</v>
      </c>
    </row>
    <row r="48" spans="1:13" ht="18.5" x14ac:dyDescent="0.45">
      <c r="A48" s="3">
        <v>47</v>
      </c>
      <c r="B48" s="14" t="s">
        <v>93</v>
      </c>
      <c r="C48" s="4" t="s">
        <v>62</v>
      </c>
      <c r="D48" s="11">
        <f>SUM(1476)</f>
        <v>1476</v>
      </c>
      <c r="E48" s="11">
        <f>SUM(156)</f>
        <v>156</v>
      </c>
      <c r="F48" s="12">
        <f>D48/E48</f>
        <v>9.4615384615384617</v>
      </c>
      <c r="G48" s="11">
        <v>1</v>
      </c>
      <c r="H48" s="11"/>
      <c r="I48" s="11"/>
      <c r="J48" s="11"/>
      <c r="K48" s="11"/>
      <c r="L48" s="11">
        <v>1</v>
      </c>
      <c r="M48" s="13"/>
    </row>
    <row r="49" spans="1:18" ht="17.25" customHeight="1" thickBot="1" x14ac:dyDescent="0.5">
      <c r="A49" s="5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</row>
    <row r="50" spans="1:18" ht="19.5" customHeight="1" thickBot="1" x14ac:dyDescent="0.5">
      <c r="A50" s="5"/>
      <c r="B50" s="33" t="s">
        <v>105</v>
      </c>
      <c r="C50" s="58" t="s">
        <v>42</v>
      </c>
      <c r="D50" s="57" t="s">
        <v>43</v>
      </c>
      <c r="E50" s="57" t="s">
        <v>87</v>
      </c>
      <c r="F50" s="56" t="s">
        <v>44</v>
      </c>
      <c r="G50" s="55" t="s">
        <v>86</v>
      </c>
      <c r="I50" s="38" t="s">
        <v>45</v>
      </c>
      <c r="J50" s="39"/>
      <c r="K50" s="39"/>
      <c r="L50" s="39"/>
      <c r="M50" s="39"/>
      <c r="N50" s="39"/>
      <c r="O50" s="39"/>
      <c r="P50" s="39"/>
      <c r="Q50" s="39"/>
      <c r="R50" s="40"/>
    </row>
    <row r="51" spans="1:18" ht="18.5" x14ac:dyDescent="0.45">
      <c r="A51" s="5"/>
      <c r="B51" s="50"/>
      <c r="C51" s="54" t="s">
        <v>52</v>
      </c>
      <c r="D51" s="53">
        <v>3</v>
      </c>
      <c r="E51" s="52">
        <v>0</v>
      </c>
      <c r="F51" s="52">
        <v>52</v>
      </c>
      <c r="G51" s="51">
        <v>5</v>
      </c>
      <c r="I51" s="43" t="s">
        <v>46</v>
      </c>
      <c r="J51" s="44"/>
      <c r="K51" s="44"/>
      <c r="L51" s="44"/>
      <c r="M51" s="44"/>
      <c r="N51" s="41" t="s">
        <v>104</v>
      </c>
      <c r="O51" s="41"/>
      <c r="P51" s="41"/>
      <c r="Q51" s="41"/>
      <c r="R51" s="42"/>
    </row>
    <row r="52" spans="1:18" ht="18.5" x14ac:dyDescent="0.45">
      <c r="A52" s="5"/>
      <c r="B52" s="50"/>
      <c r="C52" s="17" t="s">
        <v>56</v>
      </c>
      <c r="D52" s="22">
        <v>2</v>
      </c>
      <c r="E52" s="11">
        <v>0</v>
      </c>
      <c r="F52" s="11">
        <v>31</v>
      </c>
      <c r="G52" s="28">
        <v>3</v>
      </c>
      <c r="I52" s="45" t="s">
        <v>48</v>
      </c>
      <c r="J52" s="46"/>
      <c r="K52" s="46"/>
      <c r="L52" s="46"/>
      <c r="M52" s="46"/>
      <c r="N52" s="36" t="s">
        <v>103</v>
      </c>
      <c r="O52" s="36"/>
      <c r="P52" s="36"/>
      <c r="Q52" s="36"/>
      <c r="R52" s="37"/>
    </row>
    <row r="53" spans="1:18" ht="18.5" x14ac:dyDescent="0.45">
      <c r="A53" s="5"/>
      <c r="B53" s="50"/>
      <c r="C53" s="17" t="s">
        <v>47</v>
      </c>
      <c r="D53" s="22">
        <v>3</v>
      </c>
      <c r="E53" s="22">
        <v>0</v>
      </c>
      <c r="F53" s="22">
        <v>50</v>
      </c>
      <c r="G53" s="28">
        <v>7</v>
      </c>
      <c r="I53" s="45" t="s">
        <v>50</v>
      </c>
      <c r="J53" s="46"/>
      <c r="K53" s="46"/>
      <c r="L53" s="46"/>
      <c r="M53" s="46"/>
      <c r="N53" s="36" t="s">
        <v>102</v>
      </c>
      <c r="O53" s="36"/>
      <c r="P53" s="36"/>
      <c r="Q53" s="36"/>
      <c r="R53" s="37"/>
    </row>
    <row r="54" spans="1:18" ht="18.5" x14ac:dyDescent="0.45">
      <c r="A54" s="6"/>
      <c r="B54" s="50"/>
      <c r="C54" s="17" t="s">
        <v>57</v>
      </c>
      <c r="D54" s="22">
        <v>2</v>
      </c>
      <c r="E54" s="11">
        <v>1</v>
      </c>
      <c r="F54" s="11">
        <v>49</v>
      </c>
      <c r="G54" s="28">
        <v>9</v>
      </c>
      <c r="I54" s="45" t="s">
        <v>51</v>
      </c>
      <c r="J54" s="46"/>
      <c r="K54" s="46"/>
      <c r="L54" s="46"/>
      <c r="M54" s="46"/>
      <c r="N54" s="36" t="s">
        <v>101</v>
      </c>
      <c r="O54" s="36"/>
      <c r="P54" s="36"/>
      <c r="Q54" s="36"/>
      <c r="R54" s="37"/>
    </row>
    <row r="55" spans="1:18" ht="18" customHeight="1" x14ac:dyDescent="0.45">
      <c r="A55" s="6"/>
      <c r="B55" s="50"/>
      <c r="C55" s="17" t="s">
        <v>49</v>
      </c>
      <c r="D55" s="22">
        <v>2</v>
      </c>
      <c r="E55" s="11">
        <v>1</v>
      </c>
      <c r="F55" s="11">
        <v>42</v>
      </c>
      <c r="G55" s="28">
        <v>6</v>
      </c>
      <c r="I55" s="45" t="s">
        <v>53</v>
      </c>
      <c r="J55" s="46"/>
      <c r="K55" s="46"/>
      <c r="L55" s="46"/>
      <c r="M55" s="46"/>
      <c r="N55" s="36" t="s">
        <v>82</v>
      </c>
      <c r="O55" s="36"/>
      <c r="P55" s="36"/>
      <c r="Q55" s="36"/>
      <c r="R55" s="37"/>
    </row>
    <row r="56" spans="1:18" ht="18" customHeight="1" thickBot="1" x14ac:dyDescent="0.5">
      <c r="A56" s="6"/>
      <c r="B56" s="50"/>
      <c r="C56" s="17" t="s">
        <v>55</v>
      </c>
      <c r="D56" s="22">
        <v>1</v>
      </c>
      <c r="E56" s="22">
        <v>1</v>
      </c>
      <c r="F56" s="22">
        <v>27</v>
      </c>
      <c r="G56" s="28">
        <v>2</v>
      </c>
      <c r="I56" s="31" t="s">
        <v>54</v>
      </c>
      <c r="J56" s="32"/>
      <c r="K56" s="32"/>
      <c r="L56" s="32"/>
      <c r="M56" s="32"/>
      <c r="N56" s="36" t="s">
        <v>89</v>
      </c>
      <c r="O56" s="36"/>
      <c r="P56" s="36"/>
      <c r="Q56" s="36"/>
      <c r="R56" s="37"/>
    </row>
    <row r="57" spans="1:18" ht="18.5" x14ac:dyDescent="0.45">
      <c r="A57" s="6"/>
      <c r="B57" s="50"/>
      <c r="C57" s="17" t="s">
        <v>88</v>
      </c>
      <c r="D57" s="23">
        <v>1</v>
      </c>
      <c r="E57" s="23">
        <v>1</v>
      </c>
      <c r="F57" s="23">
        <v>20</v>
      </c>
      <c r="G57" s="28">
        <v>1</v>
      </c>
      <c r="H57" s="6"/>
      <c r="I57" s="6"/>
    </row>
    <row r="58" spans="1:18" ht="18.5" x14ac:dyDescent="0.45">
      <c r="A58" s="6"/>
      <c r="B58" s="50"/>
      <c r="C58" s="18" t="s">
        <v>58</v>
      </c>
      <c r="D58" s="23">
        <v>0</v>
      </c>
      <c r="E58" s="23">
        <v>3</v>
      </c>
      <c r="F58" s="23">
        <v>23</v>
      </c>
      <c r="G58" s="28">
        <v>11</v>
      </c>
      <c r="H58" s="6"/>
    </row>
    <row r="59" spans="1:18" ht="18.5" x14ac:dyDescent="0.45">
      <c r="B59" s="50"/>
      <c r="C59" s="17" t="s">
        <v>66</v>
      </c>
      <c r="D59" s="22">
        <v>1</v>
      </c>
      <c r="E59" s="11">
        <v>2</v>
      </c>
      <c r="F59" s="11">
        <v>30</v>
      </c>
      <c r="G59" s="28">
        <v>8</v>
      </c>
    </row>
    <row r="60" spans="1:18" ht="18.5" x14ac:dyDescent="0.45">
      <c r="B60" s="50"/>
      <c r="C60" s="17" t="s">
        <v>63</v>
      </c>
      <c r="D60" s="23">
        <v>0</v>
      </c>
      <c r="E60" s="23">
        <v>3</v>
      </c>
      <c r="F60" s="23">
        <v>20</v>
      </c>
      <c r="G60" s="28">
        <v>10</v>
      </c>
    </row>
    <row r="61" spans="1:18" ht="19" thickBot="1" x14ac:dyDescent="0.5">
      <c r="B61" s="49"/>
      <c r="C61" s="48" t="s">
        <v>77</v>
      </c>
      <c r="D61" s="47">
        <v>0</v>
      </c>
      <c r="E61" s="47">
        <v>3</v>
      </c>
      <c r="F61" s="47">
        <v>16</v>
      </c>
      <c r="G61" s="29">
        <v>4</v>
      </c>
    </row>
  </sheetData>
  <mergeCells count="14">
    <mergeCell ref="I52:M52"/>
    <mergeCell ref="I53:M53"/>
    <mergeCell ref="I54:M54"/>
    <mergeCell ref="I55:M55"/>
    <mergeCell ref="I56:M56"/>
    <mergeCell ref="B50:B61"/>
    <mergeCell ref="N56:R56"/>
    <mergeCell ref="I50:R50"/>
    <mergeCell ref="N51:R51"/>
    <mergeCell ref="N52:R52"/>
    <mergeCell ref="N53:R53"/>
    <mergeCell ref="N54:R54"/>
    <mergeCell ref="N55:R55"/>
    <mergeCell ref="I51:M5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8BEC50-7472-45BA-9BA6-43A8924AB598}">
  <dimension ref="A1:R61"/>
  <sheetViews>
    <sheetView workbookViewId="0">
      <pane ySplit="1" topLeftCell="A2" activePane="bottomLeft" state="frozen"/>
      <selection pane="bottomLeft" activeCell="I52" sqref="I52:R54"/>
    </sheetView>
  </sheetViews>
  <sheetFormatPr defaultRowHeight="14.5" x14ac:dyDescent="0.35"/>
  <cols>
    <col min="1" max="1" width="5.453125" bestFit="1" customWidth="1"/>
    <col min="2" max="2" width="23.81640625" bestFit="1" customWidth="1"/>
    <col min="3" max="3" width="31.1796875" bestFit="1" customWidth="1"/>
    <col min="4" max="5" width="10.7265625" bestFit="1" customWidth="1"/>
    <col min="6" max="6" width="7.7265625" bestFit="1" customWidth="1"/>
    <col min="7" max="7" width="12.1796875" bestFit="1" customWidth="1"/>
    <col min="8" max="11" width="5.7265625" customWidth="1"/>
    <col min="12" max="12" width="7.7265625" bestFit="1" customWidth="1"/>
    <col min="13" max="13" width="10.81640625" bestFit="1" customWidth="1"/>
    <col min="18" max="18" width="18.81640625" customWidth="1"/>
  </cols>
  <sheetData>
    <row r="1" spans="1:13" ht="73.5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1" t="s">
        <v>7</v>
      </c>
      <c r="I1" s="1">
        <v>180</v>
      </c>
      <c r="J1" s="1">
        <v>171</v>
      </c>
      <c r="K1" s="1" t="s">
        <v>8</v>
      </c>
      <c r="L1" s="2" t="s">
        <v>9</v>
      </c>
      <c r="M1" s="2" t="s">
        <v>10</v>
      </c>
    </row>
    <row r="2" spans="1:13" ht="18.5" x14ac:dyDescent="0.45">
      <c r="A2" s="3">
        <v>1</v>
      </c>
      <c r="B2" s="4" t="s">
        <v>83</v>
      </c>
      <c r="C2" s="4" t="s">
        <v>15</v>
      </c>
      <c r="D2" s="11">
        <f>SUM(1503+1419+1503+1499)</f>
        <v>5924</v>
      </c>
      <c r="E2" s="11">
        <f>SUM(68+80+79+90)</f>
        <v>317</v>
      </c>
      <c r="F2" s="12">
        <f>D2/E2</f>
        <v>18.687697160883282</v>
      </c>
      <c r="G2" s="11">
        <v>4</v>
      </c>
      <c r="H2" s="11">
        <v>4</v>
      </c>
      <c r="I2" s="11"/>
      <c r="J2" s="11"/>
      <c r="K2" s="11"/>
      <c r="L2" s="11">
        <v>19</v>
      </c>
      <c r="M2" s="13">
        <v>5</v>
      </c>
    </row>
    <row r="3" spans="1:13" ht="18.5" x14ac:dyDescent="0.45">
      <c r="A3" s="3">
        <v>2</v>
      </c>
      <c r="B3" s="4" t="s">
        <v>25</v>
      </c>
      <c r="C3" s="4" t="s">
        <v>16</v>
      </c>
      <c r="D3" s="11">
        <f>SUM(1503+1493+1467)</f>
        <v>4463</v>
      </c>
      <c r="E3" s="11">
        <f>SUM(80+92+84)</f>
        <v>256</v>
      </c>
      <c r="F3" s="12">
        <f>D3/E3</f>
        <v>17.43359375</v>
      </c>
      <c r="G3" s="11">
        <v>3</v>
      </c>
      <c r="H3" s="11">
        <v>3</v>
      </c>
      <c r="I3" s="11"/>
      <c r="J3" s="11"/>
      <c r="K3" s="11"/>
      <c r="L3" s="11">
        <v>11.5</v>
      </c>
      <c r="M3" s="13">
        <v>5</v>
      </c>
    </row>
    <row r="4" spans="1:13" ht="18.5" x14ac:dyDescent="0.45">
      <c r="A4" s="3">
        <v>3</v>
      </c>
      <c r="B4" s="4" t="s">
        <v>17</v>
      </c>
      <c r="C4" s="4" t="s">
        <v>13</v>
      </c>
      <c r="D4" s="11">
        <f>SUM(1503+1474+1369)</f>
        <v>4346</v>
      </c>
      <c r="E4" s="11">
        <f>SUM(90+83+84)</f>
        <v>257</v>
      </c>
      <c r="F4" s="12">
        <f>D4/E4</f>
        <v>16.910505836575876</v>
      </c>
      <c r="G4" s="11">
        <v>3</v>
      </c>
      <c r="H4" s="11">
        <v>1</v>
      </c>
      <c r="I4" s="11"/>
      <c r="J4" s="11"/>
      <c r="K4" s="11"/>
      <c r="L4" s="11">
        <v>10</v>
      </c>
      <c r="M4" s="13"/>
    </row>
    <row r="5" spans="1:13" ht="18.5" x14ac:dyDescent="0.45">
      <c r="A5" s="3">
        <v>4</v>
      </c>
      <c r="B5" s="14" t="s">
        <v>100</v>
      </c>
      <c r="C5" s="7" t="s">
        <v>94</v>
      </c>
      <c r="D5" s="11">
        <f>SUM(1343+1469+1241)</f>
        <v>4053</v>
      </c>
      <c r="E5" s="11">
        <f>SUM(84+72+88)</f>
        <v>244</v>
      </c>
      <c r="F5" s="12">
        <f>D5/E5</f>
        <v>16.610655737704917</v>
      </c>
      <c r="G5" s="11">
        <v>3</v>
      </c>
      <c r="H5" s="11">
        <v>2</v>
      </c>
      <c r="I5" s="11"/>
      <c r="J5" s="11"/>
      <c r="K5" s="11"/>
      <c r="L5" s="11">
        <v>11.5</v>
      </c>
      <c r="M5" s="13">
        <v>5</v>
      </c>
    </row>
    <row r="6" spans="1:13" ht="18.5" x14ac:dyDescent="0.45">
      <c r="A6" s="3">
        <v>5</v>
      </c>
      <c r="B6" s="4" t="s">
        <v>27</v>
      </c>
      <c r="C6" s="4" t="s">
        <v>12</v>
      </c>
      <c r="D6" s="11">
        <f>SUM(1503+1443+1324+1489)</f>
        <v>5759</v>
      </c>
      <c r="E6" s="11">
        <f>SUM(84+101+74+92)</f>
        <v>351</v>
      </c>
      <c r="F6" s="12">
        <f>D6/E6</f>
        <v>16.407407407407408</v>
      </c>
      <c r="G6" s="11">
        <v>4</v>
      </c>
      <c r="H6" s="11">
        <v>3</v>
      </c>
      <c r="I6" s="11"/>
      <c r="J6" s="11"/>
      <c r="K6" s="11"/>
      <c r="L6" s="11">
        <v>15.5</v>
      </c>
      <c r="M6" s="13"/>
    </row>
    <row r="7" spans="1:13" ht="18.5" x14ac:dyDescent="0.45">
      <c r="A7" s="3">
        <v>6</v>
      </c>
      <c r="B7" s="4" t="s">
        <v>38</v>
      </c>
      <c r="C7" s="4" t="s">
        <v>31</v>
      </c>
      <c r="D7" s="11">
        <f>SUM(1470+1447+1339+1247)</f>
        <v>5503</v>
      </c>
      <c r="E7" s="11">
        <f>SUM(86+78+93+80)</f>
        <v>337</v>
      </c>
      <c r="F7" s="12">
        <f>D7/E7</f>
        <v>16.329376854599406</v>
      </c>
      <c r="G7" s="11">
        <v>4</v>
      </c>
      <c r="H7" s="11">
        <v>1</v>
      </c>
      <c r="I7" s="11"/>
      <c r="J7" s="11"/>
      <c r="K7" s="11"/>
      <c r="L7" s="11">
        <v>12.5</v>
      </c>
      <c r="M7" s="13">
        <v>5</v>
      </c>
    </row>
    <row r="8" spans="1:13" ht="18.5" x14ac:dyDescent="0.45">
      <c r="A8" s="3">
        <v>7</v>
      </c>
      <c r="B8" s="4" t="s">
        <v>11</v>
      </c>
      <c r="C8" s="4" t="s">
        <v>12</v>
      </c>
      <c r="D8" s="11">
        <f>SUM(1503+1441+1493+1416)</f>
        <v>5853</v>
      </c>
      <c r="E8" s="11">
        <f>SUM(102+84+94+84)</f>
        <v>364</v>
      </c>
      <c r="F8" s="12">
        <f>D8/E8</f>
        <v>16.079670329670328</v>
      </c>
      <c r="G8" s="11">
        <v>4</v>
      </c>
      <c r="H8" s="11">
        <v>4</v>
      </c>
      <c r="I8" s="11">
        <v>1</v>
      </c>
      <c r="J8" s="11"/>
      <c r="K8" s="11"/>
      <c r="L8" s="11">
        <v>16</v>
      </c>
      <c r="M8" s="13"/>
    </row>
    <row r="9" spans="1:13" ht="18.5" x14ac:dyDescent="0.45">
      <c r="A9" s="3">
        <v>8</v>
      </c>
      <c r="B9" s="4" t="s">
        <v>21</v>
      </c>
      <c r="C9" s="4" t="s">
        <v>13</v>
      </c>
      <c r="D9" s="11">
        <f>SUM(1503+1470+1503)</f>
        <v>4476</v>
      </c>
      <c r="E9" s="11">
        <f>SUM(105+88+87)</f>
        <v>280</v>
      </c>
      <c r="F9" s="12">
        <f>D9/E9</f>
        <v>15.985714285714286</v>
      </c>
      <c r="G9" s="11">
        <v>3</v>
      </c>
      <c r="H9" s="11">
        <v>3</v>
      </c>
      <c r="I9" s="11"/>
      <c r="J9" s="11"/>
      <c r="K9" s="11"/>
      <c r="L9" s="11">
        <v>13</v>
      </c>
      <c r="M9" s="13"/>
    </row>
    <row r="10" spans="1:13" ht="18.5" x14ac:dyDescent="0.45">
      <c r="A10" s="3">
        <v>9</v>
      </c>
      <c r="B10" s="3" t="s">
        <v>32</v>
      </c>
      <c r="C10" s="4" t="s">
        <v>20</v>
      </c>
      <c r="D10" s="11">
        <f>SUM(1359+1503+1446+1365)</f>
        <v>5673</v>
      </c>
      <c r="E10" s="11">
        <f>SUM(84+96+89+92)</f>
        <v>361</v>
      </c>
      <c r="F10" s="12">
        <f>D10/E10</f>
        <v>15.714681440443213</v>
      </c>
      <c r="G10" s="11">
        <v>4</v>
      </c>
      <c r="H10" s="11">
        <v>3</v>
      </c>
      <c r="I10" s="11"/>
      <c r="J10" s="11"/>
      <c r="K10" s="11"/>
      <c r="L10" s="11">
        <v>17.5</v>
      </c>
      <c r="M10" s="13"/>
    </row>
    <row r="11" spans="1:13" ht="18.5" x14ac:dyDescent="0.45">
      <c r="A11" s="3">
        <v>10</v>
      </c>
      <c r="B11" s="4" t="s">
        <v>78</v>
      </c>
      <c r="C11" s="4" t="s">
        <v>31</v>
      </c>
      <c r="D11" s="11">
        <f>SUM(1501+1503+1503+1503)</f>
        <v>6010</v>
      </c>
      <c r="E11" s="11">
        <f>SUM(113+97+98+75)</f>
        <v>383</v>
      </c>
      <c r="F11" s="12">
        <f>D11/E11</f>
        <v>15.691906005221933</v>
      </c>
      <c r="G11" s="11">
        <v>4</v>
      </c>
      <c r="H11" s="11">
        <v>4</v>
      </c>
      <c r="I11" s="11"/>
      <c r="J11" s="11"/>
      <c r="K11" s="11"/>
      <c r="L11" s="11">
        <v>19</v>
      </c>
      <c r="M11" s="13"/>
    </row>
    <row r="12" spans="1:13" ht="18.5" x14ac:dyDescent="0.45">
      <c r="A12" s="3">
        <v>11</v>
      </c>
      <c r="B12" s="14" t="s">
        <v>72</v>
      </c>
      <c r="C12" s="4" t="s">
        <v>31</v>
      </c>
      <c r="D12" s="11">
        <f>SUM(1503+1475+1503+1447)</f>
        <v>5928</v>
      </c>
      <c r="E12" s="11">
        <f>SUM(102+96+91+98)</f>
        <v>387</v>
      </c>
      <c r="F12" s="12">
        <f>D12/E12</f>
        <v>15.317829457364342</v>
      </c>
      <c r="G12" s="11">
        <v>4</v>
      </c>
      <c r="H12" s="11">
        <v>2</v>
      </c>
      <c r="I12" s="11"/>
      <c r="J12" s="11"/>
      <c r="K12" s="11"/>
      <c r="L12" s="11">
        <v>14</v>
      </c>
      <c r="M12" s="13"/>
    </row>
    <row r="13" spans="1:13" ht="18.5" x14ac:dyDescent="0.45">
      <c r="A13" s="3">
        <v>12</v>
      </c>
      <c r="B13" s="4" t="s">
        <v>28</v>
      </c>
      <c r="C13" s="4" t="s">
        <v>62</v>
      </c>
      <c r="D13" s="11">
        <f>SUM(1327+1229+1367+1115)</f>
        <v>5038</v>
      </c>
      <c r="E13" s="11">
        <f>SUM(84+79+89+81)</f>
        <v>333</v>
      </c>
      <c r="F13" s="12">
        <f>D13/E13</f>
        <v>15.129129129129129</v>
      </c>
      <c r="G13" s="11">
        <v>4</v>
      </c>
      <c r="H13" s="11">
        <v>2</v>
      </c>
      <c r="I13" s="11"/>
      <c r="J13" s="11"/>
      <c r="K13" s="11">
        <v>1</v>
      </c>
      <c r="L13" s="11">
        <v>10.5</v>
      </c>
      <c r="M13" s="13">
        <v>5</v>
      </c>
    </row>
    <row r="14" spans="1:13" ht="18.5" x14ac:dyDescent="0.45">
      <c r="A14" s="3">
        <v>13</v>
      </c>
      <c r="B14" s="14" t="s">
        <v>69</v>
      </c>
      <c r="C14" s="7" t="s">
        <v>73</v>
      </c>
      <c r="D14" s="11">
        <f>SUM(1475+1487+1479+1350)</f>
        <v>5791</v>
      </c>
      <c r="E14" s="11">
        <f>SUM(103+99+95+88)</f>
        <v>385</v>
      </c>
      <c r="F14" s="12">
        <f>D14/E14</f>
        <v>15.041558441558442</v>
      </c>
      <c r="G14" s="11">
        <v>4</v>
      </c>
      <c r="H14" s="11">
        <v>1</v>
      </c>
      <c r="I14" s="11"/>
      <c r="J14" s="11"/>
      <c r="K14" s="11"/>
      <c r="L14" s="11">
        <v>10</v>
      </c>
      <c r="M14" s="13"/>
    </row>
    <row r="15" spans="1:13" ht="18.5" x14ac:dyDescent="0.45">
      <c r="A15" s="3">
        <v>14</v>
      </c>
      <c r="B15" s="14" t="s">
        <v>99</v>
      </c>
      <c r="C15" s="4" t="s">
        <v>94</v>
      </c>
      <c r="D15" s="11">
        <f>SUM(1496+1397+1241)</f>
        <v>4134</v>
      </c>
      <c r="E15" s="11">
        <f>SUM(100+91+84)</f>
        <v>275</v>
      </c>
      <c r="F15" s="12">
        <f>D15/E15</f>
        <v>15.032727272727273</v>
      </c>
      <c r="G15" s="11">
        <v>3</v>
      </c>
      <c r="H15" s="11">
        <v>1</v>
      </c>
      <c r="I15" s="11"/>
      <c r="J15" s="11"/>
      <c r="K15" s="11"/>
      <c r="L15" s="11">
        <v>7.5</v>
      </c>
      <c r="M15" s="13"/>
    </row>
    <row r="16" spans="1:13" ht="18.5" x14ac:dyDescent="0.45">
      <c r="A16" s="3">
        <v>15</v>
      </c>
      <c r="B16" s="7" t="s">
        <v>79</v>
      </c>
      <c r="C16" s="4" t="s">
        <v>76</v>
      </c>
      <c r="D16" s="11">
        <f>SUM(1084+1251+1495)</f>
        <v>3830</v>
      </c>
      <c r="E16" s="11">
        <f>SUM(72+90+94)</f>
        <v>256</v>
      </c>
      <c r="F16" s="12">
        <f>D16/E16</f>
        <v>14.9609375</v>
      </c>
      <c r="G16" s="11">
        <v>3</v>
      </c>
      <c r="H16" s="11"/>
      <c r="I16" s="11"/>
      <c r="J16" s="11"/>
      <c r="K16" s="11"/>
      <c r="L16" s="11">
        <v>3.5</v>
      </c>
      <c r="M16" s="13"/>
    </row>
    <row r="17" spans="1:13" ht="18.5" x14ac:dyDescent="0.45">
      <c r="A17" s="3">
        <v>16</v>
      </c>
      <c r="B17" s="9" t="s">
        <v>60</v>
      </c>
      <c r="C17" s="4" t="s">
        <v>26</v>
      </c>
      <c r="D17" s="11">
        <f>SUM(1446+1409+953+1451)</f>
        <v>5259</v>
      </c>
      <c r="E17" s="11">
        <f>SUM(108+84+72+88)</f>
        <v>352</v>
      </c>
      <c r="F17" s="12">
        <f>D17/E17</f>
        <v>14.940340909090908</v>
      </c>
      <c r="G17" s="11">
        <v>4</v>
      </c>
      <c r="H17" s="11"/>
      <c r="I17" s="11"/>
      <c r="J17" s="11"/>
      <c r="K17" s="11"/>
      <c r="L17" s="11">
        <v>6</v>
      </c>
      <c r="M17" s="13"/>
    </row>
    <row r="18" spans="1:13" ht="18.5" x14ac:dyDescent="0.45">
      <c r="A18" s="3">
        <v>17</v>
      </c>
      <c r="B18" s="61" t="s">
        <v>19</v>
      </c>
      <c r="C18" s="4" t="s">
        <v>20</v>
      </c>
      <c r="D18" s="11">
        <f>SUM(1391+1503+1498+1495)</f>
        <v>5887</v>
      </c>
      <c r="E18" s="11">
        <f>SUM(108+83+99+110)</f>
        <v>400</v>
      </c>
      <c r="F18" s="12">
        <f>D18/E18</f>
        <v>14.717499999999999</v>
      </c>
      <c r="G18" s="11">
        <v>4</v>
      </c>
      <c r="H18" s="11">
        <v>3</v>
      </c>
      <c r="I18" s="11"/>
      <c r="J18" s="11"/>
      <c r="K18" s="11"/>
      <c r="L18" s="11">
        <v>16</v>
      </c>
      <c r="M18" s="13">
        <v>15</v>
      </c>
    </row>
    <row r="19" spans="1:13" ht="18.5" x14ac:dyDescent="0.45">
      <c r="A19" s="3">
        <v>18</v>
      </c>
      <c r="B19" s="7" t="s">
        <v>23</v>
      </c>
      <c r="C19" s="4" t="s">
        <v>13</v>
      </c>
      <c r="D19" s="11">
        <f>SUM(1503+1499+1483)</f>
        <v>4485</v>
      </c>
      <c r="E19" s="11">
        <f>SUM(100+99+110)</f>
        <v>309</v>
      </c>
      <c r="F19" s="12">
        <f>D19/E19</f>
        <v>14.514563106796116</v>
      </c>
      <c r="G19" s="11">
        <v>3</v>
      </c>
      <c r="H19" s="11">
        <v>3</v>
      </c>
      <c r="I19" s="11"/>
      <c r="J19" s="11"/>
      <c r="K19" s="11"/>
      <c r="L19" s="11">
        <v>12</v>
      </c>
      <c r="M19" s="13"/>
    </row>
    <row r="20" spans="1:13" ht="18.5" x14ac:dyDescent="0.45">
      <c r="A20" s="3">
        <v>19</v>
      </c>
      <c r="B20" s="7" t="s">
        <v>96</v>
      </c>
      <c r="C20" s="4" t="s">
        <v>73</v>
      </c>
      <c r="D20" s="11">
        <f>SUM(1497+1481)</f>
        <v>2978</v>
      </c>
      <c r="E20" s="11">
        <f>SUM(116+90)</f>
        <v>206</v>
      </c>
      <c r="F20" s="12">
        <f>D20/E20</f>
        <v>14.456310679611651</v>
      </c>
      <c r="G20" s="11">
        <v>2</v>
      </c>
      <c r="H20" s="11">
        <v>2</v>
      </c>
      <c r="I20" s="11"/>
      <c r="J20" s="11"/>
      <c r="K20" s="11"/>
      <c r="L20" s="11">
        <v>5.5</v>
      </c>
      <c r="M20" s="13"/>
    </row>
    <row r="21" spans="1:13" ht="18.5" x14ac:dyDescent="0.45">
      <c r="A21" s="3">
        <v>20</v>
      </c>
      <c r="B21" s="7" t="s">
        <v>68</v>
      </c>
      <c r="C21" s="4" t="s">
        <v>73</v>
      </c>
      <c r="D21" s="11">
        <f>SUM(941+1293+1503+1385)</f>
        <v>5122</v>
      </c>
      <c r="E21" s="11">
        <f>SUM(66+89+95+105)</f>
        <v>355</v>
      </c>
      <c r="F21" s="12">
        <f>D21/E21</f>
        <v>14.428169014084506</v>
      </c>
      <c r="G21" s="11">
        <v>4</v>
      </c>
      <c r="H21" s="11">
        <v>1</v>
      </c>
      <c r="I21" s="11"/>
      <c r="J21" s="11"/>
      <c r="K21" s="11"/>
      <c r="L21" s="11">
        <v>11</v>
      </c>
      <c r="M21" s="13"/>
    </row>
    <row r="22" spans="1:13" ht="18.5" x14ac:dyDescent="0.45">
      <c r="A22" s="3">
        <v>21</v>
      </c>
      <c r="B22" s="60" t="s">
        <v>59</v>
      </c>
      <c r="C22" s="8" t="s">
        <v>26</v>
      </c>
      <c r="D22" s="11">
        <f>SUM(1499+1463+1002+1326)</f>
        <v>5290</v>
      </c>
      <c r="E22" s="11">
        <f>SUM(114+98+80+80)</f>
        <v>372</v>
      </c>
      <c r="F22" s="12">
        <f>D22/E22</f>
        <v>14.220430107526882</v>
      </c>
      <c r="G22" s="11">
        <v>4</v>
      </c>
      <c r="H22" s="11">
        <v>3</v>
      </c>
      <c r="I22" s="11"/>
      <c r="J22" s="11"/>
      <c r="K22" s="11"/>
      <c r="L22" s="11">
        <v>11.5</v>
      </c>
      <c r="M22" s="13">
        <v>10</v>
      </c>
    </row>
    <row r="23" spans="1:13" ht="18.5" x14ac:dyDescent="0.45">
      <c r="A23" s="3">
        <v>22</v>
      </c>
      <c r="B23" s="9" t="s">
        <v>64</v>
      </c>
      <c r="C23" s="7" t="s">
        <v>13</v>
      </c>
      <c r="D23" s="11">
        <f>SUM(1478+1503+1471)</f>
        <v>4452</v>
      </c>
      <c r="E23" s="11">
        <f>SUM(110+97+109)</f>
        <v>316</v>
      </c>
      <c r="F23" s="12">
        <f>D23/E23</f>
        <v>14.088607594936709</v>
      </c>
      <c r="G23" s="11">
        <v>3</v>
      </c>
      <c r="H23" s="11">
        <v>2</v>
      </c>
      <c r="I23" s="11"/>
      <c r="J23" s="11"/>
      <c r="K23" s="11"/>
      <c r="L23" s="11">
        <v>10</v>
      </c>
      <c r="M23" s="13"/>
    </row>
    <row r="24" spans="1:13" ht="18.5" x14ac:dyDescent="0.45">
      <c r="A24" s="3">
        <v>23</v>
      </c>
      <c r="B24" s="15" t="s">
        <v>22</v>
      </c>
      <c r="C24" s="7" t="s">
        <v>20</v>
      </c>
      <c r="D24" s="11">
        <f>SUM(1426+1503+1499+1270)</f>
        <v>5698</v>
      </c>
      <c r="E24" s="11">
        <f>SUM(99+116+108+87)</f>
        <v>410</v>
      </c>
      <c r="F24" s="12">
        <f>D24/E24</f>
        <v>13.897560975609757</v>
      </c>
      <c r="G24" s="11">
        <v>4</v>
      </c>
      <c r="H24" s="11">
        <v>2</v>
      </c>
      <c r="I24" s="11"/>
      <c r="J24" s="11"/>
      <c r="K24" s="11"/>
      <c r="L24" s="11">
        <v>14</v>
      </c>
      <c r="M24" s="13"/>
    </row>
    <row r="25" spans="1:13" ht="18.5" x14ac:dyDescent="0.45">
      <c r="A25" s="3">
        <v>24</v>
      </c>
      <c r="B25" s="14" t="s">
        <v>40</v>
      </c>
      <c r="C25" s="4" t="s">
        <v>16</v>
      </c>
      <c r="D25" s="11">
        <f>SUM(1503+1298+1500)</f>
        <v>4301</v>
      </c>
      <c r="E25" s="11">
        <f>SUM(129+87+96)</f>
        <v>312</v>
      </c>
      <c r="F25" s="12">
        <f>D25/E25</f>
        <v>13.785256410256411</v>
      </c>
      <c r="G25" s="11">
        <v>3</v>
      </c>
      <c r="H25" s="11">
        <v>2</v>
      </c>
      <c r="I25" s="11"/>
      <c r="J25" s="11"/>
      <c r="K25" s="11"/>
      <c r="L25" s="11">
        <v>9.5</v>
      </c>
      <c r="M25" s="13"/>
    </row>
    <row r="26" spans="1:13" ht="18.5" x14ac:dyDescent="0.45">
      <c r="A26" s="3">
        <v>25</v>
      </c>
      <c r="B26" s="15" t="s">
        <v>39</v>
      </c>
      <c r="C26" s="4" t="s">
        <v>15</v>
      </c>
      <c r="D26" s="11">
        <f>SUM(1361+1488+968+1468)</f>
        <v>5285</v>
      </c>
      <c r="E26" s="11">
        <f>SUM(107+98+81+98)</f>
        <v>384</v>
      </c>
      <c r="F26" s="12">
        <f>D26/E26</f>
        <v>13.763020833333334</v>
      </c>
      <c r="G26" s="11">
        <v>4</v>
      </c>
      <c r="H26" s="11">
        <v>3</v>
      </c>
      <c r="I26" s="11"/>
      <c r="J26" s="11"/>
      <c r="K26" s="11"/>
      <c r="L26" s="11">
        <v>13.5</v>
      </c>
      <c r="M26" s="13"/>
    </row>
    <row r="27" spans="1:13" ht="18.5" x14ac:dyDescent="0.45">
      <c r="A27" s="3">
        <v>26</v>
      </c>
      <c r="B27" s="10" t="s">
        <v>41</v>
      </c>
      <c r="C27" s="7" t="s">
        <v>62</v>
      </c>
      <c r="D27" s="11">
        <f>SUM(1443+1326+1271+1316)</f>
        <v>5356</v>
      </c>
      <c r="E27" s="11">
        <f>SUM(102+95+98+96)</f>
        <v>391</v>
      </c>
      <c r="F27" s="12">
        <f>D27/E27</f>
        <v>13.698209718670077</v>
      </c>
      <c r="G27" s="11">
        <v>4</v>
      </c>
      <c r="H27" s="11"/>
      <c r="I27" s="11"/>
      <c r="J27" s="11"/>
      <c r="K27" s="11"/>
      <c r="L27" s="11">
        <v>7</v>
      </c>
      <c r="M27" s="13"/>
    </row>
    <row r="28" spans="1:13" ht="18.5" x14ac:dyDescent="0.45">
      <c r="A28" s="3">
        <v>27</v>
      </c>
      <c r="B28" s="10" t="s">
        <v>30</v>
      </c>
      <c r="C28" s="7" t="s">
        <v>31</v>
      </c>
      <c r="D28" s="11">
        <f>SUM(1369+1280+1318+1495)</f>
        <v>5462</v>
      </c>
      <c r="E28" s="11">
        <f>SUM(92+92+105+111)</f>
        <v>400</v>
      </c>
      <c r="F28" s="12">
        <f>D28/E28</f>
        <v>13.654999999999999</v>
      </c>
      <c r="G28" s="11">
        <v>4</v>
      </c>
      <c r="H28" s="11">
        <v>2</v>
      </c>
      <c r="I28" s="11"/>
      <c r="J28" s="11"/>
      <c r="K28" s="11"/>
      <c r="L28" s="11">
        <v>11.5</v>
      </c>
      <c r="M28" s="13"/>
    </row>
    <row r="29" spans="1:13" ht="18.5" x14ac:dyDescent="0.45">
      <c r="A29" s="3">
        <v>28</v>
      </c>
      <c r="B29" s="15" t="s">
        <v>98</v>
      </c>
      <c r="C29" s="7" t="s">
        <v>94</v>
      </c>
      <c r="D29" s="11">
        <f>SUM(1457+1241+1440)</f>
        <v>4138</v>
      </c>
      <c r="E29" s="11">
        <f>SUM(99+99+114)</f>
        <v>312</v>
      </c>
      <c r="F29" s="12">
        <f>D29/E29</f>
        <v>13.262820512820513</v>
      </c>
      <c r="G29" s="11">
        <v>3</v>
      </c>
      <c r="H29" s="11"/>
      <c r="I29" s="11"/>
      <c r="J29" s="11"/>
      <c r="K29" s="11"/>
      <c r="L29" s="11">
        <v>6</v>
      </c>
      <c r="M29" s="13"/>
    </row>
    <row r="30" spans="1:13" ht="18.5" x14ac:dyDescent="0.45">
      <c r="A30" s="3">
        <v>29</v>
      </c>
      <c r="B30" s="15" t="s">
        <v>34</v>
      </c>
      <c r="C30" s="7" t="s">
        <v>62</v>
      </c>
      <c r="D30" s="11">
        <f>SUM(1357+1211)</f>
        <v>2568</v>
      </c>
      <c r="E30" s="11">
        <f>SUM(105+90)</f>
        <v>195</v>
      </c>
      <c r="F30" s="12">
        <f>D30/E30</f>
        <v>13.169230769230769</v>
      </c>
      <c r="G30" s="11">
        <v>2</v>
      </c>
      <c r="H30" s="11"/>
      <c r="I30" s="11"/>
      <c r="J30" s="11"/>
      <c r="K30" s="11"/>
      <c r="L30" s="11">
        <v>1.5</v>
      </c>
      <c r="M30" s="13"/>
    </row>
    <row r="31" spans="1:13" ht="18.5" x14ac:dyDescent="0.45">
      <c r="A31" s="3">
        <v>30</v>
      </c>
      <c r="B31" s="15" t="s">
        <v>97</v>
      </c>
      <c r="C31" s="7" t="s">
        <v>15</v>
      </c>
      <c r="D31" s="11">
        <f>SUM(1212+1473)</f>
        <v>2685</v>
      </c>
      <c r="E31" s="11">
        <f>SUM(91+113)</f>
        <v>204</v>
      </c>
      <c r="F31" s="12">
        <f>D31/E31</f>
        <v>13.161764705882353</v>
      </c>
      <c r="G31" s="11">
        <v>2</v>
      </c>
      <c r="H31" s="11">
        <v>1</v>
      </c>
      <c r="I31" s="11"/>
      <c r="J31" s="11"/>
      <c r="K31" s="11"/>
      <c r="L31" s="11">
        <v>4.5</v>
      </c>
      <c r="M31" s="13"/>
    </row>
    <row r="32" spans="1:13" ht="18.5" x14ac:dyDescent="0.45">
      <c r="A32" s="3">
        <v>31</v>
      </c>
      <c r="B32" s="15" t="s">
        <v>24</v>
      </c>
      <c r="C32" s="7" t="s">
        <v>12</v>
      </c>
      <c r="D32" s="11">
        <f>SUM(1503+1503+1503+1398)</f>
        <v>5907</v>
      </c>
      <c r="E32" s="11">
        <f>SUM(108+98+101+143)</f>
        <v>450</v>
      </c>
      <c r="F32" s="12">
        <f>D32/E32</f>
        <v>13.126666666666667</v>
      </c>
      <c r="G32" s="11">
        <v>4</v>
      </c>
      <c r="H32" s="11">
        <v>3</v>
      </c>
      <c r="I32" s="11"/>
      <c r="J32" s="11"/>
      <c r="K32" s="11"/>
      <c r="L32" s="11">
        <v>19.5</v>
      </c>
      <c r="M32" s="13"/>
    </row>
    <row r="33" spans="1:13" ht="18.5" x14ac:dyDescent="0.45">
      <c r="A33" s="3">
        <v>32</v>
      </c>
      <c r="B33" s="59" t="s">
        <v>35</v>
      </c>
      <c r="C33" s="7" t="s">
        <v>62</v>
      </c>
      <c r="D33" s="11">
        <f>SUM(1480+1242+1379+1465)</f>
        <v>5566</v>
      </c>
      <c r="E33" s="11">
        <f>SUM(111+87+100+128)</f>
        <v>426</v>
      </c>
      <c r="F33" s="12">
        <f>D33/E33</f>
        <v>13.065727699530516</v>
      </c>
      <c r="G33" s="11">
        <v>4</v>
      </c>
      <c r="H33" s="11">
        <v>2</v>
      </c>
      <c r="I33" s="11"/>
      <c r="J33" s="11"/>
      <c r="K33" s="11"/>
      <c r="L33" s="11">
        <v>8</v>
      </c>
      <c r="M33" s="13"/>
    </row>
    <row r="34" spans="1:13" ht="18.5" x14ac:dyDescent="0.45">
      <c r="A34" s="3">
        <v>33</v>
      </c>
      <c r="B34" s="4" t="s">
        <v>14</v>
      </c>
      <c r="C34" s="7" t="s">
        <v>15</v>
      </c>
      <c r="D34" s="11">
        <f>SUM(1483+1501+1503+1497)</f>
        <v>5984</v>
      </c>
      <c r="E34" s="11">
        <f>SUM(111+96+127+125)</f>
        <v>459</v>
      </c>
      <c r="F34" s="12">
        <f>D34/E34</f>
        <v>13.037037037037036</v>
      </c>
      <c r="G34" s="11">
        <v>4</v>
      </c>
      <c r="H34" s="11">
        <v>3</v>
      </c>
      <c r="I34" s="11"/>
      <c r="J34" s="11"/>
      <c r="K34" s="11"/>
      <c r="L34" s="11">
        <v>16.5</v>
      </c>
      <c r="M34" s="13"/>
    </row>
    <row r="35" spans="1:13" ht="18.5" x14ac:dyDescent="0.45">
      <c r="A35" s="3">
        <v>34</v>
      </c>
      <c r="B35" s="4" t="s">
        <v>67</v>
      </c>
      <c r="C35" s="4" t="s">
        <v>16</v>
      </c>
      <c r="D35" s="11">
        <f>SUM(1501+1503+1225)</f>
        <v>4229</v>
      </c>
      <c r="E35" s="11">
        <f>SUM(148+104+75)</f>
        <v>327</v>
      </c>
      <c r="F35" s="12">
        <f>D35/E35</f>
        <v>12.932721712538227</v>
      </c>
      <c r="G35" s="11">
        <v>3</v>
      </c>
      <c r="H35" s="11">
        <v>2</v>
      </c>
      <c r="I35" s="11"/>
      <c r="J35" s="11"/>
      <c r="K35" s="11"/>
      <c r="L35" s="11">
        <v>8.5</v>
      </c>
      <c r="M35" s="13"/>
    </row>
    <row r="36" spans="1:13" ht="18.5" x14ac:dyDescent="0.45">
      <c r="A36" s="3">
        <v>35</v>
      </c>
      <c r="B36" s="14" t="s">
        <v>70</v>
      </c>
      <c r="C36" s="4" t="s">
        <v>73</v>
      </c>
      <c r="D36" s="11">
        <f>SUM(1359+1497+1412)</f>
        <v>4268</v>
      </c>
      <c r="E36" s="11">
        <f>SUM(110+135+87)</f>
        <v>332</v>
      </c>
      <c r="F36" s="12">
        <f>D36/E36</f>
        <v>12.855421686746988</v>
      </c>
      <c r="G36" s="11">
        <v>3</v>
      </c>
      <c r="H36" s="11">
        <v>1</v>
      </c>
      <c r="I36" s="11"/>
      <c r="J36" s="11"/>
      <c r="K36" s="11"/>
      <c r="L36" s="11">
        <v>7.5</v>
      </c>
      <c r="M36" s="13"/>
    </row>
    <row r="37" spans="1:13" ht="18.5" x14ac:dyDescent="0.45">
      <c r="A37" s="3">
        <v>36</v>
      </c>
      <c r="B37" s="14" t="s">
        <v>29</v>
      </c>
      <c r="C37" s="4" t="s">
        <v>20</v>
      </c>
      <c r="D37" s="11">
        <f>SUM(1301+1503+1503+1465)</f>
        <v>5772</v>
      </c>
      <c r="E37" s="11">
        <f>SUM(96+110+161+88)</f>
        <v>455</v>
      </c>
      <c r="F37" s="12">
        <f>D37/E37</f>
        <v>12.685714285714285</v>
      </c>
      <c r="G37" s="11">
        <v>4</v>
      </c>
      <c r="H37" s="11">
        <v>3</v>
      </c>
      <c r="I37" s="11"/>
      <c r="J37" s="11"/>
      <c r="K37" s="11"/>
      <c r="L37" s="11">
        <v>16.5</v>
      </c>
      <c r="M37" s="13"/>
    </row>
    <row r="38" spans="1:13" ht="18.5" x14ac:dyDescent="0.45">
      <c r="A38" s="3">
        <v>37</v>
      </c>
      <c r="B38" s="14" t="s">
        <v>33</v>
      </c>
      <c r="C38" s="4" t="s">
        <v>26</v>
      </c>
      <c r="D38" s="11">
        <f>SUM(1311+1257+1471+1499)</f>
        <v>5538</v>
      </c>
      <c r="E38" s="11">
        <f>SUM(84+98+123+139)</f>
        <v>444</v>
      </c>
      <c r="F38" s="12">
        <f>D38/E38</f>
        <v>12.472972972972974</v>
      </c>
      <c r="G38" s="11">
        <v>4</v>
      </c>
      <c r="H38" s="11">
        <v>1</v>
      </c>
      <c r="I38" s="11"/>
      <c r="J38" s="11"/>
      <c r="K38" s="11"/>
      <c r="L38" s="11">
        <v>6.5</v>
      </c>
      <c r="M38" s="13"/>
    </row>
    <row r="39" spans="1:13" ht="18.5" x14ac:dyDescent="0.45">
      <c r="A39" s="3">
        <v>38</v>
      </c>
      <c r="B39" s="14" t="s">
        <v>61</v>
      </c>
      <c r="C39" s="4" t="s">
        <v>26</v>
      </c>
      <c r="D39" s="11">
        <f>SUM(1332+1457+1481+1441)</f>
        <v>5711</v>
      </c>
      <c r="E39" s="11">
        <f>SUM(102+131+110+117)</f>
        <v>460</v>
      </c>
      <c r="F39" s="12">
        <f>D39/E39</f>
        <v>12.415217391304347</v>
      </c>
      <c r="G39" s="11">
        <v>4</v>
      </c>
      <c r="H39" s="11">
        <v>1</v>
      </c>
      <c r="I39" s="11"/>
      <c r="J39" s="11"/>
      <c r="K39" s="11"/>
      <c r="L39" s="11">
        <v>7</v>
      </c>
      <c r="M39" s="13"/>
    </row>
    <row r="40" spans="1:13" ht="18.5" x14ac:dyDescent="0.45">
      <c r="A40" s="3">
        <v>39</v>
      </c>
      <c r="B40" s="4" t="s">
        <v>75</v>
      </c>
      <c r="C40" s="4" t="s">
        <v>73</v>
      </c>
      <c r="D40" s="11">
        <f>SUM(1499+1275+1131)</f>
        <v>3905</v>
      </c>
      <c r="E40" s="11">
        <f>SUM(123+99+96)</f>
        <v>318</v>
      </c>
      <c r="F40" s="12">
        <f>D40/E40</f>
        <v>12.279874213836479</v>
      </c>
      <c r="G40" s="11">
        <v>3</v>
      </c>
      <c r="H40" s="11">
        <v>2</v>
      </c>
      <c r="I40" s="11"/>
      <c r="J40" s="11"/>
      <c r="K40" s="11"/>
      <c r="L40" s="11">
        <v>5</v>
      </c>
      <c r="M40" s="13"/>
    </row>
    <row r="41" spans="1:13" ht="18.5" x14ac:dyDescent="0.45">
      <c r="A41" s="3">
        <v>40</v>
      </c>
      <c r="B41" s="4" t="s">
        <v>74</v>
      </c>
      <c r="C41" s="4" t="s">
        <v>12</v>
      </c>
      <c r="D41" s="11">
        <f>SUM(1479+1459+1501+1503)</f>
        <v>5942</v>
      </c>
      <c r="E41" s="11">
        <f>SUM(110+116+147+118)</f>
        <v>491</v>
      </c>
      <c r="F41" s="12">
        <f>D41/E41</f>
        <v>12.101832993890021</v>
      </c>
      <c r="G41" s="11">
        <v>4</v>
      </c>
      <c r="H41" s="11">
        <v>2</v>
      </c>
      <c r="I41" s="11"/>
      <c r="J41" s="11"/>
      <c r="K41" s="11"/>
      <c r="L41" s="11">
        <v>17</v>
      </c>
      <c r="M41" s="13"/>
    </row>
    <row r="42" spans="1:13" ht="18.5" x14ac:dyDescent="0.45">
      <c r="A42" s="3">
        <v>41</v>
      </c>
      <c r="B42" s="4" t="s">
        <v>71</v>
      </c>
      <c r="C42" s="7" t="s">
        <v>76</v>
      </c>
      <c r="D42" s="11">
        <f>SUM(1501+1174+1489)</f>
        <v>4164</v>
      </c>
      <c r="E42" s="11">
        <f>SUM(156+81+108)</f>
        <v>345</v>
      </c>
      <c r="F42" s="12">
        <f>D42/E42</f>
        <v>12.069565217391304</v>
      </c>
      <c r="G42" s="11">
        <v>3</v>
      </c>
      <c r="H42" s="11">
        <v>2</v>
      </c>
      <c r="I42" s="11"/>
      <c r="J42" s="11"/>
      <c r="K42" s="11"/>
      <c r="L42" s="11">
        <v>7</v>
      </c>
      <c r="M42" s="13"/>
    </row>
    <row r="43" spans="1:13" ht="18.5" x14ac:dyDescent="0.45">
      <c r="A43" s="3">
        <v>42</v>
      </c>
      <c r="B43" s="14" t="s">
        <v>37</v>
      </c>
      <c r="C43" s="4" t="s">
        <v>76</v>
      </c>
      <c r="D43" s="11">
        <f>SUM(1487+1270+1281)</f>
        <v>4038</v>
      </c>
      <c r="E43" s="11">
        <f>SUM(142+105+93)</f>
        <v>340</v>
      </c>
      <c r="F43" s="12">
        <f>D43/E43</f>
        <v>11.876470588235295</v>
      </c>
      <c r="G43" s="11">
        <v>3</v>
      </c>
      <c r="H43" s="11"/>
      <c r="I43" s="11"/>
      <c r="J43" s="11"/>
      <c r="K43" s="11"/>
      <c r="L43" s="11">
        <v>3</v>
      </c>
      <c r="M43" s="13"/>
    </row>
    <row r="44" spans="1:13" ht="18.5" x14ac:dyDescent="0.45">
      <c r="A44" s="3">
        <v>43</v>
      </c>
      <c r="B44" s="14" t="s">
        <v>36</v>
      </c>
      <c r="C44" s="4" t="s">
        <v>76</v>
      </c>
      <c r="D44" s="11">
        <f>SUM(1372+1316+996)</f>
        <v>3684</v>
      </c>
      <c r="E44" s="11">
        <f>SUM(123+111+87)</f>
        <v>321</v>
      </c>
      <c r="F44" s="12">
        <f>D44/E44</f>
        <v>11.476635514018692</v>
      </c>
      <c r="G44" s="11">
        <v>3</v>
      </c>
      <c r="H44" s="11"/>
      <c r="I44" s="11"/>
      <c r="J44" s="11"/>
      <c r="K44" s="11"/>
      <c r="L44" s="11">
        <v>2.5</v>
      </c>
      <c r="M44" s="13"/>
    </row>
    <row r="45" spans="1:13" ht="18.5" x14ac:dyDescent="0.45">
      <c r="A45" s="3">
        <v>44</v>
      </c>
      <c r="B45" s="14" t="s">
        <v>95</v>
      </c>
      <c r="C45" s="4" t="s">
        <v>94</v>
      </c>
      <c r="D45" s="11">
        <f>SUM(1455+1482+1452)</f>
        <v>4389</v>
      </c>
      <c r="E45" s="11">
        <f>SUM(129+147+107)</f>
        <v>383</v>
      </c>
      <c r="F45" s="12">
        <f>D45/E45</f>
        <v>11.459530026109661</v>
      </c>
      <c r="G45" s="11">
        <v>3</v>
      </c>
      <c r="H45" s="11"/>
      <c r="I45" s="11"/>
      <c r="J45" s="11"/>
      <c r="K45" s="11"/>
      <c r="L45" s="11">
        <v>5</v>
      </c>
      <c r="M45" s="13"/>
    </row>
    <row r="46" spans="1:13" ht="18.5" x14ac:dyDescent="0.45">
      <c r="A46" s="3">
        <v>45</v>
      </c>
      <c r="B46" s="14" t="s">
        <v>65</v>
      </c>
      <c r="C46" s="4" t="s">
        <v>16</v>
      </c>
      <c r="D46" s="11">
        <f>SUM(1337+1489+1467)</f>
        <v>4293</v>
      </c>
      <c r="E46" s="11">
        <f>SUM(150+138+111)</f>
        <v>399</v>
      </c>
      <c r="F46" s="12">
        <f>D46/E46</f>
        <v>10.759398496240602</v>
      </c>
      <c r="G46" s="11">
        <v>3</v>
      </c>
      <c r="H46" s="11"/>
      <c r="I46" s="11"/>
      <c r="J46" s="11"/>
      <c r="K46" s="11"/>
      <c r="L46" s="11">
        <v>6.5</v>
      </c>
      <c r="M46" s="13">
        <v>5</v>
      </c>
    </row>
    <row r="47" spans="1:13" ht="18.5" x14ac:dyDescent="0.45">
      <c r="A47" s="3">
        <v>46</v>
      </c>
      <c r="B47" s="4" t="s">
        <v>18</v>
      </c>
      <c r="C47" s="4" t="s">
        <v>15</v>
      </c>
      <c r="D47" s="11">
        <f>SUM(1267+1491)</f>
        <v>2758</v>
      </c>
      <c r="E47" s="11">
        <f>SUM(121+139)</f>
        <v>260</v>
      </c>
      <c r="F47" s="12">
        <f>D47/E47</f>
        <v>10.607692307692307</v>
      </c>
      <c r="G47" s="11">
        <v>2</v>
      </c>
      <c r="H47" s="11">
        <v>1</v>
      </c>
      <c r="I47" s="11"/>
      <c r="J47" s="11"/>
      <c r="K47" s="11"/>
      <c r="L47" s="11">
        <v>8.5</v>
      </c>
      <c r="M47" s="13"/>
    </row>
    <row r="48" spans="1:13" ht="18.5" x14ac:dyDescent="0.45">
      <c r="A48" s="3">
        <v>47</v>
      </c>
      <c r="B48" s="14" t="s">
        <v>93</v>
      </c>
      <c r="C48" s="4" t="s">
        <v>62</v>
      </c>
      <c r="D48" s="11">
        <f>SUM(1476+1440)</f>
        <v>2916</v>
      </c>
      <c r="E48" s="11">
        <f>SUM(156+138)</f>
        <v>294</v>
      </c>
      <c r="F48" s="12">
        <f>D48/E48</f>
        <v>9.9183673469387763</v>
      </c>
      <c r="G48" s="11">
        <v>2</v>
      </c>
      <c r="H48" s="11"/>
      <c r="I48" s="11"/>
      <c r="J48" s="11"/>
      <c r="K48" s="11"/>
      <c r="L48" s="11">
        <v>2</v>
      </c>
      <c r="M48" s="13"/>
    </row>
    <row r="49" spans="1:18" ht="17.25" customHeight="1" thickBot="1" x14ac:dyDescent="0.5">
      <c r="A49" s="5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</row>
    <row r="50" spans="1:18" ht="19.5" customHeight="1" thickBot="1" x14ac:dyDescent="0.5">
      <c r="A50" s="5"/>
      <c r="B50" s="33" t="s">
        <v>110</v>
      </c>
      <c r="C50" s="58" t="s">
        <v>42</v>
      </c>
      <c r="D50" s="57" t="s">
        <v>43</v>
      </c>
      <c r="E50" s="57" t="s">
        <v>87</v>
      </c>
      <c r="F50" s="56" t="s">
        <v>44</v>
      </c>
      <c r="G50" s="55" t="s">
        <v>86</v>
      </c>
      <c r="I50" s="38" t="s">
        <v>45</v>
      </c>
      <c r="J50" s="39"/>
      <c r="K50" s="39"/>
      <c r="L50" s="39"/>
      <c r="M50" s="39"/>
      <c r="N50" s="39"/>
      <c r="O50" s="39"/>
      <c r="P50" s="39"/>
      <c r="Q50" s="39"/>
      <c r="R50" s="40"/>
    </row>
    <row r="51" spans="1:18" ht="18.5" x14ac:dyDescent="0.45">
      <c r="A51" s="5"/>
      <c r="B51" s="50"/>
      <c r="C51" s="54" t="s">
        <v>52</v>
      </c>
      <c r="D51" s="53">
        <v>4</v>
      </c>
      <c r="E51" s="52">
        <v>0</v>
      </c>
      <c r="F51" s="52">
        <v>68</v>
      </c>
      <c r="G51" s="51">
        <v>5</v>
      </c>
      <c r="I51" s="43" t="s">
        <v>46</v>
      </c>
      <c r="J51" s="44"/>
      <c r="K51" s="44"/>
      <c r="L51" s="44"/>
      <c r="M51" s="44"/>
      <c r="N51" s="41" t="s">
        <v>109</v>
      </c>
      <c r="O51" s="41"/>
      <c r="P51" s="41"/>
      <c r="Q51" s="41"/>
      <c r="R51" s="42"/>
    </row>
    <row r="52" spans="1:18" ht="18.5" x14ac:dyDescent="0.45">
      <c r="A52" s="5"/>
      <c r="B52" s="50"/>
      <c r="C52" s="17" t="s">
        <v>47</v>
      </c>
      <c r="D52" s="22">
        <v>4</v>
      </c>
      <c r="E52" s="22">
        <v>0</v>
      </c>
      <c r="F52" s="22">
        <v>65</v>
      </c>
      <c r="G52" s="28">
        <v>7</v>
      </c>
      <c r="I52" s="45" t="s">
        <v>48</v>
      </c>
      <c r="J52" s="46"/>
      <c r="K52" s="46"/>
      <c r="L52" s="46"/>
      <c r="M52" s="46"/>
      <c r="N52" s="36" t="s">
        <v>108</v>
      </c>
      <c r="O52" s="36"/>
      <c r="P52" s="36"/>
      <c r="Q52" s="36"/>
      <c r="R52" s="37"/>
    </row>
    <row r="53" spans="1:18" ht="18.5" x14ac:dyDescent="0.45">
      <c r="A53" s="5"/>
      <c r="B53" s="50"/>
      <c r="C53" s="17" t="s">
        <v>57</v>
      </c>
      <c r="D53" s="22">
        <v>3</v>
      </c>
      <c r="E53" s="11">
        <v>1</v>
      </c>
      <c r="F53" s="11">
        <v>64</v>
      </c>
      <c r="G53" s="28">
        <v>9</v>
      </c>
      <c r="I53" s="45" t="s">
        <v>50</v>
      </c>
      <c r="J53" s="46"/>
      <c r="K53" s="46"/>
      <c r="L53" s="46"/>
      <c r="M53" s="46"/>
      <c r="N53" s="36" t="s">
        <v>106</v>
      </c>
      <c r="O53" s="36"/>
      <c r="P53" s="36"/>
      <c r="Q53" s="36"/>
      <c r="R53" s="37"/>
    </row>
    <row r="54" spans="1:18" ht="18.5" x14ac:dyDescent="0.45">
      <c r="A54" s="6"/>
      <c r="B54" s="50"/>
      <c r="C54" s="17" t="s">
        <v>49</v>
      </c>
      <c r="D54" s="22">
        <v>3</v>
      </c>
      <c r="E54" s="11">
        <v>1</v>
      </c>
      <c r="F54" s="11">
        <v>57</v>
      </c>
      <c r="G54" s="28">
        <v>6</v>
      </c>
      <c r="I54" s="45" t="s">
        <v>51</v>
      </c>
      <c r="J54" s="46"/>
      <c r="K54" s="46"/>
      <c r="L54" s="46"/>
      <c r="M54" s="46"/>
      <c r="N54" s="36" t="s">
        <v>107</v>
      </c>
      <c r="O54" s="36"/>
      <c r="P54" s="36"/>
      <c r="Q54" s="36"/>
      <c r="R54" s="37"/>
    </row>
    <row r="55" spans="1:18" ht="18" customHeight="1" x14ac:dyDescent="0.45">
      <c r="A55" s="6"/>
      <c r="B55" s="50"/>
      <c r="C55" s="17" t="s">
        <v>56</v>
      </c>
      <c r="D55" s="22">
        <v>3</v>
      </c>
      <c r="E55" s="11">
        <v>0</v>
      </c>
      <c r="F55" s="11">
        <v>45</v>
      </c>
      <c r="G55" s="28">
        <v>3</v>
      </c>
      <c r="I55" s="45" t="s">
        <v>53</v>
      </c>
      <c r="J55" s="46"/>
      <c r="K55" s="46"/>
      <c r="L55" s="46"/>
      <c r="M55" s="46"/>
      <c r="N55" s="36" t="s">
        <v>106</v>
      </c>
      <c r="O55" s="36"/>
      <c r="P55" s="36"/>
      <c r="Q55" s="36"/>
      <c r="R55" s="37"/>
    </row>
    <row r="56" spans="1:18" ht="18" customHeight="1" thickBot="1" x14ac:dyDescent="0.5">
      <c r="A56" s="6"/>
      <c r="B56" s="50"/>
      <c r="C56" s="17" t="s">
        <v>66</v>
      </c>
      <c r="D56" s="22">
        <v>1</v>
      </c>
      <c r="E56" s="11">
        <v>3</v>
      </c>
      <c r="F56" s="11">
        <v>39</v>
      </c>
      <c r="G56" s="28">
        <v>8</v>
      </c>
      <c r="I56" s="31" t="s">
        <v>54</v>
      </c>
      <c r="J56" s="32"/>
      <c r="K56" s="32"/>
      <c r="L56" s="32"/>
      <c r="M56" s="32"/>
      <c r="N56" s="36" t="s">
        <v>89</v>
      </c>
      <c r="O56" s="36"/>
      <c r="P56" s="36"/>
      <c r="Q56" s="36"/>
      <c r="R56" s="37"/>
    </row>
    <row r="57" spans="1:18" ht="18.5" x14ac:dyDescent="0.45">
      <c r="A57" s="6"/>
      <c r="B57" s="50"/>
      <c r="C57" s="17" t="s">
        <v>55</v>
      </c>
      <c r="D57" s="22">
        <v>1</v>
      </c>
      <c r="E57" s="22">
        <v>2</v>
      </c>
      <c r="F57" s="22">
        <v>36</v>
      </c>
      <c r="G57" s="28">
        <v>2</v>
      </c>
      <c r="H57" s="6"/>
      <c r="I57" s="6"/>
    </row>
    <row r="58" spans="1:18" ht="18.5" x14ac:dyDescent="0.45">
      <c r="A58" s="6"/>
      <c r="B58" s="50"/>
      <c r="C58" s="17" t="s">
        <v>88</v>
      </c>
      <c r="D58" s="23">
        <v>1</v>
      </c>
      <c r="E58" s="23">
        <v>2</v>
      </c>
      <c r="F58" s="23">
        <v>30</v>
      </c>
      <c r="G58" s="28">
        <v>1</v>
      </c>
      <c r="H58" s="6"/>
    </row>
    <row r="59" spans="1:18" ht="19" thickBot="1" x14ac:dyDescent="0.5">
      <c r="B59" s="50"/>
      <c r="C59" s="48" t="s">
        <v>77</v>
      </c>
      <c r="D59" s="47">
        <v>0</v>
      </c>
      <c r="E59" s="47">
        <v>3</v>
      </c>
      <c r="F59" s="47">
        <v>16</v>
      </c>
      <c r="G59" s="29">
        <v>4</v>
      </c>
    </row>
    <row r="60" spans="1:18" ht="18.5" x14ac:dyDescent="0.45">
      <c r="B60" s="50"/>
      <c r="C60" s="18" t="s">
        <v>58</v>
      </c>
      <c r="D60" s="23">
        <v>0</v>
      </c>
      <c r="E60" s="23">
        <v>4</v>
      </c>
      <c r="F60" s="23">
        <v>31</v>
      </c>
      <c r="G60" s="28">
        <v>11</v>
      </c>
    </row>
    <row r="61" spans="1:18" ht="19" thickBot="1" x14ac:dyDescent="0.5">
      <c r="B61" s="49"/>
      <c r="C61" s="17" t="s">
        <v>63</v>
      </c>
      <c r="D61" s="23">
        <v>0</v>
      </c>
      <c r="E61" s="23">
        <v>4</v>
      </c>
      <c r="F61" s="23">
        <v>29</v>
      </c>
      <c r="G61" s="28">
        <v>10</v>
      </c>
    </row>
  </sheetData>
  <mergeCells count="14">
    <mergeCell ref="I52:M52"/>
    <mergeCell ref="I53:M53"/>
    <mergeCell ref="I54:M54"/>
    <mergeCell ref="I55:M55"/>
    <mergeCell ref="I56:M56"/>
    <mergeCell ref="B50:B61"/>
    <mergeCell ref="N56:R56"/>
    <mergeCell ref="I50:R50"/>
    <mergeCell ref="N51:R51"/>
    <mergeCell ref="N52:R52"/>
    <mergeCell ref="N53:R53"/>
    <mergeCell ref="N54:R54"/>
    <mergeCell ref="N55:R55"/>
    <mergeCell ref="I51:M5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EF2F6F-9AAC-4780-85CF-9914E7965817}">
  <dimension ref="A1:R63"/>
  <sheetViews>
    <sheetView workbookViewId="0">
      <pane ySplit="1" topLeftCell="A2" activePane="bottomLeft" state="frozen"/>
      <selection pane="bottomLeft" activeCell="I53" sqref="I53:R56"/>
    </sheetView>
  </sheetViews>
  <sheetFormatPr defaultRowHeight="14.5" x14ac:dyDescent="0.35"/>
  <cols>
    <col min="1" max="1" width="5.453125" bestFit="1" customWidth="1"/>
    <col min="2" max="2" width="23.81640625" bestFit="1" customWidth="1"/>
    <col min="3" max="3" width="31.1796875" bestFit="1" customWidth="1"/>
    <col min="4" max="5" width="10.7265625" bestFit="1" customWidth="1"/>
    <col min="6" max="6" width="7.7265625" bestFit="1" customWidth="1"/>
    <col min="7" max="7" width="12.1796875" bestFit="1" customWidth="1"/>
    <col min="8" max="11" width="5.7265625" customWidth="1"/>
    <col min="12" max="12" width="7.7265625" bestFit="1" customWidth="1"/>
    <col min="13" max="13" width="10.81640625" bestFit="1" customWidth="1"/>
    <col min="18" max="18" width="38.54296875" customWidth="1"/>
  </cols>
  <sheetData>
    <row r="1" spans="1:13" ht="73.5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1" t="s">
        <v>7</v>
      </c>
      <c r="I1" s="1">
        <v>180</v>
      </c>
      <c r="J1" s="1">
        <v>171</v>
      </c>
      <c r="K1" s="1" t="s">
        <v>8</v>
      </c>
      <c r="L1" s="2" t="s">
        <v>9</v>
      </c>
      <c r="M1" s="2" t="s">
        <v>10</v>
      </c>
    </row>
    <row r="2" spans="1:13" ht="18.5" x14ac:dyDescent="0.45">
      <c r="A2" s="3">
        <v>1</v>
      </c>
      <c r="B2" s="4" t="s">
        <v>83</v>
      </c>
      <c r="C2" s="4" t="s">
        <v>15</v>
      </c>
      <c r="D2" s="11">
        <f>SUM(1503+1419+1503+1499+1503)</f>
        <v>7427</v>
      </c>
      <c r="E2" s="11">
        <f>SUM(68+80+79+90+78)</f>
        <v>395</v>
      </c>
      <c r="F2" s="12">
        <f>D2/E2</f>
        <v>18.802531645569619</v>
      </c>
      <c r="G2" s="11">
        <v>5</v>
      </c>
      <c r="H2" s="11">
        <v>5</v>
      </c>
      <c r="I2" s="11"/>
      <c r="J2" s="11"/>
      <c r="K2" s="11"/>
      <c r="L2" s="11">
        <v>23.5</v>
      </c>
      <c r="M2" s="13">
        <v>5</v>
      </c>
    </row>
    <row r="3" spans="1:13" ht="18.5" x14ac:dyDescent="0.45">
      <c r="A3" s="3">
        <v>2</v>
      </c>
      <c r="B3" s="14" t="s">
        <v>100</v>
      </c>
      <c r="C3" s="4" t="s">
        <v>94</v>
      </c>
      <c r="D3" s="11">
        <f>SUM(1343+1469+1241+1495)</f>
        <v>5548</v>
      </c>
      <c r="E3" s="11">
        <f>SUM(84+72+88+75)</f>
        <v>319</v>
      </c>
      <c r="F3" s="12">
        <f>D3/E3</f>
        <v>17.391849529780565</v>
      </c>
      <c r="G3" s="11">
        <v>4</v>
      </c>
      <c r="H3" s="11">
        <v>3</v>
      </c>
      <c r="I3" s="11"/>
      <c r="J3" s="11"/>
      <c r="K3" s="11"/>
      <c r="L3" s="11">
        <v>15.5</v>
      </c>
      <c r="M3" s="13">
        <v>10</v>
      </c>
    </row>
    <row r="4" spans="1:13" ht="18.5" x14ac:dyDescent="0.45">
      <c r="A4" s="3">
        <v>3</v>
      </c>
      <c r="B4" s="4" t="s">
        <v>17</v>
      </c>
      <c r="C4" s="4" t="s">
        <v>13</v>
      </c>
      <c r="D4" s="11">
        <f>SUM(1503+1474+1369+1328)</f>
        <v>5674</v>
      </c>
      <c r="E4" s="11">
        <f>SUM(90+83+84+72)</f>
        <v>329</v>
      </c>
      <c r="F4" s="12">
        <f>D4/E4</f>
        <v>17.246200607902736</v>
      </c>
      <c r="G4" s="11">
        <v>4</v>
      </c>
      <c r="H4" s="11">
        <v>1</v>
      </c>
      <c r="I4" s="11">
        <v>1</v>
      </c>
      <c r="J4" s="11"/>
      <c r="K4" s="11"/>
      <c r="L4" s="11">
        <v>11.5</v>
      </c>
      <c r="M4" s="13"/>
    </row>
    <row r="5" spans="1:13" ht="18.5" x14ac:dyDescent="0.45">
      <c r="A5" s="3">
        <v>4</v>
      </c>
      <c r="B5" s="4" t="s">
        <v>27</v>
      </c>
      <c r="C5" s="7" t="s">
        <v>12</v>
      </c>
      <c r="D5" s="11">
        <f>SUM(1503+1443+1324+1489)</f>
        <v>5759</v>
      </c>
      <c r="E5" s="11">
        <f>SUM(84+101+74+92)</f>
        <v>351</v>
      </c>
      <c r="F5" s="12">
        <f>D5/E5</f>
        <v>16.407407407407408</v>
      </c>
      <c r="G5" s="11">
        <v>4</v>
      </c>
      <c r="H5" s="11">
        <v>3</v>
      </c>
      <c r="I5" s="11"/>
      <c r="J5" s="11"/>
      <c r="K5" s="11"/>
      <c r="L5" s="11">
        <v>15.5</v>
      </c>
      <c r="M5" s="13"/>
    </row>
    <row r="6" spans="1:13" ht="18.5" x14ac:dyDescent="0.45">
      <c r="A6" s="3">
        <v>5</v>
      </c>
      <c r="B6" s="4" t="s">
        <v>25</v>
      </c>
      <c r="C6" s="4" t="s">
        <v>16</v>
      </c>
      <c r="D6" s="11">
        <f>SUM(1503+1493+1467+1500)</f>
        <v>5963</v>
      </c>
      <c r="E6" s="11">
        <f>SUM(80+92+84+111)</f>
        <v>367</v>
      </c>
      <c r="F6" s="12">
        <f>D6/E6</f>
        <v>16.247956403269754</v>
      </c>
      <c r="G6" s="11">
        <v>4</v>
      </c>
      <c r="H6" s="11">
        <v>4</v>
      </c>
      <c r="I6" s="11"/>
      <c r="J6" s="11">
        <v>1</v>
      </c>
      <c r="K6" s="11"/>
      <c r="L6" s="11">
        <v>14</v>
      </c>
      <c r="M6" s="13">
        <v>10</v>
      </c>
    </row>
    <row r="7" spans="1:13" ht="18.5" x14ac:dyDescent="0.45">
      <c r="A7" s="3">
        <v>6</v>
      </c>
      <c r="B7" s="4" t="s">
        <v>11</v>
      </c>
      <c r="C7" s="4" t="s">
        <v>12</v>
      </c>
      <c r="D7" s="11">
        <f>SUM(1503+1441+1493+1416)</f>
        <v>5853</v>
      </c>
      <c r="E7" s="11">
        <f>SUM(102+84+94+84)</f>
        <v>364</v>
      </c>
      <c r="F7" s="12">
        <f>D7/E7</f>
        <v>16.079670329670328</v>
      </c>
      <c r="G7" s="11">
        <v>4</v>
      </c>
      <c r="H7" s="11">
        <v>4</v>
      </c>
      <c r="I7" s="11">
        <v>1</v>
      </c>
      <c r="J7" s="11"/>
      <c r="K7" s="11"/>
      <c r="L7" s="11">
        <v>16</v>
      </c>
      <c r="M7" s="13"/>
    </row>
    <row r="8" spans="1:13" ht="18.5" x14ac:dyDescent="0.45">
      <c r="A8" s="3">
        <v>7</v>
      </c>
      <c r="B8" s="4" t="s">
        <v>21</v>
      </c>
      <c r="C8" s="4" t="s">
        <v>13</v>
      </c>
      <c r="D8" s="11">
        <f>SUM(1503+1470+1503+1457)</f>
        <v>5933</v>
      </c>
      <c r="E8" s="11">
        <f>SUM(105+88+87+90)</f>
        <v>370</v>
      </c>
      <c r="F8" s="12">
        <f>D8/E8</f>
        <v>16.035135135135135</v>
      </c>
      <c r="G8" s="11">
        <v>4</v>
      </c>
      <c r="H8" s="11">
        <v>3</v>
      </c>
      <c r="I8" s="11"/>
      <c r="J8" s="11"/>
      <c r="K8" s="11"/>
      <c r="L8" s="11">
        <v>16</v>
      </c>
      <c r="M8" s="13"/>
    </row>
    <row r="9" spans="1:13" ht="18.5" x14ac:dyDescent="0.45">
      <c r="A9" s="3">
        <v>8</v>
      </c>
      <c r="B9" s="4" t="s">
        <v>116</v>
      </c>
      <c r="C9" s="4" t="s">
        <v>16</v>
      </c>
      <c r="D9" s="11">
        <f>SUM(1503)</f>
        <v>1503</v>
      </c>
      <c r="E9" s="11">
        <f>SUM(94)</f>
        <v>94</v>
      </c>
      <c r="F9" s="12">
        <f>D9/E9</f>
        <v>15.98936170212766</v>
      </c>
      <c r="G9" s="11">
        <v>1</v>
      </c>
      <c r="H9" s="11">
        <v>1</v>
      </c>
      <c r="I9" s="11"/>
      <c r="J9" s="11"/>
      <c r="K9" s="11"/>
      <c r="L9" s="11">
        <v>5.5</v>
      </c>
      <c r="M9" s="13"/>
    </row>
    <row r="10" spans="1:13" ht="18.5" x14ac:dyDescent="0.45">
      <c r="A10" s="3">
        <v>9</v>
      </c>
      <c r="B10" s="4" t="s">
        <v>28</v>
      </c>
      <c r="C10" s="4" t="s">
        <v>62</v>
      </c>
      <c r="D10" s="11">
        <f>SUM(1327+1229+1367+1115+1503)</f>
        <v>6541</v>
      </c>
      <c r="E10" s="11">
        <f>SUM(84+79+89+81+82)</f>
        <v>415</v>
      </c>
      <c r="F10" s="12">
        <f>D10/E10</f>
        <v>15.76144578313253</v>
      </c>
      <c r="G10" s="11">
        <v>5</v>
      </c>
      <c r="H10" s="11">
        <v>3</v>
      </c>
      <c r="I10" s="11"/>
      <c r="J10" s="11"/>
      <c r="K10" s="11">
        <v>1</v>
      </c>
      <c r="L10" s="11">
        <v>15</v>
      </c>
      <c r="M10" s="13">
        <v>10</v>
      </c>
    </row>
    <row r="11" spans="1:13" ht="18.5" x14ac:dyDescent="0.45">
      <c r="A11" s="3">
        <v>10</v>
      </c>
      <c r="B11" s="3" t="s">
        <v>32</v>
      </c>
      <c r="C11" s="4" t="s">
        <v>20</v>
      </c>
      <c r="D11" s="11">
        <f>SUM(1359+1503+1446+1365+1185)</f>
        <v>6858</v>
      </c>
      <c r="E11" s="11">
        <f>SUM(84+96+89+92+77)</f>
        <v>438</v>
      </c>
      <c r="F11" s="12">
        <f>D11/E11</f>
        <v>15.657534246575343</v>
      </c>
      <c r="G11" s="11">
        <v>5</v>
      </c>
      <c r="H11" s="11">
        <v>3</v>
      </c>
      <c r="I11" s="11"/>
      <c r="J11" s="11"/>
      <c r="K11" s="11"/>
      <c r="L11" s="11">
        <v>21</v>
      </c>
      <c r="M11" s="13"/>
    </row>
    <row r="12" spans="1:13" ht="18.5" x14ac:dyDescent="0.45">
      <c r="A12" s="3">
        <v>11</v>
      </c>
      <c r="B12" s="4" t="s">
        <v>78</v>
      </c>
      <c r="C12" s="4" t="s">
        <v>31</v>
      </c>
      <c r="D12" s="11">
        <f>SUM(1501+1503+1503+1503+1436)</f>
        <v>7446</v>
      </c>
      <c r="E12" s="11">
        <f>SUM(113+97+98+75+95)</f>
        <v>478</v>
      </c>
      <c r="F12" s="12">
        <f>D12/E12</f>
        <v>15.577405857740585</v>
      </c>
      <c r="G12" s="11">
        <v>5</v>
      </c>
      <c r="H12" s="11">
        <v>4</v>
      </c>
      <c r="I12" s="11"/>
      <c r="J12" s="11"/>
      <c r="K12" s="11"/>
      <c r="L12" s="11">
        <v>21.5</v>
      </c>
      <c r="M12" s="13">
        <v>5</v>
      </c>
    </row>
    <row r="13" spans="1:13" ht="18.5" x14ac:dyDescent="0.45">
      <c r="A13" s="3">
        <v>12</v>
      </c>
      <c r="B13" s="4" t="s">
        <v>38</v>
      </c>
      <c r="C13" s="4" t="s">
        <v>31</v>
      </c>
      <c r="D13" s="11">
        <f>SUM(1470+1447+1339+1247+1325)</f>
        <v>6828</v>
      </c>
      <c r="E13" s="11">
        <f>SUM(86+78+93+80+107)</f>
        <v>444</v>
      </c>
      <c r="F13" s="12">
        <f>D13/E13</f>
        <v>15.378378378378379</v>
      </c>
      <c r="G13" s="11">
        <v>5</v>
      </c>
      <c r="H13" s="11">
        <v>2</v>
      </c>
      <c r="I13" s="11"/>
      <c r="J13" s="11"/>
      <c r="K13" s="11"/>
      <c r="L13" s="11">
        <v>17</v>
      </c>
      <c r="M13" s="13">
        <v>5</v>
      </c>
    </row>
    <row r="14" spans="1:13" ht="18.5" x14ac:dyDescent="0.45">
      <c r="A14" s="3">
        <v>13</v>
      </c>
      <c r="B14" s="14" t="s">
        <v>72</v>
      </c>
      <c r="C14" s="7" t="s">
        <v>31</v>
      </c>
      <c r="D14" s="11">
        <f>SUM(1503+1475+1503+1447+1483)</f>
        <v>7411</v>
      </c>
      <c r="E14" s="11">
        <f>SUM(102+96+91+98+102)</f>
        <v>489</v>
      </c>
      <c r="F14" s="12">
        <f>D14/E14</f>
        <v>15.155419222903886</v>
      </c>
      <c r="G14" s="11">
        <v>5</v>
      </c>
      <c r="H14" s="11">
        <v>3</v>
      </c>
      <c r="I14" s="11"/>
      <c r="J14" s="11"/>
      <c r="K14" s="11"/>
      <c r="L14" s="11">
        <v>17.5</v>
      </c>
      <c r="M14" s="13"/>
    </row>
    <row r="15" spans="1:13" ht="18.5" x14ac:dyDescent="0.45">
      <c r="A15" s="3">
        <v>14</v>
      </c>
      <c r="B15" s="14" t="s">
        <v>99</v>
      </c>
      <c r="C15" s="4" t="s">
        <v>94</v>
      </c>
      <c r="D15" s="11">
        <f>SUM(1496+1397+1241+1448)</f>
        <v>5582</v>
      </c>
      <c r="E15" s="11">
        <f>SUM(100+91+84+97)</f>
        <v>372</v>
      </c>
      <c r="F15" s="12">
        <f>D15/E15</f>
        <v>15.005376344086022</v>
      </c>
      <c r="G15" s="11">
        <v>4</v>
      </c>
      <c r="H15" s="11">
        <v>1</v>
      </c>
      <c r="I15" s="11"/>
      <c r="J15" s="11"/>
      <c r="K15" s="11"/>
      <c r="L15" s="11">
        <v>9.5</v>
      </c>
      <c r="M15" s="13"/>
    </row>
    <row r="16" spans="1:13" ht="18.5" x14ac:dyDescent="0.45">
      <c r="A16" s="3">
        <v>15</v>
      </c>
      <c r="B16" s="61" t="s">
        <v>19</v>
      </c>
      <c r="C16" s="4" t="s">
        <v>20</v>
      </c>
      <c r="D16" s="11">
        <f>SUM(1391+1503+1498+1495+1471)</f>
        <v>7358</v>
      </c>
      <c r="E16" s="11">
        <f>SUM(108+83+99+110+96)</f>
        <v>496</v>
      </c>
      <c r="F16" s="12">
        <f>D16/E16</f>
        <v>14.834677419354838</v>
      </c>
      <c r="G16" s="11">
        <v>5</v>
      </c>
      <c r="H16" s="11">
        <v>4</v>
      </c>
      <c r="I16" s="11"/>
      <c r="J16" s="11"/>
      <c r="K16" s="11"/>
      <c r="L16" s="11">
        <v>18.5</v>
      </c>
      <c r="M16" s="13">
        <v>15</v>
      </c>
    </row>
    <row r="17" spans="1:13" ht="18.5" x14ac:dyDescent="0.45">
      <c r="A17" s="3">
        <v>16</v>
      </c>
      <c r="B17" s="7" t="s">
        <v>79</v>
      </c>
      <c r="C17" s="4" t="s">
        <v>76</v>
      </c>
      <c r="D17" s="11">
        <f>SUM(1084+1251+1495+1121)</f>
        <v>4951</v>
      </c>
      <c r="E17" s="11">
        <f>SUM(72+90+94+78)</f>
        <v>334</v>
      </c>
      <c r="F17" s="12">
        <f>D17/E17</f>
        <v>14.823353293413174</v>
      </c>
      <c r="G17" s="11">
        <v>4</v>
      </c>
      <c r="H17" s="11"/>
      <c r="I17" s="11"/>
      <c r="J17" s="11"/>
      <c r="K17" s="11"/>
      <c r="L17" s="11">
        <v>5</v>
      </c>
      <c r="M17" s="13"/>
    </row>
    <row r="18" spans="1:13" ht="18.5" x14ac:dyDescent="0.45">
      <c r="A18" s="3">
        <v>17</v>
      </c>
      <c r="B18" s="9" t="s">
        <v>69</v>
      </c>
      <c r="C18" s="4" t="s">
        <v>73</v>
      </c>
      <c r="D18" s="11">
        <f>SUM(1475+1487+1479+1350+1492)</f>
        <v>7283</v>
      </c>
      <c r="E18" s="11">
        <f>SUM(103+99+95+88+109)</f>
        <v>494</v>
      </c>
      <c r="F18" s="12">
        <f>D18/E18</f>
        <v>14.742914979757085</v>
      </c>
      <c r="G18" s="11">
        <v>5</v>
      </c>
      <c r="H18" s="11">
        <v>1</v>
      </c>
      <c r="I18" s="11"/>
      <c r="J18" s="11"/>
      <c r="K18" s="11"/>
      <c r="L18" s="11">
        <v>11.5</v>
      </c>
      <c r="M18" s="13"/>
    </row>
    <row r="19" spans="1:13" ht="18.5" x14ac:dyDescent="0.45">
      <c r="A19" s="3">
        <v>18</v>
      </c>
      <c r="B19" s="7" t="s">
        <v>68</v>
      </c>
      <c r="C19" s="4" t="s">
        <v>73</v>
      </c>
      <c r="D19" s="11">
        <f>SUM(941+1293+1503+1385+1473)</f>
        <v>6595</v>
      </c>
      <c r="E19" s="11">
        <f>SUM(66+89+95+105+96)</f>
        <v>451</v>
      </c>
      <c r="F19" s="12">
        <f>D19/E19</f>
        <v>14.623059866962306</v>
      </c>
      <c r="G19" s="11">
        <v>5</v>
      </c>
      <c r="H19" s="11">
        <v>2</v>
      </c>
      <c r="I19" s="11"/>
      <c r="J19" s="11"/>
      <c r="K19" s="11"/>
      <c r="L19" s="11">
        <v>14.5</v>
      </c>
      <c r="M19" s="13"/>
    </row>
    <row r="20" spans="1:13" ht="18.5" x14ac:dyDescent="0.45">
      <c r="A20" s="3">
        <v>19</v>
      </c>
      <c r="B20" s="9" t="s">
        <v>60</v>
      </c>
      <c r="C20" s="4" t="s">
        <v>26</v>
      </c>
      <c r="D20" s="11">
        <f>SUM(1446+1409+953+1451+1475)</f>
        <v>6734</v>
      </c>
      <c r="E20" s="11">
        <f>SUM(108+84+72+88+112)</f>
        <v>464</v>
      </c>
      <c r="F20" s="12">
        <f>D20/E20</f>
        <v>14.512931034482758</v>
      </c>
      <c r="G20" s="11">
        <v>5</v>
      </c>
      <c r="H20" s="11"/>
      <c r="I20" s="11"/>
      <c r="J20" s="11"/>
      <c r="K20" s="11"/>
      <c r="L20" s="11">
        <v>9</v>
      </c>
      <c r="M20" s="13"/>
    </row>
    <row r="21" spans="1:13" ht="18.5" x14ac:dyDescent="0.45">
      <c r="A21" s="3">
        <v>20</v>
      </c>
      <c r="B21" s="7" t="s">
        <v>96</v>
      </c>
      <c r="C21" s="4" t="s">
        <v>73</v>
      </c>
      <c r="D21" s="11">
        <f>SUM(1497+1481)</f>
        <v>2978</v>
      </c>
      <c r="E21" s="11">
        <f>SUM(116+90)</f>
        <v>206</v>
      </c>
      <c r="F21" s="12">
        <f>D21/E21</f>
        <v>14.456310679611651</v>
      </c>
      <c r="G21" s="11">
        <v>2</v>
      </c>
      <c r="H21" s="11">
        <v>2</v>
      </c>
      <c r="I21" s="11"/>
      <c r="J21" s="11"/>
      <c r="K21" s="11"/>
      <c r="L21" s="11">
        <v>6</v>
      </c>
      <c r="M21" s="13"/>
    </row>
    <row r="22" spans="1:13" ht="18.5" x14ac:dyDescent="0.45">
      <c r="A22" s="3">
        <v>21</v>
      </c>
      <c r="B22" s="19" t="s">
        <v>23</v>
      </c>
      <c r="C22" s="8" t="s">
        <v>13</v>
      </c>
      <c r="D22" s="11">
        <f>SUM(1503+1499+1483+1483)</f>
        <v>5968</v>
      </c>
      <c r="E22" s="11">
        <f>SUM(100+99+110+105)</f>
        <v>414</v>
      </c>
      <c r="F22" s="12">
        <f>D22/E22</f>
        <v>14.415458937198068</v>
      </c>
      <c r="G22" s="11">
        <v>4</v>
      </c>
      <c r="H22" s="11">
        <v>4</v>
      </c>
      <c r="I22" s="11"/>
      <c r="J22" s="11"/>
      <c r="K22" s="11"/>
      <c r="L22" s="11">
        <v>16</v>
      </c>
      <c r="M22" s="13"/>
    </row>
    <row r="23" spans="1:13" ht="18.5" x14ac:dyDescent="0.45">
      <c r="A23" s="3">
        <v>22</v>
      </c>
      <c r="B23" s="9" t="s">
        <v>64</v>
      </c>
      <c r="C23" s="7" t="s">
        <v>13</v>
      </c>
      <c r="D23" s="11">
        <f>SUM(1478+1503+1471+1374)</f>
        <v>5826</v>
      </c>
      <c r="E23" s="11">
        <f>SUM(110+97+109+92)</f>
        <v>408</v>
      </c>
      <c r="F23" s="12">
        <f>D23/E23</f>
        <v>14.279411764705882</v>
      </c>
      <c r="G23" s="11">
        <v>4</v>
      </c>
      <c r="H23" s="11">
        <v>3</v>
      </c>
      <c r="I23" s="11"/>
      <c r="J23" s="11"/>
      <c r="K23" s="11"/>
      <c r="L23" s="11">
        <v>13.5</v>
      </c>
      <c r="M23" s="13"/>
    </row>
    <row r="24" spans="1:13" ht="18.5" x14ac:dyDescent="0.45">
      <c r="A24" s="3">
        <v>23</v>
      </c>
      <c r="B24" s="15" t="s">
        <v>39</v>
      </c>
      <c r="C24" s="7" t="s">
        <v>15</v>
      </c>
      <c r="D24" s="11">
        <f>SUM(1361+1488+968+1468+1403)</f>
        <v>6688</v>
      </c>
      <c r="E24" s="11">
        <f>SUM(107+98+81+98+85)</f>
        <v>469</v>
      </c>
      <c r="F24" s="12">
        <f>D24/E24</f>
        <v>14.260127931769723</v>
      </c>
      <c r="G24" s="11">
        <v>5</v>
      </c>
      <c r="H24" s="11">
        <v>4</v>
      </c>
      <c r="I24" s="11"/>
      <c r="J24" s="11"/>
      <c r="K24" s="11"/>
      <c r="L24" s="11">
        <v>16.5</v>
      </c>
      <c r="M24" s="13"/>
    </row>
    <row r="25" spans="1:13" ht="18.5" x14ac:dyDescent="0.45">
      <c r="A25" s="3">
        <v>24</v>
      </c>
      <c r="B25" s="14" t="s">
        <v>59</v>
      </c>
      <c r="C25" s="4" t="s">
        <v>26</v>
      </c>
      <c r="D25" s="11">
        <f>SUM(1499+1463+1002+1326+1438)</f>
        <v>6728</v>
      </c>
      <c r="E25" s="11">
        <f>SUM(114+98+80+80+104)</f>
        <v>476</v>
      </c>
      <c r="F25" s="12">
        <f>D25/E25</f>
        <v>14.134453781512605</v>
      </c>
      <c r="G25" s="11">
        <v>5</v>
      </c>
      <c r="H25" s="11">
        <v>3</v>
      </c>
      <c r="I25" s="11"/>
      <c r="J25" s="11"/>
      <c r="K25" s="11"/>
      <c r="L25" s="11">
        <v>14</v>
      </c>
      <c r="M25" s="13">
        <v>10</v>
      </c>
    </row>
    <row r="26" spans="1:13" ht="18.5" x14ac:dyDescent="0.45">
      <c r="A26" s="3">
        <v>25</v>
      </c>
      <c r="B26" s="10" t="s">
        <v>30</v>
      </c>
      <c r="C26" s="4" t="s">
        <v>31</v>
      </c>
      <c r="D26" s="11">
        <f>SUM(1369+1280+1318+1495+1487)</f>
        <v>6949</v>
      </c>
      <c r="E26" s="11">
        <f>SUM(92+92+105+111+99)</f>
        <v>499</v>
      </c>
      <c r="F26" s="12">
        <f>D26/E26</f>
        <v>13.925851703406813</v>
      </c>
      <c r="G26" s="11">
        <v>5</v>
      </c>
      <c r="H26" s="11">
        <v>3</v>
      </c>
      <c r="I26" s="11"/>
      <c r="J26" s="11"/>
      <c r="K26" s="11"/>
      <c r="L26" s="11">
        <v>16</v>
      </c>
      <c r="M26" s="13"/>
    </row>
    <row r="27" spans="1:13" ht="18.5" x14ac:dyDescent="0.45">
      <c r="A27" s="3">
        <v>26</v>
      </c>
      <c r="B27" s="15" t="s">
        <v>22</v>
      </c>
      <c r="C27" s="7" t="s">
        <v>20</v>
      </c>
      <c r="D27" s="11">
        <f>SUM(1426+1503+1499+1270+1503)</f>
        <v>7201</v>
      </c>
      <c r="E27" s="11">
        <f>SUM(99+116+108+87+110)</f>
        <v>520</v>
      </c>
      <c r="F27" s="12">
        <f>D27/E27</f>
        <v>13.848076923076922</v>
      </c>
      <c r="G27" s="11">
        <v>5</v>
      </c>
      <c r="H27" s="11">
        <v>3</v>
      </c>
      <c r="I27" s="11"/>
      <c r="J27" s="11"/>
      <c r="K27" s="11"/>
      <c r="L27" s="11">
        <v>18</v>
      </c>
      <c r="M27" s="13"/>
    </row>
    <row r="28" spans="1:13" ht="18.5" x14ac:dyDescent="0.45">
      <c r="A28" s="3">
        <v>27</v>
      </c>
      <c r="B28" s="10" t="s">
        <v>40</v>
      </c>
      <c r="C28" s="7" t="s">
        <v>16</v>
      </c>
      <c r="D28" s="11">
        <f>SUM(1503+1298+1500+1442)</f>
        <v>5743</v>
      </c>
      <c r="E28" s="11">
        <f>SUM(129+87+96+107)</f>
        <v>419</v>
      </c>
      <c r="F28" s="12">
        <f>D28/E28</f>
        <v>13.706443914081145</v>
      </c>
      <c r="G28" s="11">
        <v>4</v>
      </c>
      <c r="H28" s="11">
        <v>3</v>
      </c>
      <c r="I28" s="11"/>
      <c r="J28" s="11"/>
      <c r="K28" s="11"/>
      <c r="L28" s="11">
        <v>12.5</v>
      </c>
      <c r="M28" s="13"/>
    </row>
    <row r="29" spans="1:13" ht="18.5" x14ac:dyDescent="0.45">
      <c r="A29" s="3">
        <v>28</v>
      </c>
      <c r="B29" s="15" t="s">
        <v>97</v>
      </c>
      <c r="C29" s="7" t="s">
        <v>15</v>
      </c>
      <c r="D29" s="11">
        <f>SUM(1212+1473+1483)</f>
        <v>4168</v>
      </c>
      <c r="E29" s="11">
        <f>SUM(91+113+103)</f>
        <v>307</v>
      </c>
      <c r="F29" s="12">
        <f>D29/E29</f>
        <v>13.576547231270359</v>
      </c>
      <c r="G29" s="11">
        <v>3</v>
      </c>
      <c r="H29" s="11">
        <v>1</v>
      </c>
      <c r="I29" s="11"/>
      <c r="J29" s="11"/>
      <c r="K29" s="11"/>
      <c r="L29" s="11">
        <v>6</v>
      </c>
      <c r="M29" s="13"/>
    </row>
    <row r="30" spans="1:13" ht="18.5" x14ac:dyDescent="0.45">
      <c r="A30" s="3">
        <v>29</v>
      </c>
      <c r="B30" s="10" t="s">
        <v>41</v>
      </c>
      <c r="C30" s="7" t="s">
        <v>62</v>
      </c>
      <c r="D30" s="11">
        <f>SUM(1443+1326+1271+1316+1281)</f>
        <v>6637</v>
      </c>
      <c r="E30" s="11">
        <f>SUM(102+95+98+96+99)</f>
        <v>490</v>
      </c>
      <c r="F30" s="12">
        <f>D30/E30</f>
        <v>13.544897959183674</v>
      </c>
      <c r="G30" s="11">
        <v>5</v>
      </c>
      <c r="H30" s="11"/>
      <c r="I30" s="11"/>
      <c r="J30" s="11"/>
      <c r="K30" s="11"/>
      <c r="L30" s="11">
        <v>8.5</v>
      </c>
      <c r="M30" s="13"/>
    </row>
    <row r="31" spans="1:13" ht="18.5" x14ac:dyDescent="0.45">
      <c r="A31" s="3">
        <v>30</v>
      </c>
      <c r="B31" s="15" t="s">
        <v>14</v>
      </c>
      <c r="C31" s="7" t="s">
        <v>15</v>
      </c>
      <c r="D31" s="11">
        <f>SUM(1483+1501+1503+1497+1324)</f>
        <v>7308</v>
      </c>
      <c r="E31" s="11">
        <f>SUM(111+96+127+125+86)</f>
        <v>545</v>
      </c>
      <c r="F31" s="12">
        <f>D31/E31</f>
        <v>13.409174311926606</v>
      </c>
      <c r="G31" s="11">
        <v>5</v>
      </c>
      <c r="H31" s="11">
        <v>3</v>
      </c>
      <c r="I31" s="11"/>
      <c r="J31" s="11"/>
      <c r="K31" s="11"/>
      <c r="L31" s="11">
        <v>19</v>
      </c>
      <c r="M31" s="13"/>
    </row>
    <row r="32" spans="1:13" ht="18.5" x14ac:dyDescent="0.45">
      <c r="A32" s="3">
        <v>31</v>
      </c>
      <c r="B32" s="15" t="s">
        <v>98</v>
      </c>
      <c r="C32" s="7" t="s">
        <v>94</v>
      </c>
      <c r="D32" s="11">
        <f>SUM(1457+1241+1440+1384)</f>
        <v>5522</v>
      </c>
      <c r="E32" s="11">
        <f>SUM(99+99+114+102)</f>
        <v>414</v>
      </c>
      <c r="F32" s="12">
        <f>D32/E32</f>
        <v>13.338164251207729</v>
      </c>
      <c r="G32" s="11">
        <v>4</v>
      </c>
      <c r="H32" s="11"/>
      <c r="I32" s="11"/>
      <c r="J32" s="11"/>
      <c r="K32" s="11"/>
      <c r="L32" s="11">
        <v>8</v>
      </c>
      <c r="M32" s="13"/>
    </row>
    <row r="33" spans="1:13" ht="18.5" x14ac:dyDescent="0.45">
      <c r="A33" s="3">
        <v>32</v>
      </c>
      <c r="B33" s="59" t="s">
        <v>24</v>
      </c>
      <c r="C33" s="7" t="s">
        <v>12</v>
      </c>
      <c r="D33" s="11">
        <f>SUM(1503+1503+1503+1398)</f>
        <v>5907</v>
      </c>
      <c r="E33" s="11">
        <f>SUM(108+98+101+143)</f>
        <v>450</v>
      </c>
      <c r="F33" s="12">
        <f>D33/E33</f>
        <v>13.126666666666667</v>
      </c>
      <c r="G33" s="11">
        <v>4</v>
      </c>
      <c r="H33" s="11">
        <v>3</v>
      </c>
      <c r="I33" s="11"/>
      <c r="J33" s="11"/>
      <c r="K33" s="11"/>
      <c r="L33" s="11">
        <v>19.5</v>
      </c>
      <c r="M33" s="13"/>
    </row>
    <row r="34" spans="1:13" ht="18.5" x14ac:dyDescent="0.45">
      <c r="A34" s="3">
        <v>33</v>
      </c>
      <c r="B34" s="4" t="s">
        <v>35</v>
      </c>
      <c r="C34" s="7" t="s">
        <v>62</v>
      </c>
      <c r="D34" s="11">
        <f>SUM(1480+1242+1379+1465+1503)</f>
        <v>7069</v>
      </c>
      <c r="E34" s="11">
        <f>SUM(111+87+100+128+114)</f>
        <v>540</v>
      </c>
      <c r="F34" s="12">
        <f>D34/E34</f>
        <v>13.09074074074074</v>
      </c>
      <c r="G34" s="11">
        <v>5</v>
      </c>
      <c r="H34" s="11">
        <v>3</v>
      </c>
      <c r="I34" s="11"/>
      <c r="J34" s="11"/>
      <c r="K34" s="11"/>
      <c r="L34" s="11">
        <v>12.5</v>
      </c>
      <c r="M34" s="13"/>
    </row>
    <row r="35" spans="1:13" ht="18.5" x14ac:dyDescent="0.45">
      <c r="A35" s="3">
        <v>34</v>
      </c>
      <c r="B35" s="14" t="s">
        <v>29</v>
      </c>
      <c r="C35" s="4" t="s">
        <v>20</v>
      </c>
      <c r="D35" s="11">
        <f>SUM(1301+1503+1503+1465+1483)</f>
        <v>7255</v>
      </c>
      <c r="E35" s="11">
        <f>SUM(96+110+161+88+101)</f>
        <v>556</v>
      </c>
      <c r="F35" s="12">
        <f>D35/E35</f>
        <v>13.048561151079136</v>
      </c>
      <c r="G35" s="11">
        <v>5</v>
      </c>
      <c r="H35" s="11">
        <v>4</v>
      </c>
      <c r="I35" s="11"/>
      <c r="J35" s="11"/>
      <c r="K35" s="11"/>
      <c r="L35" s="11">
        <v>20.5</v>
      </c>
      <c r="M35" s="13"/>
    </row>
    <row r="36" spans="1:13" ht="18.5" x14ac:dyDescent="0.45">
      <c r="A36" s="3">
        <v>35</v>
      </c>
      <c r="B36" s="14" t="s">
        <v>70</v>
      </c>
      <c r="C36" s="4" t="s">
        <v>73</v>
      </c>
      <c r="D36" s="11">
        <f>SUM(1359+1497+1412+1293)</f>
        <v>5561</v>
      </c>
      <c r="E36" s="11">
        <f>SUM(110+135+87+97)</f>
        <v>429</v>
      </c>
      <c r="F36" s="12">
        <f>D36/E36</f>
        <v>12.962703962703962</v>
      </c>
      <c r="G36" s="11">
        <v>4</v>
      </c>
      <c r="H36" s="11">
        <v>1</v>
      </c>
      <c r="I36" s="11"/>
      <c r="J36" s="11"/>
      <c r="K36" s="11"/>
      <c r="L36" s="11">
        <v>9</v>
      </c>
      <c r="M36" s="13"/>
    </row>
    <row r="37" spans="1:13" ht="18.5" x14ac:dyDescent="0.45">
      <c r="A37" s="3">
        <v>36</v>
      </c>
      <c r="B37" s="4" t="s">
        <v>71</v>
      </c>
      <c r="C37" s="4" t="s">
        <v>76</v>
      </c>
      <c r="D37" s="11">
        <f>SUM(1501+1174+1489+1503)</f>
        <v>5667</v>
      </c>
      <c r="E37" s="11">
        <f>SUM(156+81+108+103)</f>
        <v>448</v>
      </c>
      <c r="F37" s="12">
        <f>D37/E37</f>
        <v>12.649553571428571</v>
      </c>
      <c r="G37" s="11">
        <v>4</v>
      </c>
      <c r="H37" s="11">
        <v>3</v>
      </c>
      <c r="I37" s="11"/>
      <c r="J37" s="11"/>
      <c r="K37" s="11"/>
      <c r="L37" s="11">
        <v>11.5</v>
      </c>
      <c r="M37" s="13"/>
    </row>
    <row r="38" spans="1:13" ht="18.5" x14ac:dyDescent="0.45">
      <c r="A38" s="3">
        <v>37</v>
      </c>
      <c r="B38" s="4" t="s">
        <v>67</v>
      </c>
      <c r="C38" s="4" t="s">
        <v>16</v>
      </c>
      <c r="D38" s="11">
        <f>SUM(1501+1503+1225+1495)</f>
        <v>5724</v>
      </c>
      <c r="E38" s="11">
        <f>SUM(148+104+75+129)</f>
        <v>456</v>
      </c>
      <c r="F38" s="12">
        <f>D38/E38</f>
        <v>12.552631578947368</v>
      </c>
      <c r="G38" s="11">
        <v>4</v>
      </c>
      <c r="H38" s="11">
        <v>2</v>
      </c>
      <c r="I38" s="11"/>
      <c r="J38" s="11"/>
      <c r="K38" s="11"/>
      <c r="L38" s="11">
        <v>11</v>
      </c>
      <c r="M38" s="13"/>
    </row>
    <row r="39" spans="1:13" ht="18.5" x14ac:dyDescent="0.45">
      <c r="A39" s="3">
        <v>38</v>
      </c>
      <c r="B39" s="14" t="s">
        <v>33</v>
      </c>
      <c r="C39" s="4" t="s">
        <v>26</v>
      </c>
      <c r="D39" s="11">
        <f>SUM(1311+1257+1471+1499)</f>
        <v>5538</v>
      </c>
      <c r="E39" s="11">
        <f>SUM(84+98+123+139)</f>
        <v>444</v>
      </c>
      <c r="F39" s="12">
        <f>D39/E39</f>
        <v>12.472972972972974</v>
      </c>
      <c r="G39" s="11">
        <v>4</v>
      </c>
      <c r="H39" s="11">
        <v>1</v>
      </c>
      <c r="I39" s="11"/>
      <c r="J39" s="11"/>
      <c r="K39" s="11"/>
      <c r="L39" s="11">
        <v>6.5</v>
      </c>
      <c r="M39" s="13"/>
    </row>
    <row r="40" spans="1:13" ht="18.5" x14ac:dyDescent="0.45">
      <c r="A40" s="3">
        <v>39</v>
      </c>
      <c r="B40" s="4" t="s">
        <v>75</v>
      </c>
      <c r="C40" s="4" t="s">
        <v>73</v>
      </c>
      <c r="D40" s="11">
        <f>SUM(1499+1275+1131+1305)</f>
        <v>5210</v>
      </c>
      <c r="E40" s="11">
        <f>SUM(123+99+96+101)</f>
        <v>419</v>
      </c>
      <c r="F40" s="12">
        <f>D40/E40</f>
        <v>12.434367541766109</v>
      </c>
      <c r="G40" s="11">
        <v>4</v>
      </c>
      <c r="H40" s="11">
        <v>2</v>
      </c>
      <c r="I40" s="11"/>
      <c r="J40" s="11"/>
      <c r="K40" s="11"/>
      <c r="L40" s="11">
        <v>7</v>
      </c>
      <c r="M40" s="13"/>
    </row>
    <row r="41" spans="1:13" ht="18.5" x14ac:dyDescent="0.45">
      <c r="A41" s="3">
        <v>40</v>
      </c>
      <c r="B41" s="14" t="s">
        <v>61</v>
      </c>
      <c r="C41" s="4" t="s">
        <v>26</v>
      </c>
      <c r="D41" s="11">
        <f>SUM(1332+1457+1481+1441+1493)</f>
        <v>7204</v>
      </c>
      <c r="E41" s="11">
        <f>SUM(102+131+110+117+131)</f>
        <v>591</v>
      </c>
      <c r="F41" s="12">
        <f>D41/E41</f>
        <v>12.189509306260575</v>
      </c>
      <c r="G41" s="11">
        <v>5</v>
      </c>
      <c r="H41" s="11">
        <v>1</v>
      </c>
      <c r="I41" s="11"/>
      <c r="J41" s="11"/>
      <c r="K41" s="11"/>
      <c r="L41" s="11">
        <v>9</v>
      </c>
      <c r="M41" s="13"/>
    </row>
    <row r="42" spans="1:13" ht="18.5" x14ac:dyDescent="0.45">
      <c r="A42" s="3">
        <v>41</v>
      </c>
      <c r="B42" s="4" t="s">
        <v>74</v>
      </c>
      <c r="C42" s="7" t="s">
        <v>12</v>
      </c>
      <c r="D42" s="11">
        <f>SUM(1479+1459+1501+1503)</f>
        <v>5942</v>
      </c>
      <c r="E42" s="11">
        <f>SUM(110+116+147+118)</f>
        <v>491</v>
      </c>
      <c r="F42" s="12">
        <f>D42/E42</f>
        <v>12.101832993890021</v>
      </c>
      <c r="G42" s="11">
        <v>4</v>
      </c>
      <c r="H42" s="11">
        <v>2</v>
      </c>
      <c r="I42" s="11"/>
      <c r="J42" s="11"/>
      <c r="K42" s="11"/>
      <c r="L42" s="11">
        <v>17</v>
      </c>
      <c r="M42" s="13"/>
    </row>
    <row r="43" spans="1:13" ht="18.5" x14ac:dyDescent="0.45">
      <c r="A43" s="3">
        <v>42</v>
      </c>
      <c r="B43" s="14" t="s">
        <v>95</v>
      </c>
      <c r="C43" s="4" t="s">
        <v>94</v>
      </c>
      <c r="D43" s="11">
        <f>SUM(1455+1482+1452+1434)</f>
        <v>5823</v>
      </c>
      <c r="E43" s="11">
        <f>SUM(129+147+107+101)</f>
        <v>484</v>
      </c>
      <c r="F43" s="12">
        <f>D43/E43</f>
        <v>12.03099173553719</v>
      </c>
      <c r="G43" s="11">
        <v>4</v>
      </c>
      <c r="H43" s="11"/>
      <c r="I43" s="11"/>
      <c r="J43" s="11"/>
      <c r="K43" s="11"/>
      <c r="L43" s="11">
        <v>7</v>
      </c>
      <c r="M43" s="13"/>
    </row>
    <row r="44" spans="1:13" ht="18.5" x14ac:dyDescent="0.45">
      <c r="A44" s="3">
        <v>43</v>
      </c>
      <c r="B44" s="4" t="s">
        <v>34</v>
      </c>
      <c r="C44" s="4" t="s">
        <v>62</v>
      </c>
      <c r="D44" s="11">
        <f>SUM(1357+1211+1501)</f>
        <v>4069</v>
      </c>
      <c r="E44" s="11">
        <f>SUM(105+90+149)</f>
        <v>344</v>
      </c>
      <c r="F44" s="12">
        <f>D44/E44</f>
        <v>11.828488372093023</v>
      </c>
      <c r="G44" s="11">
        <v>3</v>
      </c>
      <c r="H44" s="11">
        <v>1</v>
      </c>
      <c r="I44" s="11"/>
      <c r="J44" s="11"/>
      <c r="K44" s="11"/>
      <c r="L44" s="11">
        <v>5</v>
      </c>
      <c r="M44" s="13"/>
    </row>
    <row r="45" spans="1:13" ht="18.5" x14ac:dyDescent="0.45">
      <c r="A45" s="3">
        <v>44</v>
      </c>
      <c r="B45" s="4" t="s">
        <v>115</v>
      </c>
      <c r="C45" s="4" t="s">
        <v>26</v>
      </c>
      <c r="D45" s="11">
        <f>SUM(1014)</f>
        <v>1014</v>
      </c>
      <c r="E45" s="11">
        <f>SUM(87)</f>
        <v>87</v>
      </c>
      <c r="F45" s="12">
        <f>D45/E45</f>
        <v>11.655172413793103</v>
      </c>
      <c r="G45" s="11">
        <v>1</v>
      </c>
      <c r="H45" s="11"/>
      <c r="I45" s="11"/>
      <c r="J45" s="11"/>
      <c r="K45" s="11"/>
      <c r="L45" s="11">
        <v>0.5</v>
      </c>
      <c r="M45" s="13"/>
    </row>
    <row r="46" spans="1:13" ht="18.5" x14ac:dyDescent="0.45">
      <c r="A46" s="3">
        <v>45</v>
      </c>
      <c r="B46" s="14" t="s">
        <v>36</v>
      </c>
      <c r="C46" s="4" t="s">
        <v>76</v>
      </c>
      <c r="D46" s="11">
        <f>SUM(1372+1316+996+1229)</f>
        <v>4913</v>
      </c>
      <c r="E46" s="11">
        <f>SUM(123+111+87+111)</f>
        <v>432</v>
      </c>
      <c r="F46" s="12">
        <f>D46/E46</f>
        <v>11.372685185185185</v>
      </c>
      <c r="G46" s="11">
        <v>4</v>
      </c>
      <c r="H46" s="11"/>
      <c r="I46" s="11"/>
      <c r="J46" s="11"/>
      <c r="K46" s="11"/>
      <c r="L46" s="11">
        <v>4</v>
      </c>
      <c r="M46" s="13"/>
    </row>
    <row r="47" spans="1:13" ht="18.5" x14ac:dyDescent="0.45">
      <c r="A47" s="3">
        <v>46</v>
      </c>
      <c r="B47" s="14" t="s">
        <v>37</v>
      </c>
      <c r="C47" s="4" t="s">
        <v>76</v>
      </c>
      <c r="D47" s="11">
        <f>SUM(1487+1270+1281+1456)</f>
        <v>5494</v>
      </c>
      <c r="E47" s="11">
        <f>SUM(142+105+93+150)</f>
        <v>490</v>
      </c>
      <c r="F47" s="12">
        <f>D47/E47</f>
        <v>11.212244897959184</v>
      </c>
      <c r="G47" s="11">
        <v>4</v>
      </c>
      <c r="H47" s="11"/>
      <c r="I47" s="11"/>
      <c r="J47" s="11"/>
      <c r="K47" s="11"/>
      <c r="L47" s="11">
        <v>5.5</v>
      </c>
      <c r="M47" s="13"/>
    </row>
    <row r="48" spans="1:13" ht="18.5" x14ac:dyDescent="0.45">
      <c r="A48" s="3">
        <v>47</v>
      </c>
      <c r="B48" s="14" t="s">
        <v>65</v>
      </c>
      <c r="C48" s="4" t="s">
        <v>16</v>
      </c>
      <c r="D48" s="11">
        <f>SUM(1337+1489+1467)</f>
        <v>4293</v>
      </c>
      <c r="E48" s="11">
        <f>SUM(150+138+111)</f>
        <v>399</v>
      </c>
      <c r="F48" s="12">
        <f>D48/E48</f>
        <v>10.759398496240602</v>
      </c>
      <c r="G48" s="11">
        <v>3</v>
      </c>
      <c r="H48" s="11"/>
      <c r="I48" s="11"/>
      <c r="J48" s="11"/>
      <c r="K48" s="11"/>
      <c r="L48" s="11">
        <v>6.5</v>
      </c>
      <c r="M48" s="13">
        <v>5</v>
      </c>
    </row>
    <row r="49" spans="1:18" ht="18.5" x14ac:dyDescent="0.45">
      <c r="A49" s="3">
        <v>48</v>
      </c>
      <c r="B49" s="4" t="s">
        <v>18</v>
      </c>
      <c r="C49" s="4" t="s">
        <v>15</v>
      </c>
      <c r="D49" s="11">
        <f>SUM(1267+1491)</f>
        <v>2758</v>
      </c>
      <c r="E49" s="11">
        <f>SUM(121+139)</f>
        <v>260</v>
      </c>
      <c r="F49" s="12">
        <f>D49/E49</f>
        <v>10.607692307692307</v>
      </c>
      <c r="G49" s="11">
        <v>2</v>
      </c>
      <c r="H49" s="11">
        <v>1</v>
      </c>
      <c r="I49" s="11"/>
      <c r="J49" s="11"/>
      <c r="K49" s="11"/>
      <c r="L49" s="11">
        <v>9</v>
      </c>
      <c r="M49" s="13"/>
    </row>
    <row r="50" spans="1:18" ht="18.5" x14ac:dyDescent="0.45">
      <c r="A50" s="3">
        <v>49</v>
      </c>
      <c r="B50" s="14" t="s">
        <v>93</v>
      </c>
      <c r="C50" s="4" t="s">
        <v>62</v>
      </c>
      <c r="D50" s="11">
        <f>SUM(1476+1440)</f>
        <v>2916</v>
      </c>
      <c r="E50" s="11">
        <f>SUM(156+138)</f>
        <v>294</v>
      </c>
      <c r="F50" s="12">
        <f>D50/E50</f>
        <v>9.9183673469387763</v>
      </c>
      <c r="G50" s="11">
        <v>2</v>
      </c>
      <c r="H50" s="11"/>
      <c r="I50" s="11"/>
      <c r="J50" s="11"/>
      <c r="K50" s="11"/>
      <c r="L50" s="11">
        <v>2</v>
      </c>
      <c r="M50" s="13"/>
    </row>
    <row r="51" spans="1:18" ht="17.25" customHeight="1" thickBot="1" x14ac:dyDescent="0.5">
      <c r="A51" s="5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</row>
    <row r="52" spans="1:18" ht="19.5" customHeight="1" thickBot="1" x14ac:dyDescent="0.5">
      <c r="A52" s="5"/>
      <c r="B52" s="33" t="s">
        <v>114</v>
      </c>
      <c r="C52" s="58" t="s">
        <v>42</v>
      </c>
      <c r="D52" s="57" t="s">
        <v>43</v>
      </c>
      <c r="E52" s="57" t="s">
        <v>87</v>
      </c>
      <c r="F52" s="56" t="s">
        <v>44</v>
      </c>
      <c r="G52" s="55" t="s">
        <v>86</v>
      </c>
      <c r="I52" s="38" t="s">
        <v>45</v>
      </c>
      <c r="J52" s="39"/>
      <c r="K52" s="39"/>
      <c r="L52" s="39"/>
      <c r="M52" s="39"/>
      <c r="N52" s="39"/>
      <c r="O52" s="39"/>
      <c r="P52" s="39"/>
      <c r="Q52" s="39"/>
      <c r="R52" s="40"/>
    </row>
    <row r="53" spans="1:18" ht="19" thickBot="1" x14ac:dyDescent="0.5">
      <c r="A53" s="5"/>
      <c r="B53" s="50"/>
      <c r="C53" s="17" t="s">
        <v>47</v>
      </c>
      <c r="D53" s="22">
        <v>5</v>
      </c>
      <c r="E53" s="22">
        <v>0</v>
      </c>
      <c r="F53" s="22">
        <v>77</v>
      </c>
      <c r="G53" s="28">
        <v>7</v>
      </c>
      <c r="I53" s="43" t="s">
        <v>46</v>
      </c>
      <c r="J53" s="44"/>
      <c r="K53" s="44"/>
      <c r="L53" s="44"/>
      <c r="M53" s="44"/>
      <c r="N53" s="41" t="s">
        <v>113</v>
      </c>
      <c r="O53" s="41"/>
      <c r="P53" s="41"/>
      <c r="Q53" s="41"/>
      <c r="R53" s="42"/>
    </row>
    <row r="54" spans="1:18" ht="18.5" x14ac:dyDescent="0.45">
      <c r="A54" s="5"/>
      <c r="B54" s="50"/>
      <c r="C54" s="54" t="s">
        <v>52</v>
      </c>
      <c r="D54" s="53">
        <v>4</v>
      </c>
      <c r="E54" s="52">
        <v>0</v>
      </c>
      <c r="F54" s="52">
        <v>68</v>
      </c>
      <c r="G54" s="51">
        <v>5</v>
      </c>
      <c r="I54" s="45" t="s">
        <v>48</v>
      </c>
      <c r="J54" s="46"/>
      <c r="K54" s="46"/>
      <c r="L54" s="46"/>
      <c r="M54" s="46"/>
      <c r="N54" s="36" t="s">
        <v>112</v>
      </c>
      <c r="O54" s="36"/>
      <c r="P54" s="36"/>
      <c r="Q54" s="36"/>
      <c r="R54" s="37"/>
    </row>
    <row r="55" spans="1:18" ht="18.5" x14ac:dyDescent="0.45">
      <c r="A55" s="5"/>
      <c r="B55" s="50"/>
      <c r="C55" s="17" t="s">
        <v>57</v>
      </c>
      <c r="D55" s="22">
        <v>4</v>
      </c>
      <c r="E55" s="11">
        <v>1</v>
      </c>
      <c r="F55" s="11">
        <v>78</v>
      </c>
      <c r="G55" s="28">
        <v>9</v>
      </c>
      <c r="I55" s="45" t="s">
        <v>50</v>
      </c>
      <c r="J55" s="46"/>
      <c r="K55" s="46"/>
      <c r="L55" s="46"/>
      <c r="M55" s="46"/>
      <c r="N55" s="36" t="s">
        <v>102</v>
      </c>
      <c r="O55" s="36"/>
      <c r="P55" s="36"/>
      <c r="Q55" s="36"/>
      <c r="R55" s="37"/>
    </row>
    <row r="56" spans="1:18" ht="18.5" x14ac:dyDescent="0.45">
      <c r="A56" s="6"/>
      <c r="B56" s="50"/>
      <c r="C56" s="17" t="s">
        <v>49</v>
      </c>
      <c r="D56" s="22">
        <v>4</v>
      </c>
      <c r="E56" s="11">
        <v>1</v>
      </c>
      <c r="F56" s="11">
        <v>72</v>
      </c>
      <c r="G56" s="28">
        <v>6</v>
      </c>
      <c r="I56" s="45" t="s">
        <v>51</v>
      </c>
      <c r="J56" s="46"/>
      <c r="K56" s="46"/>
      <c r="L56" s="46"/>
      <c r="M56" s="46"/>
      <c r="N56" s="36" t="s">
        <v>111</v>
      </c>
      <c r="O56" s="36"/>
      <c r="P56" s="36"/>
      <c r="Q56" s="36"/>
      <c r="R56" s="37"/>
    </row>
    <row r="57" spans="1:18" ht="18" customHeight="1" x14ac:dyDescent="0.45">
      <c r="A57" s="6"/>
      <c r="B57" s="50"/>
      <c r="C57" s="17" t="s">
        <v>56</v>
      </c>
      <c r="D57" s="22">
        <v>3</v>
      </c>
      <c r="E57" s="11">
        <v>1</v>
      </c>
      <c r="F57" s="11">
        <v>57</v>
      </c>
      <c r="G57" s="28">
        <v>3</v>
      </c>
      <c r="I57" s="45" t="s">
        <v>53</v>
      </c>
      <c r="J57" s="46"/>
      <c r="K57" s="46"/>
      <c r="L57" s="46"/>
      <c r="M57" s="46"/>
      <c r="N57" s="36" t="s">
        <v>106</v>
      </c>
      <c r="O57" s="36"/>
      <c r="P57" s="36"/>
      <c r="Q57" s="36"/>
      <c r="R57" s="37"/>
    </row>
    <row r="58" spans="1:18" ht="18" customHeight="1" thickBot="1" x14ac:dyDescent="0.5">
      <c r="A58" s="6"/>
      <c r="B58" s="50"/>
      <c r="C58" s="17" t="s">
        <v>55</v>
      </c>
      <c r="D58" s="22">
        <v>2</v>
      </c>
      <c r="E58" s="22">
        <v>2</v>
      </c>
      <c r="F58" s="22">
        <v>52</v>
      </c>
      <c r="G58" s="28">
        <v>2</v>
      </c>
      <c r="I58" s="31" t="s">
        <v>54</v>
      </c>
      <c r="J58" s="32"/>
      <c r="K58" s="32"/>
      <c r="L58" s="32"/>
      <c r="M58" s="32"/>
      <c r="N58" s="36" t="s">
        <v>89</v>
      </c>
      <c r="O58" s="36"/>
      <c r="P58" s="36"/>
      <c r="Q58" s="36"/>
      <c r="R58" s="37"/>
    </row>
    <row r="59" spans="1:18" ht="18.5" x14ac:dyDescent="0.45">
      <c r="A59" s="6"/>
      <c r="B59" s="50"/>
      <c r="C59" s="17" t="s">
        <v>88</v>
      </c>
      <c r="D59" s="23">
        <v>1</v>
      </c>
      <c r="E59" s="23">
        <v>3</v>
      </c>
      <c r="F59" s="23">
        <v>40</v>
      </c>
      <c r="G59" s="28">
        <v>1</v>
      </c>
      <c r="H59" s="6"/>
      <c r="I59" s="6"/>
    </row>
    <row r="60" spans="1:18" ht="18.5" x14ac:dyDescent="0.45">
      <c r="A60" s="6"/>
      <c r="B60" s="50"/>
      <c r="C60" s="17" t="s">
        <v>66</v>
      </c>
      <c r="D60" s="22">
        <v>1</v>
      </c>
      <c r="E60" s="11">
        <v>4</v>
      </c>
      <c r="F60" s="11">
        <v>48</v>
      </c>
      <c r="G60" s="28">
        <v>8</v>
      </c>
      <c r="H60" s="6"/>
    </row>
    <row r="61" spans="1:18" ht="18.5" x14ac:dyDescent="0.45">
      <c r="B61" s="50"/>
      <c r="C61" s="17" t="s">
        <v>63</v>
      </c>
      <c r="D61" s="23">
        <v>1</v>
      </c>
      <c r="E61" s="23">
        <v>4</v>
      </c>
      <c r="F61" s="23">
        <v>43</v>
      </c>
      <c r="G61" s="28">
        <v>10</v>
      </c>
    </row>
    <row r="62" spans="1:18" ht="19" thickBot="1" x14ac:dyDescent="0.5">
      <c r="B62" s="50"/>
      <c r="C62" s="48" t="s">
        <v>77</v>
      </c>
      <c r="D62" s="47">
        <v>0</v>
      </c>
      <c r="E62" s="47">
        <v>4</v>
      </c>
      <c r="F62" s="47">
        <v>26</v>
      </c>
      <c r="G62" s="29">
        <v>4</v>
      </c>
    </row>
    <row r="63" spans="1:18" ht="19" thickBot="1" x14ac:dyDescent="0.5">
      <c r="B63" s="49"/>
      <c r="C63" s="18" t="s">
        <v>58</v>
      </c>
      <c r="D63" s="23">
        <v>0</v>
      </c>
      <c r="E63" s="23">
        <v>5</v>
      </c>
      <c r="F63" s="23">
        <v>39</v>
      </c>
      <c r="G63" s="28">
        <v>11</v>
      </c>
    </row>
  </sheetData>
  <mergeCells count="14">
    <mergeCell ref="I54:M54"/>
    <mergeCell ref="I55:M55"/>
    <mergeCell ref="I56:M56"/>
    <mergeCell ref="I57:M57"/>
    <mergeCell ref="I58:M58"/>
    <mergeCell ref="B52:B63"/>
    <mergeCell ref="N58:R58"/>
    <mergeCell ref="I52:R52"/>
    <mergeCell ref="N53:R53"/>
    <mergeCell ref="N54:R54"/>
    <mergeCell ref="N55:R55"/>
    <mergeCell ref="N56:R56"/>
    <mergeCell ref="N57:R57"/>
    <mergeCell ref="I53:M5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C03CA8-50CF-4FE9-A16B-C820A466419D}">
  <dimension ref="A1:R65"/>
  <sheetViews>
    <sheetView workbookViewId="0">
      <pane ySplit="1" topLeftCell="A53" activePane="bottomLeft" state="frozen"/>
      <selection pane="bottomLeft" activeCell="I56" sqref="I56:R58"/>
    </sheetView>
  </sheetViews>
  <sheetFormatPr defaultRowHeight="14.5" x14ac:dyDescent="0.35"/>
  <cols>
    <col min="1" max="1" width="5.453125" bestFit="1" customWidth="1"/>
    <col min="2" max="2" width="23.81640625" bestFit="1" customWidth="1"/>
    <col min="3" max="3" width="31.1796875" bestFit="1" customWidth="1"/>
    <col min="4" max="5" width="10.7265625" bestFit="1" customWidth="1"/>
    <col min="6" max="6" width="7.7265625" bestFit="1" customWidth="1"/>
    <col min="7" max="7" width="12.1796875" bestFit="1" customWidth="1"/>
    <col min="8" max="11" width="5.7265625" customWidth="1"/>
    <col min="12" max="12" width="7.7265625" bestFit="1" customWidth="1"/>
    <col min="13" max="13" width="10.81640625" bestFit="1" customWidth="1"/>
    <col min="18" max="18" width="38.54296875" customWidth="1"/>
  </cols>
  <sheetData>
    <row r="1" spans="1:13" ht="73.5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1" t="s">
        <v>7</v>
      </c>
      <c r="I1" s="1">
        <v>180</v>
      </c>
      <c r="J1" s="1">
        <v>171</v>
      </c>
      <c r="K1" s="1" t="s">
        <v>8</v>
      </c>
      <c r="L1" s="2" t="s">
        <v>9</v>
      </c>
      <c r="M1" s="2" t="s">
        <v>10</v>
      </c>
    </row>
    <row r="2" spans="1:13" ht="18.5" x14ac:dyDescent="0.45">
      <c r="A2" s="3">
        <v>1</v>
      </c>
      <c r="B2" s="4" t="s">
        <v>83</v>
      </c>
      <c r="C2" s="4" t="s">
        <v>15</v>
      </c>
      <c r="D2" s="11">
        <f>SUM(1503+1419+1503+1499+1503+1503)</f>
        <v>8930</v>
      </c>
      <c r="E2" s="11">
        <f>SUM(68+80+79+90+78+109)</f>
        <v>504</v>
      </c>
      <c r="F2" s="12">
        <f>D2/E2</f>
        <v>17.718253968253968</v>
      </c>
      <c r="G2" s="11">
        <v>6</v>
      </c>
      <c r="H2" s="11">
        <v>6</v>
      </c>
      <c r="I2" s="11"/>
      <c r="J2" s="11"/>
      <c r="K2" s="11"/>
      <c r="L2" s="11">
        <v>29</v>
      </c>
      <c r="M2" s="13">
        <v>5</v>
      </c>
    </row>
    <row r="3" spans="1:13" ht="18.5" x14ac:dyDescent="0.45">
      <c r="A3" s="3">
        <v>2</v>
      </c>
      <c r="B3" s="14" t="s">
        <v>100</v>
      </c>
      <c r="C3" s="4" t="s">
        <v>94</v>
      </c>
      <c r="D3" s="11">
        <f>SUM(1343+1469+1241+1495)</f>
        <v>5548</v>
      </c>
      <c r="E3" s="11">
        <f>SUM(84+72+88+75)</f>
        <v>319</v>
      </c>
      <c r="F3" s="12">
        <f>D3/E3</f>
        <v>17.391849529780565</v>
      </c>
      <c r="G3" s="11">
        <v>4</v>
      </c>
      <c r="H3" s="11">
        <v>3</v>
      </c>
      <c r="I3" s="11"/>
      <c r="J3" s="11"/>
      <c r="K3" s="11"/>
      <c r="L3" s="11">
        <v>15.5</v>
      </c>
      <c r="M3" s="13">
        <v>10</v>
      </c>
    </row>
    <row r="4" spans="1:13" ht="18.5" x14ac:dyDescent="0.45">
      <c r="A4" s="3">
        <v>3</v>
      </c>
      <c r="B4" s="4" t="s">
        <v>17</v>
      </c>
      <c r="C4" s="4" t="s">
        <v>13</v>
      </c>
      <c r="D4" s="11">
        <f>SUM(1503+1474+1369+1328+1503)</f>
        <v>7177</v>
      </c>
      <c r="E4" s="11">
        <f>SUM(90+83+84+72+99)</f>
        <v>428</v>
      </c>
      <c r="F4" s="12">
        <f>D4/E4</f>
        <v>16.768691588785046</v>
      </c>
      <c r="G4" s="11">
        <v>5</v>
      </c>
      <c r="H4" s="11">
        <v>2</v>
      </c>
      <c r="I4" s="11">
        <v>1</v>
      </c>
      <c r="J4" s="11"/>
      <c r="K4" s="11"/>
      <c r="L4" s="11">
        <v>16</v>
      </c>
      <c r="M4" s="13"/>
    </row>
    <row r="5" spans="1:13" ht="18.5" x14ac:dyDescent="0.45">
      <c r="A5" s="3">
        <v>4</v>
      </c>
      <c r="B5" s="4" t="s">
        <v>21</v>
      </c>
      <c r="C5" s="7" t="s">
        <v>13</v>
      </c>
      <c r="D5" s="11">
        <f>SUM(1503+1470+1503+1457+1472)</f>
        <v>7405</v>
      </c>
      <c r="E5" s="11">
        <f>SUM(105+88+87+90+84)</f>
        <v>454</v>
      </c>
      <c r="F5" s="12">
        <f>D5/E5</f>
        <v>16.310572687224671</v>
      </c>
      <c r="G5" s="11">
        <v>5</v>
      </c>
      <c r="H5" s="11">
        <v>3</v>
      </c>
      <c r="I5" s="11"/>
      <c r="J5" s="11"/>
      <c r="K5" s="11"/>
      <c r="L5" s="11">
        <v>17</v>
      </c>
      <c r="M5" s="13"/>
    </row>
    <row r="6" spans="1:13" ht="18.5" x14ac:dyDescent="0.45">
      <c r="A6" s="3">
        <v>5</v>
      </c>
      <c r="B6" s="4" t="s">
        <v>25</v>
      </c>
      <c r="C6" s="4" t="s">
        <v>16</v>
      </c>
      <c r="D6" s="11">
        <f>SUM(1503+1493+1467+1500+1501)</f>
        <v>7464</v>
      </c>
      <c r="E6" s="11">
        <f>SUM(80+92+84+111+97)</f>
        <v>464</v>
      </c>
      <c r="F6" s="12">
        <f>D6/E6</f>
        <v>16.086206896551722</v>
      </c>
      <c r="G6" s="11">
        <v>5</v>
      </c>
      <c r="H6" s="11">
        <v>5</v>
      </c>
      <c r="I6" s="11"/>
      <c r="J6" s="11">
        <v>1</v>
      </c>
      <c r="K6" s="11"/>
      <c r="L6" s="11">
        <v>19</v>
      </c>
      <c r="M6" s="13">
        <v>10</v>
      </c>
    </row>
    <row r="7" spans="1:13" ht="18.5" x14ac:dyDescent="0.45">
      <c r="A7" s="3">
        <v>6</v>
      </c>
      <c r="B7" s="4" t="s">
        <v>11</v>
      </c>
      <c r="C7" s="4" t="s">
        <v>12</v>
      </c>
      <c r="D7" s="11">
        <f>SUM(1503+1441+1493+1416+1503)</f>
        <v>7356</v>
      </c>
      <c r="E7" s="11">
        <f>SUM(102+84+94+84+96)</f>
        <v>460</v>
      </c>
      <c r="F7" s="12">
        <f>D7/E7</f>
        <v>15.991304347826087</v>
      </c>
      <c r="G7" s="11">
        <v>5</v>
      </c>
      <c r="H7" s="11">
        <v>5</v>
      </c>
      <c r="I7" s="11">
        <v>1</v>
      </c>
      <c r="J7" s="11"/>
      <c r="K7" s="11"/>
      <c r="L7" s="11">
        <v>20.5</v>
      </c>
      <c r="M7" s="13"/>
    </row>
    <row r="8" spans="1:13" ht="18.5" x14ac:dyDescent="0.45">
      <c r="A8" s="3">
        <v>7</v>
      </c>
      <c r="B8" s="3" t="s">
        <v>32</v>
      </c>
      <c r="C8" s="4" t="s">
        <v>20</v>
      </c>
      <c r="D8" s="11">
        <f>SUM(1359+1503+1446+1365+1185+1503)</f>
        <v>8361</v>
      </c>
      <c r="E8" s="11">
        <f>SUM(84+96+89+92+75+90)</f>
        <v>526</v>
      </c>
      <c r="F8" s="12">
        <f>D8/E8</f>
        <v>15.895437262357415</v>
      </c>
      <c r="G8" s="11">
        <v>6</v>
      </c>
      <c r="H8" s="11">
        <v>4</v>
      </c>
      <c r="I8" s="11"/>
      <c r="J8" s="11"/>
      <c r="K8" s="11"/>
      <c r="L8" s="11">
        <v>26</v>
      </c>
      <c r="M8" s="13"/>
    </row>
    <row r="9" spans="1:13" ht="18.5" x14ac:dyDescent="0.45">
      <c r="A9" s="3">
        <v>8</v>
      </c>
      <c r="B9" s="4" t="s">
        <v>27</v>
      </c>
      <c r="C9" s="4" t="s">
        <v>12</v>
      </c>
      <c r="D9" s="11">
        <f>SUM(1503+1443+1324+1489+1268)</f>
        <v>7027</v>
      </c>
      <c r="E9" s="11">
        <f>SUM(84+101+74+92+93)</f>
        <v>444</v>
      </c>
      <c r="F9" s="12">
        <f>D9/E9</f>
        <v>15.826576576576576</v>
      </c>
      <c r="G9" s="11">
        <v>5</v>
      </c>
      <c r="H9" s="11">
        <v>3</v>
      </c>
      <c r="I9" s="11"/>
      <c r="J9" s="11"/>
      <c r="K9" s="11"/>
      <c r="L9" s="11">
        <v>17</v>
      </c>
      <c r="M9" s="13"/>
    </row>
    <row r="10" spans="1:13" ht="18.5" x14ac:dyDescent="0.45">
      <c r="A10" s="3">
        <v>9</v>
      </c>
      <c r="B10" s="4" t="s">
        <v>78</v>
      </c>
      <c r="C10" s="4" t="s">
        <v>31</v>
      </c>
      <c r="D10" s="11">
        <f>SUM(1501+1503+1503+1503+1436)</f>
        <v>7446</v>
      </c>
      <c r="E10" s="11">
        <f>SUM(113+97+98+75+95)</f>
        <v>478</v>
      </c>
      <c r="F10" s="12">
        <f>D10/E10</f>
        <v>15.577405857740585</v>
      </c>
      <c r="G10" s="11">
        <v>5</v>
      </c>
      <c r="H10" s="11">
        <v>4</v>
      </c>
      <c r="I10" s="11"/>
      <c r="J10" s="11"/>
      <c r="K10" s="11"/>
      <c r="L10" s="11">
        <v>21.5</v>
      </c>
      <c r="M10" s="13">
        <v>5</v>
      </c>
    </row>
    <row r="11" spans="1:13" ht="18.5" x14ac:dyDescent="0.45">
      <c r="A11" s="3">
        <v>10</v>
      </c>
      <c r="B11" s="4" t="s">
        <v>28</v>
      </c>
      <c r="C11" s="4" t="s">
        <v>62</v>
      </c>
      <c r="D11" s="11">
        <f>SUM(1327+1229+1367+1115+1503+1393)</f>
        <v>7934</v>
      </c>
      <c r="E11" s="11">
        <f>SUM(84+79+89+81+82+97)</f>
        <v>512</v>
      </c>
      <c r="F11" s="12">
        <f>D11/E11</f>
        <v>15.49609375</v>
      </c>
      <c r="G11" s="11">
        <v>6</v>
      </c>
      <c r="H11" s="11">
        <v>3</v>
      </c>
      <c r="I11" s="11"/>
      <c r="J11" s="11"/>
      <c r="K11" s="11">
        <v>1</v>
      </c>
      <c r="L11" s="11">
        <v>16</v>
      </c>
      <c r="M11" s="13">
        <v>10</v>
      </c>
    </row>
    <row r="12" spans="1:13" ht="18.5" x14ac:dyDescent="0.45">
      <c r="A12" s="3">
        <v>11</v>
      </c>
      <c r="B12" s="4" t="s">
        <v>38</v>
      </c>
      <c r="C12" s="4" t="s">
        <v>31</v>
      </c>
      <c r="D12" s="11">
        <f>SUM(1470+1447+1339+1247+1325)</f>
        <v>6828</v>
      </c>
      <c r="E12" s="11">
        <f>SUM(86+78+93+80+107)</f>
        <v>444</v>
      </c>
      <c r="F12" s="12">
        <f>D12/E12</f>
        <v>15.378378378378379</v>
      </c>
      <c r="G12" s="11">
        <v>5</v>
      </c>
      <c r="H12" s="11">
        <v>2</v>
      </c>
      <c r="I12" s="11"/>
      <c r="J12" s="11"/>
      <c r="K12" s="11"/>
      <c r="L12" s="11">
        <v>17</v>
      </c>
      <c r="M12" s="13">
        <v>5</v>
      </c>
    </row>
    <row r="13" spans="1:13" ht="18.5" x14ac:dyDescent="0.45">
      <c r="A13" s="3">
        <v>12</v>
      </c>
      <c r="B13" s="14" t="s">
        <v>72</v>
      </c>
      <c r="C13" s="4" t="s">
        <v>31</v>
      </c>
      <c r="D13" s="11">
        <f>SUM(1503+1475+1503+1447+1483)</f>
        <v>7411</v>
      </c>
      <c r="E13" s="11">
        <f>SUM(102+96+91+98+102)</f>
        <v>489</v>
      </c>
      <c r="F13" s="12">
        <f>D13/E13</f>
        <v>15.155419222903886</v>
      </c>
      <c r="G13" s="11">
        <v>5</v>
      </c>
      <c r="H13" s="11">
        <v>3</v>
      </c>
      <c r="I13" s="11"/>
      <c r="J13" s="11"/>
      <c r="K13" s="11"/>
      <c r="L13" s="11">
        <v>17.5</v>
      </c>
      <c r="M13" s="13"/>
    </row>
    <row r="14" spans="1:13" ht="18.5" x14ac:dyDescent="0.45">
      <c r="A14" s="3">
        <v>13</v>
      </c>
      <c r="B14" s="4" t="s">
        <v>39</v>
      </c>
      <c r="C14" s="7" t="s">
        <v>15</v>
      </c>
      <c r="D14" s="11">
        <f>SUM(1361+1488+968+1468+1403+1493)</f>
        <v>8181</v>
      </c>
      <c r="E14" s="11">
        <f>SUM(107+98+81+98+85+85)</f>
        <v>554</v>
      </c>
      <c r="F14" s="12">
        <f>D14/E14</f>
        <v>14.767148014440433</v>
      </c>
      <c r="G14" s="11">
        <v>6</v>
      </c>
      <c r="H14" s="11">
        <v>5</v>
      </c>
      <c r="I14" s="11"/>
      <c r="J14" s="11"/>
      <c r="K14" s="11"/>
      <c r="L14" s="11">
        <v>21</v>
      </c>
      <c r="M14" s="13">
        <v>5</v>
      </c>
    </row>
    <row r="15" spans="1:13" ht="18.5" x14ac:dyDescent="0.45">
      <c r="A15" s="3">
        <v>14</v>
      </c>
      <c r="B15" s="3" t="s">
        <v>19</v>
      </c>
      <c r="C15" s="4" t="s">
        <v>20</v>
      </c>
      <c r="D15" s="11">
        <f>SUM(1391+1503+1498+1495+1471+1464)</f>
        <v>8822</v>
      </c>
      <c r="E15" s="11">
        <f>SUM(108+83+99+110+96+103)</f>
        <v>599</v>
      </c>
      <c r="F15" s="12">
        <f>D15/E15</f>
        <v>14.727879799666111</v>
      </c>
      <c r="G15" s="11">
        <v>6</v>
      </c>
      <c r="H15" s="11">
        <v>4</v>
      </c>
      <c r="I15" s="11"/>
      <c r="J15" s="11"/>
      <c r="K15" s="11"/>
      <c r="L15" s="11">
        <v>22.5</v>
      </c>
      <c r="M15" s="13">
        <v>15</v>
      </c>
    </row>
    <row r="16" spans="1:13" ht="18.5" x14ac:dyDescent="0.45">
      <c r="A16" s="3">
        <v>15</v>
      </c>
      <c r="B16" s="9" t="s">
        <v>60</v>
      </c>
      <c r="C16" s="4" t="s">
        <v>26</v>
      </c>
      <c r="D16" s="11">
        <f>SUM(1446+1409+953+1451+1475)</f>
        <v>6734</v>
      </c>
      <c r="E16" s="11">
        <f>SUM(108+84+72+88+112)</f>
        <v>464</v>
      </c>
      <c r="F16" s="12">
        <f>D16/E16</f>
        <v>14.512931034482758</v>
      </c>
      <c r="G16" s="11">
        <v>5</v>
      </c>
      <c r="H16" s="11"/>
      <c r="I16" s="11"/>
      <c r="J16" s="11"/>
      <c r="K16" s="11"/>
      <c r="L16" s="11">
        <v>9</v>
      </c>
      <c r="M16" s="13"/>
    </row>
    <row r="17" spans="1:13" ht="18.5" x14ac:dyDescent="0.45">
      <c r="A17" s="3">
        <v>16</v>
      </c>
      <c r="B17" s="7" t="s">
        <v>96</v>
      </c>
      <c r="C17" s="4" t="s">
        <v>73</v>
      </c>
      <c r="D17" s="11">
        <f>SUM(1497+1481)</f>
        <v>2978</v>
      </c>
      <c r="E17" s="11">
        <f>SUM(116+90)</f>
        <v>206</v>
      </c>
      <c r="F17" s="12">
        <f>D17/E17</f>
        <v>14.456310679611651</v>
      </c>
      <c r="G17" s="11">
        <v>2</v>
      </c>
      <c r="H17" s="11">
        <v>2</v>
      </c>
      <c r="I17" s="11"/>
      <c r="J17" s="11"/>
      <c r="K17" s="11"/>
      <c r="L17" s="11">
        <v>6</v>
      </c>
      <c r="M17" s="13"/>
    </row>
    <row r="18" spans="1:13" ht="18.5" x14ac:dyDescent="0.45">
      <c r="A18" s="3">
        <v>17</v>
      </c>
      <c r="B18" s="9" t="s">
        <v>99</v>
      </c>
      <c r="C18" s="4" t="s">
        <v>94</v>
      </c>
      <c r="D18" s="11">
        <f>SUM(1496+1397+1241+1448+1307)</f>
        <v>6889</v>
      </c>
      <c r="E18" s="11">
        <f>SUM(100+91+84+97+105)</f>
        <v>477</v>
      </c>
      <c r="F18" s="12">
        <f>D18/E18</f>
        <v>14.442348008385745</v>
      </c>
      <c r="G18" s="11">
        <v>5</v>
      </c>
      <c r="H18" s="11">
        <v>1</v>
      </c>
      <c r="I18" s="11"/>
      <c r="J18" s="11"/>
      <c r="K18" s="11"/>
      <c r="L18" s="11">
        <v>9.5</v>
      </c>
      <c r="M18" s="13"/>
    </row>
    <row r="19" spans="1:13" ht="18.5" x14ac:dyDescent="0.45">
      <c r="A19" s="3">
        <v>18</v>
      </c>
      <c r="B19" s="9" t="s">
        <v>69</v>
      </c>
      <c r="C19" s="4" t="s">
        <v>73</v>
      </c>
      <c r="D19" s="11">
        <f>SUM(1475+1487+1479+1350+1492+1494)</f>
        <v>8777</v>
      </c>
      <c r="E19" s="11">
        <f>SUM(103+99+95+88+109+123)</f>
        <v>617</v>
      </c>
      <c r="F19" s="12">
        <f>D19/E19</f>
        <v>14.225283630470017</v>
      </c>
      <c r="G19" s="11">
        <v>6</v>
      </c>
      <c r="H19" s="11">
        <v>1</v>
      </c>
      <c r="I19" s="11"/>
      <c r="J19" s="11"/>
      <c r="K19" s="11"/>
      <c r="L19" s="11">
        <v>13</v>
      </c>
      <c r="M19" s="13"/>
    </row>
    <row r="20" spans="1:13" ht="18.5" x14ac:dyDescent="0.45">
      <c r="A20" s="3">
        <v>19</v>
      </c>
      <c r="B20" s="9" t="s">
        <v>64</v>
      </c>
      <c r="C20" s="4" t="s">
        <v>13</v>
      </c>
      <c r="D20" s="11">
        <f>SUM(1478+1503+1471+1374+1451)</f>
        <v>7277</v>
      </c>
      <c r="E20" s="11">
        <f>SUM(110+97+109+92+104)</f>
        <v>512</v>
      </c>
      <c r="F20" s="12">
        <f>D20/E20</f>
        <v>14.212890625</v>
      </c>
      <c r="G20" s="11">
        <v>5</v>
      </c>
      <c r="H20" s="11">
        <v>3</v>
      </c>
      <c r="I20" s="11"/>
      <c r="J20" s="11"/>
      <c r="K20" s="11"/>
      <c r="L20" s="11">
        <v>16</v>
      </c>
      <c r="M20" s="13"/>
    </row>
    <row r="21" spans="1:13" ht="18.5" x14ac:dyDescent="0.45">
      <c r="A21" s="3">
        <v>20</v>
      </c>
      <c r="B21" s="7" t="s">
        <v>79</v>
      </c>
      <c r="C21" s="4" t="s">
        <v>76</v>
      </c>
      <c r="D21" s="11">
        <f>SUM(1084+1251+1495+1121+1494)</f>
        <v>6445</v>
      </c>
      <c r="E21" s="11">
        <f>SUM(72+90+94+78+121)</f>
        <v>455</v>
      </c>
      <c r="F21" s="12">
        <f>D21/E21</f>
        <v>14.164835164835164</v>
      </c>
      <c r="G21" s="11">
        <v>5</v>
      </c>
      <c r="H21" s="11">
        <v>1</v>
      </c>
      <c r="I21" s="11"/>
      <c r="J21" s="11"/>
      <c r="K21" s="11"/>
      <c r="L21" s="11">
        <v>8.5</v>
      </c>
      <c r="M21" s="13"/>
    </row>
    <row r="22" spans="1:13" ht="18.5" x14ac:dyDescent="0.45">
      <c r="A22" s="3">
        <v>21</v>
      </c>
      <c r="B22" s="60" t="s">
        <v>59</v>
      </c>
      <c r="C22" s="8" t="s">
        <v>26</v>
      </c>
      <c r="D22" s="11">
        <f>SUM(1499+1463+1002+1326+1438+1240)</f>
        <v>7968</v>
      </c>
      <c r="E22" s="11">
        <f>SUM(114+98+80+80+104+87)</f>
        <v>563</v>
      </c>
      <c r="F22" s="12">
        <f>D22/E22</f>
        <v>14.152753108348135</v>
      </c>
      <c r="G22" s="11">
        <v>6</v>
      </c>
      <c r="H22" s="11">
        <v>4</v>
      </c>
      <c r="I22" s="11"/>
      <c r="J22" s="11"/>
      <c r="K22" s="11"/>
      <c r="L22" s="11">
        <v>14</v>
      </c>
      <c r="M22" s="13">
        <v>10</v>
      </c>
    </row>
    <row r="23" spans="1:13" ht="18.5" x14ac:dyDescent="0.45">
      <c r="A23" s="3">
        <v>22</v>
      </c>
      <c r="B23" s="7" t="s">
        <v>68</v>
      </c>
      <c r="C23" s="7" t="s">
        <v>73</v>
      </c>
      <c r="D23" s="11">
        <f>SUM(941+1293+1503+1385+1473+1493)</f>
        <v>8088</v>
      </c>
      <c r="E23" s="11">
        <f>SUM(66+89+95+105+96+124)</f>
        <v>575</v>
      </c>
      <c r="F23" s="12">
        <f>D23/E23</f>
        <v>14.066086956521739</v>
      </c>
      <c r="G23" s="11">
        <v>6</v>
      </c>
      <c r="H23" s="11">
        <v>2</v>
      </c>
      <c r="I23" s="11"/>
      <c r="J23" s="11"/>
      <c r="K23" s="11"/>
      <c r="L23" s="11">
        <v>17</v>
      </c>
      <c r="M23" s="13"/>
    </row>
    <row r="24" spans="1:13" ht="18.5" x14ac:dyDescent="0.45">
      <c r="A24" s="3">
        <v>23</v>
      </c>
      <c r="B24" s="10" t="s">
        <v>30</v>
      </c>
      <c r="C24" s="7" t="s">
        <v>31</v>
      </c>
      <c r="D24" s="11">
        <f>SUM(1369+1280+1318+1495+1487)</f>
        <v>6949</v>
      </c>
      <c r="E24" s="11">
        <f>SUM(92+92+105+111+99)</f>
        <v>499</v>
      </c>
      <c r="F24" s="12">
        <f>D24/E24</f>
        <v>13.925851703406813</v>
      </c>
      <c r="G24" s="11">
        <v>5</v>
      </c>
      <c r="H24" s="11">
        <v>3</v>
      </c>
      <c r="I24" s="11"/>
      <c r="J24" s="11"/>
      <c r="K24" s="11"/>
      <c r="L24" s="11">
        <v>16</v>
      </c>
      <c r="M24" s="13"/>
    </row>
    <row r="25" spans="1:13" ht="18.5" x14ac:dyDescent="0.45">
      <c r="A25" s="3">
        <v>24</v>
      </c>
      <c r="B25" s="14" t="s">
        <v>40</v>
      </c>
      <c r="C25" s="4" t="s">
        <v>16</v>
      </c>
      <c r="D25" s="11">
        <f>SUM(1503+1298+1500+1442)</f>
        <v>5743</v>
      </c>
      <c r="E25" s="11">
        <f>SUM(129+87+96+107)</f>
        <v>419</v>
      </c>
      <c r="F25" s="12">
        <f>D25/E25</f>
        <v>13.706443914081145</v>
      </c>
      <c r="G25" s="11">
        <v>4</v>
      </c>
      <c r="H25" s="11">
        <v>3</v>
      </c>
      <c r="I25" s="11"/>
      <c r="J25" s="11"/>
      <c r="K25" s="11"/>
      <c r="L25" s="11">
        <v>15.5</v>
      </c>
      <c r="M25" s="13"/>
    </row>
    <row r="26" spans="1:13" ht="18.5" x14ac:dyDescent="0.45">
      <c r="A26" s="3">
        <v>25</v>
      </c>
      <c r="B26" s="15" t="s">
        <v>23</v>
      </c>
      <c r="C26" s="4" t="s">
        <v>13</v>
      </c>
      <c r="D26" s="11">
        <f>SUM(1503+1499+1483+1483+1503)</f>
        <v>7471</v>
      </c>
      <c r="E26" s="11">
        <f>SUM(100+99+110+105+132)</f>
        <v>546</v>
      </c>
      <c r="F26" s="12">
        <f>D26/E26</f>
        <v>13.683150183150182</v>
      </c>
      <c r="G26" s="11">
        <v>5</v>
      </c>
      <c r="H26" s="11">
        <v>5</v>
      </c>
      <c r="I26" s="11"/>
      <c r="J26" s="11"/>
      <c r="K26" s="11"/>
      <c r="L26" s="11">
        <v>20</v>
      </c>
      <c r="M26" s="13"/>
    </row>
    <row r="27" spans="1:13" ht="18.5" x14ac:dyDescent="0.45">
      <c r="A27" s="3">
        <v>26</v>
      </c>
      <c r="B27" s="15" t="s">
        <v>97</v>
      </c>
      <c r="C27" s="7" t="s">
        <v>15</v>
      </c>
      <c r="D27" s="11">
        <f>SUM(1212+1473+1483)</f>
        <v>4168</v>
      </c>
      <c r="E27" s="11">
        <f>SUM(91+113+103)</f>
        <v>307</v>
      </c>
      <c r="F27" s="12">
        <f>D27/E27</f>
        <v>13.576547231270359</v>
      </c>
      <c r="G27" s="11">
        <v>3</v>
      </c>
      <c r="H27" s="11">
        <v>1</v>
      </c>
      <c r="I27" s="11"/>
      <c r="J27" s="11"/>
      <c r="K27" s="11"/>
      <c r="L27" s="11">
        <v>6</v>
      </c>
      <c r="M27" s="13"/>
    </row>
    <row r="28" spans="1:13" ht="18.5" x14ac:dyDescent="0.45">
      <c r="A28" s="3">
        <v>27</v>
      </c>
      <c r="B28" s="15" t="s">
        <v>98</v>
      </c>
      <c r="C28" s="7" t="s">
        <v>94</v>
      </c>
      <c r="D28" s="11">
        <f>SUM(1457+1241+1440+1384+1205)</f>
        <v>6727</v>
      </c>
      <c r="E28" s="11">
        <f>SUM(99+99+114+102+82)</f>
        <v>496</v>
      </c>
      <c r="F28" s="12">
        <f>D28/E28</f>
        <v>13.5625</v>
      </c>
      <c r="G28" s="11">
        <v>5</v>
      </c>
      <c r="H28" s="11"/>
      <c r="I28" s="11"/>
      <c r="J28" s="11"/>
      <c r="K28" s="11"/>
      <c r="L28" s="11">
        <v>10</v>
      </c>
      <c r="M28" s="13"/>
    </row>
    <row r="29" spans="1:13" ht="18.5" x14ac:dyDescent="0.45">
      <c r="A29" s="3">
        <v>28</v>
      </c>
      <c r="B29" s="15" t="s">
        <v>22</v>
      </c>
      <c r="C29" s="7" t="s">
        <v>20</v>
      </c>
      <c r="D29" s="11">
        <f>SUM(1426+1503+1499+1270+1503+1498)</f>
        <v>8699</v>
      </c>
      <c r="E29" s="11">
        <f>SUM(99+116+108+87+110+129)</f>
        <v>649</v>
      </c>
      <c r="F29" s="12">
        <f>D29/E29</f>
        <v>13.403697996918336</v>
      </c>
      <c r="G29" s="11">
        <v>6</v>
      </c>
      <c r="H29" s="11">
        <v>4</v>
      </c>
      <c r="I29" s="11"/>
      <c r="J29" s="11"/>
      <c r="K29" s="11"/>
      <c r="L29" s="11">
        <v>22.5</v>
      </c>
      <c r="M29" s="13"/>
    </row>
    <row r="30" spans="1:13" ht="18.5" x14ac:dyDescent="0.45">
      <c r="A30" s="3">
        <v>29</v>
      </c>
      <c r="B30" s="10" t="s">
        <v>29</v>
      </c>
      <c r="C30" s="7" t="s">
        <v>20</v>
      </c>
      <c r="D30" s="11">
        <f>SUM(1301+1503+1503+1465+1483+1463)</f>
        <v>8718</v>
      </c>
      <c r="E30" s="11">
        <f>SUM(96+110+161+88+101+97)</f>
        <v>653</v>
      </c>
      <c r="F30" s="12">
        <f>D30/E30</f>
        <v>13.350689127105666</v>
      </c>
      <c r="G30" s="11">
        <v>6</v>
      </c>
      <c r="H30" s="11">
        <v>5</v>
      </c>
      <c r="I30" s="11"/>
      <c r="J30" s="11"/>
      <c r="K30" s="11"/>
      <c r="L30" s="11">
        <v>25</v>
      </c>
      <c r="M30" s="13"/>
    </row>
    <row r="31" spans="1:13" ht="18.5" x14ac:dyDescent="0.45">
      <c r="A31" s="3">
        <v>30</v>
      </c>
      <c r="B31" s="15" t="s">
        <v>14</v>
      </c>
      <c r="C31" s="7" t="s">
        <v>15</v>
      </c>
      <c r="D31" s="11">
        <f>SUM(1483+1501+1503+1497+1324+1503)</f>
        <v>8811</v>
      </c>
      <c r="E31" s="11">
        <f>SUM(111+96+127+125+86+117)</f>
        <v>662</v>
      </c>
      <c r="F31" s="12">
        <f>D31/E31</f>
        <v>13.309667673716012</v>
      </c>
      <c r="G31" s="11">
        <v>6</v>
      </c>
      <c r="H31" s="11">
        <v>4</v>
      </c>
      <c r="I31" s="11"/>
      <c r="J31" s="11"/>
      <c r="K31" s="11"/>
      <c r="L31" s="11">
        <v>25</v>
      </c>
      <c r="M31" s="13">
        <v>5</v>
      </c>
    </row>
    <row r="32" spans="1:13" ht="18.5" x14ac:dyDescent="0.45">
      <c r="A32" s="3">
        <v>31</v>
      </c>
      <c r="B32" s="10" t="s">
        <v>41</v>
      </c>
      <c r="C32" s="7" t="s">
        <v>62</v>
      </c>
      <c r="D32" s="11">
        <f>SUM(1443+1326+1271+1316+1281+1467)</f>
        <v>8104</v>
      </c>
      <c r="E32" s="11">
        <f>SUM(102+95+98+96+99+124)</f>
        <v>614</v>
      </c>
      <c r="F32" s="12">
        <f>D32/E32</f>
        <v>13.198697068403909</v>
      </c>
      <c r="G32" s="11">
        <v>6</v>
      </c>
      <c r="H32" s="11">
        <v>1</v>
      </c>
      <c r="I32" s="11"/>
      <c r="J32" s="11"/>
      <c r="K32" s="11"/>
      <c r="L32" s="11">
        <v>12.5</v>
      </c>
      <c r="M32" s="13"/>
    </row>
    <row r="33" spans="1:13" ht="18.5" x14ac:dyDescent="0.45">
      <c r="A33" s="3">
        <v>32</v>
      </c>
      <c r="B33" s="59" t="s">
        <v>35</v>
      </c>
      <c r="C33" s="7" t="s">
        <v>62</v>
      </c>
      <c r="D33" s="11">
        <f>SUM(1480+1242+1379+1465+1503+1501)</f>
        <v>8570</v>
      </c>
      <c r="E33" s="11">
        <f>SUM(111+87+100+128+114+110)</f>
        <v>650</v>
      </c>
      <c r="F33" s="12">
        <f>D33/E33</f>
        <v>13.184615384615384</v>
      </c>
      <c r="G33" s="11">
        <v>6</v>
      </c>
      <c r="H33" s="11">
        <v>4</v>
      </c>
      <c r="I33" s="11"/>
      <c r="J33" s="11"/>
      <c r="K33" s="11"/>
      <c r="L33" s="11">
        <v>16.5</v>
      </c>
      <c r="M33" s="13"/>
    </row>
    <row r="34" spans="1:13" ht="18.5" x14ac:dyDescent="0.45">
      <c r="A34" s="3">
        <v>33</v>
      </c>
      <c r="B34" s="4" t="s">
        <v>116</v>
      </c>
      <c r="C34" s="7" t="s">
        <v>16</v>
      </c>
      <c r="D34" s="11">
        <f>SUM(1503+1394)</f>
        <v>2897</v>
      </c>
      <c r="E34" s="11">
        <f>SUM(94+126)</f>
        <v>220</v>
      </c>
      <c r="F34" s="12">
        <f>D34/E34</f>
        <v>13.168181818181818</v>
      </c>
      <c r="G34" s="11">
        <v>2</v>
      </c>
      <c r="H34" s="11">
        <v>1</v>
      </c>
      <c r="I34" s="11"/>
      <c r="J34" s="11"/>
      <c r="K34" s="11"/>
      <c r="L34" s="11">
        <v>7.5</v>
      </c>
      <c r="M34" s="13"/>
    </row>
    <row r="35" spans="1:13" ht="18.5" x14ac:dyDescent="0.45">
      <c r="A35" s="3">
        <v>34</v>
      </c>
      <c r="B35" s="4" t="s">
        <v>122</v>
      </c>
      <c r="C35" s="4" t="s">
        <v>26</v>
      </c>
      <c r="D35" s="11">
        <f>SUM(1284)</f>
        <v>1284</v>
      </c>
      <c r="E35" s="11">
        <f>SUM(99)</f>
        <v>99</v>
      </c>
      <c r="F35" s="12">
        <f>D35/E35</f>
        <v>12.969696969696969</v>
      </c>
      <c r="G35" s="11">
        <v>1</v>
      </c>
      <c r="H35" s="11"/>
      <c r="I35" s="11"/>
      <c r="J35" s="11"/>
      <c r="K35" s="11"/>
      <c r="L35" s="11">
        <v>1.5</v>
      </c>
      <c r="M35" s="13"/>
    </row>
    <row r="36" spans="1:13" ht="18.5" x14ac:dyDescent="0.45">
      <c r="A36" s="3">
        <v>35</v>
      </c>
      <c r="B36" s="4" t="s">
        <v>75</v>
      </c>
      <c r="C36" s="4" t="s">
        <v>73</v>
      </c>
      <c r="D36" s="11">
        <f>SUM(1499+1275+1131+1305+1499)</f>
        <v>6709</v>
      </c>
      <c r="E36" s="11">
        <f>SUM(123+99+96+101+99)</f>
        <v>518</v>
      </c>
      <c r="F36" s="12">
        <f>D36/E36</f>
        <v>12.951737451737452</v>
      </c>
      <c r="G36" s="11">
        <v>5</v>
      </c>
      <c r="H36" s="11">
        <v>3</v>
      </c>
      <c r="I36" s="11"/>
      <c r="J36" s="11"/>
      <c r="K36" s="11"/>
      <c r="L36" s="11">
        <v>10.5</v>
      </c>
      <c r="M36" s="13"/>
    </row>
    <row r="37" spans="1:13" ht="18.5" x14ac:dyDescent="0.45">
      <c r="A37" s="3">
        <v>36</v>
      </c>
      <c r="B37" s="4" t="s">
        <v>67</v>
      </c>
      <c r="C37" s="4" t="s">
        <v>16</v>
      </c>
      <c r="D37" s="11">
        <f>SUM(1501+1503+1225+1495+1420)</f>
        <v>7144</v>
      </c>
      <c r="E37" s="11">
        <f>SUM(148+104+75+129+108)</f>
        <v>564</v>
      </c>
      <c r="F37" s="12">
        <f>D37/E37</f>
        <v>12.666666666666666</v>
      </c>
      <c r="G37" s="11">
        <v>5</v>
      </c>
      <c r="H37" s="11">
        <v>2</v>
      </c>
      <c r="I37" s="11"/>
      <c r="J37" s="11"/>
      <c r="K37" s="11"/>
      <c r="L37" s="11">
        <v>12.5</v>
      </c>
      <c r="M37" s="13"/>
    </row>
    <row r="38" spans="1:13" ht="18.5" x14ac:dyDescent="0.45">
      <c r="A38" s="3">
        <v>37</v>
      </c>
      <c r="B38" s="4" t="s">
        <v>24</v>
      </c>
      <c r="C38" s="4" t="s">
        <v>12</v>
      </c>
      <c r="D38" s="11">
        <f>SUM(1503+1503+1503+1398+1481)</f>
        <v>7388</v>
      </c>
      <c r="E38" s="11">
        <f>SUM(108+98+101+143+135)</f>
        <v>585</v>
      </c>
      <c r="F38" s="12">
        <f>D38/E38</f>
        <v>12.629059829059829</v>
      </c>
      <c r="G38" s="11">
        <v>5</v>
      </c>
      <c r="H38" s="11">
        <v>3</v>
      </c>
      <c r="I38" s="11"/>
      <c r="J38" s="11"/>
      <c r="K38" s="11"/>
      <c r="L38" s="11">
        <v>21.5</v>
      </c>
      <c r="M38" s="13"/>
    </row>
    <row r="39" spans="1:13" ht="18.5" x14ac:dyDescent="0.45">
      <c r="A39" s="3">
        <v>38</v>
      </c>
      <c r="B39" s="14" t="s">
        <v>70</v>
      </c>
      <c r="C39" s="4" t="s">
        <v>73</v>
      </c>
      <c r="D39" s="11">
        <f>SUM(1359+1497+1412+1293+1503)</f>
        <v>7064</v>
      </c>
      <c r="E39" s="11">
        <f>SUM(110+135+87+97+131)</f>
        <v>560</v>
      </c>
      <c r="F39" s="12">
        <f>D39/E39</f>
        <v>12.614285714285714</v>
      </c>
      <c r="G39" s="11">
        <v>5</v>
      </c>
      <c r="H39" s="11">
        <v>2</v>
      </c>
      <c r="I39" s="11"/>
      <c r="J39" s="11"/>
      <c r="K39" s="11"/>
      <c r="L39" s="11">
        <v>12.5</v>
      </c>
      <c r="M39" s="13"/>
    </row>
    <row r="40" spans="1:13" ht="18.5" x14ac:dyDescent="0.45">
      <c r="A40" s="3">
        <v>39</v>
      </c>
      <c r="B40" s="14" t="s">
        <v>33</v>
      </c>
      <c r="C40" s="4" t="s">
        <v>26</v>
      </c>
      <c r="D40" s="11">
        <f>SUM(1311+1257+1471+1499+1355)</f>
        <v>6893</v>
      </c>
      <c r="E40" s="11">
        <f>SUM(84+98+123+139+105)</f>
        <v>549</v>
      </c>
      <c r="F40" s="12">
        <f>D40/E40</f>
        <v>12.555555555555555</v>
      </c>
      <c r="G40" s="11">
        <v>5</v>
      </c>
      <c r="H40" s="11">
        <v>2</v>
      </c>
      <c r="I40" s="11"/>
      <c r="J40" s="11"/>
      <c r="K40" s="11"/>
      <c r="L40" s="11">
        <v>8.5</v>
      </c>
      <c r="M40" s="13"/>
    </row>
    <row r="41" spans="1:13" ht="18.5" x14ac:dyDescent="0.45">
      <c r="A41" s="3">
        <v>40</v>
      </c>
      <c r="B41" s="4" t="s">
        <v>71</v>
      </c>
      <c r="C41" s="4" t="s">
        <v>76</v>
      </c>
      <c r="D41" s="11">
        <f>SUM(1501+1174+1489+1503+1435)</f>
        <v>7102</v>
      </c>
      <c r="E41" s="11">
        <f>SUM(156+81+108+103+125)</f>
        <v>573</v>
      </c>
      <c r="F41" s="12">
        <f>D41/E41</f>
        <v>12.394415357766142</v>
      </c>
      <c r="G41" s="11">
        <v>5</v>
      </c>
      <c r="H41" s="11">
        <v>4</v>
      </c>
      <c r="I41" s="11"/>
      <c r="J41" s="11"/>
      <c r="K41" s="11"/>
      <c r="L41" s="11">
        <v>16</v>
      </c>
      <c r="M41" s="13"/>
    </row>
    <row r="42" spans="1:13" ht="18.5" x14ac:dyDescent="0.45">
      <c r="A42" s="3">
        <v>41</v>
      </c>
      <c r="B42" s="4" t="s">
        <v>74</v>
      </c>
      <c r="C42" s="7" t="s">
        <v>12</v>
      </c>
      <c r="D42" s="11">
        <f>SUM(1479+1459+1501+1503+1448)</f>
        <v>7390</v>
      </c>
      <c r="E42" s="11">
        <f>SUM(110+116+147+118+106)</f>
        <v>597</v>
      </c>
      <c r="F42" s="12">
        <f>D42/E42</f>
        <v>12.378559463986599</v>
      </c>
      <c r="G42" s="11">
        <v>5</v>
      </c>
      <c r="H42" s="11">
        <v>3</v>
      </c>
      <c r="I42" s="11"/>
      <c r="J42" s="11"/>
      <c r="K42" s="11"/>
      <c r="L42" s="11">
        <v>21</v>
      </c>
      <c r="M42" s="13"/>
    </row>
    <row r="43" spans="1:13" ht="18.5" x14ac:dyDescent="0.45">
      <c r="A43" s="3">
        <v>42</v>
      </c>
      <c r="B43" s="14" t="s">
        <v>95</v>
      </c>
      <c r="C43" s="4" t="s">
        <v>94</v>
      </c>
      <c r="D43" s="11">
        <f>SUM(1455+1482+1452+1434+1427)</f>
        <v>7250</v>
      </c>
      <c r="E43" s="11">
        <f>SUM(129+147+107+101+114)</f>
        <v>598</v>
      </c>
      <c r="F43" s="12">
        <f>D43/E43</f>
        <v>12.123745819397993</v>
      </c>
      <c r="G43" s="11">
        <v>5</v>
      </c>
      <c r="H43" s="11"/>
      <c r="I43" s="11"/>
      <c r="J43" s="11"/>
      <c r="K43" s="11"/>
      <c r="L43" s="11">
        <v>8</v>
      </c>
      <c r="M43" s="13"/>
    </row>
    <row r="44" spans="1:13" ht="18.5" x14ac:dyDescent="0.45">
      <c r="A44" s="3">
        <v>43</v>
      </c>
      <c r="B44" s="14" t="s">
        <v>61</v>
      </c>
      <c r="C44" s="4" t="s">
        <v>26</v>
      </c>
      <c r="D44" s="11">
        <f>SUM(1332+1457+1481+1441+1493+1492)</f>
        <v>8696</v>
      </c>
      <c r="E44" s="11">
        <f>SUM(102+131+110+117+131+134)</f>
        <v>725</v>
      </c>
      <c r="F44" s="12">
        <f>D44/E44</f>
        <v>11.994482758620689</v>
      </c>
      <c r="G44" s="11">
        <v>6</v>
      </c>
      <c r="H44" s="11">
        <v>1</v>
      </c>
      <c r="I44" s="11"/>
      <c r="J44" s="11"/>
      <c r="K44" s="11"/>
      <c r="L44" s="11">
        <v>10.5</v>
      </c>
      <c r="M44" s="13"/>
    </row>
    <row r="45" spans="1:13" ht="18.5" x14ac:dyDescent="0.45">
      <c r="A45" s="3">
        <v>44</v>
      </c>
      <c r="B45" s="4" t="s">
        <v>34</v>
      </c>
      <c r="C45" s="4" t="s">
        <v>62</v>
      </c>
      <c r="D45" s="11">
        <f>SUM(1357+1211+1501)</f>
        <v>4069</v>
      </c>
      <c r="E45" s="11">
        <f>SUM(105+90+149)</f>
        <v>344</v>
      </c>
      <c r="F45" s="12">
        <f>D45/E45</f>
        <v>11.828488372093023</v>
      </c>
      <c r="G45" s="11">
        <v>3</v>
      </c>
      <c r="H45" s="11">
        <v>1</v>
      </c>
      <c r="I45" s="11"/>
      <c r="J45" s="11"/>
      <c r="K45" s="11"/>
      <c r="L45" s="11">
        <v>5</v>
      </c>
      <c r="M45" s="13"/>
    </row>
    <row r="46" spans="1:13" ht="18.5" x14ac:dyDescent="0.45">
      <c r="A46" s="3">
        <v>45</v>
      </c>
      <c r="B46" s="4" t="s">
        <v>115</v>
      </c>
      <c r="C46" s="4" t="s">
        <v>26</v>
      </c>
      <c r="D46" s="11">
        <f>SUM(1014)</f>
        <v>1014</v>
      </c>
      <c r="E46" s="11">
        <f>SUM(87)</f>
        <v>87</v>
      </c>
      <c r="F46" s="12">
        <f>D46/E46</f>
        <v>11.655172413793103</v>
      </c>
      <c r="G46" s="11">
        <v>1</v>
      </c>
      <c r="H46" s="11"/>
      <c r="I46" s="11"/>
      <c r="J46" s="11"/>
      <c r="K46" s="11"/>
      <c r="L46" s="11">
        <v>0.5</v>
      </c>
      <c r="M46" s="13"/>
    </row>
    <row r="47" spans="1:13" ht="18.5" x14ac:dyDescent="0.45">
      <c r="A47" s="3">
        <v>46</v>
      </c>
      <c r="B47" s="14" t="s">
        <v>37</v>
      </c>
      <c r="C47" s="4" t="s">
        <v>76</v>
      </c>
      <c r="D47" s="11">
        <f>SUM(1487+1270+1281+1456+1315)</f>
        <v>6809</v>
      </c>
      <c r="E47" s="11">
        <f>SUM(142+105+93+150+105)</f>
        <v>595</v>
      </c>
      <c r="F47" s="12">
        <f>D47/E47</f>
        <v>11.443697478991597</v>
      </c>
      <c r="G47" s="11">
        <v>5</v>
      </c>
      <c r="H47" s="11"/>
      <c r="I47" s="11"/>
      <c r="J47" s="11"/>
      <c r="K47" s="11"/>
      <c r="L47" s="11">
        <v>8</v>
      </c>
      <c r="M47" s="13"/>
    </row>
    <row r="48" spans="1:13" ht="18.5" x14ac:dyDescent="0.45">
      <c r="A48" s="3">
        <v>47</v>
      </c>
      <c r="B48" s="14" t="s">
        <v>36</v>
      </c>
      <c r="C48" s="4" t="s">
        <v>76</v>
      </c>
      <c r="D48" s="11">
        <f>SUM(1372+1316+996+1229+1440)</f>
        <v>6353</v>
      </c>
      <c r="E48" s="11">
        <f>SUM(123+111+87+111+126)</f>
        <v>558</v>
      </c>
      <c r="F48" s="12">
        <f>D48/E48</f>
        <v>11.385304659498209</v>
      </c>
      <c r="G48" s="11">
        <v>5</v>
      </c>
      <c r="H48" s="11"/>
      <c r="I48" s="11"/>
      <c r="J48" s="11"/>
      <c r="K48" s="11"/>
      <c r="L48" s="11">
        <v>6.5</v>
      </c>
      <c r="M48" s="13"/>
    </row>
    <row r="49" spans="1:18" ht="18.5" x14ac:dyDescent="0.45">
      <c r="A49" s="3">
        <v>48</v>
      </c>
      <c r="B49" s="4" t="s">
        <v>18</v>
      </c>
      <c r="C49" s="4" t="s">
        <v>15</v>
      </c>
      <c r="D49" s="11">
        <f>SUM(1267+1491+1493)</f>
        <v>4251</v>
      </c>
      <c r="E49" s="11">
        <f>SUM(121+139+133)</f>
        <v>393</v>
      </c>
      <c r="F49" s="12">
        <f>D49/E49</f>
        <v>10.816793893129772</v>
      </c>
      <c r="G49" s="11">
        <v>3</v>
      </c>
      <c r="H49" s="11">
        <v>2</v>
      </c>
      <c r="I49" s="11"/>
      <c r="J49" s="11"/>
      <c r="K49" s="11"/>
      <c r="L49" s="11">
        <v>13</v>
      </c>
      <c r="M49" s="13"/>
    </row>
    <row r="50" spans="1:18" ht="18.5" x14ac:dyDescent="0.45">
      <c r="A50" s="3">
        <v>49</v>
      </c>
      <c r="B50" s="4" t="s">
        <v>121</v>
      </c>
      <c r="C50" s="4" t="s">
        <v>94</v>
      </c>
      <c r="D50" s="11">
        <f>SUM(1419)</f>
        <v>1419</v>
      </c>
      <c r="E50" s="11">
        <f>SUM(132)</f>
        <v>132</v>
      </c>
      <c r="F50" s="12">
        <f>D50/E50</f>
        <v>10.75</v>
      </c>
      <c r="G50" s="11">
        <v>1</v>
      </c>
      <c r="H50" s="11"/>
      <c r="I50" s="11"/>
      <c r="J50" s="11"/>
      <c r="K50" s="11"/>
      <c r="L50" s="11">
        <v>1</v>
      </c>
      <c r="M50" s="13">
        <v>5</v>
      </c>
    </row>
    <row r="51" spans="1:18" ht="18.5" x14ac:dyDescent="0.45">
      <c r="A51" s="3">
        <v>50</v>
      </c>
      <c r="B51" s="14" t="s">
        <v>65</v>
      </c>
      <c r="C51" s="4" t="s">
        <v>16</v>
      </c>
      <c r="D51" s="11">
        <f>SUM(1337+1489+1467+1477)</f>
        <v>5770</v>
      </c>
      <c r="E51" s="11">
        <f>SUM(150+138+111+139)</f>
        <v>538</v>
      </c>
      <c r="F51" s="12">
        <f>D51/E51</f>
        <v>10.724907063197026</v>
      </c>
      <c r="G51" s="11">
        <v>4</v>
      </c>
      <c r="H51" s="11">
        <v>1</v>
      </c>
      <c r="I51" s="11"/>
      <c r="J51" s="11"/>
      <c r="K51" s="11"/>
      <c r="L51" s="11">
        <v>9</v>
      </c>
      <c r="M51" s="13">
        <v>5</v>
      </c>
    </row>
    <row r="52" spans="1:18" ht="18.5" x14ac:dyDescent="0.45">
      <c r="A52" s="3">
        <v>51</v>
      </c>
      <c r="B52" s="14" t="s">
        <v>93</v>
      </c>
      <c r="C52" s="4" t="s">
        <v>62</v>
      </c>
      <c r="D52" s="11">
        <f>SUM(1476+1440+1478)</f>
        <v>4394</v>
      </c>
      <c r="E52" s="11">
        <f>SUM(156+138+139)</f>
        <v>433</v>
      </c>
      <c r="F52" s="12">
        <f>D52/E52</f>
        <v>10.147806004618937</v>
      </c>
      <c r="G52" s="11">
        <v>3</v>
      </c>
      <c r="H52" s="11"/>
      <c r="I52" s="11"/>
      <c r="J52" s="11"/>
      <c r="K52" s="11"/>
      <c r="L52" s="11">
        <v>3</v>
      </c>
      <c r="M52" s="13"/>
    </row>
    <row r="53" spans="1:18" ht="17.25" customHeight="1" thickBot="1" x14ac:dyDescent="0.5">
      <c r="A53" s="5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</row>
    <row r="54" spans="1:18" ht="19.5" customHeight="1" thickBot="1" x14ac:dyDescent="0.5">
      <c r="A54" s="5"/>
      <c r="B54" s="33" t="s">
        <v>120</v>
      </c>
      <c r="C54" s="58" t="s">
        <v>42</v>
      </c>
      <c r="D54" s="57" t="s">
        <v>43</v>
      </c>
      <c r="E54" s="57" t="s">
        <v>87</v>
      </c>
      <c r="F54" s="56" t="s">
        <v>44</v>
      </c>
      <c r="G54" s="55" t="s">
        <v>86</v>
      </c>
      <c r="I54" s="38" t="s">
        <v>45</v>
      </c>
      <c r="J54" s="39"/>
      <c r="K54" s="39"/>
      <c r="L54" s="39"/>
      <c r="M54" s="39"/>
      <c r="N54" s="39"/>
      <c r="O54" s="39"/>
      <c r="P54" s="39"/>
      <c r="Q54" s="39"/>
      <c r="R54" s="40"/>
    </row>
    <row r="55" spans="1:18" ht="18.5" x14ac:dyDescent="0.45">
      <c r="A55" s="5"/>
      <c r="B55" s="50"/>
      <c r="C55" s="17" t="s">
        <v>47</v>
      </c>
      <c r="D55" s="22">
        <v>6</v>
      </c>
      <c r="E55" s="22">
        <v>0</v>
      </c>
      <c r="F55" s="22">
        <v>97</v>
      </c>
      <c r="G55" s="28">
        <v>7</v>
      </c>
      <c r="I55" s="43" t="s">
        <v>46</v>
      </c>
      <c r="J55" s="44"/>
      <c r="K55" s="44"/>
      <c r="L55" s="44"/>
      <c r="M55" s="44"/>
      <c r="N55" s="41" t="s">
        <v>113</v>
      </c>
      <c r="O55" s="41"/>
      <c r="P55" s="41"/>
      <c r="Q55" s="41"/>
      <c r="R55" s="42"/>
    </row>
    <row r="56" spans="1:18" ht="19" thickBot="1" x14ac:dyDescent="0.5">
      <c r="A56" s="5"/>
      <c r="B56" s="50"/>
      <c r="C56" s="17" t="s">
        <v>57</v>
      </c>
      <c r="D56" s="22">
        <v>5</v>
      </c>
      <c r="E56" s="11">
        <v>1</v>
      </c>
      <c r="F56" s="11">
        <v>96</v>
      </c>
      <c r="G56" s="28">
        <v>9</v>
      </c>
      <c r="I56" s="45" t="s">
        <v>48</v>
      </c>
      <c r="J56" s="46"/>
      <c r="K56" s="46"/>
      <c r="L56" s="46"/>
      <c r="M56" s="46"/>
      <c r="N56" s="36" t="s">
        <v>119</v>
      </c>
      <c r="O56" s="36"/>
      <c r="P56" s="36"/>
      <c r="Q56" s="36"/>
      <c r="R56" s="37"/>
    </row>
    <row r="57" spans="1:18" ht="18.5" x14ac:dyDescent="0.45">
      <c r="A57" s="5"/>
      <c r="B57" s="50"/>
      <c r="C57" s="54" t="s">
        <v>52</v>
      </c>
      <c r="D57" s="53">
        <v>5</v>
      </c>
      <c r="E57" s="52">
        <v>0</v>
      </c>
      <c r="F57" s="52">
        <v>80</v>
      </c>
      <c r="G57" s="51">
        <v>5</v>
      </c>
      <c r="I57" s="45" t="s">
        <v>50</v>
      </c>
      <c r="J57" s="46"/>
      <c r="K57" s="46"/>
      <c r="L57" s="46"/>
      <c r="M57" s="46"/>
      <c r="N57" s="36" t="s">
        <v>118</v>
      </c>
      <c r="O57" s="36"/>
      <c r="P57" s="36"/>
      <c r="Q57" s="36"/>
      <c r="R57" s="37"/>
    </row>
    <row r="58" spans="1:18" ht="18.5" x14ac:dyDescent="0.45">
      <c r="A58" s="6"/>
      <c r="B58" s="50"/>
      <c r="C58" s="17" t="s">
        <v>49</v>
      </c>
      <c r="D58" s="22">
        <v>4</v>
      </c>
      <c r="E58" s="11">
        <v>1</v>
      </c>
      <c r="F58" s="11">
        <v>72</v>
      </c>
      <c r="G58" s="28">
        <v>6</v>
      </c>
      <c r="I58" s="45" t="s">
        <v>51</v>
      </c>
      <c r="J58" s="46"/>
      <c r="K58" s="46"/>
      <c r="L58" s="46"/>
      <c r="M58" s="46"/>
      <c r="N58" s="36" t="s">
        <v>117</v>
      </c>
      <c r="O58" s="36"/>
      <c r="P58" s="36"/>
      <c r="Q58" s="36"/>
      <c r="R58" s="37"/>
    </row>
    <row r="59" spans="1:18" ht="18" customHeight="1" x14ac:dyDescent="0.45">
      <c r="A59" s="6"/>
      <c r="B59" s="50"/>
      <c r="C59" s="17" t="s">
        <v>56</v>
      </c>
      <c r="D59" s="22">
        <v>3</v>
      </c>
      <c r="E59" s="11">
        <v>2</v>
      </c>
      <c r="F59" s="11">
        <v>69</v>
      </c>
      <c r="G59" s="28">
        <v>3</v>
      </c>
      <c r="I59" s="45" t="s">
        <v>53</v>
      </c>
      <c r="J59" s="46"/>
      <c r="K59" s="46"/>
      <c r="L59" s="46"/>
      <c r="M59" s="46"/>
      <c r="N59" s="36" t="s">
        <v>106</v>
      </c>
      <c r="O59" s="36"/>
      <c r="P59" s="36"/>
      <c r="Q59" s="36"/>
      <c r="R59" s="37"/>
    </row>
    <row r="60" spans="1:18" ht="18" customHeight="1" thickBot="1" x14ac:dyDescent="0.5">
      <c r="A60" s="6"/>
      <c r="B60" s="50"/>
      <c r="C60" s="17" t="s">
        <v>55</v>
      </c>
      <c r="D60" s="22">
        <v>3</v>
      </c>
      <c r="E60" s="22">
        <v>2</v>
      </c>
      <c r="F60" s="22">
        <v>66</v>
      </c>
      <c r="G60" s="28">
        <v>2</v>
      </c>
      <c r="I60" s="31" t="s">
        <v>54</v>
      </c>
      <c r="J60" s="32"/>
      <c r="K60" s="32"/>
      <c r="L60" s="32"/>
      <c r="M60" s="32"/>
      <c r="N60" s="36" t="s">
        <v>89</v>
      </c>
      <c r="O60" s="36"/>
      <c r="P60" s="36"/>
      <c r="Q60" s="36"/>
      <c r="R60" s="37"/>
    </row>
    <row r="61" spans="1:18" ht="18.5" x14ac:dyDescent="0.45">
      <c r="A61" s="6"/>
      <c r="B61" s="50"/>
      <c r="C61" s="17" t="s">
        <v>88</v>
      </c>
      <c r="D61" s="23">
        <v>1</v>
      </c>
      <c r="E61" s="23">
        <v>4</v>
      </c>
      <c r="F61" s="23">
        <v>44</v>
      </c>
      <c r="G61" s="28">
        <v>1</v>
      </c>
      <c r="H61" s="6"/>
      <c r="I61" s="6"/>
    </row>
    <row r="62" spans="1:18" ht="19" thickBot="1" x14ac:dyDescent="0.5">
      <c r="A62" s="6"/>
      <c r="B62" s="50"/>
      <c r="C62" s="48" t="s">
        <v>77</v>
      </c>
      <c r="D62" s="47">
        <v>1</v>
      </c>
      <c r="E62" s="47">
        <v>4</v>
      </c>
      <c r="F62" s="47">
        <v>39</v>
      </c>
      <c r="G62" s="29">
        <v>4</v>
      </c>
      <c r="H62" s="6"/>
    </row>
    <row r="63" spans="1:18" ht="18.5" x14ac:dyDescent="0.45">
      <c r="B63" s="50"/>
      <c r="C63" s="17" t="s">
        <v>66</v>
      </c>
      <c r="D63" s="22">
        <v>1</v>
      </c>
      <c r="E63" s="11">
        <v>5</v>
      </c>
      <c r="F63" s="11">
        <v>59</v>
      </c>
      <c r="G63" s="28">
        <v>8</v>
      </c>
    </row>
    <row r="64" spans="1:18" ht="18.5" x14ac:dyDescent="0.45">
      <c r="B64" s="50"/>
      <c r="C64" s="17" t="s">
        <v>63</v>
      </c>
      <c r="D64" s="23">
        <v>1</v>
      </c>
      <c r="E64" s="23">
        <v>5</v>
      </c>
      <c r="F64" s="23">
        <v>53</v>
      </c>
      <c r="G64" s="28">
        <v>10</v>
      </c>
    </row>
    <row r="65" spans="2:7" ht="19" thickBot="1" x14ac:dyDescent="0.5">
      <c r="B65" s="49"/>
      <c r="C65" s="18" t="s">
        <v>58</v>
      </c>
      <c r="D65" s="23">
        <v>0</v>
      </c>
      <c r="E65" s="23">
        <v>6</v>
      </c>
      <c r="F65" s="23">
        <v>45</v>
      </c>
      <c r="G65" s="28">
        <v>11</v>
      </c>
    </row>
  </sheetData>
  <mergeCells count="14">
    <mergeCell ref="I56:M56"/>
    <mergeCell ref="I57:M57"/>
    <mergeCell ref="I58:M58"/>
    <mergeCell ref="I59:M59"/>
    <mergeCell ref="I60:M60"/>
    <mergeCell ref="B54:B65"/>
    <mergeCell ref="N60:R60"/>
    <mergeCell ref="I54:R54"/>
    <mergeCell ref="N55:R55"/>
    <mergeCell ref="N56:R56"/>
    <mergeCell ref="N57:R57"/>
    <mergeCell ref="N58:R58"/>
    <mergeCell ref="N59:R59"/>
    <mergeCell ref="I55:M5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03BD05-0DFE-4423-80F6-718FF3E5C9E6}">
  <dimension ref="A1:R66"/>
  <sheetViews>
    <sheetView workbookViewId="0">
      <pane ySplit="1" topLeftCell="A6" activePane="bottomLeft" state="frozen"/>
      <selection pane="bottomLeft" activeCell="O14" sqref="O14:R16"/>
    </sheetView>
  </sheetViews>
  <sheetFormatPr defaultRowHeight="14.5" x14ac:dyDescent="0.35"/>
  <cols>
    <col min="1" max="1" width="5.453125" bestFit="1" customWidth="1"/>
    <col min="2" max="2" width="23.81640625" bestFit="1" customWidth="1"/>
    <col min="3" max="3" width="31.1796875" bestFit="1" customWidth="1"/>
    <col min="4" max="5" width="10.7265625" bestFit="1" customWidth="1"/>
    <col min="6" max="6" width="7.7265625" bestFit="1" customWidth="1"/>
    <col min="7" max="7" width="12.1796875" bestFit="1" customWidth="1"/>
    <col min="8" max="11" width="5.7265625" customWidth="1"/>
    <col min="12" max="12" width="7.7265625" bestFit="1" customWidth="1"/>
    <col min="13" max="13" width="10.81640625" bestFit="1" customWidth="1"/>
    <col min="18" max="18" width="38.54296875" customWidth="1"/>
  </cols>
  <sheetData>
    <row r="1" spans="1:13" ht="73.5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1" t="s">
        <v>7</v>
      </c>
      <c r="I1" s="1">
        <v>180</v>
      </c>
      <c r="J1" s="1">
        <v>171</v>
      </c>
      <c r="K1" s="1" t="s">
        <v>8</v>
      </c>
      <c r="L1" s="2" t="s">
        <v>9</v>
      </c>
      <c r="M1" s="2" t="s">
        <v>10</v>
      </c>
    </row>
    <row r="2" spans="1:13" ht="18.5" x14ac:dyDescent="0.45">
      <c r="A2" s="3">
        <v>1</v>
      </c>
      <c r="B2" s="14" t="s">
        <v>100</v>
      </c>
      <c r="C2" s="4" t="s">
        <v>94</v>
      </c>
      <c r="D2" s="11">
        <f>SUM(1343+1469+1241+1495+1503)</f>
        <v>7051</v>
      </c>
      <c r="E2" s="11">
        <f>SUM(84+72+88+75+70)</f>
        <v>389</v>
      </c>
      <c r="F2" s="12">
        <f>D2/E2</f>
        <v>18.125964010282775</v>
      </c>
      <c r="G2" s="11">
        <v>5</v>
      </c>
      <c r="H2" s="11">
        <v>4</v>
      </c>
      <c r="I2" s="11"/>
      <c r="J2" s="11"/>
      <c r="K2" s="11"/>
      <c r="L2" s="11">
        <v>21.5</v>
      </c>
      <c r="M2" s="13">
        <v>15</v>
      </c>
    </row>
    <row r="3" spans="1:13" ht="18.5" x14ac:dyDescent="0.45">
      <c r="A3" s="3">
        <v>2</v>
      </c>
      <c r="B3" s="4" t="s">
        <v>83</v>
      </c>
      <c r="C3" s="4" t="s">
        <v>15</v>
      </c>
      <c r="D3" s="11">
        <f>SUM(1503+1419+1503+1499+1503+1503)</f>
        <v>8930</v>
      </c>
      <c r="E3" s="11">
        <f>SUM(68+80+79+90+78+109)</f>
        <v>504</v>
      </c>
      <c r="F3" s="12">
        <f>D3/E3</f>
        <v>17.718253968253968</v>
      </c>
      <c r="G3" s="11">
        <v>6</v>
      </c>
      <c r="H3" s="11">
        <v>6</v>
      </c>
      <c r="I3" s="11"/>
      <c r="J3" s="11"/>
      <c r="K3" s="11"/>
      <c r="L3" s="11">
        <v>29</v>
      </c>
      <c r="M3" s="13">
        <v>5</v>
      </c>
    </row>
    <row r="4" spans="1:13" ht="18.5" x14ac:dyDescent="0.45">
      <c r="A4" s="3">
        <v>3</v>
      </c>
      <c r="B4" s="4" t="s">
        <v>21</v>
      </c>
      <c r="C4" s="4" t="s">
        <v>13</v>
      </c>
      <c r="D4" s="11">
        <f>SUM(1503+1470+1503+1457+1472+1503)</f>
        <v>8908</v>
      </c>
      <c r="E4" s="11">
        <f>SUM(105+88+87+90+84+84)</f>
        <v>538</v>
      </c>
      <c r="F4" s="12">
        <f>D4/E4</f>
        <v>16.557620817843866</v>
      </c>
      <c r="G4" s="11">
        <v>6</v>
      </c>
      <c r="H4" s="11">
        <v>4</v>
      </c>
      <c r="I4" s="11"/>
      <c r="J4" s="11"/>
      <c r="K4" s="11"/>
      <c r="L4" s="11">
        <v>22</v>
      </c>
      <c r="M4" s="13"/>
    </row>
    <row r="5" spans="1:13" ht="18.5" x14ac:dyDescent="0.45">
      <c r="A5" s="3">
        <v>4</v>
      </c>
      <c r="B5" s="3" t="s">
        <v>32</v>
      </c>
      <c r="C5" s="7" t="s">
        <v>20</v>
      </c>
      <c r="D5" s="11">
        <f>SUM(1359+1503+1446+1365+1185+1503+1433)</f>
        <v>9794</v>
      </c>
      <c r="E5" s="11">
        <f>SUM(84+96+89+92+75+90+78)</f>
        <v>604</v>
      </c>
      <c r="F5" s="12">
        <f>D5/E5</f>
        <v>16.215231788079471</v>
      </c>
      <c r="G5" s="11">
        <v>7</v>
      </c>
      <c r="H5" s="11">
        <v>5</v>
      </c>
      <c r="I5" s="11"/>
      <c r="J5" s="11"/>
      <c r="K5" s="11"/>
      <c r="L5" s="11">
        <v>30</v>
      </c>
      <c r="M5" s="13"/>
    </row>
    <row r="6" spans="1:13" ht="18.5" x14ac:dyDescent="0.45">
      <c r="A6" s="3">
        <v>5</v>
      </c>
      <c r="B6" s="4" t="s">
        <v>11</v>
      </c>
      <c r="C6" s="4" t="s">
        <v>12</v>
      </c>
      <c r="D6" s="11">
        <f>SUM(1503+1441+1493+1416+1503+1329)</f>
        <v>8685</v>
      </c>
      <c r="E6" s="11">
        <f>SUM(102+84+94+84+96+77)</f>
        <v>537</v>
      </c>
      <c r="F6" s="12">
        <f>D6/E6</f>
        <v>16.173184357541899</v>
      </c>
      <c r="G6" s="11">
        <v>6</v>
      </c>
      <c r="H6" s="11">
        <v>5</v>
      </c>
      <c r="I6" s="11">
        <v>1</v>
      </c>
      <c r="J6" s="11"/>
      <c r="K6" s="11"/>
      <c r="L6" s="11">
        <v>22.5</v>
      </c>
      <c r="M6" s="13"/>
    </row>
    <row r="7" spans="1:13" ht="18.5" x14ac:dyDescent="0.45">
      <c r="A7" s="3">
        <v>6</v>
      </c>
      <c r="B7" s="4" t="s">
        <v>17</v>
      </c>
      <c r="C7" s="4" t="s">
        <v>13</v>
      </c>
      <c r="D7" s="11">
        <f>SUM(1503+1474+1369+1328+1503+1427)</f>
        <v>8604</v>
      </c>
      <c r="E7" s="11">
        <f>SUM(90+83+84+72+99+108)</f>
        <v>536</v>
      </c>
      <c r="F7" s="12">
        <f>D7/E7</f>
        <v>16.052238805970148</v>
      </c>
      <c r="G7" s="11">
        <v>6</v>
      </c>
      <c r="H7" s="11">
        <v>2</v>
      </c>
      <c r="I7" s="11">
        <v>1</v>
      </c>
      <c r="J7" s="11"/>
      <c r="K7" s="11"/>
      <c r="L7" s="11">
        <v>17.5</v>
      </c>
      <c r="M7" s="13"/>
    </row>
    <row r="8" spans="1:13" ht="18.5" x14ac:dyDescent="0.45">
      <c r="A8" s="3">
        <v>7</v>
      </c>
      <c r="B8" s="4" t="s">
        <v>25</v>
      </c>
      <c r="C8" s="4" t="s">
        <v>16</v>
      </c>
      <c r="D8" s="11">
        <f>SUM(1503+1493+1467+1500+1501+1501)</f>
        <v>8965</v>
      </c>
      <c r="E8" s="11">
        <f>SUM(80+92+84+111+97+107)</f>
        <v>571</v>
      </c>
      <c r="F8" s="12">
        <f>D8/E8</f>
        <v>15.700525394045535</v>
      </c>
      <c r="G8" s="11">
        <v>6</v>
      </c>
      <c r="H8" s="11">
        <v>6</v>
      </c>
      <c r="I8" s="11"/>
      <c r="J8" s="11">
        <v>1</v>
      </c>
      <c r="K8" s="11"/>
      <c r="L8" s="11">
        <v>23.5</v>
      </c>
      <c r="M8" s="13">
        <v>10</v>
      </c>
    </row>
    <row r="9" spans="1:13" ht="18.5" x14ac:dyDescent="0.45">
      <c r="A9" s="3">
        <v>8</v>
      </c>
      <c r="B9" s="4" t="s">
        <v>38</v>
      </c>
      <c r="C9" s="4" t="s">
        <v>31</v>
      </c>
      <c r="D9" s="11">
        <f>SUM(1470+1447+1339+1247+1325+1503)</f>
        <v>8331</v>
      </c>
      <c r="E9" s="11">
        <f>SUM(86+78+93+80+107+94)</f>
        <v>538</v>
      </c>
      <c r="F9" s="12">
        <f>D9/E9</f>
        <v>15.485130111524164</v>
      </c>
      <c r="G9" s="11">
        <v>6</v>
      </c>
      <c r="H9" s="11">
        <v>3</v>
      </c>
      <c r="I9" s="11">
        <v>1</v>
      </c>
      <c r="J9" s="11"/>
      <c r="K9" s="11"/>
      <c r="L9" s="11">
        <v>22</v>
      </c>
      <c r="M9" s="13">
        <v>5</v>
      </c>
    </row>
    <row r="10" spans="1:13" ht="18.5" x14ac:dyDescent="0.45">
      <c r="A10" s="3">
        <v>9</v>
      </c>
      <c r="B10" s="4" t="s">
        <v>78</v>
      </c>
      <c r="C10" s="4" t="s">
        <v>31</v>
      </c>
      <c r="D10" s="11">
        <f>SUM(1501+1503+1503+1503+1436+1503)</f>
        <v>8949</v>
      </c>
      <c r="E10" s="11">
        <f>SUM(113+97+98+75+95+106)</f>
        <v>584</v>
      </c>
      <c r="F10" s="12">
        <f>D10/E10</f>
        <v>15.323630136986301</v>
      </c>
      <c r="G10" s="11">
        <v>6</v>
      </c>
      <c r="H10" s="11">
        <v>5</v>
      </c>
      <c r="I10" s="11"/>
      <c r="J10" s="11"/>
      <c r="K10" s="11"/>
      <c r="L10" s="11">
        <v>26.5</v>
      </c>
      <c r="M10" s="13">
        <v>5</v>
      </c>
    </row>
    <row r="11" spans="1:13" ht="18.5" x14ac:dyDescent="0.45">
      <c r="A11" s="3">
        <v>10</v>
      </c>
      <c r="B11" s="14" t="s">
        <v>72</v>
      </c>
      <c r="C11" s="4" t="s">
        <v>31</v>
      </c>
      <c r="D11" s="11">
        <f>SUM(1503+1475+1503+1447+1483+1493)</f>
        <v>8904</v>
      </c>
      <c r="E11" s="11">
        <f>SUM(102+96+91+98+102+99)</f>
        <v>588</v>
      </c>
      <c r="F11" s="12">
        <f>D11/E11</f>
        <v>15.142857142857142</v>
      </c>
      <c r="G11" s="11">
        <v>6</v>
      </c>
      <c r="H11" s="11">
        <v>4</v>
      </c>
      <c r="I11" s="11"/>
      <c r="J11" s="11"/>
      <c r="K11" s="11"/>
      <c r="L11" s="11">
        <v>22</v>
      </c>
      <c r="M11" s="13"/>
    </row>
    <row r="12" spans="1:13" ht="18.5" x14ac:dyDescent="0.45">
      <c r="A12" s="3">
        <v>11</v>
      </c>
      <c r="B12" s="4" t="s">
        <v>27</v>
      </c>
      <c r="C12" s="4" t="s">
        <v>12</v>
      </c>
      <c r="D12" s="11">
        <f>SUM(1503+1443+1324+1489+1268+1347)</f>
        <v>8374</v>
      </c>
      <c r="E12" s="11">
        <f>SUM(84+101+74+92+93+114)</f>
        <v>558</v>
      </c>
      <c r="F12" s="12">
        <f>D12/E12</f>
        <v>15.007168458781361</v>
      </c>
      <c r="G12" s="11">
        <v>6</v>
      </c>
      <c r="H12" s="11">
        <v>3</v>
      </c>
      <c r="I12" s="11"/>
      <c r="J12" s="11"/>
      <c r="K12" s="11"/>
      <c r="L12" s="11">
        <v>20</v>
      </c>
      <c r="M12" s="13"/>
    </row>
    <row r="13" spans="1:13" ht="18.5" x14ac:dyDescent="0.45">
      <c r="A13" s="3">
        <v>12</v>
      </c>
      <c r="B13" s="4" t="s">
        <v>28</v>
      </c>
      <c r="C13" s="4" t="s">
        <v>62</v>
      </c>
      <c r="D13" s="11">
        <f>SUM(1327+1229+1367+1115+1503+1393+1493)</f>
        <v>9427</v>
      </c>
      <c r="E13" s="11">
        <f>SUM(84+79+89+81+82+97+120)</f>
        <v>632</v>
      </c>
      <c r="F13" s="12">
        <f>D13/E13</f>
        <v>14.916139240506329</v>
      </c>
      <c r="G13" s="11">
        <v>7</v>
      </c>
      <c r="H13" s="11">
        <v>4</v>
      </c>
      <c r="I13" s="11"/>
      <c r="J13" s="11"/>
      <c r="K13" s="11">
        <v>1</v>
      </c>
      <c r="L13" s="11">
        <v>19</v>
      </c>
      <c r="M13" s="13">
        <v>10</v>
      </c>
    </row>
    <row r="14" spans="1:13" ht="18.5" x14ac:dyDescent="0.45">
      <c r="A14" s="3">
        <v>13</v>
      </c>
      <c r="B14" s="14" t="s">
        <v>99</v>
      </c>
      <c r="C14" s="7" t="s">
        <v>94</v>
      </c>
      <c r="D14" s="11">
        <f>SUM(1496+1397+1241+1448+1307+1503)</f>
        <v>8392</v>
      </c>
      <c r="E14" s="11">
        <f>SUM(100+91+84+97+105+88)</f>
        <v>565</v>
      </c>
      <c r="F14" s="12">
        <f>D14/E14</f>
        <v>14.853097345132744</v>
      </c>
      <c r="G14" s="11">
        <v>6</v>
      </c>
      <c r="H14" s="11">
        <v>2</v>
      </c>
      <c r="I14" s="11"/>
      <c r="J14" s="11"/>
      <c r="K14" s="11"/>
      <c r="L14" s="11">
        <v>14</v>
      </c>
      <c r="M14" s="13">
        <v>5</v>
      </c>
    </row>
    <row r="15" spans="1:13" ht="18.5" x14ac:dyDescent="0.45">
      <c r="A15" s="3">
        <v>14</v>
      </c>
      <c r="B15" s="4" t="s">
        <v>39</v>
      </c>
      <c r="C15" s="4" t="s">
        <v>15</v>
      </c>
      <c r="D15" s="11">
        <f>SUM(1361+1488+968+1468+1403+1493)</f>
        <v>8181</v>
      </c>
      <c r="E15" s="11">
        <f>SUM(107+98+81+98+85+85)</f>
        <v>554</v>
      </c>
      <c r="F15" s="12">
        <f>D15/E15</f>
        <v>14.767148014440433</v>
      </c>
      <c r="G15" s="11">
        <v>6</v>
      </c>
      <c r="H15" s="11">
        <v>5</v>
      </c>
      <c r="I15" s="11"/>
      <c r="J15" s="11"/>
      <c r="K15" s="11"/>
      <c r="L15" s="11">
        <v>21</v>
      </c>
      <c r="M15" s="13">
        <v>5</v>
      </c>
    </row>
    <row r="16" spans="1:13" ht="18.5" x14ac:dyDescent="0.45">
      <c r="A16" s="3">
        <v>15</v>
      </c>
      <c r="B16" s="61" t="s">
        <v>19</v>
      </c>
      <c r="C16" s="4" t="s">
        <v>20</v>
      </c>
      <c r="D16" s="11">
        <f>SUM(1391+1503+1498+1495+1471+1464+1499)</f>
        <v>10321</v>
      </c>
      <c r="E16" s="11">
        <f>SUM(108+83+99+110+96+103+113)</f>
        <v>712</v>
      </c>
      <c r="F16" s="12">
        <f>D16/E16</f>
        <v>14.495786516853933</v>
      </c>
      <c r="G16" s="11">
        <v>7</v>
      </c>
      <c r="H16" s="11">
        <v>5</v>
      </c>
      <c r="I16" s="11">
        <v>1</v>
      </c>
      <c r="J16" s="11"/>
      <c r="K16" s="11"/>
      <c r="L16" s="11">
        <v>26.5</v>
      </c>
      <c r="M16" s="13">
        <v>15</v>
      </c>
    </row>
    <row r="17" spans="1:13" ht="18.5" x14ac:dyDescent="0.45">
      <c r="A17" s="3">
        <v>16</v>
      </c>
      <c r="B17" s="7" t="s">
        <v>96</v>
      </c>
      <c r="C17" s="4" t="s">
        <v>73</v>
      </c>
      <c r="D17" s="11">
        <f>SUM(1497+1481)</f>
        <v>2978</v>
      </c>
      <c r="E17" s="11">
        <f>SUM(116+90)</f>
        <v>206</v>
      </c>
      <c r="F17" s="12">
        <f>D17/E17</f>
        <v>14.456310679611651</v>
      </c>
      <c r="G17" s="11">
        <v>2</v>
      </c>
      <c r="H17" s="11">
        <v>2</v>
      </c>
      <c r="I17" s="11"/>
      <c r="J17" s="11"/>
      <c r="K17" s="11"/>
      <c r="L17" s="11">
        <v>6</v>
      </c>
      <c r="M17" s="13"/>
    </row>
    <row r="18" spans="1:13" ht="18.5" x14ac:dyDescent="0.45">
      <c r="A18" s="3">
        <v>17</v>
      </c>
      <c r="B18" s="7" t="s">
        <v>68</v>
      </c>
      <c r="C18" s="4" t="s">
        <v>73</v>
      </c>
      <c r="D18" s="11">
        <f>SUM(941+1293+1503+1385+1473+1493+1444)</f>
        <v>9532</v>
      </c>
      <c r="E18" s="11">
        <f>SUM(66+89+95+105+96+124+100)</f>
        <v>675</v>
      </c>
      <c r="F18" s="12">
        <f>D18/E18</f>
        <v>14.121481481481482</v>
      </c>
      <c r="G18" s="11">
        <v>7</v>
      </c>
      <c r="H18" s="11">
        <v>2</v>
      </c>
      <c r="I18" s="11"/>
      <c r="J18" s="11"/>
      <c r="K18" s="11"/>
      <c r="L18" s="11">
        <v>19.5</v>
      </c>
      <c r="M18" s="13"/>
    </row>
    <row r="19" spans="1:13" ht="18.5" x14ac:dyDescent="0.45">
      <c r="A19" s="3">
        <v>18</v>
      </c>
      <c r="B19" s="9" t="s">
        <v>60</v>
      </c>
      <c r="C19" s="4" t="s">
        <v>26</v>
      </c>
      <c r="D19" s="11">
        <f>SUM(1446+1409+953+1451+1475+1256)</f>
        <v>7990</v>
      </c>
      <c r="E19" s="11">
        <f>SUM(108+84+72+88+112+102)</f>
        <v>566</v>
      </c>
      <c r="F19" s="12">
        <f>D19/E19</f>
        <v>14.116607773851591</v>
      </c>
      <c r="G19" s="11">
        <v>6</v>
      </c>
      <c r="H19" s="11"/>
      <c r="I19" s="11"/>
      <c r="J19" s="11"/>
      <c r="K19" s="11"/>
      <c r="L19" s="11">
        <v>9</v>
      </c>
      <c r="M19" s="13"/>
    </row>
    <row r="20" spans="1:13" ht="18.5" x14ac:dyDescent="0.45">
      <c r="A20" s="3">
        <v>19</v>
      </c>
      <c r="B20" s="7" t="s">
        <v>79</v>
      </c>
      <c r="C20" s="4" t="s">
        <v>76</v>
      </c>
      <c r="D20" s="11">
        <f>SUM(1084+1251+1495+1121+1494+905)</f>
        <v>7350</v>
      </c>
      <c r="E20" s="11">
        <f>SUM(72+90+94+78+121+66)</f>
        <v>521</v>
      </c>
      <c r="F20" s="12">
        <f>D20/E20</f>
        <v>14.107485604606525</v>
      </c>
      <c r="G20" s="11">
        <v>6</v>
      </c>
      <c r="H20" s="11">
        <v>1</v>
      </c>
      <c r="I20" s="11"/>
      <c r="J20" s="11"/>
      <c r="K20" s="11"/>
      <c r="L20" s="11">
        <v>8.5</v>
      </c>
      <c r="M20" s="13"/>
    </row>
    <row r="21" spans="1:13" ht="18.5" x14ac:dyDescent="0.45">
      <c r="A21" s="3">
        <v>20</v>
      </c>
      <c r="B21" s="9" t="s">
        <v>69</v>
      </c>
      <c r="C21" s="4" t="s">
        <v>73</v>
      </c>
      <c r="D21" s="11">
        <f>SUM(1475+1487+1479+1350+1492+1494+1471)</f>
        <v>10248</v>
      </c>
      <c r="E21" s="11">
        <f>SUM(103+99+95+88+109+123+116)</f>
        <v>733</v>
      </c>
      <c r="F21" s="12">
        <f>D21/E21</f>
        <v>13.980900409276945</v>
      </c>
      <c r="G21" s="11">
        <v>7</v>
      </c>
      <c r="H21" s="11">
        <v>1</v>
      </c>
      <c r="I21" s="11"/>
      <c r="J21" s="11"/>
      <c r="K21" s="11"/>
      <c r="L21" s="11">
        <v>16</v>
      </c>
      <c r="M21" s="13"/>
    </row>
    <row r="22" spans="1:13" ht="18.5" x14ac:dyDescent="0.45">
      <c r="A22" s="3">
        <v>21</v>
      </c>
      <c r="B22" s="60" t="s">
        <v>64</v>
      </c>
      <c r="C22" s="8" t="s">
        <v>13</v>
      </c>
      <c r="D22" s="11">
        <f>SUM(1478+1503+1471+1374+1451+1332)</f>
        <v>8609</v>
      </c>
      <c r="E22" s="11">
        <f>SUM(110+97+109+92+104+105)</f>
        <v>617</v>
      </c>
      <c r="F22" s="12">
        <f>D22/E22</f>
        <v>13.952998379254456</v>
      </c>
      <c r="G22" s="11">
        <v>6</v>
      </c>
      <c r="H22" s="11">
        <v>3</v>
      </c>
      <c r="I22" s="11"/>
      <c r="J22" s="11"/>
      <c r="K22" s="11"/>
      <c r="L22" s="11">
        <v>19</v>
      </c>
      <c r="M22" s="13"/>
    </row>
    <row r="23" spans="1:13" ht="18.5" x14ac:dyDescent="0.45">
      <c r="A23" s="3">
        <v>22</v>
      </c>
      <c r="B23" s="9" t="s">
        <v>59</v>
      </c>
      <c r="C23" s="7" t="s">
        <v>26</v>
      </c>
      <c r="D23" s="11">
        <f>SUM(1499+1463+1002+1326+1438+1240+1222)</f>
        <v>9190</v>
      </c>
      <c r="E23" s="11">
        <f>SUM(114+98+80+80+104+87+96)</f>
        <v>659</v>
      </c>
      <c r="F23" s="12">
        <f>D23/E23</f>
        <v>13.945371775417298</v>
      </c>
      <c r="G23" s="11">
        <v>7</v>
      </c>
      <c r="H23" s="11">
        <v>4</v>
      </c>
      <c r="I23" s="11"/>
      <c r="J23" s="11"/>
      <c r="K23" s="11"/>
      <c r="L23" s="11">
        <v>14</v>
      </c>
      <c r="M23" s="13">
        <v>10</v>
      </c>
    </row>
    <row r="24" spans="1:13" ht="18.5" x14ac:dyDescent="0.45">
      <c r="A24" s="3">
        <v>23</v>
      </c>
      <c r="B24" s="10" t="s">
        <v>40</v>
      </c>
      <c r="C24" s="7" t="s">
        <v>16</v>
      </c>
      <c r="D24" s="11">
        <f>SUM(1503+1298+1500+1442+1190)</f>
        <v>6933</v>
      </c>
      <c r="E24" s="11">
        <f>SUM(129+87+96+107+81)</f>
        <v>500</v>
      </c>
      <c r="F24" s="12">
        <f>D24/E24</f>
        <v>13.866</v>
      </c>
      <c r="G24" s="11">
        <v>5</v>
      </c>
      <c r="H24" s="11">
        <v>3</v>
      </c>
      <c r="I24" s="11"/>
      <c r="J24" s="11"/>
      <c r="K24" s="11"/>
      <c r="L24" s="11">
        <v>18</v>
      </c>
      <c r="M24" s="13"/>
    </row>
    <row r="25" spans="1:13" ht="18.5" x14ac:dyDescent="0.45">
      <c r="A25" s="3">
        <v>24</v>
      </c>
      <c r="B25" s="4" t="s">
        <v>22</v>
      </c>
      <c r="C25" s="4" t="s">
        <v>20</v>
      </c>
      <c r="D25" s="11">
        <f>SUM(1426+1503+1499+1270+1503+1498+1368)</f>
        <v>10067</v>
      </c>
      <c r="E25" s="11">
        <f>SUM(99+116+108+87+110+129+89)</f>
        <v>738</v>
      </c>
      <c r="F25" s="12">
        <f>D25/E25</f>
        <v>13.640921409214092</v>
      </c>
      <c r="G25" s="11">
        <v>7</v>
      </c>
      <c r="H25" s="11">
        <v>4</v>
      </c>
      <c r="I25" s="11"/>
      <c r="J25" s="11"/>
      <c r="K25" s="11"/>
      <c r="L25" s="11">
        <v>24.5</v>
      </c>
      <c r="M25" s="13">
        <v>5</v>
      </c>
    </row>
    <row r="26" spans="1:13" ht="18.5" x14ac:dyDescent="0.45">
      <c r="A26" s="3">
        <v>25</v>
      </c>
      <c r="B26" s="15" t="s">
        <v>97</v>
      </c>
      <c r="C26" s="4" t="s">
        <v>15</v>
      </c>
      <c r="D26" s="11">
        <f>SUM(1212+1473+1483)</f>
        <v>4168</v>
      </c>
      <c r="E26" s="11">
        <f>SUM(91+113+103)</f>
        <v>307</v>
      </c>
      <c r="F26" s="12">
        <f>D26/E26</f>
        <v>13.576547231270359</v>
      </c>
      <c r="G26" s="11">
        <v>3</v>
      </c>
      <c r="H26" s="11">
        <v>1</v>
      </c>
      <c r="I26" s="11"/>
      <c r="J26" s="11"/>
      <c r="K26" s="11"/>
      <c r="L26" s="11">
        <v>6</v>
      </c>
      <c r="M26" s="13"/>
    </row>
    <row r="27" spans="1:13" ht="18.5" x14ac:dyDescent="0.45">
      <c r="A27" s="3">
        <v>26</v>
      </c>
      <c r="B27" s="15" t="s">
        <v>116</v>
      </c>
      <c r="C27" s="7" t="s">
        <v>16</v>
      </c>
      <c r="D27" s="11">
        <f>SUM(1503+1394+1501)</f>
        <v>4398</v>
      </c>
      <c r="E27" s="11">
        <f>SUM(94+126+104)</f>
        <v>324</v>
      </c>
      <c r="F27" s="12">
        <f>D27/E27</f>
        <v>13.574074074074074</v>
      </c>
      <c r="G27" s="11">
        <v>3</v>
      </c>
      <c r="H27" s="11">
        <v>2</v>
      </c>
      <c r="I27" s="11"/>
      <c r="J27" s="11"/>
      <c r="K27" s="11"/>
      <c r="L27" s="11">
        <v>10.5</v>
      </c>
      <c r="M27" s="13"/>
    </row>
    <row r="28" spans="1:13" ht="18.5" x14ac:dyDescent="0.45">
      <c r="A28" s="3">
        <v>27</v>
      </c>
      <c r="B28" s="10" t="s">
        <v>29</v>
      </c>
      <c r="C28" s="7" t="s">
        <v>20</v>
      </c>
      <c r="D28" s="11">
        <f>SUM(1301+1503+1503+1465+1483+1463+1503)</f>
        <v>10221</v>
      </c>
      <c r="E28" s="11">
        <f>SUM(96+110+161+88+101+97+102)</f>
        <v>755</v>
      </c>
      <c r="F28" s="12">
        <f>D28/E28</f>
        <v>13.537748344370861</v>
      </c>
      <c r="G28" s="11">
        <v>7</v>
      </c>
      <c r="H28" s="11">
        <v>6</v>
      </c>
      <c r="I28" s="11"/>
      <c r="J28" s="11"/>
      <c r="K28" s="11"/>
      <c r="L28" s="11">
        <v>29</v>
      </c>
      <c r="M28" s="13"/>
    </row>
    <row r="29" spans="1:13" ht="18.5" x14ac:dyDescent="0.45">
      <c r="A29" s="3">
        <v>28</v>
      </c>
      <c r="B29" s="15" t="s">
        <v>14</v>
      </c>
      <c r="C29" s="7" t="s">
        <v>15</v>
      </c>
      <c r="D29" s="11">
        <f>SUM(1483+1501+1503+1497+1324+1503)</f>
        <v>8811</v>
      </c>
      <c r="E29" s="11">
        <f>SUM(111+96+127+125+86+117)</f>
        <v>662</v>
      </c>
      <c r="F29" s="12">
        <f>D29/E29</f>
        <v>13.309667673716012</v>
      </c>
      <c r="G29" s="11">
        <v>6</v>
      </c>
      <c r="H29" s="11">
        <v>4</v>
      </c>
      <c r="I29" s="11"/>
      <c r="J29" s="11"/>
      <c r="K29" s="11"/>
      <c r="L29" s="11">
        <v>25</v>
      </c>
      <c r="M29" s="13">
        <v>5</v>
      </c>
    </row>
    <row r="30" spans="1:13" ht="18.5" x14ac:dyDescent="0.45">
      <c r="A30" s="3">
        <v>29</v>
      </c>
      <c r="B30" s="10" t="s">
        <v>41</v>
      </c>
      <c r="C30" s="7" t="s">
        <v>62</v>
      </c>
      <c r="D30" s="11">
        <f>SUM(1443+1326+1271+1316+1281+1467+1494)</f>
        <v>9598</v>
      </c>
      <c r="E30" s="11">
        <f>SUM(102+95+98+96+99+124+108)</f>
        <v>722</v>
      </c>
      <c r="F30" s="12">
        <f>D30/E30</f>
        <v>13.293628808864266</v>
      </c>
      <c r="G30" s="11">
        <v>7</v>
      </c>
      <c r="H30" s="11">
        <v>2</v>
      </c>
      <c r="I30" s="11"/>
      <c r="J30" s="11"/>
      <c r="K30" s="11"/>
      <c r="L30" s="11">
        <v>16</v>
      </c>
      <c r="M30" s="13"/>
    </row>
    <row r="31" spans="1:13" ht="18.5" x14ac:dyDescent="0.45">
      <c r="A31" s="3">
        <v>30</v>
      </c>
      <c r="B31" s="15" t="s">
        <v>35</v>
      </c>
      <c r="C31" s="7" t="s">
        <v>62</v>
      </c>
      <c r="D31" s="11">
        <f>SUM(1480+1242+1379+1465+1503+1501+1427)</f>
        <v>9997</v>
      </c>
      <c r="E31" s="11">
        <f>SUM(111+87+100+128+114+110+103)</f>
        <v>753</v>
      </c>
      <c r="F31" s="12">
        <f>D31/E31</f>
        <v>13.276228419654714</v>
      </c>
      <c r="G31" s="11">
        <v>7</v>
      </c>
      <c r="H31" s="11">
        <v>4</v>
      </c>
      <c r="I31" s="11"/>
      <c r="J31" s="11"/>
      <c r="K31" s="11"/>
      <c r="L31" s="11">
        <v>19</v>
      </c>
      <c r="M31" s="13"/>
    </row>
    <row r="32" spans="1:13" ht="18.5" x14ac:dyDescent="0.45">
      <c r="A32" s="3">
        <v>31</v>
      </c>
      <c r="B32" s="10" t="s">
        <v>30</v>
      </c>
      <c r="C32" s="7" t="s">
        <v>31</v>
      </c>
      <c r="D32" s="11">
        <f>SUM(1369+1280+1318+1495+1487+1333)</f>
        <v>8282</v>
      </c>
      <c r="E32" s="11">
        <f>SUM(92+92+105+111+99+126)</f>
        <v>625</v>
      </c>
      <c r="F32" s="12">
        <f>D32/E32</f>
        <v>13.251200000000001</v>
      </c>
      <c r="G32" s="11">
        <v>6</v>
      </c>
      <c r="H32" s="11">
        <v>4</v>
      </c>
      <c r="I32" s="11"/>
      <c r="J32" s="11"/>
      <c r="K32" s="11"/>
      <c r="L32" s="11">
        <v>20.5</v>
      </c>
      <c r="M32" s="13"/>
    </row>
    <row r="33" spans="1:13" ht="18.5" x14ac:dyDescent="0.45">
      <c r="A33" s="3">
        <v>32</v>
      </c>
      <c r="B33" s="59" t="s">
        <v>23</v>
      </c>
      <c r="C33" s="7" t="s">
        <v>13</v>
      </c>
      <c r="D33" s="11">
        <f>SUM(1503+1499+1483+1483+1503+1497)</f>
        <v>8968</v>
      </c>
      <c r="E33" s="11">
        <f>SUM(100+99+110+105+132+140)</f>
        <v>686</v>
      </c>
      <c r="F33" s="12">
        <f>D33/E33</f>
        <v>13.072886297376094</v>
      </c>
      <c r="G33" s="11">
        <v>6</v>
      </c>
      <c r="H33" s="11">
        <v>6</v>
      </c>
      <c r="I33" s="11"/>
      <c r="J33" s="11"/>
      <c r="K33" s="11"/>
      <c r="L33" s="11">
        <v>22.5</v>
      </c>
      <c r="M33" s="13"/>
    </row>
    <row r="34" spans="1:13" ht="18.5" x14ac:dyDescent="0.45">
      <c r="A34" s="3">
        <v>33</v>
      </c>
      <c r="B34" s="4" t="s">
        <v>75</v>
      </c>
      <c r="C34" s="7" t="s">
        <v>73</v>
      </c>
      <c r="D34" s="11">
        <f>SUM(1499+1275+1131+1305+1499+1407)</f>
        <v>8116</v>
      </c>
      <c r="E34" s="11">
        <f>SUM(123+99+96+101+99+104)</f>
        <v>622</v>
      </c>
      <c r="F34" s="12">
        <f>D34/E34</f>
        <v>13.04823151125402</v>
      </c>
      <c r="G34" s="11">
        <v>6</v>
      </c>
      <c r="H34" s="11">
        <v>4</v>
      </c>
      <c r="I34" s="11"/>
      <c r="J34" s="11"/>
      <c r="K34" s="11"/>
      <c r="L34" s="11">
        <v>14</v>
      </c>
      <c r="M34" s="13"/>
    </row>
    <row r="35" spans="1:13" ht="18.5" x14ac:dyDescent="0.45">
      <c r="A35" s="3">
        <v>34</v>
      </c>
      <c r="B35" s="4" t="s">
        <v>24</v>
      </c>
      <c r="C35" s="4" t="s">
        <v>12</v>
      </c>
      <c r="D35" s="11">
        <f>SUM(1503+1503+1503+1398+1481+1377)</f>
        <v>8765</v>
      </c>
      <c r="E35" s="11">
        <f>SUM(108+98+101+143+135+88)</f>
        <v>673</v>
      </c>
      <c r="F35" s="12">
        <f>D35/E35</f>
        <v>13.023774145616642</v>
      </c>
      <c r="G35" s="11">
        <v>6</v>
      </c>
      <c r="H35" s="11">
        <v>4</v>
      </c>
      <c r="I35" s="11"/>
      <c r="J35" s="11"/>
      <c r="K35" s="11"/>
      <c r="L35" s="11">
        <v>25.5</v>
      </c>
      <c r="M35" s="13"/>
    </row>
    <row r="36" spans="1:13" ht="18.5" x14ac:dyDescent="0.45">
      <c r="A36" s="3">
        <v>35</v>
      </c>
      <c r="B36" s="4" t="s">
        <v>71</v>
      </c>
      <c r="C36" s="4" t="s">
        <v>76</v>
      </c>
      <c r="D36" s="11">
        <f>SUM(1501+1174+1489+1503+1435+1376)</f>
        <v>8478</v>
      </c>
      <c r="E36" s="11">
        <f>SUM(156+81+108+103+125+84)</f>
        <v>657</v>
      </c>
      <c r="F36" s="12">
        <f>D36/E36</f>
        <v>12.904109589041095</v>
      </c>
      <c r="G36" s="11">
        <v>6</v>
      </c>
      <c r="H36" s="11">
        <v>4</v>
      </c>
      <c r="I36" s="11"/>
      <c r="J36" s="11"/>
      <c r="K36" s="11"/>
      <c r="L36" s="11">
        <v>17.5</v>
      </c>
      <c r="M36" s="13"/>
    </row>
    <row r="37" spans="1:13" ht="18.5" x14ac:dyDescent="0.45">
      <c r="A37" s="3">
        <v>36</v>
      </c>
      <c r="B37" s="4" t="s">
        <v>98</v>
      </c>
      <c r="C37" s="4" t="s">
        <v>94</v>
      </c>
      <c r="D37" s="11">
        <f>SUM(1457+1241+1440+1384+1205+1503)</f>
        <v>8230</v>
      </c>
      <c r="E37" s="11">
        <f>SUM(99+99+114+102+82+143)</f>
        <v>639</v>
      </c>
      <c r="F37" s="12">
        <f>D37/E37</f>
        <v>12.879499217527387</v>
      </c>
      <c r="G37" s="11">
        <v>6</v>
      </c>
      <c r="H37" s="11">
        <v>1</v>
      </c>
      <c r="I37" s="11"/>
      <c r="J37" s="11"/>
      <c r="K37" s="11"/>
      <c r="L37" s="11">
        <v>16</v>
      </c>
      <c r="M37" s="13"/>
    </row>
    <row r="38" spans="1:13" ht="18.5" x14ac:dyDescent="0.45">
      <c r="A38" s="3">
        <v>37</v>
      </c>
      <c r="B38" s="4" t="s">
        <v>74</v>
      </c>
      <c r="C38" s="4" t="s">
        <v>12</v>
      </c>
      <c r="D38" s="11">
        <f>SUM(1479+1459+1501+1503+1448+1257)</f>
        <v>8647</v>
      </c>
      <c r="E38" s="11">
        <f>SUM(110+116+147+118+106+99)</f>
        <v>696</v>
      </c>
      <c r="F38" s="12">
        <f>D38/E38</f>
        <v>12.423850574712644</v>
      </c>
      <c r="G38" s="11">
        <v>6</v>
      </c>
      <c r="H38" s="11">
        <v>3</v>
      </c>
      <c r="I38" s="11"/>
      <c r="J38" s="11"/>
      <c r="K38" s="11"/>
      <c r="L38" s="11">
        <v>22</v>
      </c>
      <c r="M38" s="13"/>
    </row>
    <row r="39" spans="1:13" ht="18.5" x14ac:dyDescent="0.45">
      <c r="A39" s="3">
        <v>38</v>
      </c>
      <c r="B39" s="4" t="s">
        <v>67</v>
      </c>
      <c r="C39" s="4" t="s">
        <v>16</v>
      </c>
      <c r="D39" s="11">
        <f>SUM(1501+1503+1225+1495+1420+1493)</f>
        <v>8637</v>
      </c>
      <c r="E39" s="11">
        <f>SUM(148+104+75+129+108+136)</f>
        <v>700</v>
      </c>
      <c r="F39" s="12">
        <f>D39/E39</f>
        <v>12.338571428571429</v>
      </c>
      <c r="G39" s="11">
        <v>6</v>
      </c>
      <c r="H39" s="11">
        <v>2</v>
      </c>
      <c r="I39" s="11"/>
      <c r="J39" s="11"/>
      <c r="K39" s="11"/>
      <c r="L39" s="11">
        <v>13.5</v>
      </c>
      <c r="M39" s="13"/>
    </row>
    <row r="40" spans="1:13" ht="18.5" x14ac:dyDescent="0.45">
      <c r="A40" s="3">
        <v>39</v>
      </c>
      <c r="B40" s="14" t="s">
        <v>33</v>
      </c>
      <c r="C40" s="4" t="s">
        <v>26</v>
      </c>
      <c r="D40" s="11">
        <f>SUM(1311+1257+1471+1499+1355+1408)</f>
        <v>8301</v>
      </c>
      <c r="E40" s="11">
        <f>SUM(84+98+123+139+105+124)</f>
        <v>673</v>
      </c>
      <c r="F40" s="12">
        <f>D40/E40</f>
        <v>12.334323922734027</v>
      </c>
      <c r="G40" s="11">
        <v>6</v>
      </c>
      <c r="H40" s="11">
        <v>2</v>
      </c>
      <c r="I40" s="11"/>
      <c r="J40" s="11"/>
      <c r="K40" s="11"/>
      <c r="L40" s="11">
        <v>10.5</v>
      </c>
      <c r="M40" s="13"/>
    </row>
    <row r="41" spans="1:13" ht="18.5" x14ac:dyDescent="0.45">
      <c r="A41" s="3">
        <v>40</v>
      </c>
      <c r="B41" s="14" t="s">
        <v>70</v>
      </c>
      <c r="C41" s="4" t="s">
        <v>73</v>
      </c>
      <c r="D41" s="11">
        <f>SUM(1359+1497+1412+1293+1503+1499)</f>
        <v>8563</v>
      </c>
      <c r="E41" s="11">
        <f>SUM(110+135+87+97+131+137)</f>
        <v>697</v>
      </c>
      <c r="F41" s="12">
        <f>D41/E41</f>
        <v>12.285509325681492</v>
      </c>
      <c r="G41" s="11">
        <v>6</v>
      </c>
      <c r="H41" s="11">
        <v>3</v>
      </c>
      <c r="I41" s="11"/>
      <c r="J41" s="11"/>
      <c r="K41" s="11"/>
      <c r="L41" s="11">
        <v>17.5</v>
      </c>
      <c r="M41" s="13"/>
    </row>
    <row r="42" spans="1:13" ht="18.5" x14ac:dyDescent="0.45">
      <c r="A42" s="3">
        <v>41</v>
      </c>
      <c r="B42" s="14" t="s">
        <v>95</v>
      </c>
      <c r="C42" s="7" t="s">
        <v>94</v>
      </c>
      <c r="D42" s="11">
        <f>SUM(1455+1482+1452+1434+1427)</f>
        <v>7250</v>
      </c>
      <c r="E42" s="11">
        <f>SUM(129+147+107+101+114)</f>
        <v>598</v>
      </c>
      <c r="F42" s="12">
        <f>D42/E42</f>
        <v>12.123745819397993</v>
      </c>
      <c r="G42" s="11">
        <v>5</v>
      </c>
      <c r="H42" s="11"/>
      <c r="I42" s="11"/>
      <c r="J42" s="11"/>
      <c r="K42" s="11"/>
      <c r="L42" s="11">
        <v>8</v>
      </c>
      <c r="M42" s="13"/>
    </row>
    <row r="43" spans="1:13" ht="18.5" x14ac:dyDescent="0.45">
      <c r="A43" s="3">
        <v>42</v>
      </c>
      <c r="B43" s="14" t="s">
        <v>61</v>
      </c>
      <c r="C43" s="4" t="s">
        <v>26</v>
      </c>
      <c r="D43" s="11">
        <f>SUM(1332+1457+1481+1441+1493+1492)</f>
        <v>8696</v>
      </c>
      <c r="E43" s="11">
        <f>SUM(102+131+110+117+131+134)</f>
        <v>725</v>
      </c>
      <c r="F43" s="12">
        <f>D43/E43</f>
        <v>11.994482758620689</v>
      </c>
      <c r="G43" s="11">
        <v>6</v>
      </c>
      <c r="H43" s="11">
        <v>1</v>
      </c>
      <c r="I43" s="11"/>
      <c r="J43" s="11"/>
      <c r="K43" s="11"/>
      <c r="L43" s="11">
        <v>11</v>
      </c>
      <c r="M43" s="13"/>
    </row>
    <row r="44" spans="1:13" ht="18.5" x14ac:dyDescent="0.45">
      <c r="A44" s="3">
        <v>43</v>
      </c>
      <c r="B44" s="4" t="s">
        <v>122</v>
      </c>
      <c r="C44" s="4" t="s">
        <v>26</v>
      </c>
      <c r="D44" s="11">
        <f>SUM(1284+1031)</f>
        <v>2315</v>
      </c>
      <c r="E44" s="11">
        <f>SUM(99+98)</f>
        <v>197</v>
      </c>
      <c r="F44" s="12">
        <f>D44/E44</f>
        <v>11.751269035532994</v>
      </c>
      <c r="G44" s="11">
        <v>2</v>
      </c>
      <c r="H44" s="11"/>
      <c r="I44" s="11"/>
      <c r="J44" s="11"/>
      <c r="K44" s="11"/>
      <c r="L44" s="11">
        <v>3.5</v>
      </c>
      <c r="M44" s="13"/>
    </row>
    <row r="45" spans="1:13" ht="18.5" x14ac:dyDescent="0.45">
      <c r="A45" s="3">
        <v>44</v>
      </c>
      <c r="B45" s="4" t="s">
        <v>115</v>
      </c>
      <c r="C45" s="4" t="s">
        <v>26</v>
      </c>
      <c r="D45" s="11">
        <f>SUM(1014)</f>
        <v>1014</v>
      </c>
      <c r="E45" s="11">
        <f>SUM(87)</f>
        <v>87</v>
      </c>
      <c r="F45" s="12">
        <f>D45/E45</f>
        <v>11.655172413793103</v>
      </c>
      <c r="G45" s="11">
        <v>1</v>
      </c>
      <c r="H45" s="11"/>
      <c r="I45" s="11"/>
      <c r="J45" s="11"/>
      <c r="K45" s="11"/>
      <c r="L45" s="11">
        <v>0.5</v>
      </c>
      <c r="M45" s="13"/>
    </row>
    <row r="46" spans="1:13" ht="18.5" x14ac:dyDescent="0.45">
      <c r="A46" s="3">
        <v>45</v>
      </c>
      <c r="B46" s="4" t="s">
        <v>34</v>
      </c>
      <c r="C46" s="4" t="s">
        <v>62</v>
      </c>
      <c r="D46" s="11">
        <f>SUM(1357+1211+1501+1381)</f>
        <v>5450</v>
      </c>
      <c r="E46" s="11">
        <f>SUM(105+90+149+138)</f>
        <v>482</v>
      </c>
      <c r="F46" s="12">
        <f>D46/E46</f>
        <v>11.307053941908714</v>
      </c>
      <c r="G46" s="11">
        <v>4</v>
      </c>
      <c r="H46" s="11">
        <v>1</v>
      </c>
      <c r="I46" s="11"/>
      <c r="J46" s="11"/>
      <c r="K46" s="11"/>
      <c r="L46" s="11">
        <v>6</v>
      </c>
      <c r="M46" s="13"/>
    </row>
    <row r="47" spans="1:13" ht="18.5" x14ac:dyDescent="0.45">
      <c r="A47" s="3">
        <v>46</v>
      </c>
      <c r="B47" s="14" t="s">
        <v>36</v>
      </c>
      <c r="C47" s="4" t="s">
        <v>76</v>
      </c>
      <c r="D47" s="11">
        <f>SUM(1372+1316+996+1229+1440+1483)</f>
        <v>7836</v>
      </c>
      <c r="E47" s="11">
        <f>SUM(123+111+87+111+126+138)</f>
        <v>696</v>
      </c>
      <c r="F47" s="12">
        <f>D47/E47</f>
        <v>11.258620689655173</v>
      </c>
      <c r="G47" s="11">
        <v>6</v>
      </c>
      <c r="H47" s="11"/>
      <c r="I47" s="11"/>
      <c r="J47" s="11"/>
      <c r="K47" s="11"/>
      <c r="L47" s="11">
        <v>10</v>
      </c>
      <c r="M47" s="13"/>
    </row>
    <row r="48" spans="1:13" ht="18.5" x14ac:dyDescent="0.45">
      <c r="A48" s="3">
        <v>47</v>
      </c>
      <c r="B48" s="14" t="s">
        <v>37</v>
      </c>
      <c r="C48" s="4" t="s">
        <v>76</v>
      </c>
      <c r="D48" s="11">
        <f>SUM(1487+1270+1281+1456+1315+1438)</f>
        <v>8247</v>
      </c>
      <c r="E48" s="11">
        <f>SUM(142+105+93+150+105+147)</f>
        <v>742</v>
      </c>
      <c r="F48" s="12">
        <f>D48/E48</f>
        <v>11.114555256064691</v>
      </c>
      <c r="G48" s="11">
        <v>6</v>
      </c>
      <c r="H48" s="11"/>
      <c r="I48" s="11"/>
      <c r="J48" s="11"/>
      <c r="K48" s="11"/>
      <c r="L48" s="11">
        <v>8</v>
      </c>
      <c r="M48" s="13"/>
    </row>
    <row r="49" spans="1:18" ht="18.5" x14ac:dyDescent="0.45">
      <c r="A49" s="3">
        <v>48</v>
      </c>
      <c r="B49" s="4" t="s">
        <v>18</v>
      </c>
      <c r="C49" s="4" t="s">
        <v>15</v>
      </c>
      <c r="D49" s="11">
        <f>SUM(1267+1491+1493)</f>
        <v>4251</v>
      </c>
      <c r="E49" s="11">
        <f>SUM(121+139+133)</f>
        <v>393</v>
      </c>
      <c r="F49" s="12">
        <f>D49/E49</f>
        <v>10.816793893129772</v>
      </c>
      <c r="G49" s="11">
        <v>3</v>
      </c>
      <c r="H49" s="11">
        <v>2</v>
      </c>
      <c r="I49" s="11"/>
      <c r="J49" s="11"/>
      <c r="K49" s="11"/>
      <c r="L49" s="11">
        <v>13</v>
      </c>
      <c r="M49" s="13"/>
    </row>
    <row r="50" spans="1:18" ht="18.5" x14ac:dyDescent="0.45">
      <c r="A50" s="3">
        <v>49</v>
      </c>
      <c r="B50" s="4" t="s">
        <v>121</v>
      </c>
      <c r="C50" s="4" t="s">
        <v>94</v>
      </c>
      <c r="D50" s="11">
        <f>SUM(1419+1464)</f>
        <v>2883</v>
      </c>
      <c r="E50" s="11">
        <f>SUM(132+136)</f>
        <v>268</v>
      </c>
      <c r="F50" s="12">
        <f>D50/E50</f>
        <v>10.757462686567164</v>
      </c>
      <c r="G50" s="11">
        <v>2</v>
      </c>
      <c r="H50" s="11"/>
      <c r="I50" s="11"/>
      <c r="J50" s="11"/>
      <c r="K50" s="11"/>
      <c r="L50" s="11">
        <v>3.5</v>
      </c>
      <c r="M50" s="13">
        <v>5</v>
      </c>
    </row>
    <row r="51" spans="1:18" ht="18.5" x14ac:dyDescent="0.45">
      <c r="A51" s="3">
        <v>50</v>
      </c>
      <c r="B51" s="14" t="s">
        <v>65</v>
      </c>
      <c r="C51" s="4" t="s">
        <v>16</v>
      </c>
      <c r="D51" s="11">
        <f>SUM(1337+1489+1467+1477)</f>
        <v>5770</v>
      </c>
      <c r="E51" s="11">
        <f>SUM(150+138+111+139)</f>
        <v>538</v>
      </c>
      <c r="F51" s="12">
        <f>D51/E51</f>
        <v>10.724907063197026</v>
      </c>
      <c r="G51" s="11">
        <v>4</v>
      </c>
      <c r="H51" s="11">
        <v>1</v>
      </c>
      <c r="I51" s="11"/>
      <c r="J51" s="11"/>
      <c r="K51" s="11"/>
      <c r="L51" s="11">
        <v>10</v>
      </c>
      <c r="M51" s="13">
        <v>5</v>
      </c>
    </row>
    <row r="52" spans="1:18" ht="18.5" x14ac:dyDescent="0.45">
      <c r="A52" s="3">
        <v>51</v>
      </c>
      <c r="B52" s="14" t="s">
        <v>93</v>
      </c>
      <c r="C52" s="4" t="s">
        <v>62</v>
      </c>
      <c r="D52" s="11">
        <f>SUM(1476+1440+1478)</f>
        <v>4394</v>
      </c>
      <c r="E52" s="11">
        <f>SUM(156+138+139)</f>
        <v>433</v>
      </c>
      <c r="F52" s="12">
        <f>D52/E52</f>
        <v>10.147806004618937</v>
      </c>
      <c r="G52" s="11">
        <v>3</v>
      </c>
      <c r="H52" s="11"/>
      <c r="I52" s="11"/>
      <c r="J52" s="11"/>
      <c r="K52" s="11"/>
      <c r="L52" s="11">
        <v>3</v>
      </c>
      <c r="M52" s="13"/>
    </row>
    <row r="53" spans="1:18" ht="18.5" x14ac:dyDescent="0.45">
      <c r="A53" s="3">
        <v>52</v>
      </c>
      <c r="B53" s="14" t="s">
        <v>127</v>
      </c>
      <c r="C53" s="4" t="s">
        <v>26</v>
      </c>
      <c r="D53" s="11"/>
      <c r="E53" s="11"/>
      <c r="F53" s="12"/>
      <c r="G53" s="11"/>
      <c r="H53" s="11"/>
      <c r="I53" s="11"/>
      <c r="J53" s="11"/>
      <c r="K53" s="11"/>
      <c r="L53" s="11">
        <v>0.5</v>
      </c>
      <c r="M53" s="13"/>
    </row>
    <row r="54" spans="1:18" ht="17.25" customHeight="1" thickBot="1" x14ac:dyDescent="0.5">
      <c r="A54" s="5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</row>
    <row r="55" spans="1:18" ht="19.5" customHeight="1" thickBot="1" x14ac:dyDescent="0.5">
      <c r="A55" s="5"/>
      <c r="B55" s="33" t="s">
        <v>126</v>
      </c>
      <c r="C55" s="58" t="s">
        <v>42</v>
      </c>
      <c r="D55" s="57" t="s">
        <v>43</v>
      </c>
      <c r="E55" s="57" t="s">
        <v>87</v>
      </c>
      <c r="F55" s="56" t="s">
        <v>44</v>
      </c>
      <c r="G55" s="55" t="s">
        <v>86</v>
      </c>
      <c r="I55" s="38" t="s">
        <v>45</v>
      </c>
      <c r="J55" s="39"/>
      <c r="K55" s="39"/>
      <c r="L55" s="39"/>
      <c r="M55" s="39"/>
      <c r="N55" s="39"/>
      <c r="O55" s="39"/>
      <c r="P55" s="39"/>
      <c r="Q55" s="39"/>
      <c r="R55" s="40"/>
    </row>
    <row r="56" spans="1:18" ht="18.5" x14ac:dyDescent="0.45">
      <c r="A56" s="5"/>
      <c r="B56" s="50"/>
      <c r="C56" s="17" t="s">
        <v>47</v>
      </c>
      <c r="D56" s="22">
        <v>6</v>
      </c>
      <c r="E56" s="22">
        <v>0</v>
      </c>
      <c r="F56" s="22">
        <v>97</v>
      </c>
      <c r="G56" s="28">
        <v>7</v>
      </c>
      <c r="I56" s="43" t="s">
        <v>46</v>
      </c>
      <c r="J56" s="44"/>
      <c r="K56" s="44"/>
      <c r="L56" s="44"/>
      <c r="M56" s="44"/>
      <c r="N56" s="41" t="s">
        <v>113</v>
      </c>
      <c r="O56" s="41"/>
      <c r="P56" s="41"/>
      <c r="Q56" s="41"/>
      <c r="R56" s="42"/>
    </row>
    <row r="57" spans="1:18" ht="18.5" x14ac:dyDescent="0.45">
      <c r="A57" s="5"/>
      <c r="B57" s="50"/>
      <c r="C57" s="17" t="s">
        <v>57</v>
      </c>
      <c r="D57" s="22">
        <v>6</v>
      </c>
      <c r="E57" s="11">
        <v>1</v>
      </c>
      <c r="F57" s="11">
        <v>110</v>
      </c>
      <c r="G57" s="28">
        <v>9</v>
      </c>
      <c r="I57" s="45" t="s">
        <v>48</v>
      </c>
      <c r="J57" s="46"/>
      <c r="K57" s="46"/>
      <c r="L57" s="46"/>
      <c r="M57" s="46"/>
      <c r="N57" s="36" t="s">
        <v>125</v>
      </c>
      <c r="O57" s="36"/>
      <c r="P57" s="36"/>
      <c r="Q57" s="36"/>
      <c r="R57" s="37"/>
    </row>
    <row r="58" spans="1:18" ht="19" thickBot="1" x14ac:dyDescent="0.5">
      <c r="A58" s="5"/>
      <c r="B58" s="50"/>
      <c r="C58" s="17" t="s">
        <v>49</v>
      </c>
      <c r="D58" s="22">
        <v>5</v>
      </c>
      <c r="E58" s="11">
        <v>1</v>
      </c>
      <c r="F58" s="11">
        <v>91</v>
      </c>
      <c r="G58" s="28">
        <v>6</v>
      </c>
      <c r="I58" s="45" t="s">
        <v>50</v>
      </c>
      <c r="J58" s="46"/>
      <c r="K58" s="46"/>
      <c r="L58" s="46"/>
      <c r="M58" s="46"/>
      <c r="N58" s="36" t="s">
        <v>124</v>
      </c>
      <c r="O58" s="36"/>
      <c r="P58" s="36"/>
      <c r="Q58" s="36"/>
      <c r="R58" s="37"/>
    </row>
    <row r="59" spans="1:18" ht="18.5" x14ac:dyDescent="0.45">
      <c r="A59" s="6"/>
      <c r="B59" s="50"/>
      <c r="C59" s="54" t="s">
        <v>52</v>
      </c>
      <c r="D59" s="53">
        <v>5</v>
      </c>
      <c r="E59" s="52">
        <v>1</v>
      </c>
      <c r="F59" s="52">
        <v>90</v>
      </c>
      <c r="G59" s="51">
        <v>5</v>
      </c>
      <c r="I59" s="45" t="s">
        <v>51</v>
      </c>
      <c r="J59" s="46"/>
      <c r="K59" s="46"/>
      <c r="L59" s="46"/>
      <c r="M59" s="46"/>
      <c r="N59" s="36" t="s">
        <v>123</v>
      </c>
      <c r="O59" s="36"/>
      <c r="P59" s="36"/>
      <c r="Q59" s="36"/>
      <c r="R59" s="37"/>
    </row>
    <row r="60" spans="1:18" ht="18" customHeight="1" x14ac:dyDescent="0.45">
      <c r="A60" s="6"/>
      <c r="B60" s="50"/>
      <c r="C60" s="17" t="s">
        <v>55</v>
      </c>
      <c r="D60" s="22">
        <v>4</v>
      </c>
      <c r="E60" s="22">
        <v>2</v>
      </c>
      <c r="F60" s="22">
        <v>78</v>
      </c>
      <c r="G60" s="28">
        <v>2</v>
      </c>
      <c r="I60" s="45" t="s">
        <v>53</v>
      </c>
      <c r="J60" s="46"/>
      <c r="K60" s="46"/>
      <c r="L60" s="46"/>
      <c r="M60" s="46"/>
      <c r="N60" s="36" t="s">
        <v>106</v>
      </c>
      <c r="O60" s="36"/>
      <c r="P60" s="36"/>
      <c r="Q60" s="36"/>
      <c r="R60" s="37"/>
    </row>
    <row r="61" spans="1:18" ht="18" customHeight="1" thickBot="1" x14ac:dyDescent="0.5">
      <c r="A61" s="6"/>
      <c r="B61" s="50"/>
      <c r="C61" s="17" t="s">
        <v>56</v>
      </c>
      <c r="D61" s="22">
        <v>3</v>
      </c>
      <c r="E61" s="11">
        <v>3</v>
      </c>
      <c r="F61" s="11">
        <v>81</v>
      </c>
      <c r="G61" s="28">
        <v>3</v>
      </c>
      <c r="I61" s="31" t="s">
        <v>54</v>
      </c>
      <c r="J61" s="32"/>
      <c r="K61" s="32"/>
      <c r="L61" s="32"/>
      <c r="M61" s="32"/>
      <c r="N61" s="36" t="s">
        <v>89</v>
      </c>
      <c r="O61" s="36"/>
      <c r="P61" s="36"/>
      <c r="Q61" s="36"/>
      <c r="R61" s="37"/>
    </row>
    <row r="62" spans="1:18" ht="18.5" x14ac:dyDescent="0.45">
      <c r="A62" s="6"/>
      <c r="B62" s="50"/>
      <c r="C62" s="17" t="s">
        <v>88</v>
      </c>
      <c r="D62" s="23">
        <v>2</v>
      </c>
      <c r="E62" s="23">
        <v>4</v>
      </c>
      <c r="F62" s="23">
        <v>63</v>
      </c>
      <c r="G62" s="28">
        <v>1</v>
      </c>
      <c r="H62" s="6"/>
      <c r="I62" s="6"/>
    </row>
    <row r="63" spans="1:18" ht="18.5" x14ac:dyDescent="0.45">
      <c r="A63" s="6"/>
      <c r="B63" s="50"/>
      <c r="C63" s="17" t="s">
        <v>66</v>
      </c>
      <c r="D63" s="22">
        <v>2</v>
      </c>
      <c r="E63" s="11">
        <v>5</v>
      </c>
      <c r="F63" s="11">
        <v>73</v>
      </c>
      <c r="G63" s="28">
        <v>8</v>
      </c>
      <c r="H63" s="6"/>
    </row>
    <row r="64" spans="1:18" ht="19" thickBot="1" x14ac:dyDescent="0.5">
      <c r="B64" s="50"/>
      <c r="C64" s="48" t="s">
        <v>77</v>
      </c>
      <c r="D64" s="47">
        <v>1</v>
      </c>
      <c r="E64" s="47">
        <v>5</v>
      </c>
      <c r="F64" s="47">
        <v>44</v>
      </c>
      <c r="G64" s="29">
        <v>4</v>
      </c>
    </row>
    <row r="65" spans="2:7" ht="18.5" x14ac:dyDescent="0.45">
      <c r="B65" s="50"/>
      <c r="C65" s="17" t="s">
        <v>63</v>
      </c>
      <c r="D65" s="23">
        <v>1</v>
      </c>
      <c r="E65" s="23">
        <v>6</v>
      </c>
      <c r="F65" s="23">
        <v>63</v>
      </c>
      <c r="G65" s="28">
        <v>10</v>
      </c>
    </row>
    <row r="66" spans="2:7" ht="19" thickBot="1" x14ac:dyDescent="0.5">
      <c r="B66" s="49"/>
      <c r="C66" s="18" t="s">
        <v>58</v>
      </c>
      <c r="D66" s="23">
        <v>0</v>
      </c>
      <c r="E66" s="23">
        <v>7</v>
      </c>
      <c r="F66" s="23">
        <v>50</v>
      </c>
      <c r="G66" s="28">
        <v>11</v>
      </c>
    </row>
  </sheetData>
  <mergeCells count="14">
    <mergeCell ref="I57:M57"/>
    <mergeCell ref="I58:M58"/>
    <mergeCell ref="I59:M59"/>
    <mergeCell ref="I60:M60"/>
    <mergeCell ref="I61:M61"/>
    <mergeCell ref="B55:B66"/>
    <mergeCell ref="N61:R61"/>
    <mergeCell ref="I55:R55"/>
    <mergeCell ref="N56:R56"/>
    <mergeCell ref="N57:R57"/>
    <mergeCell ref="N58:R58"/>
    <mergeCell ref="N59:R59"/>
    <mergeCell ref="N60:R60"/>
    <mergeCell ref="I56:M5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C65FE3-3088-4A15-BEEC-10118E4EEED8}">
  <dimension ref="A1:R66"/>
  <sheetViews>
    <sheetView topLeftCell="D1" workbookViewId="0">
      <pane ySplit="1" topLeftCell="A56" activePane="bottomLeft" state="frozen"/>
      <selection pane="bottomLeft" activeCell="I57" sqref="I57:R59"/>
    </sheetView>
  </sheetViews>
  <sheetFormatPr defaultRowHeight="14.5" x14ac:dyDescent="0.35"/>
  <cols>
    <col min="1" max="1" width="5.453125" bestFit="1" customWidth="1"/>
    <col min="2" max="2" width="23.81640625" bestFit="1" customWidth="1"/>
    <col min="3" max="3" width="31.1796875" bestFit="1" customWidth="1"/>
    <col min="4" max="5" width="10.7265625" bestFit="1" customWidth="1"/>
    <col min="6" max="6" width="7.7265625" bestFit="1" customWidth="1"/>
    <col min="7" max="7" width="12.1796875" bestFit="1" customWidth="1"/>
    <col min="8" max="11" width="5.7265625" customWidth="1"/>
    <col min="12" max="12" width="7.7265625" bestFit="1" customWidth="1"/>
    <col min="13" max="13" width="10.81640625" bestFit="1" customWidth="1"/>
    <col min="18" max="18" width="38.54296875" customWidth="1"/>
  </cols>
  <sheetData>
    <row r="1" spans="1:13" ht="73.5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1" t="s">
        <v>7</v>
      </c>
      <c r="I1" s="1">
        <v>180</v>
      </c>
      <c r="J1" s="1">
        <v>171</v>
      </c>
      <c r="K1" s="1" t="s">
        <v>8</v>
      </c>
      <c r="L1" s="2" t="s">
        <v>9</v>
      </c>
      <c r="M1" s="2" t="s">
        <v>10</v>
      </c>
    </row>
    <row r="2" spans="1:13" ht="18.5" x14ac:dyDescent="0.45">
      <c r="A2" s="3">
        <v>1</v>
      </c>
      <c r="B2" s="14" t="s">
        <v>100</v>
      </c>
      <c r="C2" s="4" t="s">
        <v>94</v>
      </c>
      <c r="D2" s="11">
        <f>SUM(1343+1469+1241+1495+1503+1436)</f>
        <v>8487</v>
      </c>
      <c r="E2" s="11">
        <f>SUM(84+72+88+75+70+87)</f>
        <v>476</v>
      </c>
      <c r="F2" s="12">
        <f>D2/E2</f>
        <v>17.829831932773111</v>
      </c>
      <c r="G2" s="11">
        <v>6</v>
      </c>
      <c r="H2" s="11">
        <v>4</v>
      </c>
      <c r="I2" s="11"/>
      <c r="J2" s="11"/>
      <c r="K2" s="11"/>
      <c r="L2" s="11">
        <v>24</v>
      </c>
      <c r="M2" s="13">
        <v>15</v>
      </c>
    </row>
    <row r="3" spans="1:13" ht="18.5" x14ac:dyDescent="0.45">
      <c r="A3" s="3">
        <v>2</v>
      </c>
      <c r="B3" s="4" t="s">
        <v>83</v>
      </c>
      <c r="C3" s="4" t="s">
        <v>15</v>
      </c>
      <c r="D3" s="11">
        <f>SUM(1503+1419+1503+1499+1503+1503+1471)</f>
        <v>10401</v>
      </c>
      <c r="E3" s="11">
        <f>SUM(68+80+79+90+78+109+97)</f>
        <v>601</v>
      </c>
      <c r="F3" s="12">
        <f>D3/E3</f>
        <v>17.306156405990016</v>
      </c>
      <c r="G3" s="11">
        <v>7</v>
      </c>
      <c r="H3" s="11">
        <v>7</v>
      </c>
      <c r="I3" s="11"/>
      <c r="J3" s="11"/>
      <c r="K3" s="11"/>
      <c r="L3" s="11">
        <v>32.5</v>
      </c>
      <c r="M3" s="13">
        <v>5</v>
      </c>
    </row>
    <row r="4" spans="1:13" ht="18.5" x14ac:dyDescent="0.45">
      <c r="A4" s="3">
        <v>3</v>
      </c>
      <c r="B4" s="4" t="s">
        <v>21</v>
      </c>
      <c r="C4" s="4" t="s">
        <v>13</v>
      </c>
      <c r="D4" s="11">
        <f>SUM(1503+1470+1503+1457+1472+1503+1503)</f>
        <v>10411</v>
      </c>
      <c r="E4" s="11">
        <f>SUM(105+88+87+90+84+84+88)</f>
        <v>626</v>
      </c>
      <c r="F4" s="12">
        <f>D4/E4</f>
        <v>16.630990415335464</v>
      </c>
      <c r="G4" s="11">
        <v>7</v>
      </c>
      <c r="H4" s="11">
        <v>5</v>
      </c>
      <c r="I4" s="11"/>
      <c r="J4" s="11"/>
      <c r="K4" s="11"/>
      <c r="L4" s="11">
        <v>27.5</v>
      </c>
      <c r="M4" s="13"/>
    </row>
    <row r="5" spans="1:13" ht="18.5" x14ac:dyDescent="0.45">
      <c r="A5" s="3">
        <v>4</v>
      </c>
      <c r="B5" s="3" t="s">
        <v>32</v>
      </c>
      <c r="C5" s="7" t="s">
        <v>20</v>
      </c>
      <c r="D5" s="11">
        <f>SUM(1359+1503+1446+1365+1185+1503+1433+1420)</f>
        <v>11214</v>
      </c>
      <c r="E5" s="11">
        <f>SUM(84+96+89+92+75+90+78+87)</f>
        <v>691</v>
      </c>
      <c r="F5" s="12">
        <f>D5/E5</f>
        <v>16.228654124457307</v>
      </c>
      <c r="G5" s="11">
        <v>8</v>
      </c>
      <c r="H5" s="11">
        <v>5</v>
      </c>
      <c r="I5" s="11"/>
      <c r="J5" s="11"/>
      <c r="K5" s="11">
        <v>1</v>
      </c>
      <c r="L5" s="11">
        <v>31.5</v>
      </c>
      <c r="M5" s="13"/>
    </row>
    <row r="6" spans="1:13" ht="18.5" x14ac:dyDescent="0.45">
      <c r="A6" s="3">
        <v>5</v>
      </c>
      <c r="B6" s="4" t="s">
        <v>11</v>
      </c>
      <c r="C6" s="4" t="s">
        <v>12</v>
      </c>
      <c r="D6" s="11">
        <f>SUM(1503+1441+1493+1416+1503+1329+1432)</f>
        <v>10117</v>
      </c>
      <c r="E6" s="11">
        <f>SUM(102+84+94+84+96+77+98)</f>
        <v>635</v>
      </c>
      <c r="F6" s="12">
        <f>D6/E6</f>
        <v>15.932283464566929</v>
      </c>
      <c r="G6" s="11">
        <v>7</v>
      </c>
      <c r="H6" s="11">
        <v>5</v>
      </c>
      <c r="I6" s="11">
        <v>1</v>
      </c>
      <c r="J6" s="11"/>
      <c r="K6" s="11"/>
      <c r="L6" s="11">
        <v>25</v>
      </c>
      <c r="M6" s="13"/>
    </row>
    <row r="7" spans="1:13" ht="18.5" x14ac:dyDescent="0.45">
      <c r="A7" s="3">
        <v>6</v>
      </c>
      <c r="B7" s="4" t="s">
        <v>25</v>
      </c>
      <c r="C7" s="4" t="s">
        <v>16</v>
      </c>
      <c r="D7" s="11">
        <f>SUM(1503+1493+1467+1500+1501+1501+1466)</f>
        <v>10431</v>
      </c>
      <c r="E7" s="11">
        <f>SUM(80+92+84+111+97+107+88)</f>
        <v>659</v>
      </c>
      <c r="F7" s="12">
        <f>D7/E7</f>
        <v>15.828528072837633</v>
      </c>
      <c r="G7" s="11">
        <v>7</v>
      </c>
      <c r="H7" s="11">
        <v>7</v>
      </c>
      <c r="I7" s="11"/>
      <c r="J7" s="11">
        <v>1</v>
      </c>
      <c r="K7" s="11"/>
      <c r="L7" s="11">
        <v>26.5</v>
      </c>
      <c r="M7" s="13">
        <v>10</v>
      </c>
    </row>
    <row r="8" spans="1:13" ht="18.5" x14ac:dyDescent="0.45">
      <c r="A8" s="3">
        <v>7</v>
      </c>
      <c r="B8" s="4" t="s">
        <v>78</v>
      </c>
      <c r="C8" s="4" t="s">
        <v>31</v>
      </c>
      <c r="D8" s="11">
        <f>SUM(1501+1503+1503+1503+1436+1503+1503)</f>
        <v>10452</v>
      </c>
      <c r="E8" s="11">
        <f>SUM(113+97+98+75+95+106+79)</f>
        <v>663</v>
      </c>
      <c r="F8" s="12">
        <f>D8/E8</f>
        <v>15.764705882352942</v>
      </c>
      <c r="G8" s="11">
        <v>7</v>
      </c>
      <c r="H8" s="11">
        <v>6</v>
      </c>
      <c r="I8" s="11"/>
      <c r="J8" s="11"/>
      <c r="K8" s="11"/>
      <c r="L8" s="11">
        <v>31</v>
      </c>
      <c r="M8" s="13">
        <v>10</v>
      </c>
    </row>
    <row r="9" spans="1:13" ht="18.5" x14ac:dyDescent="0.45">
      <c r="A9" s="3">
        <v>8</v>
      </c>
      <c r="B9" s="4" t="s">
        <v>17</v>
      </c>
      <c r="C9" s="4" t="s">
        <v>13</v>
      </c>
      <c r="D9" s="11">
        <f>SUM(1503+1474+1369+1328+1503+1427+1503)</f>
        <v>10107</v>
      </c>
      <c r="E9" s="11">
        <f>SUM(90+83+84+72+99+108+118)</f>
        <v>654</v>
      </c>
      <c r="F9" s="12">
        <f>D9/E9</f>
        <v>15.454128440366972</v>
      </c>
      <c r="G9" s="11">
        <v>7</v>
      </c>
      <c r="H9" s="11">
        <v>3</v>
      </c>
      <c r="I9" s="11">
        <v>1</v>
      </c>
      <c r="J9" s="11"/>
      <c r="K9" s="11"/>
      <c r="L9" s="11">
        <v>22</v>
      </c>
      <c r="M9" s="13"/>
    </row>
    <row r="10" spans="1:13" ht="18.5" x14ac:dyDescent="0.45">
      <c r="A10" s="3">
        <v>9</v>
      </c>
      <c r="B10" s="14" t="s">
        <v>72</v>
      </c>
      <c r="C10" s="4" t="s">
        <v>31</v>
      </c>
      <c r="D10" s="11">
        <f>SUM(1503+1475+1503+1447+1483+1493+1411)</f>
        <v>10315</v>
      </c>
      <c r="E10" s="11">
        <f>SUM(102+96+91+98+102+99+96)</f>
        <v>684</v>
      </c>
      <c r="F10" s="12">
        <f>D10/E10</f>
        <v>15.080409356725147</v>
      </c>
      <c r="G10" s="11">
        <v>7</v>
      </c>
      <c r="H10" s="11">
        <v>5</v>
      </c>
      <c r="I10" s="11"/>
      <c r="J10" s="11"/>
      <c r="K10" s="11"/>
      <c r="L10" s="11">
        <v>25.5</v>
      </c>
      <c r="M10" s="13"/>
    </row>
    <row r="11" spans="1:13" ht="18.5" x14ac:dyDescent="0.45">
      <c r="A11" s="3">
        <v>10</v>
      </c>
      <c r="B11" s="4" t="s">
        <v>27</v>
      </c>
      <c r="C11" s="4" t="s">
        <v>12</v>
      </c>
      <c r="D11" s="11">
        <f>SUM(1503+1443+1324+1489+1268+1347+1405)</f>
        <v>9779</v>
      </c>
      <c r="E11" s="11">
        <f>SUM(84+101+74+92+93+114+92)</f>
        <v>650</v>
      </c>
      <c r="F11" s="12">
        <f>D11/E11</f>
        <v>15.044615384615385</v>
      </c>
      <c r="G11" s="11">
        <v>7</v>
      </c>
      <c r="H11" s="11">
        <v>3</v>
      </c>
      <c r="I11" s="11"/>
      <c r="J11" s="11"/>
      <c r="K11" s="11"/>
      <c r="L11" s="11">
        <v>22.5</v>
      </c>
      <c r="M11" s="13"/>
    </row>
    <row r="12" spans="1:13" ht="18.5" x14ac:dyDescent="0.45">
      <c r="A12" s="3">
        <v>11</v>
      </c>
      <c r="B12" s="4" t="s">
        <v>38</v>
      </c>
      <c r="C12" s="4" t="s">
        <v>31</v>
      </c>
      <c r="D12" s="11">
        <f>SUM(1470+1447+1339+1247+1325+1503+1377)</f>
        <v>9708</v>
      </c>
      <c r="E12" s="11">
        <f>SUM(86+78+93+80+107+94+108)</f>
        <v>646</v>
      </c>
      <c r="F12" s="12">
        <f>D12/E12</f>
        <v>15.027863777089783</v>
      </c>
      <c r="G12" s="11">
        <v>7</v>
      </c>
      <c r="H12" s="11">
        <v>4</v>
      </c>
      <c r="I12" s="11">
        <v>1</v>
      </c>
      <c r="J12" s="11"/>
      <c r="K12" s="11"/>
      <c r="L12" s="11">
        <v>26.5</v>
      </c>
      <c r="M12" s="13">
        <v>5</v>
      </c>
    </row>
    <row r="13" spans="1:13" ht="18.5" x14ac:dyDescent="0.45">
      <c r="A13" s="3">
        <v>12</v>
      </c>
      <c r="B13" s="14" t="s">
        <v>99</v>
      </c>
      <c r="C13" s="4" t="s">
        <v>94</v>
      </c>
      <c r="D13" s="11">
        <f>SUM(1496+1397+1241+1448+1307+1503+1358)</f>
        <v>9750</v>
      </c>
      <c r="E13" s="11">
        <f>SUM(100+91+84+97+105+88+85)</f>
        <v>650</v>
      </c>
      <c r="F13" s="12">
        <f>D13/E13</f>
        <v>15</v>
      </c>
      <c r="G13" s="11">
        <v>7</v>
      </c>
      <c r="H13" s="11">
        <v>2</v>
      </c>
      <c r="I13" s="11"/>
      <c r="J13" s="11"/>
      <c r="K13" s="11"/>
      <c r="L13" s="11">
        <v>16.5</v>
      </c>
      <c r="M13" s="13">
        <v>5</v>
      </c>
    </row>
    <row r="14" spans="1:13" ht="18.5" x14ac:dyDescent="0.45">
      <c r="A14" s="3">
        <v>13</v>
      </c>
      <c r="B14" s="4" t="s">
        <v>39</v>
      </c>
      <c r="C14" s="7" t="s">
        <v>15</v>
      </c>
      <c r="D14" s="11">
        <f>SUM(1361+1488+968+1468+1403+1493+1501)</f>
        <v>9682</v>
      </c>
      <c r="E14" s="11">
        <f>SUM(107+98+81+98+85+85+96)</f>
        <v>650</v>
      </c>
      <c r="F14" s="12">
        <f>D14/E14</f>
        <v>14.895384615384616</v>
      </c>
      <c r="G14" s="11">
        <v>7</v>
      </c>
      <c r="H14" s="11">
        <v>6</v>
      </c>
      <c r="I14" s="11"/>
      <c r="J14" s="11"/>
      <c r="K14" s="11"/>
      <c r="L14" s="11">
        <v>25.5</v>
      </c>
      <c r="M14" s="13">
        <v>10</v>
      </c>
    </row>
    <row r="15" spans="1:13" ht="18.5" x14ac:dyDescent="0.45">
      <c r="A15" s="3">
        <v>14</v>
      </c>
      <c r="B15" s="4" t="s">
        <v>28</v>
      </c>
      <c r="C15" s="4" t="s">
        <v>62</v>
      </c>
      <c r="D15" s="11">
        <f>SUM(1327+1229+1367+1115+1503+1393+1493+1354)</f>
        <v>10781</v>
      </c>
      <c r="E15" s="11">
        <f>SUM(84+79+89+81+82+97+120+107)</f>
        <v>739</v>
      </c>
      <c r="F15" s="12">
        <f>D15/E15</f>
        <v>14.588633288227335</v>
      </c>
      <c r="G15" s="11">
        <v>8</v>
      </c>
      <c r="H15" s="11">
        <v>4</v>
      </c>
      <c r="I15" s="11"/>
      <c r="J15" s="11"/>
      <c r="K15" s="11">
        <v>1</v>
      </c>
      <c r="L15" s="11">
        <v>20.5</v>
      </c>
      <c r="M15" s="13">
        <v>10</v>
      </c>
    </row>
    <row r="16" spans="1:13" ht="18.5" x14ac:dyDescent="0.45">
      <c r="A16" s="3">
        <v>15</v>
      </c>
      <c r="B16" s="7" t="s">
        <v>96</v>
      </c>
      <c r="C16" s="4" t="s">
        <v>73</v>
      </c>
      <c r="D16" s="11">
        <f>SUM(1497+1481)</f>
        <v>2978</v>
      </c>
      <c r="E16" s="11">
        <f>SUM(116+90)</f>
        <v>206</v>
      </c>
      <c r="F16" s="12">
        <f>D16/E16</f>
        <v>14.456310679611651</v>
      </c>
      <c r="G16" s="11">
        <v>2</v>
      </c>
      <c r="H16" s="11">
        <v>2</v>
      </c>
      <c r="I16" s="11"/>
      <c r="J16" s="11"/>
      <c r="K16" s="11"/>
      <c r="L16" s="11">
        <v>6</v>
      </c>
      <c r="M16" s="13"/>
    </row>
    <row r="17" spans="1:13" ht="18.5" x14ac:dyDescent="0.45">
      <c r="A17" s="3">
        <v>16</v>
      </c>
      <c r="B17" s="9" t="s">
        <v>40</v>
      </c>
      <c r="C17" s="4" t="s">
        <v>16</v>
      </c>
      <c r="D17" s="11">
        <f>SUM(1503+1298+1500+1442+1190+1418)</f>
        <v>8351</v>
      </c>
      <c r="E17" s="11">
        <f>SUM(129+87+96+107+81+88)</f>
        <v>588</v>
      </c>
      <c r="F17" s="12">
        <f>D17/E17</f>
        <v>14.202380952380953</v>
      </c>
      <c r="G17" s="11">
        <v>6</v>
      </c>
      <c r="H17" s="11">
        <v>4</v>
      </c>
      <c r="I17" s="11"/>
      <c r="J17" s="11"/>
      <c r="K17" s="11"/>
      <c r="L17" s="11">
        <v>21.5</v>
      </c>
      <c r="M17" s="13"/>
    </row>
    <row r="18" spans="1:13" ht="18.5" x14ac:dyDescent="0.45">
      <c r="A18" s="3">
        <v>17</v>
      </c>
      <c r="B18" s="61" t="s">
        <v>19</v>
      </c>
      <c r="C18" s="4" t="s">
        <v>20</v>
      </c>
      <c r="D18" s="11">
        <f>SUM(1391+1503+1498+1495+1471+1464+1499+1450)</f>
        <v>11771</v>
      </c>
      <c r="E18" s="11">
        <f>SUM(108+83+99+110+96+103+113+120)</f>
        <v>832</v>
      </c>
      <c r="F18" s="12">
        <f>D18/E18</f>
        <v>14.147836538461538</v>
      </c>
      <c r="G18" s="11">
        <v>8</v>
      </c>
      <c r="H18" s="11">
        <v>5</v>
      </c>
      <c r="I18" s="11">
        <v>1</v>
      </c>
      <c r="J18" s="11"/>
      <c r="K18" s="11"/>
      <c r="L18" s="11">
        <v>27.5</v>
      </c>
      <c r="M18" s="13">
        <v>15</v>
      </c>
    </row>
    <row r="19" spans="1:13" ht="18.5" x14ac:dyDescent="0.45">
      <c r="A19" s="3">
        <v>18</v>
      </c>
      <c r="B19" s="7" t="s">
        <v>68</v>
      </c>
      <c r="C19" s="4" t="s">
        <v>73</v>
      </c>
      <c r="D19" s="11">
        <f>SUM(941+1293+1503+1385+1473+1493+1444)</f>
        <v>9532</v>
      </c>
      <c r="E19" s="11">
        <f>SUM(66+89+95+105+96+124+100)</f>
        <v>675</v>
      </c>
      <c r="F19" s="12">
        <f>D19/E19</f>
        <v>14.121481481481482</v>
      </c>
      <c r="G19" s="11">
        <v>7</v>
      </c>
      <c r="H19" s="11">
        <v>2</v>
      </c>
      <c r="I19" s="11"/>
      <c r="J19" s="11"/>
      <c r="K19" s="11"/>
      <c r="L19" s="11">
        <v>19.5</v>
      </c>
      <c r="M19" s="13"/>
    </row>
    <row r="20" spans="1:13" ht="18.5" x14ac:dyDescent="0.45">
      <c r="A20" s="3">
        <v>19</v>
      </c>
      <c r="B20" s="9" t="s">
        <v>64</v>
      </c>
      <c r="C20" s="4" t="s">
        <v>13</v>
      </c>
      <c r="D20" s="11">
        <f>SUM(1478+1503+1471+1374+1451+1332+1465)</f>
        <v>10074</v>
      </c>
      <c r="E20" s="11">
        <f>SUM(110+97+109+92+104+105+97)</f>
        <v>714</v>
      </c>
      <c r="F20" s="12">
        <f>D20/E20</f>
        <v>14.109243697478991</v>
      </c>
      <c r="G20" s="11">
        <v>7</v>
      </c>
      <c r="H20" s="11">
        <v>3</v>
      </c>
      <c r="I20" s="11"/>
      <c r="J20" s="11"/>
      <c r="K20" s="11"/>
      <c r="L20" s="11">
        <v>22</v>
      </c>
      <c r="M20" s="13"/>
    </row>
    <row r="21" spans="1:13" ht="18.5" x14ac:dyDescent="0.45">
      <c r="A21" s="3">
        <v>20</v>
      </c>
      <c r="B21" s="9" t="s">
        <v>69</v>
      </c>
      <c r="C21" s="4" t="s">
        <v>73</v>
      </c>
      <c r="D21" s="11">
        <f>SUM(1475+1487+1479+1350+1492+1494+1471)</f>
        <v>10248</v>
      </c>
      <c r="E21" s="11">
        <f>SUM(103+99+95+88+109+123+116)</f>
        <v>733</v>
      </c>
      <c r="F21" s="12">
        <f>D21/E21</f>
        <v>13.980900409276945</v>
      </c>
      <c r="G21" s="11">
        <v>7</v>
      </c>
      <c r="H21" s="11">
        <v>1</v>
      </c>
      <c r="I21" s="11"/>
      <c r="J21" s="11"/>
      <c r="K21" s="11"/>
      <c r="L21" s="11">
        <v>16</v>
      </c>
      <c r="M21" s="13"/>
    </row>
    <row r="22" spans="1:13" ht="18.5" x14ac:dyDescent="0.45">
      <c r="A22" s="3">
        <v>21</v>
      </c>
      <c r="B22" s="60" t="s">
        <v>60</v>
      </c>
      <c r="C22" s="8" t="s">
        <v>26</v>
      </c>
      <c r="D22" s="11">
        <f>SUM(1446+1409+953+1451+1475+1256+1487)</f>
        <v>9477</v>
      </c>
      <c r="E22" s="11">
        <f>SUM(108+84+72+88+112+102+114)</f>
        <v>680</v>
      </c>
      <c r="F22" s="12">
        <f>D22/E22</f>
        <v>13.936764705882354</v>
      </c>
      <c r="G22" s="11">
        <v>7</v>
      </c>
      <c r="H22" s="11">
        <v>1</v>
      </c>
      <c r="I22" s="11"/>
      <c r="J22" s="11"/>
      <c r="K22" s="11"/>
      <c r="L22" s="11">
        <v>13</v>
      </c>
      <c r="M22" s="13"/>
    </row>
    <row r="23" spans="1:13" ht="18.5" x14ac:dyDescent="0.45">
      <c r="A23" s="3">
        <v>22</v>
      </c>
      <c r="B23" s="9" t="s">
        <v>59</v>
      </c>
      <c r="C23" s="7" t="s">
        <v>26</v>
      </c>
      <c r="D23" s="11">
        <f>SUM(1499+1463+1002+1326+1438+1240+1222+1412)</f>
        <v>10602</v>
      </c>
      <c r="E23" s="11">
        <f>SUM(114+98+80+80+104+87+96+104)</f>
        <v>763</v>
      </c>
      <c r="F23" s="12">
        <f>D23/E23</f>
        <v>13.895150720838794</v>
      </c>
      <c r="G23" s="11">
        <v>8</v>
      </c>
      <c r="H23" s="11">
        <v>5</v>
      </c>
      <c r="I23" s="11"/>
      <c r="J23" s="11"/>
      <c r="K23" s="11"/>
      <c r="L23" s="11">
        <v>17</v>
      </c>
      <c r="M23" s="13">
        <v>10</v>
      </c>
    </row>
    <row r="24" spans="1:13" ht="18.5" x14ac:dyDescent="0.45">
      <c r="A24" s="3">
        <v>23</v>
      </c>
      <c r="B24" s="15" t="s">
        <v>22</v>
      </c>
      <c r="C24" s="7" t="s">
        <v>20</v>
      </c>
      <c r="D24" s="11">
        <f>SUM(1426+1503+1499+1270+1503+1498+1368+1487)</f>
        <v>11554</v>
      </c>
      <c r="E24" s="11">
        <f>SUM(99+116+108+87+110+129+89+97)</f>
        <v>835</v>
      </c>
      <c r="F24" s="12">
        <f>D24/E24</f>
        <v>13.837125748502993</v>
      </c>
      <c r="G24" s="11">
        <v>8</v>
      </c>
      <c r="H24" s="11">
        <v>5</v>
      </c>
      <c r="I24" s="11"/>
      <c r="J24" s="11"/>
      <c r="K24" s="11"/>
      <c r="L24" s="11">
        <v>28.5</v>
      </c>
      <c r="M24" s="13">
        <v>5</v>
      </c>
    </row>
    <row r="25" spans="1:13" ht="18.5" x14ac:dyDescent="0.45">
      <c r="A25" s="3">
        <v>24</v>
      </c>
      <c r="B25" s="4" t="s">
        <v>79</v>
      </c>
      <c r="C25" s="4" t="s">
        <v>76</v>
      </c>
      <c r="D25" s="11">
        <f>SUM(1084+1251+1495+1121+1494+905+1392)</f>
        <v>8742</v>
      </c>
      <c r="E25" s="11">
        <f>SUM(72+90+94+78+121+66+114)</f>
        <v>635</v>
      </c>
      <c r="F25" s="12">
        <f>D25/E25</f>
        <v>13.766929133858268</v>
      </c>
      <c r="G25" s="11">
        <v>7</v>
      </c>
      <c r="H25" s="11">
        <v>1</v>
      </c>
      <c r="I25" s="11"/>
      <c r="J25" s="11"/>
      <c r="K25" s="11"/>
      <c r="L25" s="11">
        <v>11</v>
      </c>
      <c r="M25" s="13"/>
    </row>
    <row r="26" spans="1:13" ht="18.5" x14ac:dyDescent="0.45">
      <c r="A26" s="3">
        <v>25</v>
      </c>
      <c r="B26" s="15" t="s">
        <v>97</v>
      </c>
      <c r="C26" s="4" t="s">
        <v>15</v>
      </c>
      <c r="D26" s="11">
        <f>SUM(1212+1473+1483+1485)</f>
        <v>5653</v>
      </c>
      <c r="E26" s="11">
        <f>SUM(91+113+103+104)</f>
        <v>411</v>
      </c>
      <c r="F26" s="12">
        <f>D26/E26</f>
        <v>13.754257907542579</v>
      </c>
      <c r="G26" s="11">
        <v>4</v>
      </c>
      <c r="H26" s="11">
        <v>1</v>
      </c>
      <c r="I26" s="11"/>
      <c r="J26" s="11"/>
      <c r="K26" s="11"/>
      <c r="L26" s="11">
        <v>7</v>
      </c>
      <c r="M26" s="13"/>
    </row>
    <row r="27" spans="1:13" ht="18.5" x14ac:dyDescent="0.45">
      <c r="A27" s="3">
        <v>26</v>
      </c>
      <c r="B27" s="15" t="s">
        <v>14</v>
      </c>
      <c r="C27" s="7" t="s">
        <v>15</v>
      </c>
      <c r="D27" s="11">
        <f>SUM(1483+1501+1503+1497+1324+1503+1480)</f>
        <v>10291</v>
      </c>
      <c r="E27" s="11">
        <f>SUM(111+96+127+125+86+117+91)</f>
        <v>753</v>
      </c>
      <c r="F27" s="12">
        <f>D27/E27</f>
        <v>13.666666666666666</v>
      </c>
      <c r="G27" s="11">
        <v>7</v>
      </c>
      <c r="H27" s="11">
        <v>4</v>
      </c>
      <c r="I27" s="11"/>
      <c r="J27" s="11"/>
      <c r="K27" s="11"/>
      <c r="L27" s="11">
        <v>27.5</v>
      </c>
      <c r="M27" s="13">
        <v>5</v>
      </c>
    </row>
    <row r="28" spans="1:13" ht="18.5" x14ac:dyDescent="0.45">
      <c r="A28" s="3">
        <v>27</v>
      </c>
      <c r="B28" s="10" t="s">
        <v>41</v>
      </c>
      <c r="C28" s="7" t="s">
        <v>62</v>
      </c>
      <c r="D28" s="11">
        <f>SUM(1443+1326+1271+1316+1281+1467+1494+1148)</f>
        <v>10746</v>
      </c>
      <c r="E28" s="11">
        <f>SUM(102+95+98+96+99+124+108+78)</f>
        <v>800</v>
      </c>
      <c r="F28" s="12">
        <f>D28/E28</f>
        <v>13.432499999999999</v>
      </c>
      <c r="G28" s="11">
        <v>8</v>
      </c>
      <c r="H28" s="11">
        <v>2</v>
      </c>
      <c r="I28" s="11"/>
      <c r="J28" s="11"/>
      <c r="K28" s="11"/>
      <c r="L28" s="11">
        <v>16.5</v>
      </c>
      <c r="M28" s="13"/>
    </row>
    <row r="29" spans="1:13" ht="18.5" x14ac:dyDescent="0.45">
      <c r="A29" s="3">
        <v>28</v>
      </c>
      <c r="B29" s="10" t="s">
        <v>29</v>
      </c>
      <c r="C29" s="7" t="s">
        <v>20</v>
      </c>
      <c r="D29" s="11">
        <f>SUM(1301+1503+1503+1465+1483+1463+1503+1467)</f>
        <v>11688</v>
      </c>
      <c r="E29" s="11">
        <f>SUM(96+110+161+88+101+97+102+120)</f>
        <v>875</v>
      </c>
      <c r="F29" s="12">
        <f>D29/E29</f>
        <v>13.357714285714286</v>
      </c>
      <c r="G29" s="11">
        <v>8</v>
      </c>
      <c r="H29" s="11">
        <v>6</v>
      </c>
      <c r="I29" s="11"/>
      <c r="J29" s="11"/>
      <c r="K29" s="11"/>
      <c r="L29" s="11">
        <v>30.5</v>
      </c>
      <c r="M29" s="13"/>
    </row>
    <row r="30" spans="1:13" ht="18.5" x14ac:dyDescent="0.45">
      <c r="A30" s="3">
        <v>29</v>
      </c>
      <c r="B30" s="15" t="s">
        <v>35</v>
      </c>
      <c r="C30" s="7" t="s">
        <v>62</v>
      </c>
      <c r="D30" s="11">
        <f>SUM(1480+1242+1379+1465+1503+1501+1427+1411)</f>
        <v>11408</v>
      </c>
      <c r="E30" s="11">
        <f>SUM(111+87+100+128+114+110+103+102)</f>
        <v>855</v>
      </c>
      <c r="F30" s="12">
        <f>D30/E30</f>
        <v>13.342690058479532</v>
      </c>
      <c r="G30" s="11">
        <v>8</v>
      </c>
      <c r="H30" s="11">
        <v>4</v>
      </c>
      <c r="I30" s="11"/>
      <c r="J30" s="11"/>
      <c r="K30" s="11"/>
      <c r="L30" s="11">
        <v>21.5</v>
      </c>
      <c r="M30" s="13"/>
    </row>
    <row r="31" spans="1:13" ht="18.5" x14ac:dyDescent="0.45">
      <c r="A31" s="3">
        <v>30</v>
      </c>
      <c r="B31" s="15" t="s">
        <v>24</v>
      </c>
      <c r="C31" s="7" t="s">
        <v>12</v>
      </c>
      <c r="D31" s="11">
        <f>SUM(1503+1503+1503+1398+1481+1377+1483)</f>
        <v>10248</v>
      </c>
      <c r="E31" s="11">
        <f>SUM(108+98+101+143+135+88+103)</f>
        <v>776</v>
      </c>
      <c r="F31" s="12">
        <f>D31/E31</f>
        <v>13.206185567010309</v>
      </c>
      <c r="G31" s="11">
        <v>7</v>
      </c>
      <c r="H31" s="11">
        <v>5</v>
      </c>
      <c r="I31" s="11"/>
      <c r="J31" s="11"/>
      <c r="K31" s="11"/>
      <c r="L31" s="11">
        <v>28</v>
      </c>
      <c r="M31" s="13"/>
    </row>
    <row r="32" spans="1:13" ht="18.5" x14ac:dyDescent="0.45">
      <c r="A32" s="3">
        <v>31</v>
      </c>
      <c r="B32" s="10" t="s">
        <v>30</v>
      </c>
      <c r="C32" s="7" t="s">
        <v>31</v>
      </c>
      <c r="D32" s="11">
        <f>SUM(1369+1280+1318+1495+1487+1333+1503)</f>
        <v>9785</v>
      </c>
      <c r="E32" s="11">
        <f>SUM(92+92+105+111+99+126+121)</f>
        <v>746</v>
      </c>
      <c r="F32" s="12">
        <f>D32/E32</f>
        <v>13.116621983914209</v>
      </c>
      <c r="G32" s="11">
        <v>7</v>
      </c>
      <c r="H32" s="11">
        <v>5</v>
      </c>
      <c r="I32" s="11"/>
      <c r="J32" s="11"/>
      <c r="K32" s="11"/>
      <c r="L32" s="11">
        <v>26</v>
      </c>
      <c r="M32" s="13"/>
    </row>
    <row r="33" spans="1:13" ht="18.5" x14ac:dyDescent="0.45">
      <c r="A33" s="3">
        <v>32</v>
      </c>
      <c r="B33" s="59" t="s">
        <v>75</v>
      </c>
      <c r="C33" s="7" t="s">
        <v>73</v>
      </c>
      <c r="D33" s="11">
        <f>SUM(1499+1275+1131+1305+1499+1407)</f>
        <v>8116</v>
      </c>
      <c r="E33" s="11">
        <f>SUM(123+99+96+101+99+104)</f>
        <v>622</v>
      </c>
      <c r="F33" s="12">
        <f>D33/E33</f>
        <v>13.04823151125402</v>
      </c>
      <c r="G33" s="11">
        <v>6</v>
      </c>
      <c r="H33" s="11">
        <v>4</v>
      </c>
      <c r="I33" s="11"/>
      <c r="J33" s="11"/>
      <c r="K33" s="11"/>
      <c r="L33" s="11">
        <v>14</v>
      </c>
      <c r="M33" s="13"/>
    </row>
    <row r="34" spans="1:13" ht="18.5" x14ac:dyDescent="0.45">
      <c r="A34" s="3">
        <v>33</v>
      </c>
      <c r="B34" s="4" t="s">
        <v>23</v>
      </c>
      <c r="C34" s="7" t="s">
        <v>13</v>
      </c>
      <c r="D34" s="11">
        <f>SUM(1503+1499+1483+1483+1503+1497+1487)</f>
        <v>10455</v>
      </c>
      <c r="E34" s="11">
        <f>SUM(100+99+110+105+132+140+116)</f>
        <v>802</v>
      </c>
      <c r="F34" s="12">
        <f>D34/E34</f>
        <v>13.036159600997506</v>
      </c>
      <c r="G34" s="11">
        <v>7</v>
      </c>
      <c r="H34" s="11">
        <v>7</v>
      </c>
      <c r="I34" s="11"/>
      <c r="J34" s="11"/>
      <c r="K34" s="11"/>
      <c r="L34" s="11">
        <v>25.5</v>
      </c>
      <c r="M34" s="13"/>
    </row>
    <row r="35" spans="1:13" ht="18.5" x14ac:dyDescent="0.45">
      <c r="A35" s="3">
        <v>34</v>
      </c>
      <c r="B35" s="4" t="s">
        <v>71</v>
      </c>
      <c r="C35" s="4" t="s">
        <v>76</v>
      </c>
      <c r="D35" s="11">
        <f>SUM(1501+1174+1489+1503+1435+1376+1397)</f>
        <v>9875</v>
      </c>
      <c r="E35" s="11">
        <f>SUM(156+81+108+103+125+84+102)</f>
        <v>759</v>
      </c>
      <c r="F35" s="12">
        <f>D35/E35</f>
        <v>13.010540184453228</v>
      </c>
      <c r="G35" s="11">
        <v>7</v>
      </c>
      <c r="H35" s="11">
        <v>4</v>
      </c>
      <c r="I35" s="11"/>
      <c r="J35" s="11"/>
      <c r="K35" s="11"/>
      <c r="L35" s="11">
        <v>19.5</v>
      </c>
      <c r="M35" s="13"/>
    </row>
    <row r="36" spans="1:13" ht="18.5" x14ac:dyDescent="0.45">
      <c r="A36" s="3">
        <v>35</v>
      </c>
      <c r="B36" s="4" t="s">
        <v>74</v>
      </c>
      <c r="C36" s="4" t="s">
        <v>12</v>
      </c>
      <c r="D36" s="11">
        <f>SUM(1479+1459+1501+1503+1448+1257+1418)</f>
        <v>10065</v>
      </c>
      <c r="E36" s="11">
        <f>SUM(110+116+147+118+106+99+86)</f>
        <v>782</v>
      </c>
      <c r="F36" s="12">
        <f>D36/E36</f>
        <v>12.870843989769821</v>
      </c>
      <c r="G36" s="11">
        <v>7</v>
      </c>
      <c r="H36" s="11">
        <v>4</v>
      </c>
      <c r="I36" s="11"/>
      <c r="J36" s="11"/>
      <c r="K36" s="11"/>
      <c r="L36" s="11">
        <v>24.5</v>
      </c>
      <c r="M36" s="13"/>
    </row>
    <row r="37" spans="1:13" ht="18.5" x14ac:dyDescent="0.45">
      <c r="A37" s="3">
        <v>36</v>
      </c>
      <c r="B37" s="4" t="s">
        <v>116</v>
      </c>
      <c r="C37" s="4" t="s">
        <v>16</v>
      </c>
      <c r="D37" s="11">
        <f>SUM(1503+1394+1501+1402)</f>
        <v>5800</v>
      </c>
      <c r="E37" s="11">
        <f>SUM(94+126+104+129)</f>
        <v>453</v>
      </c>
      <c r="F37" s="12">
        <f>D37/E37</f>
        <v>12.803532008830022</v>
      </c>
      <c r="G37" s="11">
        <v>4</v>
      </c>
      <c r="H37" s="11">
        <v>2</v>
      </c>
      <c r="I37" s="11"/>
      <c r="J37" s="11"/>
      <c r="K37" s="11"/>
      <c r="L37" s="11">
        <v>13</v>
      </c>
      <c r="M37" s="13"/>
    </row>
    <row r="38" spans="1:13" ht="18.5" x14ac:dyDescent="0.45">
      <c r="A38" s="3">
        <v>37</v>
      </c>
      <c r="B38" s="4" t="s">
        <v>98</v>
      </c>
      <c r="C38" s="4" t="s">
        <v>94</v>
      </c>
      <c r="D38" s="11">
        <f>SUM(1457+1241+1440+1384+1205+1503+1501)</f>
        <v>9731</v>
      </c>
      <c r="E38" s="11">
        <f>SUM(99+99+114+102+82+143+129)</f>
        <v>768</v>
      </c>
      <c r="F38" s="12">
        <f>D38/E38</f>
        <v>12.670572916666666</v>
      </c>
      <c r="G38" s="11">
        <v>7</v>
      </c>
      <c r="H38" s="11">
        <v>2</v>
      </c>
      <c r="I38" s="11"/>
      <c r="J38" s="11"/>
      <c r="K38" s="11"/>
      <c r="L38" s="11">
        <v>20</v>
      </c>
      <c r="M38" s="13"/>
    </row>
    <row r="39" spans="1:13" ht="18.5" x14ac:dyDescent="0.45">
      <c r="A39" s="3">
        <v>38</v>
      </c>
      <c r="B39" s="14" t="s">
        <v>95</v>
      </c>
      <c r="C39" s="4" t="s">
        <v>94</v>
      </c>
      <c r="D39" s="11">
        <f>SUM(1455+1482+1452+1434+1427+1489)</f>
        <v>8739</v>
      </c>
      <c r="E39" s="11">
        <f>SUM(129+147+107+101+114+97)</f>
        <v>695</v>
      </c>
      <c r="F39" s="12">
        <f>D39/E39</f>
        <v>12.574100719424461</v>
      </c>
      <c r="G39" s="11">
        <v>6</v>
      </c>
      <c r="H39" s="11">
        <v>1</v>
      </c>
      <c r="I39" s="11"/>
      <c r="J39" s="11"/>
      <c r="K39" s="11"/>
      <c r="L39" s="11">
        <v>12</v>
      </c>
      <c r="M39" s="13"/>
    </row>
    <row r="40" spans="1:13" ht="18.5" x14ac:dyDescent="0.45">
      <c r="A40" s="3">
        <v>39</v>
      </c>
      <c r="B40" s="4" t="s">
        <v>67</v>
      </c>
      <c r="C40" s="4" t="s">
        <v>16</v>
      </c>
      <c r="D40" s="11">
        <f>SUM(1501+1503+1225+1495+1420+1493+1289)</f>
        <v>9926</v>
      </c>
      <c r="E40" s="11">
        <f>SUM(148+104+75+129+108+136+99)</f>
        <v>799</v>
      </c>
      <c r="F40" s="12">
        <f>D40/E40</f>
        <v>12.423028785982478</v>
      </c>
      <c r="G40" s="11">
        <v>7</v>
      </c>
      <c r="H40" s="11">
        <v>2</v>
      </c>
      <c r="I40" s="11"/>
      <c r="J40" s="11"/>
      <c r="K40" s="11"/>
      <c r="L40" s="11">
        <v>15.5</v>
      </c>
      <c r="M40" s="13"/>
    </row>
    <row r="41" spans="1:13" ht="18.5" x14ac:dyDescent="0.45">
      <c r="A41" s="3">
        <v>40</v>
      </c>
      <c r="B41" s="14" t="s">
        <v>61</v>
      </c>
      <c r="C41" s="4" t="s">
        <v>26</v>
      </c>
      <c r="D41" s="11">
        <f>SUM(1332+1457+1481+1441+1493+1492+1503)</f>
        <v>10199</v>
      </c>
      <c r="E41" s="11">
        <f>SUM(102+131+110+117+131+134+102)</f>
        <v>827</v>
      </c>
      <c r="F41" s="12">
        <f>D41/E41</f>
        <v>12.332527206771463</v>
      </c>
      <c r="G41" s="11">
        <v>7</v>
      </c>
      <c r="H41" s="11">
        <v>2</v>
      </c>
      <c r="I41" s="11"/>
      <c r="J41" s="11"/>
      <c r="K41" s="11"/>
      <c r="L41" s="11">
        <v>14.5</v>
      </c>
      <c r="M41" s="13"/>
    </row>
    <row r="42" spans="1:13" ht="18.5" x14ac:dyDescent="0.45">
      <c r="A42" s="3">
        <v>41</v>
      </c>
      <c r="B42" s="14" t="s">
        <v>70</v>
      </c>
      <c r="C42" s="7" t="s">
        <v>73</v>
      </c>
      <c r="D42" s="11">
        <f>SUM(1359+1497+1412+1293+1503+1499)</f>
        <v>8563</v>
      </c>
      <c r="E42" s="11">
        <f>SUM(110+135+87+97+131+137)</f>
        <v>697</v>
      </c>
      <c r="F42" s="12">
        <f>D42/E42</f>
        <v>12.285509325681492</v>
      </c>
      <c r="G42" s="11">
        <v>6</v>
      </c>
      <c r="H42" s="11">
        <v>3</v>
      </c>
      <c r="I42" s="11"/>
      <c r="J42" s="11"/>
      <c r="K42" s="11"/>
      <c r="L42" s="11">
        <v>17.5</v>
      </c>
      <c r="M42" s="13"/>
    </row>
    <row r="43" spans="1:13" ht="18.5" x14ac:dyDescent="0.45">
      <c r="A43" s="3">
        <v>42</v>
      </c>
      <c r="B43" s="14" t="s">
        <v>33</v>
      </c>
      <c r="C43" s="4" t="s">
        <v>26</v>
      </c>
      <c r="D43" s="11">
        <f>SUM(1311+1257+1471+1499+1355+1408+1471)</f>
        <v>9772</v>
      </c>
      <c r="E43" s="11">
        <f>SUM(84+98+123+139+105+124+128)</f>
        <v>801</v>
      </c>
      <c r="F43" s="12">
        <f>D43/E43</f>
        <v>12.199750312109863</v>
      </c>
      <c r="G43" s="11">
        <v>7</v>
      </c>
      <c r="H43" s="11">
        <v>2</v>
      </c>
      <c r="I43" s="11"/>
      <c r="J43" s="11"/>
      <c r="K43" s="11"/>
      <c r="L43" s="11">
        <v>13.5</v>
      </c>
      <c r="M43" s="13">
        <v>5</v>
      </c>
    </row>
    <row r="44" spans="1:13" ht="18.5" x14ac:dyDescent="0.45">
      <c r="A44" s="3">
        <v>43</v>
      </c>
      <c r="B44" s="4" t="s">
        <v>122</v>
      </c>
      <c r="C44" s="4" t="s">
        <v>26</v>
      </c>
      <c r="D44" s="11">
        <f>SUM(1284+1031)</f>
        <v>2315</v>
      </c>
      <c r="E44" s="11">
        <f>SUM(99+98)</f>
        <v>197</v>
      </c>
      <c r="F44" s="12">
        <f>D44/E44</f>
        <v>11.751269035532994</v>
      </c>
      <c r="G44" s="11">
        <v>2</v>
      </c>
      <c r="H44" s="11"/>
      <c r="I44" s="11"/>
      <c r="J44" s="11"/>
      <c r="K44" s="11"/>
      <c r="L44" s="11">
        <v>5</v>
      </c>
      <c r="M44" s="13"/>
    </row>
    <row r="45" spans="1:13" ht="18.5" x14ac:dyDescent="0.45">
      <c r="A45" s="3">
        <v>44</v>
      </c>
      <c r="B45" s="4" t="s">
        <v>115</v>
      </c>
      <c r="C45" s="4" t="s">
        <v>26</v>
      </c>
      <c r="D45" s="11">
        <f>SUM(1014)</f>
        <v>1014</v>
      </c>
      <c r="E45" s="11">
        <f>SUM(87)</f>
        <v>87</v>
      </c>
      <c r="F45" s="12">
        <f>D45/E45</f>
        <v>11.655172413793103</v>
      </c>
      <c r="G45" s="11">
        <v>1</v>
      </c>
      <c r="H45" s="11"/>
      <c r="I45" s="11"/>
      <c r="J45" s="11"/>
      <c r="K45" s="11"/>
      <c r="L45" s="11">
        <v>0.5</v>
      </c>
      <c r="M45" s="13"/>
    </row>
    <row r="46" spans="1:13" ht="18.5" x14ac:dyDescent="0.45">
      <c r="A46" s="3">
        <v>45</v>
      </c>
      <c r="B46" s="4" t="s">
        <v>34</v>
      </c>
      <c r="C46" s="4" t="s">
        <v>62</v>
      </c>
      <c r="D46" s="11">
        <f>SUM(1357+1211+1501+1381+1328)</f>
        <v>6778</v>
      </c>
      <c r="E46" s="11">
        <f>SUM(105+90+149+138+114)</f>
        <v>596</v>
      </c>
      <c r="F46" s="12">
        <f>D46/E46</f>
        <v>11.372483221476511</v>
      </c>
      <c r="G46" s="11">
        <v>5</v>
      </c>
      <c r="H46" s="11">
        <v>1</v>
      </c>
      <c r="I46" s="11"/>
      <c r="J46" s="11"/>
      <c r="K46" s="11"/>
      <c r="L46" s="11">
        <v>7.5</v>
      </c>
      <c r="M46" s="13"/>
    </row>
    <row r="47" spans="1:13" ht="18.5" x14ac:dyDescent="0.45">
      <c r="A47" s="3">
        <v>46</v>
      </c>
      <c r="B47" s="14" t="s">
        <v>36</v>
      </c>
      <c r="C47" s="4" t="s">
        <v>76</v>
      </c>
      <c r="D47" s="11">
        <f>SUM(1372+1316+996+1229+1440+1483+1487)</f>
        <v>9323</v>
      </c>
      <c r="E47" s="11">
        <f>SUM(123+111+87+111+126+138+126)</f>
        <v>822</v>
      </c>
      <c r="F47" s="12">
        <f>D47/E47</f>
        <v>11.341849148418492</v>
      </c>
      <c r="G47" s="11">
        <v>7</v>
      </c>
      <c r="H47" s="11">
        <v>1</v>
      </c>
      <c r="I47" s="11"/>
      <c r="J47" s="11"/>
      <c r="K47" s="11"/>
      <c r="L47" s="11">
        <v>13</v>
      </c>
      <c r="M47" s="13"/>
    </row>
    <row r="48" spans="1:13" ht="18.5" x14ac:dyDescent="0.45">
      <c r="A48" s="3">
        <v>47</v>
      </c>
      <c r="B48" s="14" t="s">
        <v>37</v>
      </c>
      <c r="C48" s="4" t="s">
        <v>76</v>
      </c>
      <c r="D48" s="11">
        <f>SUM(1487+1270+1281+1456+1315+1438+1202)</f>
        <v>9449</v>
      </c>
      <c r="E48" s="11">
        <f>SUM(142+105+93+150+105+147+96)</f>
        <v>838</v>
      </c>
      <c r="F48" s="12">
        <f>D48/E48</f>
        <v>11.275656324582339</v>
      </c>
      <c r="G48" s="11">
        <v>7</v>
      </c>
      <c r="H48" s="11"/>
      <c r="I48" s="11"/>
      <c r="J48" s="11"/>
      <c r="K48" s="11"/>
      <c r="L48" s="11">
        <v>9.5</v>
      </c>
      <c r="M48" s="13"/>
    </row>
    <row r="49" spans="1:18" ht="18.5" x14ac:dyDescent="0.45">
      <c r="A49" s="3">
        <v>48</v>
      </c>
      <c r="B49" s="4" t="s">
        <v>18</v>
      </c>
      <c r="C49" s="4" t="s">
        <v>15</v>
      </c>
      <c r="D49" s="11">
        <f>SUM(1267+1491+1493)</f>
        <v>4251</v>
      </c>
      <c r="E49" s="11">
        <f>SUM(121+139+133)</f>
        <v>393</v>
      </c>
      <c r="F49" s="12">
        <f>D49/E49</f>
        <v>10.816793893129772</v>
      </c>
      <c r="G49" s="11">
        <v>3</v>
      </c>
      <c r="H49" s="11">
        <v>2</v>
      </c>
      <c r="I49" s="11"/>
      <c r="J49" s="11"/>
      <c r="K49" s="11"/>
      <c r="L49" s="11">
        <v>15.5</v>
      </c>
      <c r="M49" s="13"/>
    </row>
    <row r="50" spans="1:18" ht="18.5" x14ac:dyDescent="0.45">
      <c r="A50" s="3">
        <v>49</v>
      </c>
      <c r="B50" s="4" t="s">
        <v>121</v>
      </c>
      <c r="C50" s="4" t="s">
        <v>94</v>
      </c>
      <c r="D50" s="11">
        <f>SUM(1419+1464)</f>
        <v>2883</v>
      </c>
      <c r="E50" s="11">
        <f>SUM(132+136)</f>
        <v>268</v>
      </c>
      <c r="F50" s="12">
        <f>D50/E50</f>
        <v>10.757462686567164</v>
      </c>
      <c r="G50" s="11">
        <v>2</v>
      </c>
      <c r="H50" s="11"/>
      <c r="I50" s="11"/>
      <c r="J50" s="11"/>
      <c r="K50" s="11"/>
      <c r="L50" s="11">
        <v>3.5</v>
      </c>
      <c r="M50" s="13">
        <v>5</v>
      </c>
    </row>
    <row r="51" spans="1:18" ht="18.5" x14ac:dyDescent="0.45">
      <c r="A51" s="3">
        <v>50</v>
      </c>
      <c r="B51" s="14" t="s">
        <v>65</v>
      </c>
      <c r="C51" s="4" t="s">
        <v>16</v>
      </c>
      <c r="D51" s="11">
        <f>SUM(1337+1489+1467+1477)</f>
        <v>5770</v>
      </c>
      <c r="E51" s="11">
        <f>SUM(150+138+111+139)</f>
        <v>538</v>
      </c>
      <c r="F51" s="12">
        <f>D51/E51</f>
        <v>10.724907063197026</v>
      </c>
      <c r="G51" s="11">
        <v>4</v>
      </c>
      <c r="H51" s="11">
        <v>1</v>
      </c>
      <c r="I51" s="11"/>
      <c r="J51" s="11"/>
      <c r="K51" s="11"/>
      <c r="L51" s="11">
        <v>11</v>
      </c>
      <c r="M51" s="13">
        <v>5</v>
      </c>
    </row>
    <row r="52" spans="1:18" ht="18.5" x14ac:dyDescent="0.45">
      <c r="A52" s="3">
        <v>51</v>
      </c>
      <c r="B52" s="14" t="s">
        <v>93</v>
      </c>
      <c r="C52" s="4" t="s">
        <v>62</v>
      </c>
      <c r="D52" s="11">
        <f>SUM(1476+1440+1478)</f>
        <v>4394</v>
      </c>
      <c r="E52" s="11">
        <f>SUM(156+138+139)</f>
        <v>433</v>
      </c>
      <c r="F52" s="12">
        <f>D52/E52</f>
        <v>10.147806004618937</v>
      </c>
      <c r="G52" s="11">
        <v>3</v>
      </c>
      <c r="H52" s="11"/>
      <c r="I52" s="11"/>
      <c r="J52" s="11"/>
      <c r="K52" s="11"/>
      <c r="L52" s="11">
        <v>3</v>
      </c>
      <c r="M52" s="13"/>
    </row>
    <row r="53" spans="1:18" ht="18.5" x14ac:dyDescent="0.45">
      <c r="A53" s="3">
        <v>52</v>
      </c>
      <c r="B53" s="14" t="s">
        <v>127</v>
      </c>
      <c r="C53" s="4" t="s">
        <v>26</v>
      </c>
      <c r="D53" s="11"/>
      <c r="E53" s="11"/>
      <c r="F53" s="12"/>
      <c r="G53" s="11"/>
      <c r="H53" s="11"/>
      <c r="I53" s="11"/>
      <c r="J53" s="11"/>
      <c r="K53" s="11"/>
      <c r="L53" s="11">
        <v>0.5</v>
      </c>
      <c r="M53" s="13"/>
    </row>
    <row r="54" spans="1:18" ht="17.25" customHeight="1" thickBot="1" x14ac:dyDescent="0.5">
      <c r="A54" s="5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</row>
    <row r="55" spans="1:18" ht="19.5" customHeight="1" thickBot="1" x14ac:dyDescent="0.5">
      <c r="A55" s="5"/>
      <c r="B55" s="33" t="s">
        <v>131</v>
      </c>
      <c r="C55" s="58" t="s">
        <v>42</v>
      </c>
      <c r="D55" s="57" t="s">
        <v>43</v>
      </c>
      <c r="E55" s="57" t="s">
        <v>87</v>
      </c>
      <c r="F55" s="56" t="s">
        <v>44</v>
      </c>
      <c r="G55" s="55" t="s">
        <v>86</v>
      </c>
      <c r="I55" s="38" t="s">
        <v>45</v>
      </c>
      <c r="J55" s="39"/>
      <c r="K55" s="39"/>
      <c r="L55" s="39"/>
      <c r="M55" s="39"/>
      <c r="N55" s="39"/>
      <c r="O55" s="39"/>
      <c r="P55" s="39"/>
      <c r="Q55" s="39"/>
      <c r="R55" s="40"/>
    </row>
    <row r="56" spans="1:18" ht="18.5" x14ac:dyDescent="0.45">
      <c r="A56" s="5"/>
      <c r="B56" s="50"/>
      <c r="C56" s="17" t="s">
        <v>47</v>
      </c>
      <c r="D56" s="22">
        <v>7</v>
      </c>
      <c r="E56" s="22">
        <v>0</v>
      </c>
      <c r="F56" s="22">
        <v>111</v>
      </c>
      <c r="G56" s="28">
        <v>7</v>
      </c>
      <c r="I56" s="43" t="s">
        <v>46</v>
      </c>
      <c r="J56" s="44"/>
      <c r="K56" s="44"/>
      <c r="L56" s="44"/>
      <c r="M56" s="44"/>
      <c r="N56" s="41" t="s">
        <v>113</v>
      </c>
      <c r="O56" s="41"/>
      <c r="P56" s="41"/>
      <c r="Q56" s="41"/>
      <c r="R56" s="42"/>
    </row>
    <row r="57" spans="1:18" ht="18.5" x14ac:dyDescent="0.45">
      <c r="A57" s="5"/>
      <c r="B57" s="50"/>
      <c r="C57" s="17" t="s">
        <v>49</v>
      </c>
      <c r="D57" s="22">
        <v>6</v>
      </c>
      <c r="E57" s="11">
        <v>1</v>
      </c>
      <c r="F57" s="11">
        <v>109</v>
      </c>
      <c r="G57" s="28">
        <v>6</v>
      </c>
      <c r="I57" s="45" t="s">
        <v>48</v>
      </c>
      <c r="J57" s="46"/>
      <c r="K57" s="46"/>
      <c r="L57" s="46"/>
      <c r="M57" s="46"/>
      <c r="N57" s="36" t="s">
        <v>130</v>
      </c>
      <c r="O57" s="36"/>
      <c r="P57" s="36"/>
      <c r="Q57" s="36"/>
      <c r="R57" s="37"/>
    </row>
    <row r="58" spans="1:18" ht="19" thickBot="1" x14ac:dyDescent="0.5">
      <c r="A58" s="5"/>
      <c r="B58" s="50"/>
      <c r="C58" s="17" t="s">
        <v>57</v>
      </c>
      <c r="D58" s="22">
        <v>6</v>
      </c>
      <c r="E58" s="11">
        <v>2</v>
      </c>
      <c r="F58" s="11">
        <v>118</v>
      </c>
      <c r="G58" s="28">
        <v>9</v>
      </c>
      <c r="I58" s="45" t="s">
        <v>50</v>
      </c>
      <c r="J58" s="46"/>
      <c r="K58" s="46"/>
      <c r="L58" s="46"/>
      <c r="M58" s="46"/>
      <c r="N58" s="36" t="s">
        <v>129</v>
      </c>
      <c r="O58" s="36"/>
      <c r="P58" s="36"/>
      <c r="Q58" s="36"/>
      <c r="R58" s="37"/>
    </row>
    <row r="59" spans="1:18" ht="18.5" x14ac:dyDescent="0.45">
      <c r="A59" s="6"/>
      <c r="B59" s="50"/>
      <c r="C59" s="54" t="s">
        <v>52</v>
      </c>
      <c r="D59" s="53">
        <v>5</v>
      </c>
      <c r="E59" s="52">
        <v>2</v>
      </c>
      <c r="F59" s="52">
        <v>100</v>
      </c>
      <c r="G59" s="51">
        <v>5</v>
      </c>
      <c r="I59" s="45" t="s">
        <v>51</v>
      </c>
      <c r="J59" s="46"/>
      <c r="K59" s="46"/>
      <c r="L59" s="46"/>
      <c r="M59" s="46"/>
      <c r="N59" s="36" t="s">
        <v>128</v>
      </c>
      <c r="O59" s="36"/>
      <c r="P59" s="36"/>
      <c r="Q59" s="36"/>
      <c r="R59" s="37"/>
    </row>
    <row r="60" spans="1:18" ht="18" customHeight="1" x14ac:dyDescent="0.45">
      <c r="A60" s="6"/>
      <c r="B60" s="50"/>
      <c r="C60" s="17" t="s">
        <v>56</v>
      </c>
      <c r="D60" s="22">
        <v>4</v>
      </c>
      <c r="E60" s="11">
        <v>3</v>
      </c>
      <c r="F60" s="11">
        <v>97</v>
      </c>
      <c r="G60" s="28">
        <v>3</v>
      </c>
      <c r="I60" s="45" t="s">
        <v>53</v>
      </c>
      <c r="J60" s="46"/>
      <c r="K60" s="46"/>
      <c r="L60" s="46"/>
      <c r="M60" s="46"/>
      <c r="N60" s="36" t="s">
        <v>106</v>
      </c>
      <c r="O60" s="36"/>
      <c r="P60" s="36"/>
      <c r="Q60" s="36"/>
      <c r="R60" s="37"/>
    </row>
    <row r="61" spans="1:18" ht="18" customHeight="1" thickBot="1" x14ac:dyDescent="0.5">
      <c r="A61" s="6"/>
      <c r="B61" s="50"/>
      <c r="C61" s="17" t="s">
        <v>55</v>
      </c>
      <c r="D61" s="22">
        <v>4</v>
      </c>
      <c r="E61" s="22">
        <v>3</v>
      </c>
      <c r="F61" s="22">
        <v>89</v>
      </c>
      <c r="G61" s="28">
        <v>2</v>
      </c>
      <c r="I61" s="31" t="s">
        <v>54</v>
      </c>
      <c r="J61" s="32"/>
      <c r="K61" s="32"/>
      <c r="L61" s="32"/>
      <c r="M61" s="32"/>
      <c r="N61" s="36" t="s">
        <v>89</v>
      </c>
      <c r="O61" s="36"/>
      <c r="P61" s="36"/>
      <c r="Q61" s="36"/>
      <c r="R61" s="37"/>
    </row>
    <row r="62" spans="1:18" ht="18.5" x14ac:dyDescent="0.45">
      <c r="A62" s="6"/>
      <c r="B62" s="50"/>
      <c r="C62" s="17" t="s">
        <v>88</v>
      </c>
      <c r="D62" s="23">
        <v>3</v>
      </c>
      <c r="E62" s="23">
        <v>4</v>
      </c>
      <c r="F62" s="23">
        <v>76</v>
      </c>
      <c r="G62" s="28">
        <v>1</v>
      </c>
      <c r="H62" s="6"/>
      <c r="I62" s="6"/>
    </row>
    <row r="63" spans="1:18" ht="18.5" x14ac:dyDescent="0.45">
      <c r="A63" s="6"/>
      <c r="B63" s="50"/>
      <c r="C63" s="17" t="s">
        <v>66</v>
      </c>
      <c r="D63" s="22">
        <v>2</v>
      </c>
      <c r="E63" s="11">
        <v>5</v>
      </c>
      <c r="F63" s="11">
        <v>73</v>
      </c>
      <c r="G63" s="28">
        <v>8</v>
      </c>
      <c r="H63" s="6"/>
    </row>
    <row r="64" spans="1:18" ht="19" thickBot="1" x14ac:dyDescent="0.5">
      <c r="B64" s="50"/>
      <c r="C64" s="48" t="s">
        <v>77</v>
      </c>
      <c r="D64" s="47">
        <v>1</v>
      </c>
      <c r="E64" s="47">
        <v>6</v>
      </c>
      <c r="F64" s="47">
        <v>53</v>
      </c>
      <c r="G64" s="29">
        <v>4</v>
      </c>
    </row>
    <row r="65" spans="2:7" ht="18.5" x14ac:dyDescent="0.45">
      <c r="B65" s="50"/>
      <c r="C65" s="17" t="s">
        <v>63</v>
      </c>
      <c r="D65" s="23">
        <v>1</v>
      </c>
      <c r="E65" s="23">
        <v>7</v>
      </c>
      <c r="F65" s="23">
        <v>69</v>
      </c>
      <c r="G65" s="28">
        <v>10</v>
      </c>
    </row>
    <row r="66" spans="2:7" ht="19" thickBot="1" x14ac:dyDescent="0.5">
      <c r="B66" s="49"/>
      <c r="C66" s="18" t="s">
        <v>58</v>
      </c>
      <c r="D66" s="23">
        <v>1</v>
      </c>
      <c r="E66" s="23">
        <v>7</v>
      </c>
      <c r="F66" s="23">
        <v>65</v>
      </c>
      <c r="G66" s="28">
        <v>11</v>
      </c>
    </row>
  </sheetData>
  <mergeCells count="14">
    <mergeCell ref="I57:M57"/>
    <mergeCell ref="I58:M58"/>
    <mergeCell ref="I59:M59"/>
    <mergeCell ref="I60:M60"/>
    <mergeCell ref="I61:M61"/>
    <mergeCell ref="B55:B66"/>
    <mergeCell ref="N61:R61"/>
    <mergeCell ref="I55:R55"/>
    <mergeCell ref="N56:R56"/>
    <mergeCell ref="N57:R57"/>
    <mergeCell ref="N58:R58"/>
    <mergeCell ref="N59:R59"/>
    <mergeCell ref="N60:R60"/>
    <mergeCell ref="I56:M5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D42D40-9C93-47AA-8F87-C763DC421195}">
  <dimension ref="A1:R69"/>
  <sheetViews>
    <sheetView workbookViewId="0">
      <pane ySplit="1" topLeftCell="A2" activePane="bottomLeft" state="frozen"/>
      <selection pane="bottomLeft" activeCell="I60" sqref="I60:R62"/>
    </sheetView>
  </sheetViews>
  <sheetFormatPr defaultRowHeight="14.5" x14ac:dyDescent="0.35"/>
  <cols>
    <col min="1" max="1" width="5.453125" bestFit="1" customWidth="1"/>
    <col min="2" max="2" width="23.81640625" bestFit="1" customWidth="1"/>
    <col min="3" max="3" width="31.1796875" bestFit="1" customWidth="1"/>
    <col min="4" max="5" width="10.7265625" bestFit="1" customWidth="1"/>
    <col min="6" max="6" width="7.7265625" bestFit="1" customWidth="1"/>
    <col min="7" max="7" width="12.1796875" bestFit="1" customWidth="1"/>
    <col min="8" max="11" width="5.7265625" customWidth="1"/>
    <col min="12" max="12" width="7.7265625" bestFit="1" customWidth="1"/>
    <col min="13" max="13" width="10.81640625" bestFit="1" customWidth="1"/>
    <col min="18" max="18" width="38.54296875" customWidth="1"/>
  </cols>
  <sheetData>
    <row r="1" spans="1:13" ht="73.5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1" t="s">
        <v>7</v>
      </c>
      <c r="I1" s="1">
        <v>180</v>
      </c>
      <c r="J1" s="1">
        <v>171</v>
      </c>
      <c r="K1" s="1" t="s">
        <v>8</v>
      </c>
      <c r="L1" s="2" t="s">
        <v>9</v>
      </c>
      <c r="M1" s="2" t="s">
        <v>10</v>
      </c>
    </row>
    <row r="2" spans="1:13" ht="18.5" x14ac:dyDescent="0.45">
      <c r="A2" s="3">
        <v>1</v>
      </c>
      <c r="B2" s="14" t="s">
        <v>100</v>
      </c>
      <c r="C2" s="4" t="s">
        <v>94</v>
      </c>
      <c r="D2" s="11">
        <f>SUM(1343+1469+1241+1495+1503+1436)</f>
        <v>8487</v>
      </c>
      <c r="E2" s="11">
        <f>SUM(84+72+88+75+70+87)</f>
        <v>476</v>
      </c>
      <c r="F2" s="12">
        <f>D2/E2</f>
        <v>17.829831932773111</v>
      </c>
      <c r="G2" s="11">
        <v>6</v>
      </c>
      <c r="H2" s="11">
        <v>4</v>
      </c>
      <c r="I2" s="11"/>
      <c r="J2" s="11"/>
      <c r="K2" s="11"/>
      <c r="L2" s="11">
        <v>24</v>
      </c>
      <c r="M2" s="13">
        <v>15</v>
      </c>
    </row>
    <row r="3" spans="1:13" ht="18.5" x14ac:dyDescent="0.45">
      <c r="A3" s="3">
        <v>2</v>
      </c>
      <c r="B3" s="4" t="s">
        <v>83</v>
      </c>
      <c r="C3" s="4" t="s">
        <v>15</v>
      </c>
      <c r="D3" s="11">
        <f>SUM(1503+1419+1503+1499+1503+1503+1471+1503)</f>
        <v>11904</v>
      </c>
      <c r="E3" s="11">
        <f>SUM(68+80+79+90+78+109+97+75)</f>
        <v>676</v>
      </c>
      <c r="F3" s="12">
        <f>D3/E3</f>
        <v>17.609467455621303</v>
      </c>
      <c r="G3" s="11">
        <v>8</v>
      </c>
      <c r="H3" s="11">
        <v>8</v>
      </c>
      <c r="I3" s="11"/>
      <c r="J3" s="11"/>
      <c r="K3" s="11"/>
      <c r="L3" s="11">
        <v>38</v>
      </c>
      <c r="M3" s="13">
        <v>10</v>
      </c>
    </row>
    <row r="4" spans="1:13" ht="18.5" x14ac:dyDescent="0.45">
      <c r="A4" s="3">
        <v>3</v>
      </c>
      <c r="B4" s="3" t="s">
        <v>32</v>
      </c>
      <c r="C4" s="4" t="s">
        <v>20</v>
      </c>
      <c r="D4" s="11">
        <f>SUM(1359+1503+1446+1365+1185+1503+1433+1420)</f>
        <v>11214</v>
      </c>
      <c r="E4" s="11">
        <f>SUM(84+96+89+92+75+90+78+87)</f>
        <v>691</v>
      </c>
      <c r="F4" s="12">
        <f>D4/E4</f>
        <v>16.228654124457307</v>
      </c>
      <c r="G4" s="11">
        <v>8</v>
      </c>
      <c r="H4" s="11">
        <v>5</v>
      </c>
      <c r="I4" s="11"/>
      <c r="J4" s="11"/>
      <c r="K4" s="11">
        <v>1</v>
      </c>
      <c r="L4" s="11">
        <v>31.5</v>
      </c>
      <c r="M4" s="13"/>
    </row>
    <row r="5" spans="1:13" ht="18.5" x14ac:dyDescent="0.45">
      <c r="A5" s="3">
        <v>4</v>
      </c>
      <c r="B5" s="4" t="s">
        <v>21</v>
      </c>
      <c r="C5" s="7" t="s">
        <v>13</v>
      </c>
      <c r="D5" s="11">
        <f>SUM(1503+1470+1503+1457+1472+1503+1503+1471)</f>
        <v>11882</v>
      </c>
      <c r="E5" s="11">
        <f>SUM(105+88+87+90+84+84+88+109)</f>
        <v>735</v>
      </c>
      <c r="F5" s="12">
        <f>D5/E5</f>
        <v>16.165986394557823</v>
      </c>
      <c r="G5" s="11">
        <v>8</v>
      </c>
      <c r="H5" s="11">
        <v>6</v>
      </c>
      <c r="I5" s="11"/>
      <c r="J5" s="11"/>
      <c r="K5" s="11"/>
      <c r="L5" s="11">
        <v>31</v>
      </c>
      <c r="M5" s="13"/>
    </row>
    <row r="6" spans="1:13" ht="18.5" x14ac:dyDescent="0.45">
      <c r="A6" s="3">
        <v>5</v>
      </c>
      <c r="B6" s="4" t="s">
        <v>11</v>
      </c>
      <c r="C6" s="4" t="s">
        <v>12</v>
      </c>
      <c r="D6" s="11">
        <f>SUM(1503+1441+1493+1416+1503+1329+1432+1503)</f>
        <v>11620</v>
      </c>
      <c r="E6" s="11">
        <f>SUM(102+84+94+84+96+77+98+88)</f>
        <v>723</v>
      </c>
      <c r="F6" s="12">
        <f>D6/E6</f>
        <v>16.07192254495159</v>
      </c>
      <c r="G6" s="11">
        <v>8</v>
      </c>
      <c r="H6" s="11">
        <v>6</v>
      </c>
      <c r="I6" s="11">
        <v>1</v>
      </c>
      <c r="J6" s="11"/>
      <c r="K6" s="11"/>
      <c r="L6" s="11">
        <v>31</v>
      </c>
      <c r="M6" s="13"/>
    </row>
    <row r="7" spans="1:13" ht="18.5" x14ac:dyDescent="0.45">
      <c r="A7" s="3">
        <v>6</v>
      </c>
      <c r="B7" s="4" t="s">
        <v>25</v>
      </c>
      <c r="C7" s="4" t="s">
        <v>16</v>
      </c>
      <c r="D7" s="11">
        <f>SUM(1503+1493+1467+1500+1501+1501+1466)</f>
        <v>10431</v>
      </c>
      <c r="E7" s="11">
        <f>SUM(80+92+84+111+97+107+88)</f>
        <v>659</v>
      </c>
      <c r="F7" s="12">
        <f>D7/E7</f>
        <v>15.828528072837633</v>
      </c>
      <c r="G7" s="11">
        <v>7</v>
      </c>
      <c r="H7" s="11">
        <v>7</v>
      </c>
      <c r="I7" s="11"/>
      <c r="J7" s="11">
        <v>1</v>
      </c>
      <c r="K7" s="11"/>
      <c r="L7" s="11">
        <v>26.5</v>
      </c>
      <c r="M7" s="13">
        <v>10</v>
      </c>
    </row>
    <row r="8" spans="1:13" ht="18.5" x14ac:dyDescent="0.45">
      <c r="A8" s="3">
        <v>7</v>
      </c>
      <c r="B8" s="4" t="s">
        <v>17</v>
      </c>
      <c r="C8" s="4" t="s">
        <v>13</v>
      </c>
      <c r="D8" s="11">
        <f>SUM(1503+1474+1369+1328+1503+1427+1503+1471)</f>
        <v>11578</v>
      </c>
      <c r="E8" s="11">
        <f>SUM(90+83+84+72+99+108+118+86)</f>
        <v>740</v>
      </c>
      <c r="F8" s="12">
        <f>D8/E8</f>
        <v>15.645945945945947</v>
      </c>
      <c r="G8" s="11">
        <v>8</v>
      </c>
      <c r="H8" s="11">
        <v>4</v>
      </c>
      <c r="I8" s="11">
        <v>2</v>
      </c>
      <c r="J8" s="11"/>
      <c r="K8" s="11"/>
      <c r="L8" s="11">
        <v>25.5</v>
      </c>
      <c r="M8" s="13"/>
    </row>
    <row r="9" spans="1:13" ht="18.5" x14ac:dyDescent="0.45">
      <c r="A9" s="3">
        <v>8</v>
      </c>
      <c r="B9" s="4" t="s">
        <v>78</v>
      </c>
      <c r="C9" s="4" t="s">
        <v>31</v>
      </c>
      <c r="D9" s="11">
        <f>SUM(1501+1503+1503+1503+1436+1503+1503+1479)</f>
        <v>11931</v>
      </c>
      <c r="E9" s="11">
        <f>SUM(113+97+98+75+95+106+79+104)</f>
        <v>767</v>
      </c>
      <c r="F9" s="12">
        <f>D9/E9</f>
        <v>15.555410691003912</v>
      </c>
      <c r="G9" s="11">
        <v>8</v>
      </c>
      <c r="H9" s="11">
        <v>6</v>
      </c>
      <c r="I9" s="11"/>
      <c r="J9" s="11"/>
      <c r="K9" s="11"/>
      <c r="L9" s="11">
        <v>33.5</v>
      </c>
      <c r="M9" s="13">
        <v>10</v>
      </c>
    </row>
    <row r="10" spans="1:13" ht="18.5" x14ac:dyDescent="0.45">
      <c r="A10" s="3">
        <v>9</v>
      </c>
      <c r="B10" s="14" t="s">
        <v>72</v>
      </c>
      <c r="C10" s="4" t="s">
        <v>31</v>
      </c>
      <c r="D10" s="11">
        <f>SUM(1503+1475+1503+1447+1483+1493+1411+1467)</f>
        <v>11782</v>
      </c>
      <c r="E10" s="11">
        <f>SUM(102+96+91+98+102+99+96+80)</f>
        <v>764</v>
      </c>
      <c r="F10" s="12">
        <f>D10/E10</f>
        <v>15.421465968586388</v>
      </c>
      <c r="G10" s="11">
        <v>8</v>
      </c>
      <c r="H10" s="11">
        <v>5</v>
      </c>
      <c r="I10" s="11"/>
      <c r="J10" s="11"/>
      <c r="K10" s="11"/>
      <c r="L10" s="11">
        <v>28</v>
      </c>
      <c r="M10" s="13"/>
    </row>
    <row r="11" spans="1:13" ht="18.5" x14ac:dyDescent="0.45">
      <c r="A11" s="3">
        <v>10</v>
      </c>
      <c r="B11" s="4" t="s">
        <v>39</v>
      </c>
      <c r="C11" s="4" t="s">
        <v>15</v>
      </c>
      <c r="D11" s="11">
        <f>SUM(1361+1488+968+1468+1403+1493+1501+1478)</f>
        <v>11160</v>
      </c>
      <c r="E11" s="11">
        <f>SUM(107+98+81+98+85+85+96+79)</f>
        <v>729</v>
      </c>
      <c r="F11" s="12">
        <f>D11/E11</f>
        <v>15.308641975308642</v>
      </c>
      <c r="G11" s="11">
        <v>8</v>
      </c>
      <c r="H11" s="11">
        <v>7</v>
      </c>
      <c r="I11" s="11">
        <v>1</v>
      </c>
      <c r="J11" s="11"/>
      <c r="K11" s="11"/>
      <c r="L11" s="11">
        <v>30.5</v>
      </c>
      <c r="M11" s="13">
        <v>10</v>
      </c>
    </row>
    <row r="12" spans="1:13" ht="18.5" x14ac:dyDescent="0.45">
      <c r="A12" s="3">
        <v>11</v>
      </c>
      <c r="B12" s="14" t="s">
        <v>99</v>
      </c>
      <c r="C12" s="4" t="s">
        <v>94</v>
      </c>
      <c r="D12" s="11">
        <f>SUM(1496+1397+1241+1448+1307+1503+1358)</f>
        <v>9750</v>
      </c>
      <c r="E12" s="11">
        <f>SUM(100+91+84+97+105+88+85)</f>
        <v>650</v>
      </c>
      <c r="F12" s="12">
        <f>D12/E12</f>
        <v>15</v>
      </c>
      <c r="G12" s="11">
        <v>7</v>
      </c>
      <c r="H12" s="11">
        <v>2</v>
      </c>
      <c r="I12" s="11"/>
      <c r="J12" s="11"/>
      <c r="K12" s="11"/>
      <c r="L12" s="11">
        <v>16.5</v>
      </c>
      <c r="M12" s="13">
        <v>5</v>
      </c>
    </row>
    <row r="13" spans="1:13" ht="18.5" x14ac:dyDescent="0.45">
      <c r="A13" s="3">
        <v>12</v>
      </c>
      <c r="B13" s="4" t="s">
        <v>28</v>
      </c>
      <c r="C13" s="4" t="s">
        <v>62</v>
      </c>
      <c r="D13" s="11">
        <f>SUM(1327+1229+1367+1115+1503+1393+1493+1354+1419)</f>
        <v>12200</v>
      </c>
      <c r="E13" s="11">
        <f>SUM(84+79+89+81+82+97+120+107+93)</f>
        <v>832</v>
      </c>
      <c r="F13" s="12">
        <f>D13/E13</f>
        <v>14.663461538461538</v>
      </c>
      <c r="G13" s="11">
        <v>9</v>
      </c>
      <c r="H13" s="11">
        <v>4</v>
      </c>
      <c r="I13" s="11"/>
      <c r="J13" s="11"/>
      <c r="K13" s="11">
        <v>1</v>
      </c>
      <c r="L13" s="11">
        <v>23</v>
      </c>
      <c r="M13" s="13">
        <v>10</v>
      </c>
    </row>
    <row r="14" spans="1:13" ht="18.5" x14ac:dyDescent="0.45">
      <c r="A14" s="3">
        <v>13</v>
      </c>
      <c r="B14" s="4" t="s">
        <v>27</v>
      </c>
      <c r="C14" s="7" t="s">
        <v>12</v>
      </c>
      <c r="D14" s="11">
        <f>SUM(1503+1443+1324+1489+1268+1347+1405+1472)</f>
        <v>11251</v>
      </c>
      <c r="E14" s="11">
        <f>SUM(84+101+74+92+93+114+92+123)</f>
        <v>773</v>
      </c>
      <c r="F14" s="12">
        <f>D14/E14</f>
        <v>14.554980595084087</v>
      </c>
      <c r="G14" s="11">
        <v>8</v>
      </c>
      <c r="H14" s="11">
        <v>4</v>
      </c>
      <c r="I14" s="11"/>
      <c r="J14" s="11"/>
      <c r="K14" s="11"/>
      <c r="L14" s="11">
        <v>27</v>
      </c>
      <c r="M14" s="13"/>
    </row>
    <row r="15" spans="1:13" ht="18.5" x14ac:dyDescent="0.45">
      <c r="A15" s="3">
        <v>14</v>
      </c>
      <c r="B15" s="4" t="s">
        <v>38</v>
      </c>
      <c r="C15" s="4" t="s">
        <v>31</v>
      </c>
      <c r="D15" s="11">
        <f>SUM(1470+1447+1339+1247+1325+1503+1377+1314)</f>
        <v>11022</v>
      </c>
      <c r="E15" s="11">
        <f>SUM(86+78+93+80+107+94+108+114)</f>
        <v>760</v>
      </c>
      <c r="F15" s="12">
        <f>D15/E15</f>
        <v>14.502631578947369</v>
      </c>
      <c r="G15" s="11">
        <v>8</v>
      </c>
      <c r="H15" s="11">
        <v>4</v>
      </c>
      <c r="I15" s="11">
        <v>1</v>
      </c>
      <c r="J15" s="11"/>
      <c r="K15" s="11"/>
      <c r="L15" s="11">
        <v>28</v>
      </c>
      <c r="M15" s="13">
        <v>5</v>
      </c>
    </row>
    <row r="16" spans="1:13" ht="18.5" x14ac:dyDescent="0.45">
      <c r="A16" s="3">
        <v>15</v>
      </c>
      <c r="B16" s="7" t="s">
        <v>96</v>
      </c>
      <c r="C16" s="4" t="s">
        <v>73</v>
      </c>
      <c r="D16" s="11">
        <f>SUM(1497+1481)</f>
        <v>2978</v>
      </c>
      <c r="E16" s="11">
        <f>SUM(116+90)</f>
        <v>206</v>
      </c>
      <c r="F16" s="12">
        <f>D16/E16</f>
        <v>14.456310679611651</v>
      </c>
      <c r="G16" s="11">
        <v>2</v>
      </c>
      <c r="H16" s="11">
        <v>2</v>
      </c>
      <c r="I16" s="11"/>
      <c r="J16" s="11"/>
      <c r="K16" s="11"/>
      <c r="L16" s="11">
        <v>6</v>
      </c>
      <c r="M16" s="13"/>
    </row>
    <row r="17" spans="1:13" ht="18.5" x14ac:dyDescent="0.45">
      <c r="A17" s="3">
        <v>16</v>
      </c>
      <c r="B17" s="9" t="s">
        <v>60</v>
      </c>
      <c r="C17" s="4" t="s">
        <v>26</v>
      </c>
      <c r="D17" s="11">
        <f>SUM(1446+1409+953+1451+1475+1256+1487+1483)</f>
        <v>10960</v>
      </c>
      <c r="E17" s="11">
        <f>SUM(108+84+72+88+112+102+114+90)</f>
        <v>770</v>
      </c>
      <c r="F17" s="12">
        <f>D17/E17</f>
        <v>14.233766233766234</v>
      </c>
      <c r="G17" s="11">
        <v>8</v>
      </c>
      <c r="H17" s="11">
        <v>2</v>
      </c>
      <c r="I17" s="11"/>
      <c r="J17" s="11"/>
      <c r="K17" s="11"/>
      <c r="L17" s="11">
        <v>16.5</v>
      </c>
      <c r="M17" s="13">
        <v>5</v>
      </c>
    </row>
    <row r="18" spans="1:13" ht="18.5" x14ac:dyDescent="0.45">
      <c r="A18" s="3">
        <v>17</v>
      </c>
      <c r="B18" s="9" t="s">
        <v>40</v>
      </c>
      <c r="C18" s="4" t="s">
        <v>16</v>
      </c>
      <c r="D18" s="11">
        <f>SUM(1503+1298+1500+1442+1190+1418+1101)</f>
        <v>9452</v>
      </c>
      <c r="E18" s="11">
        <f>SUM(129+87+96+107+81+88+78)</f>
        <v>666</v>
      </c>
      <c r="F18" s="12">
        <f>D18/E18</f>
        <v>14.192192192192191</v>
      </c>
      <c r="G18" s="11">
        <v>7</v>
      </c>
      <c r="H18" s="11">
        <v>4</v>
      </c>
      <c r="I18" s="11"/>
      <c r="J18" s="11"/>
      <c r="K18" s="11"/>
      <c r="L18" s="11">
        <v>22</v>
      </c>
      <c r="M18" s="13"/>
    </row>
    <row r="19" spans="1:13" ht="18.5" x14ac:dyDescent="0.45">
      <c r="A19" s="3">
        <v>18</v>
      </c>
      <c r="B19" s="61" t="s">
        <v>19</v>
      </c>
      <c r="C19" s="4" t="s">
        <v>20</v>
      </c>
      <c r="D19" s="11">
        <f>SUM(1391+1503+1498+1495+1471+1464+1499+1450)</f>
        <v>11771</v>
      </c>
      <c r="E19" s="11">
        <f>SUM(108+83+99+110+96+103+113+120)</f>
        <v>832</v>
      </c>
      <c r="F19" s="12">
        <f>D19/E19</f>
        <v>14.147836538461538</v>
      </c>
      <c r="G19" s="11">
        <v>8</v>
      </c>
      <c r="H19" s="11">
        <v>5</v>
      </c>
      <c r="I19" s="11">
        <v>1</v>
      </c>
      <c r="J19" s="11"/>
      <c r="K19" s="11"/>
      <c r="L19" s="11">
        <v>27.5</v>
      </c>
      <c r="M19" s="13">
        <v>15</v>
      </c>
    </row>
    <row r="20" spans="1:13" ht="18.5" x14ac:dyDescent="0.45">
      <c r="A20" s="3">
        <v>19</v>
      </c>
      <c r="B20" s="7" t="s">
        <v>68</v>
      </c>
      <c r="C20" s="4" t="s">
        <v>73</v>
      </c>
      <c r="D20" s="11">
        <f>SUM(941+1293+1503+1385+1473+1493+1444)</f>
        <v>9532</v>
      </c>
      <c r="E20" s="11">
        <f>SUM(66+89+95+105+96+124+100)</f>
        <v>675</v>
      </c>
      <c r="F20" s="12">
        <f>D20/E20</f>
        <v>14.121481481481482</v>
      </c>
      <c r="G20" s="11">
        <v>7</v>
      </c>
      <c r="H20" s="11">
        <v>2</v>
      </c>
      <c r="I20" s="11"/>
      <c r="J20" s="11"/>
      <c r="K20" s="11"/>
      <c r="L20" s="11">
        <v>19.5</v>
      </c>
      <c r="M20" s="13"/>
    </row>
    <row r="21" spans="1:13" ht="18.5" x14ac:dyDescent="0.45">
      <c r="A21" s="3">
        <v>20</v>
      </c>
      <c r="B21" s="9" t="s">
        <v>69</v>
      </c>
      <c r="C21" s="4" t="s">
        <v>73</v>
      </c>
      <c r="D21" s="11">
        <f>SUM(1475+1487+1479+1350+1492+1494+1471)</f>
        <v>10248</v>
      </c>
      <c r="E21" s="11">
        <f>SUM(103+99+95+88+109+123+116)</f>
        <v>733</v>
      </c>
      <c r="F21" s="12">
        <f>D21/E21</f>
        <v>13.980900409276945</v>
      </c>
      <c r="G21" s="11">
        <v>7</v>
      </c>
      <c r="H21" s="11">
        <v>1</v>
      </c>
      <c r="I21" s="11"/>
      <c r="J21" s="11"/>
      <c r="K21" s="11"/>
      <c r="L21" s="11">
        <v>16</v>
      </c>
      <c r="M21" s="13"/>
    </row>
    <row r="22" spans="1:13" ht="18.5" x14ac:dyDescent="0.45">
      <c r="A22" s="3">
        <v>21</v>
      </c>
      <c r="B22" s="60" t="s">
        <v>64</v>
      </c>
      <c r="C22" s="8" t="s">
        <v>13</v>
      </c>
      <c r="D22" s="11">
        <f>SUM(1478+1503+1471+1374+1451+1332+1465+1503)</f>
        <v>11577</v>
      </c>
      <c r="E22" s="11">
        <f>SUM(110+97+109+92+104+105+97+116)</f>
        <v>830</v>
      </c>
      <c r="F22" s="12">
        <f>D22/E22</f>
        <v>13.948192771084337</v>
      </c>
      <c r="G22" s="11">
        <v>8</v>
      </c>
      <c r="H22" s="11">
        <v>4</v>
      </c>
      <c r="I22" s="11"/>
      <c r="J22" s="11"/>
      <c r="K22" s="11"/>
      <c r="L22" s="11">
        <v>26.5</v>
      </c>
      <c r="M22" s="13"/>
    </row>
    <row r="23" spans="1:13" ht="18.5" x14ac:dyDescent="0.45">
      <c r="A23" s="3">
        <v>22</v>
      </c>
      <c r="B23" s="7" t="s">
        <v>79</v>
      </c>
      <c r="C23" s="7" t="s">
        <v>76</v>
      </c>
      <c r="D23" s="11">
        <f>SUM(1084+1251+1495+1121+1494+905+1392+1230)</f>
        <v>9972</v>
      </c>
      <c r="E23" s="11">
        <f>SUM(72+90+94+78+121+66+114+81)</f>
        <v>716</v>
      </c>
      <c r="F23" s="12">
        <f>D23/E23</f>
        <v>13.927374301675977</v>
      </c>
      <c r="G23" s="11">
        <v>8</v>
      </c>
      <c r="H23" s="11">
        <v>1</v>
      </c>
      <c r="I23" s="11"/>
      <c r="J23" s="11"/>
      <c r="K23" s="11"/>
      <c r="L23" s="11">
        <v>11.5</v>
      </c>
      <c r="M23" s="13"/>
    </row>
    <row r="24" spans="1:13" ht="18.5" x14ac:dyDescent="0.45">
      <c r="A24" s="3">
        <v>23</v>
      </c>
      <c r="B24" s="10" t="s">
        <v>59</v>
      </c>
      <c r="C24" s="7" t="s">
        <v>26</v>
      </c>
      <c r="D24" s="11">
        <f>SUM(1499+1463+1002+1326+1438+1240+1222+1412)</f>
        <v>10602</v>
      </c>
      <c r="E24" s="11">
        <f>SUM(114+98+80+80+104+87+96+104)</f>
        <v>763</v>
      </c>
      <c r="F24" s="12">
        <f>D24/E24</f>
        <v>13.895150720838794</v>
      </c>
      <c r="G24" s="11">
        <v>8</v>
      </c>
      <c r="H24" s="11">
        <v>5</v>
      </c>
      <c r="I24" s="11"/>
      <c r="J24" s="11"/>
      <c r="K24" s="11"/>
      <c r="L24" s="11">
        <v>17</v>
      </c>
      <c r="M24" s="13">
        <v>10</v>
      </c>
    </row>
    <row r="25" spans="1:13" ht="18.5" x14ac:dyDescent="0.45">
      <c r="A25" s="3">
        <v>24</v>
      </c>
      <c r="B25" s="4" t="s">
        <v>22</v>
      </c>
      <c r="C25" s="4" t="s">
        <v>20</v>
      </c>
      <c r="D25" s="11">
        <f>SUM(1426+1503+1499+1270+1503+1498+1368+1487)</f>
        <v>11554</v>
      </c>
      <c r="E25" s="11">
        <f>SUM(99+116+108+87+110+129+89+97)</f>
        <v>835</v>
      </c>
      <c r="F25" s="12">
        <f>D25/E25</f>
        <v>13.837125748502993</v>
      </c>
      <c r="G25" s="11">
        <v>8</v>
      </c>
      <c r="H25" s="11">
        <v>5</v>
      </c>
      <c r="I25" s="11"/>
      <c r="J25" s="11"/>
      <c r="K25" s="11"/>
      <c r="L25" s="11">
        <v>28.5</v>
      </c>
      <c r="M25" s="13">
        <v>5</v>
      </c>
    </row>
    <row r="26" spans="1:13" ht="18.5" x14ac:dyDescent="0.45">
      <c r="A26" s="3">
        <v>25</v>
      </c>
      <c r="B26" s="15" t="s">
        <v>97</v>
      </c>
      <c r="C26" s="4" t="s">
        <v>15</v>
      </c>
      <c r="D26" s="11">
        <f>SUM(1212+1473+1483+1485)</f>
        <v>5653</v>
      </c>
      <c r="E26" s="11">
        <f>SUM(91+113+103+104)</f>
        <v>411</v>
      </c>
      <c r="F26" s="12">
        <f>D26/E26</f>
        <v>13.754257907542579</v>
      </c>
      <c r="G26" s="11">
        <v>4</v>
      </c>
      <c r="H26" s="11">
        <v>1</v>
      </c>
      <c r="I26" s="11"/>
      <c r="J26" s="11"/>
      <c r="K26" s="11"/>
      <c r="L26" s="11">
        <v>7</v>
      </c>
      <c r="M26" s="13"/>
    </row>
    <row r="27" spans="1:13" ht="18.5" x14ac:dyDescent="0.45">
      <c r="A27" s="3">
        <v>26</v>
      </c>
      <c r="B27" s="15" t="s">
        <v>14</v>
      </c>
      <c r="C27" s="7" t="s">
        <v>15</v>
      </c>
      <c r="D27" s="11">
        <f>SUM(1483+1501+1503+1497+1324+1503+1480+1320)</f>
        <v>11611</v>
      </c>
      <c r="E27" s="11">
        <f>SUM(111+96+127+125+86+117+91+102)</f>
        <v>855</v>
      </c>
      <c r="F27" s="12">
        <f>D27/E27</f>
        <v>13.580116959064327</v>
      </c>
      <c r="G27" s="11">
        <v>8</v>
      </c>
      <c r="H27" s="11">
        <v>4</v>
      </c>
      <c r="I27" s="11"/>
      <c r="J27" s="11"/>
      <c r="K27" s="11"/>
      <c r="L27" s="11">
        <v>31.5</v>
      </c>
      <c r="M27" s="13">
        <v>5</v>
      </c>
    </row>
    <row r="28" spans="1:13" ht="18.5" x14ac:dyDescent="0.45">
      <c r="A28" s="3">
        <v>27</v>
      </c>
      <c r="B28" s="10" t="s">
        <v>41</v>
      </c>
      <c r="C28" s="7" t="s">
        <v>62</v>
      </c>
      <c r="D28" s="11">
        <f>SUM(1443+1326+1271+1316+1281+1467+1494+1148+1467)</f>
        <v>12213</v>
      </c>
      <c r="E28" s="11">
        <f>SUM(102+95+98+96+99+124+108+78+104)</f>
        <v>904</v>
      </c>
      <c r="F28" s="12">
        <f>D28/E28</f>
        <v>13.50995575221239</v>
      </c>
      <c r="G28" s="11">
        <v>9</v>
      </c>
      <c r="H28" s="11">
        <v>3</v>
      </c>
      <c r="I28" s="11"/>
      <c r="J28" s="11"/>
      <c r="K28" s="11"/>
      <c r="L28" s="11">
        <v>20.5</v>
      </c>
      <c r="M28" s="13"/>
    </row>
    <row r="29" spans="1:13" ht="18.5" x14ac:dyDescent="0.45">
      <c r="A29" s="3">
        <v>28</v>
      </c>
      <c r="B29" s="10" t="s">
        <v>29</v>
      </c>
      <c r="C29" s="7" t="s">
        <v>20</v>
      </c>
      <c r="D29" s="11">
        <f>SUM(1301+1503+1503+1465+1483+1463+1503+1467)</f>
        <v>11688</v>
      </c>
      <c r="E29" s="11">
        <f>SUM(96+110+161+88+101+97+102+120)</f>
        <v>875</v>
      </c>
      <c r="F29" s="12">
        <f>D29/E29</f>
        <v>13.357714285714286</v>
      </c>
      <c r="G29" s="11">
        <v>8</v>
      </c>
      <c r="H29" s="11">
        <v>6</v>
      </c>
      <c r="I29" s="11"/>
      <c r="J29" s="11"/>
      <c r="K29" s="11"/>
      <c r="L29" s="11">
        <v>30.5</v>
      </c>
      <c r="M29" s="13"/>
    </row>
    <row r="30" spans="1:13" ht="18.5" x14ac:dyDescent="0.45">
      <c r="A30" s="3">
        <v>29</v>
      </c>
      <c r="B30" s="15" t="s">
        <v>116</v>
      </c>
      <c r="C30" s="7" t="s">
        <v>16</v>
      </c>
      <c r="D30" s="11">
        <f>SUM(1503+1394+1501+1402+1253)</f>
        <v>7053</v>
      </c>
      <c r="E30" s="11">
        <f>SUM(94+126+104+129+77)</f>
        <v>530</v>
      </c>
      <c r="F30" s="12">
        <f>D30/E30</f>
        <v>13.30754716981132</v>
      </c>
      <c r="G30" s="11">
        <v>5</v>
      </c>
      <c r="H30" s="11">
        <v>2</v>
      </c>
      <c r="I30" s="11"/>
      <c r="J30" s="11"/>
      <c r="K30" s="11"/>
      <c r="L30" s="11">
        <v>14.5</v>
      </c>
      <c r="M30" s="13"/>
    </row>
    <row r="31" spans="1:13" ht="18.5" x14ac:dyDescent="0.45">
      <c r="A31" s="3">
        <v>30</v>
      </c>
      <c r="B31" s="10" t="s">
        <v>138</v>
      </c>
      <c r="C31" s="7" t="s">
        <v>76</v>
      </c>
      <c r="D31" s="11">
        <f>SUM(1422)</f>
        <v>1422</v>
      </c>
      <c r="E31" s="11">
        <f>SUM(107)</f>
        <v>107</v>
      </c>
      <c r="F31" s="12">
        <f>D31/E31</f>
        <v>13.289719626168225</v>
      </c>
      <c r="G31" s="11">
        <v>1</v>
      </c>
      <c r="H31" s="11">
        <v>1</v>
      </c>
      <c r="I31" s="11"/>
      <c r="J31" s="11"/>
      <c r="K31" s="11"/>
      <c r="L31" s="11">
        <v>2</v>
      </c>
      <c r="M31" s="13"/>
    </row>
    <row r="32" spans="1:13" ht="18.5" x14ac:dyDescent="0.45">
      <c r="A32" s="3">
        <v>31</v>
      </c>
      <c r="B32" s="15" t="s">
        <v>24</v>
      </c>
      <c r="C32" s="7" t="s">
        <v>12</v>
      </c>
      <c r="D32" s="11">
        <f>SUM(1503+1503+1503+1398+1481+1377+1483+1469)</f>
        <v>11717</v>
      </c>
      <c r="E32" s="11">
        <f>SUM(108+98+101+143+135+88+103+109)</f>
        <v>885</v>
      </c>
      <c r="F32" s="12">
        <f>D32/E32</f>
        <v>13.23954802259887</v>
      </c>
      <c r="G32" s="11">
        <v>8</v>
      </c>
      <c r="H32" s="11">
        <v>6</v>
      </c>
      <c r="I32" s="11"/>
      <c r="J32" s="11"/>
      <c r="K32" s="11"/>
      <c r="L32" s="11">
        <v>32.5</v>
      </c>
      <c r="M32" s="13"/>
    </row>
    <row r="33" spans="1:13" ht="18.5" x14ac:dyDescent="0.45">
      <c r="A33" s="3">
        <v>32</v>
      </c>
      <c r="B33" s="59" t="s">
        <v>35</v>
      </c>
      <c r="C33" s="7" t="s">
        <v>62</v>
      </c>
      <c r="D33" s="11">
        <f>SUM(1480+1242+1379+1465+1503+1501+1427+1411+1503)</f>
        <v>12911</v>
      </c>
      <c r="E33" s="11">
        <f>SUM(111+87+100+128+114+110+103+102+124)</f>
        <v>979</v>
      </c>
      <c r="F33" s="12">
        <f>D33/E33</f>
        <v>13.187946884576098</v>
      </c>
      <c r="G33" s="11">
        <v>9</v>
      </c>
      <c r="H33" s="11">
        <v>5</v>
      </c>
      <c r="I33" s="11"/>
      <c r="J33" s="11"/>
      <c r="K33" s="11"/>
      <c r="L33" s="11">
        <v>25.5</v>
      </c>
      <c r="M33" s="13"/>
    </row>
    <row r="34" spans="1:13" ht="18.5" x14ac:dyDescent="0.45">
      <c r="A34" s="3">
        <v>33</v>
      </c>
      <c r="B34" s="4" t="s">
        <v>75</v>
      </c>
      <c r="C34" s="7" t="s">
        <v>73</v>
      </c>
      <c r="D34" s="11">
        <f>SUM(1499+1275+1131+1305+1499+1407)</f>
        <v>8116</v>
      </c>
      <c r="E34" s="11">
        <f>SUM(123+99+96+101+99+104)</f>
        <v>622</v>
      </c>
      <c r="F34" s="12">
        <f>D34/E34</f>
        <v>13.04823151125402</v>
      </c>
      <c r="G34" s="11">
        <v>6</v>
      </c>
      <c r="H34" s="11">
        <v>4</v>
      </c>
      <c r="I34" s="11"/>
      <c r="J34" s="11"/>
      <c r="K34" s="11"/>
      <c r="L34" s="11">
        <v>14</v>
      </c>
      <c r="M34" s="13"/>
    </row>
    <row r="35" spans="1:13" ht="18.5" x14ac:dyDescent="0.45">
      <c r="A35" s="3">
        <v>34</v>
      </c>
      <c r="B35" s="4" t="s">
        <v>23</v>
      </c>
      <c r="C35" s="4" t="s">
        <v>13</v>
      </c>
      <c r="D35" s="11">
        <f>SUM(1503+1499+1483+1483+1503+1497+1487)</f>
        <v>10455</v>
      </c>
      <c r="E35" s="11">
        <f>SUM(100+99+110+105+132+140+116)</f>
        <v>802</v>
      </c>
      <c r="F35" s="12">
        <f>D35/E35</f>
        <v>13.036159600997506</v>
      </c>
      <c r="G35" s="11">
        <v>7</v>
      </c>
      <c r="H35" s="11">
        <v>7</v>
      </c>
      <c r="I35" s="11"/>
      <c r="J35" s="11"/>
      <c r="K35" s="11"/>
      <c r="L35" s="11">
        <v>27</v>
      </c>
      <c r="M35" s="13"/>
    </row>
    <row r="36" spans="1:13" ht="18.5" x14ac:dyDescent="0.45">
      <c r="A36" s="3">
        <v>35</v>
      </c>
      <c r="B36" s="14" t="s">
        <v>30</v>
      </c>
      <c r="C36" s="4" t="s">
        <v>31</v>
      </c>
      <c r="D36" s="11">
        <f>SUM(1369+1280+1318+1495+1487+1333+1503+1491)</f>
        <v>11276</v>
      </c>
      <c r="E36" s="11">
        <f>SUM(92+92+105+111+99+126+121+120)</f>
        <v>866</v>
      </c>
      <c r="F36" s="12">
        <f>D36/E36</f>
        <v>13.020785219399539</v>
      </c>
      <c r="G36" s="11">
        <v>8</v>
      </c>
      <c r="H36" s="11">
        <v>5</v>
      </c>
      <c r="I36" s="11"/>
      <c r="J36" s="11"/>
      <c r="K36" s="11"/>
      <c r="L36" s="11">
        <v>28.5</v>
      </c>
      <c r="M36" s="13"/>
    </row>
    <row r="37" spans="1:13" ht="18.5" x14ac:dyDescent="0.45">
      <c r="A37" s="3">
        <v>36</v>
      </c>
      <c r="B37" s="4" t="s">
        <v>71</v>
      </c>
      <c r="C37" s="4" t="s">
        <v>76</v>
      </c>
      <c r="D37" s="11">
        <f>SUM(1501+1174+1489+1503+1435+1376+1397)</f>
        <v>9875</v>
      </c>
      <c r="E37" s="11">
        <f>SUM(156+81+108+103+125+84+102)</f>
        <v>759</v>
      </c>
      <c r="F37" s="12">
        <f>D37/E37</f>
        <v>13.010540184453228</v>
      </c>
      <c r="G37" s="11">
        <v>7</v>
      </c>
      <c r="H37" s="11">
        <v>4</v>
      </c>
      <c r="I37" s="11"/>
      <c r="J37" s="11"/>
      <c r="K37" s="11"/>
      <c r="L37" s="11">
        <v>19.5</v>
      </c>
      <c r="M37" s="13"/>
    </row>
    <row r="38" spans="1:13" ht="18.5" x14ac:dyDescent="0.45">
      <c r="A38" s="3">
        <v>37</v>
      </c>
      <c r="B38" s="4" t="s">
        <v>74</v>
      </c>
      <c r="C38" s="4" t="s">
        <v>12</v>
      </c>
      <c r="D38" s="11">
        <f>SUM(1479+1459+1501+1503+1448+1257+1418+1475)</f>
        <v>11540</v>
      </c>
      <c r="E38" s="11">
        <f>SUM(110+116+147+118+106+99+86+110)</f>
        <v>892</v>
      </c>
      <c r="F38" s="12">
        <f>D38/E38</f>
        <v>12.937219730941704</v>
      </c>
      <c r="G38" s="11">
        <v>8</v>
      </c>
      <c r="H38" s="11">
        <v>4</v>
      </c>
      <c r="I38" s="11"/>
      <c r="J38" s="11"/>
      <c r="K38" s="11"/>
      <c r="L38" s="11">
        <v>28.5</v>
      </c>
      <c r="M38" s="13"/>
    </row>
    <row r="39" spans="1:13" ht="18.5" x14ac:dyDescent="0.45">
      <c r="A39" s="3">
        <v>38</v>
      </c>
      <c r="B39" s="4" t="s">
        <v>67</v>
      </c>
      <c r="C39" s="4" t="s">
        <v>16</v>
      </c>
      <c r="D39" s="11">
        <f>SUM(1501+1503+1225+1495+1420+1493+1289+1499)</f>
        <v>11425</v>
      </c>
      <c r="E39" s="11">
        <f>SUM(148+104+75+129+108+136+99+102)</f>
        <v>901</v>
      </c>
      <c r="F39" s="12">
        <f>D39/E39</f>
        <v>12.680355160932297</v>
      </c>
      <c r="G39" s="11">
        <v>8</v>
      </c>
      <c r="H39" s="11">
        <v>3</v>
      </c>
      <c r="I39" s="11"/>
      <c r="J39" s="11"/>
      <c r="K39" s="11"/>
      <c r="L39" s="11">
        <v>17.5</v>
      </c>
      <c r="M39" s="13"/>
    </row>
    <row r="40" spans="1:13" ht="18.5" x14ac:dyDescent="0.45">
      <c r="A40" s="3">
        <v>39</v>
      </c>
      <c r="B40" s="4" t="s">
        <v>98</v>
      </c>
      <c r="C40" s="4" t="s">
        <v>94</v>
      </c>
      <c r="D40" s="11">
        <f>SUM(1457+1241+1440+1384+1205+1503+1501)</f>
        <v>9731</v>
      </c>
      <c r="E40" s="11">
        <f>SUM(99+99+114+102+82+143+129)</f>
        <v>768</v>
      </c>
      <c r="F40" s="12">
        <f>D40/E40</f>
        <v>12.670572916666666</v>
      </c>
      <c r="G40" s="11">
        <v>7</v>
      </c>
      <c r="H40" s="11">
        <v>2</v>
      </c>
      <c r="I40" s="11"/>
      <c r="J40" s="11"/>
      <c r="K40" s="11"/>
      <c r="L40" s="11">
        <v>20</v>
      </c>
      <c r="M40" s="13"/>
    </row>
    <row r="41" spans="1:13" ht="18.5" x14ac:dyDescent="0.45">
      <c r="A41" s="3">
        <v>40</v>
      </c>
      <c r="B41" s="14" t="s">
        <v>95</v>
      </c>
      <c r="C41" s="4" t="s">
        <v>94</v>
      </c>
      <c r="D41" s="11">
        <f>SUM(1455+1482+1452+1434+1427+1489)</f>
        <v>8739</v>
      </c>
      <c r="E41" s="11">
        <f>SUM(129+147+107+101+114+97)</f>
        <v>695</v>
      </c>
      <c r="F41" s="12">
        <f>D41/E41</f>
        <v>12.574100719424461</v>
      </c>
      <c r="G41" s="11">
        <v>6</v>
      </c>
      <c r="H41" s="11">
        <v>1</v>
      </c>
      <c r="I41" s="11"/>
      <c r="J41" s="11"/>
      <c r="K41" s="11"/>
      <c r="L41" s="11">
        <v>12</v>
      </c>
      <c r="M41" s="13"/>
    </row>
    <row r="42" spans="1:13" ht="18.5" x14ac:dyDescent="0.45">
      <c r="A42" s="3">
        <v>41</v>
      </c>
      <c r="B42" s="14" t="s">
        <v>33</v>
      </c>
      <c r="C42" s="7" t="s">
        <v>26</v>
      </c>
      <c r="D42" s="11">
        <f>SUM(1311+1257+1471+1499+1355+1408+1471+1439)</f>
        <v>11211</v>
      </c>
      <c r="E42" s="11">
        <f>SUM(84+98+123+139+105+124+128+103)</f>
        <v>904</v>
      </c>
      <c r="F42" s="12">
        <f>D42/E42</f>
        <v>12.401548672566372</v>
      </c>
      <c r="G42" s="11">
        <v>8</v>
      </c>
      <c r="H42" s="11">
        <v>2</v>
      </c>
      <c r="I42" s="11"/>
      <c r="J42" s="11"/>
      <c r="K42" s="11"/>
      <c r="L42" s="11">
        <v>16.5</v>
      </c>
      <c r="M42" s="13">
        <v>5</v>
      </c>
    </row>
    <row r="43" spans="1:13" ht="18.5" x14ac:dyDescent="0.45">
      <c r="A43" s="3">
        <v>42</v>
      </c>
      <c r="B43" s="14" t="s">
        <v>61</v>
      </c>
      <c r="C43" s="4" t="s">
        <v>26</v>
      </c>
      <c r="D43" s="11">
        <f>SUM(1332+1457+1481+1441+1493+1492+1503)</f>
        <v>10199</v>
      </c>
      <c r="E43" s="11">
        <f>SUM(102+131+110+117+131+134+102)</f>
        <v>827</v>
      </c>
      <c r="F43" s="12">
        <f>D43/E43</f>
        <v>12.332527206771463</v>
      </c>
      <c r="G43" s="11">
        <v>7</v>
      </c>
      <c r="H43" s="11">
        <v>2</v>
      </c>
      <c r="I43" s="11"/>
      <c r="J43" s="11"/>
      <c r="K43" s="11"/>
      <c r="L43" s="11">
        <v>14.5</v>
      </c>
      <c r="M43" s="13"/>
    </row>
    <row r="44" spans="1:13" ht="18.5" x14ac:dyDescent="0.45">
      <c r="A44" s="3">
        <v>43</v>
      </c>
      <c r="B44" s="14" t="s">
        <v>70</v>
      </c>
      <c r="C44" s="4" t="s">
        <v>73</v>
      </c>
      <c r="D44" s="11">
        <f>SUM(1359+1497+1412+1293+1503+1499)</f>
        <v>8563</v>
      </c>
      <c r="E44" s="11">
        <f>SUM(110+135+87+97+131+137)</f>
        <v>697</v>
      </c>
      <c r="F44" s="12">
        <f>D44/E44</f>
        <v>12.285509325681492</v>
      </c>
      <c r="G44" s="11">
        <v>6</v>
      </c>
      <c r="H44" s="11">
        <v>3</v>
      </c>
      <c r="I44" s="11"/>
      <c r="J44" s="11"/>
      <c r="K44" s="11"/>
      <c r="L44" s="11">
        <v>17.5</v>
      </c>
      <c r="M44" s="13"/>
    </row>
    <row r="45" spans="1:13" ht="18.5" x14ac:dyDescent="0.45">
      <c r="A45" s="3">
        <v>44</v>
      </c>
      <c r="B45" s="4" t="s">
        <v>115</v>
      </c>
      <c r="C45" s="4" t="s">
        <v>26</v>
      </c>
      <c r="D45" s="11">
        <f>SUM(1014)</f>
        <v>1014</v>
      </c>
      <c r="E45" s="11">
        <f>SUM(87)</f>
        <v>87</v>
      </c>
      <c r="F45" s="12">
        <f>D45/E45</f>
        <v>11.655172413793103</v>
      </c>
      <c r="G45" s="11">
        <v>1</v>
      </c>
      <c r="H45" s="11"/>
      <c r="I45" s="11"/>
      <c r="J45" s="11"/>
      <c r="K45" s="11"/>
      <c r="L45" s="11">
        <v>0.5</v>
      </c>
      <c r="M45" s="13"/>
    </row>
    <row r="46" spans="1:13" ht="18.5" x14ac:dyDescent="0.45">
      <c r="A46" s="3">
        <v>45</v>
      </c>
      <c r="B46" s="14" t="s">
        <v>137</v>
      </c>
      <c r="C46" s="4" t="s">
        <v>13</v>
      </c>
      <c r="D46" s="11">
        <f>SUM(1319)</f>
        <v>1319</v>
      </c>
      <c r="E46" s="11">
        <f>SUM(114)</f>
        <v>114</v>
      </c>
      <c r="F46" s="12">
        <f>D46/E46</f>
        <v>11.570175438596491</v>
      </c>
      <c r="G46" s="11">
        <v>1</v>
      </c>
      <c r="H46" s="11">
        <v>1</v>
      </c>
      <c r="I46" s="11"/>
      <c r="J46" s="11"/>
      <c r="K46" s="11"/>
      <c r="L46" s="11">
        <v>2</v>
      </c>
      <c r="M46" s="13"/>
    </row>
    <row r="47" spans="1:13" ht="18.5" x14ac:dyDescent="0.45">
      <c r="A47" s="3">
        <v>46</v>
      </c>
      <c r="B47" s="14" t="s">
        <v>37</v>
      </c>
      <c r="C47" s="4" t="s">
        <v>76</v>
      </c>
      <c r="D47" s="11">
        <f>SUM(1487+1270+1281+1456+1315+1438+1202+1400)</f>
        <v>10849</v>
      </c>
      <c r="E47" s="11">
        <f>SUM(142+105+93+150+105+147+96+108)</f>
        <v>946</v>
      </c>
      <c r="F47" s="12">
        <f>D47/E47</f>
        <v>11.468287526427062</v>
      </c>
      <c r="G47" s="11">
        <v>8</v>
      </c>
      <c r="H47" s="11"/>
      <c r="I47" s="11"/>
      <c r="J47" s="11"/>
      <c r="K47" s="11"/>
      <c r="L47" s="11">
        <v>11</v>
      </c>
      <c r="M47" s="13"/>
    </row>
    <row r="48" spans="1:13" ht="18.5" x14ac:dyDescent="0.45">
      <c r="A48" s="3">
        <v>47</v>
      </c>
      <c r="B48" s="4" t="s">
        <v>122</v>
      </c>
      <c r="C48" s="4" t="s">
        <v>26</v>
      </c>
      <c r="D48" s="11">
        <f>SUM(1284+1031+1383)</f>
        <v>3698</v>
      </c>
      <c r="E48" s="11">
        <f>SUM(99+98+126)</f>
        <v>323</v>
      </c>
      <c r="F48" s="12">
        <f>D48/E48</f>
        <v>11.448916408668731</v>
      </c>
      <c r="G48" s="11">
        <v>3</v>
      </c>
      <c r="H48" s="11"/>
      <c r="I48" s="11"/>
      <c r="J48" s="11"/>
      <c r="K48" s="11"/>
      <c r="L48" s="11">
        <v>5.5</v>
      </c>
      <c r="M48" s="13"/>
    </row>
    <row r="49" spans="1:18" ht="18.5" x14ac:dyDescent="0.45">
      <c r="A49" s="3">
        <v>48</v>
      </c>
      <c r="B49" s="14" t="s">
        <v>36</v>
      </c>
      <c r="C49" s="4" t="s">
        <v>76</v>
      </c>
      <c r="D49" s="11">
        <f>SUM(1372+1316+996+1229+1440+1483+1487+1477)</f>
        <v>10800</v>
      </c>
      <c r="E49" s="11">
        <f>SUM(123+111+87+111+126+138+126+122)</f>
        <v>944</v>
      </c>
      <c r="F49" s="12">
        <f>D49/E49</f>
        <v>11.440677966101696</v>
      </c>
      <c r="G49" s="11">
        <v>8</v>
      </c>
      <c r="H49" s="11">
        <v>1</v>
      </c>
      <c r="I49" s="11"/>
      <c r="J49" s="11"/>
      <c r="K49" s="11"/>
      <c r="L49" s="11">
        <v>14</v>
      </c>
      <c r="M49" s="13"/>
    </row>
    <row r="50" spans="1:18" ht="18.5" x14ac:dyDescent="0.45">
      <c r="A50" s="3">
        <v>49</v>
      </c>
      <c r="B50" s="4" t="s">
        <v>18</v>
      </c>
      <c r="C50" s="4" t="s">
        <v>15</v>
      </c>
      <c r="D50" s="11">
        <f>SUM(1267+1491+1493+1493)</f>
        <v>5744</v>
      </c>
      <c r="E50" s="11">
        <f>SUM(121+139+133+112)</f>
        <v>505</v>
      </c>
      <c r="F50" s="12">
        <f>D50/E50</f>
        <v>11.374257425742574</v>
      </c>
      <c r="G50" s="11">
        <v>4</v>
      </c>
      <c r="H50" s="11">
        <v>3</v>
      </c>
      <c r="I50" s="11"/>
      <c r="J50" s="11"/>
      <c r="K50" s="11"/>
      <c r="L50" s="11">
        <v>20</v>
      </c>
      <c r="M50" s="13"/>
    </row>
    <row r="51" spans="1:18" ht="18.5" x14ac:dyDescent="0.45">
      <c r="A51" s="3">
        <v>50</v>
      </c>
      <c r="B51" s="4" t="s">
        <v>34</v>
      </c>
      <c r="C51" s="4" t="s">
        <v>62</v>
      </c>
      <c r="D51" s="11">
        <f>SUM(1357+1211+1501+1381+1328+1468)</f>
        <v>8246</v>
      </c>
      <c r="E51" s="11">
        <f>SUM(105+90+149+138+114+131)</f>
        <v>727</v>
      </c>
      <c r="F51" s="12">
        <f>D51/E51</f>
        <v>11.342503438789546</v>
      </c>
      <c r="G51" s="11">
        <v>6</v>
      </c>
      <c r="H51" s="11">
        <v>1</v>
      </c>
      <c r="I51" s="11"/>
      <c r="J51" s="11"/>
      <c r="K51" s="11"/>
      <c r="L51" s="11">
        <v>10</v>
      </c>
      <c r="M51" s="13">
        <v>5</v>
      </c>
    </row>
    <row r="52" spans="1:18" ht="18.5" x14ac:dyDescent="0.45">
      <c r="A52" s="3">
        <v>51</v>
      </c>
      <c r="B52" s="14" t="s">
        <v>136</v>
      </c>
      <c r="C52" s="4" t="s">
        <v>26</v>
      </c>
      <c r="D52" s="11">
        <f>SUM(1503)</f>
        <v>1503</v>
      </c>
      <c r="E52" s="11">
        <f>SUM(135)</f>
        <v>135</v>
      </c>
      <c r="F52" s="12">
        <f>D52/E52</f>
        <v>11.133333333333333</v>
      </c>
      <c r="G52" s="11">
        <v>1</v>
      </c>
      <c r="H52" s="11">
        <v>1</v>
      </c>
      <c r="I52" s="11"/>
      <c r="J52" s="11"/>
      <c r="K52" s="11"/>
      <c r="L52" s="11">
        <v>4</v>
      </c>
      <c r="M52" s="13"/>
    </row>
    <row r="53" spans="1:18" ht="18.5" x14ac:dyDescent="0.45">
      <c r="A53" s="3">
        <v>52</v>
      </c>
      <c r="B53" s="14" t="s">
        <v>65</v>
      </c>
      <c r="C53" s="4" t="s">
        <v>16</v>
      </c>
      <c r="D53" s="11">
        <f>SUM(1337+1489+1467+1477+1431)</f>
        <v>7201</v>
      </c>
      <c r="E53" s="11">
        <f>SUM(150+138+111+139+109)</f>
        <v>647</v>
      </c>
      <c r="F53" s="12">
        <f>D53/E53</f>
        <v>11.129829984544049</v>
      </c>
      <c r="G53" s="11">
        <v>5</v>
      </c>
      <c r="H53" s="11">
        <v>1</v>
      </c>
      <c r="I53" s="11"/>
      <c r="J53" s="11"/>
      <c r="K53" s="11"/>
      <c r="L53" s="11">
        <v>12</v>
      </c>
      <c r="M53" s="13">
        <v>5</v>
      </c>
    </row>
    <row r="54" spans="1:18" ht="18.5" x14ac:dyDescent="0.45">
      <c r="A54" s="3">
        <v>53</v>
      </c>
      <c r="B54" s="4" t="s">
        <v>121</v>
      </c>
      <c r="C54" s="4" t="s">
        <v>94</v>
      </c>
      <c r="D54" s="11">
        <f>SUM(1419+1464)</f>
        <v>2883</v>
      </c>
      <c r="E54" s="11">
        <f>SUM(132+136)</f>
        <v>268</v>
      </c>
      <c r="F54" s="12">
        <f>D54/E54</f>
        <v>10.757462686567164</v>
      </c>
      <c r="G54" s="11">
        <v>2</v>
      </c>
      <c r="H54" s="11"/>
      <c r="I54" s="11"/>
      <c r="J54" s="11"/>
      <c r="K54" s="11"/>
      <c r="L54" s="11">
        <v>3.5</v>
      </c>
      <c r="M54" s="13">
        <v>5</v>
      </c>
    </row>
    <row r="55" spans="1:18" ht="18.5" x14ac:dyDescent="0.45">
      <c r="A55" s="3">
        <v>54</v>
      </c>
      <c r="B55" s="14" t="s">
        <v>93</v>
      </c>
      <c r="C55" s="4" t="s">
        <v>62</v>
      </c>
      <c r="D55" s="11">
        <f>SUM(1476+1440+1478)</f>
        <v>4394</v>
      </c>
      <c r="E55" s="11">
        <f>SUM(156+138+139)</f>
        <v>433</v>
      </c>
      <c r="F55" s="12">
        <f>D55/E55</f>
        <v>10.147806004618937</v>
      </c>
      <c r="G55" s="11">
        <v>3</v>
      </c>
      <c r="H55" s="11"/>
      <c r="I55" s="11"/>
      <c r="J55" s="11"/>
      <c r="K55" s="11"/>
      <c r="L55" s="11">
        <v>3</v>
      </c>
      <c r="M55" s="13"/>
    </row>
    <row r="56" spans="1:18" ht="18.5" x14ac:dyDescent="0.45">
      <c r="A56" s="3">
        <v>55</v>
      </c>
      <c r="B56" s="14" t="s">
        <v>127</v>
      </c>
      <c r="C56" s="4" t="s">
        <v>26</v>
      </c>
      <c r="D56" s="11"/>
      <c r="E56" s="11"/>
      <c r="F56" s="12"/>
      <c r="G56" s="11"/>
      <c r="H56" s="11"/>
      <c r="I56" s="11"/>
      <c r="J56" s="11"/>
      <c r="K56" s="11"/>
      <c r="L56" s="11">
        <v>0.5</v>
      </c>
      <c r="M56" s="13"/>
    </row>
    <row r="57" spans="1:18" ht="17.25" customHeight="1" thickBot="1" x14ac:dyDescent="0.5">
      <c r="A57" s="5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</row>
    <row r="58" spans="1:18" ht="19.5" customHeight="1" thickBot="1" x14ac:dyDescent="0.5">
      <c r="A58" s="5"/>
      <c r="B58" s="33" t="s">
        <v>135</v>
      </c>
      <c r="C58" s="58" t="s">
        <v>42</v>
      </c>
      <c r="D58" s="57" t="s">
        <v>43</v>
      </c>
      <c r="E58" s="57" t="s">
        <v>87</v>
      </c>
      <c r="F58" s="56" t="s">
        <v>44</v>
      </c>
      <c r="G58" s="55" t="s">
        <v>86</v>
      </c>
      <c r="I58" s="38" t="s">
        <v>45</v>
      </c>
      <c r="J58" s="39"/>
      <c r="K58" s="39"/>
      <c r="L58" s="39"/>
      <c r="M58" s="39"/>
      <c r="N58" s="39"/>
      <c r="O58" s="39"/>
      <c r="P58" s="39"/>
      <c r="Q58" s="39"/>
      <c r="R58" s="40"/>
    </row>
    <row r="59" spans="1:18" ht="19" thickBot="1" x14ac:dyDescent="0.5">
      <c r="A59" s="5"/>
      <c r="B59" s="50"/>
      <c r="C59" s="17" t="s">
        <v>47</v>
      </c>
      <c r="D59" s="22">
        <v>8</v>
      </c>
      <c r="E59" s="22">
        <v>0</v>
      </c>
      <c r="F59" s="22">
        <v>130</v>
      </c>
      <c r="G59" s="28">
        <v>7</v>
      </c>
      <c r="I59" s="43" t="s">
        <v>46</v>
      </c>
      <c r="J59" s="44"/>
      <c r="K59" s="44"/>
      <c r="L59" s="44"/>
      <c r="M59" s="44"/>
      <c r="N59" s="41" t="s">
        <v>113</v>
      </c>
      <c r="O59" s="41"/>
      <c r="P59" s="41"/>
      <c r="Q59" s="41"/>
      <c r="R59" s="42"/>
    </row>
    <row r="60" spans="1:18" ht="18.5" x14ac:dyDescent="0.45">
      <c r="A60" s="5"/>
      <c r="B60" s="50"/>
      <c r="C60" s="54" t="s">
        <v>52</v>
      </c>
      <c r="D60" s="53">
        <v>6</v>
      </c>
      <c r="E60" s="52">
        <v>2</v>
      </c>
      <c r="F60" s="52">
        <v>119</v>
      </c>
      <c r="G60" s="51">
        <v>5</v>
      </c>
      <c r="I60" s="45" t="s">
        <v>48</v>
      </c>
      <c r="J60" s="46"/>
      <c r="K60" s="46"/>
      <c r="L60" s="46"/>
      <c r="M60" s="46"/>
      <c r="N60" s="36" t="s">
        <v>134</v>
      </c>
      <c r="O60" s="36"/>
      <c r="P60" s="36"/>
      <c r="Q60" s="36"/>
      <c r="R60" s="37"/>
    </row>
    <row r="61" spans="1:18" ht="18.5" x14ac:dyDescent="0.45">
      <c r="A61" s="5"/>
      <c r="B61" s="50"/>
      <c r="C61" s="17" t="s">
        <v>49</v>
      </c>
      <c r="D61" s="22">
        <v>6</v>
      </c>
      <c r="E61" s="11">
        <v>2</v>
      </c>
      <c r="F61" s="11">
        <v>118</v>
      </c>
      <c r="G61" s="28">
        <v>6</v>
      </c>
      <c r="I61" s="45" t="s">
        <v>50</v>
      </c>
      <c r="J61" s="46"/>
      <c r="K61" s="46"/>
      <c r="L61" s="46"/>
      <c r="M61" s="46"/>
      <c r="N61" s="36" t="s">
        <v>133</v>
      </c>
      <c r="O61" s="36"/>
      <c r="P61" s="36"/>
      <c r="Q61" s="36"/>
      <c r="R61" s="37"/>
    </row>
    <row r="62" spans="1:18" ht="18.5" x14ac:dyDescent="0.45">
      <c r="A62" s="6"/>
      <c r="B62" s="50"/>
      <c r="C62" s="17" t="s">
        <v>57</v>
      </c>
      <c r="D62" s="22">
        <v>6</v>
      </c>
      <c r="E62" s="11">
        <v>2</v>
      </c>
      <c r="F62" s="11">
        <v>118</v>
      </c>
      <c r="G62" s="28">
        <v>9</v>
      </c>
      <c r="I62" s="45" t="s">
        <v>51</v>
      </c>
      <c r="J62" s="46"/>
      <c r="K62" s="46"/>
      <c r="L62" s="46"/>
      <c r="M62" s="46"/>
      <c r="N62" s="36" t="s">
        <v>132</v>
      </c>
      <c r="O62" s="36"/>
      <c r="P62" s="36"/>
      <c r="Q62" s="36"/>
      <c r="R62" s="37"/>
    </row>
    <row r="63" spans="1:18" ht="18" customHeight="1" x14ac:dyDescent="0.45">
      <c r="A63" s="6"/>
      <c r="B63" s="50"/>
      <c r="C63" s="17" t="s">
        <v>56</v>
      </c>
      <c r="D63" s="22">
        <v>5</v>
      </c>
      <c r="E63" s="11">
        <v>3</v>
      </c>
      <c r="F63" s="11">
        <v>112</v>
      </c>
      <c r="G63" s="28">
        <v>3</v>
      </c>
      <c r="I63" s="45" t="s">
        <v>53</v>
      </c>
      <c r="J63" s="46"/>
      <c r="K63" s="46"/>
      <c r="L63" s="46"/>
      <c r="M63" s="46"/>
      <c r="N63" s="36" t="s">
        <v>106</v>
      </c>
      <c r="O63" s="36"/>
      <c r="P63" s="36"/>
      <c r="Q63" s="36"/>
      <c r="R63" s="37"/>
    </row>
    <row r="64" spans="1:18" ht="18" customHeight="1" thickBot="1" x14ac:dyDescent="0.5">
      <c r="A64" s="6"/>
      <c r="B64" s="50"/>
      <c r="C64" s="17" t="s">
        <v>55</v>
      </c>
      <c r="D64" s="22">
        <v>4</v>
      </c>
      <c r="E64" s="22">
        <v>4</v>
      </c>
      <c r="F64" s="22">
        <v>94</v>
      </c>
      <c r="G64" s="28">
        <v>2</v>
      </c>
      <c r="I64" s="31" t="s">
        <v>54</v>
      </c>
      <c r="J64" s="32"/>
      <c r="K64" s="32"/>
      <c r="L64" s="32"/>
      <c r="M64" s="32"/>
      <c r="N64" s="36" t="s">
        <v>89</v>
      </c>
      <c r="O64" s="36"/>
      <c r="P64" s="36"/>
      <c r="Q64" s="36"/>
      <c r="R64" s="37"/>
    </row>
    <row r="65" spans="1:9" ht="18.5" x14ac:dyDescent="0.45">
      <c r="A65" s="6"/>
      <c r="B65" s="50"/>
      <c r="C65" s="17" t="s">
        <v>88</v>
      </c>
      <c r="D65" s="23">
        <v>4</v>
      </c>
      <c r="E65" s="23">
        <v>4</v>
      </c>
      <c r="F65" s="23">
        <v>88</v>
      </c>
      <c r="G65" s="28">
        <v>1</v>
      </c>
      <c r="H65" s="6"/>
      <c r="I65" s="6"/>
    </row>
    <row r="66" spans="1:9" ht="18.5" x14ac:dyDescent="0.45">
      <c r="A66" s="6"/>
      <c r="B66" s="50"/>
      <c r="C66" s="17" t="s">
        <v>63</v>
      </c>
      <c r="D66" s="23">
        <v>2</v>
      </c>
      <c r="E66" s="23">
        <v>7</v>
      </c>
      <c r="F66" s="23">
        <v>82</v>
      </c>
      <c r="G66" s="28">
        <v>10</v>
      </c>
      <c r="H66" s="6"/>
    </row>
    <row r="67" spans="1:9" ht="18.5" x14ac:dyDescent="0.45">
      <c r="B67" s="50"/>
      <c r="C67" s="17" t="s">
        <v>66</v>
      </c>
      <c r="D67" s="22">
        <v>2</v>
      </c>
      <c r="E67" s="11">
        <v>6</v>
      </c>
      <c r="F67" s="11">
        <v>73</v>
      </c>
      <c r="G67" s="28">
        <v>8</v>
      </c>
    </row>
    <row r="68" spans="1:9" ht="18.5" x14ac:dyDescent="0.45">
      <c r="B68" s="50"/>
      <c r="C68" s="18" t="s">
        <v>58</v>
      </c>
      <c r="D68" s="23">
        <v>1</v>
      </c>
      <c r="E68" s="23">
        <v>8</v>
      </c>
      <c r="F68" s="23">
        <v>76</v>
      </c>
      <c r="G68" s="28">
        <v>11</v>
      </c>
    </row>
    <row r="69" spans="1:9" ht="19" thickBot="1" x14ac:dyDescent="0.5">
      <c r="B69" s="49"/>
      <c r="C69" s="48" t="s">
        <v>77</v>
      </c>
      <c r="D69" s="47">
        <v>1</v>
      </c>
      <c r="E69" s="47">
        <v>7</v>
      </c>
      <c r="F69" s="47">
        <v>58</v>
      </c>
      <c r="G69" s="29">
        <v>4</v>
      </c>
    </row>
  </sheetData>
  <mergeCells count="14">
    <mergeCell ref="I60:M60"/>
    <mergeCell ref="I61:M61"/>
    <mergeCell ref="I62:M62"/>
    <mergeCell ref="I63:M63"/>
    <mergeCell ref="I64:M64"/>
    <mergeCell ref="B58:B69"/>
    <mergeCell ref="N64:R64"/>
    <mergeCell ref="I58:R58"/>
    <mergeCell ref="N59:R59"/>
    <mergeCell ref="N60:R60"/>
    <mergeCell ref="N61:R61"/>
    <mergeCell ref="N62:R62"/>
    <mergeCell ref="N63:R63"/>
    <mergeCell ref="I59:M59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a2d1f95f-8510-4424-8ae1-5c596bdbd578}" enabled="0" method="" siteId="{a2d1f95f-8510-4424-8ae1-5c596bdbd578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Week 1</vt:lpstr>
      <vt:lpstr>Week 2</vt:lpstr>
      <vt:lpstr>Week 3</vt:lpstr>
      <vt:lpstr>Week 4</vt:lpstr>
      <vt:lpstr>Week 5</vt:lpstr>
      <vt:lpstr>Week 6</vt:lpstr>
      <vt:lpstr>Week 7</vt:lpstr>
      <vt:lpstr>Week 8</vt:lpstr>
      <vt:lpstr>Week 9</vt:lpstr>
      <vt:lpstr>Week 10</vt:lpstr>
      <vt:lpstr>Week 11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Powers, Sam</dc:creator>
  <cp:keywords/>
  <dc:description/>
  <cp:lastModifiedBy>Mellie, Gabriella</cp:lastModifiedBy>
  <cp:revision/>
  <dcterms:created xsi:type="dcterms:W3CDTF">2023-09-18T23:48:25Z</dcterms:created>
  <dcterms:modified xsi:type="dcterms:W3CDTF">2026-05-11T15:04:26Z</dcterms:modified>
  <cp:category/>
  <cp:contentStatus/>
</cp:coreProperties>
</file>