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liga1\Desktop\Personal\Darts\"/>
    </mc:Choice>
  </mc:AlternateContent>
  <bookViews>
    <workbookView xWindow="0" yWindow="0" windowWidth="20490" windowHeight="7455"/>
  </bookViews>
  <sheets>
    <sheet name="Week 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8" i="1"/>
  <c r="D8" i="1"/>
  <c r="F8" i="1" s="1"/>
  <c r="E40" i="1"/>
  <c r="D40" i="1"/>
  <c r="E24" i="1"/>
  <c r="D24" i="1"/>
  <c r="E42" i="1"/>
  <c r="D42" i="1"/>
  <c r="E14" i="1"/>
  <c r="D14" i="1"/>
  <c r="E20" i="1"/>
  <c r="D20" i="1"/>
  <c r="E18" i="1"/>
  <c r="D18" i="1"/>
  <c r="E23" i="1"/>
  <c r="D23" i="1"/>
  <c r="E27" i="1"/>
  <c r="D27" i="1"/>
  <c r="E11" i="1"/>
  <c r="D11" i="1"/>
  <c r="E10" i="1"/>
  <c r="D10" i="1"/>
  <c r="E28" i="1"/>
  <c r="D28" i="1"/>
  <c r="E25" i="1"/>
  <c r="D25" i="1"/>
  <c r="E39" i="1"/>
  <c r="D39" i="1"/>
  <c r="F39" i="1" s="1"/>
  <c r="D31" i="1"/>
  <c r="E31" i="1"/>
  <c r="E21" i="1"/>
  <c r="D21" i="1"/>
  <c r="E34" i="1"/>
  <c r="D34" i="1"/>
  <c r="E7" i="1"/>
  <c r="D7" i="1"/>
  <c r="E4" i="1"/>
  <c r="D4" i="1"/>
  <c r="E13" i="1"/>
  <c r="D13" i="1"/>
  <c r="E9" i="1"/>
  <c r="D9" i="1"/>
  <c r="E3" i="1"/>
  <c r="D3" i="1"/>
  <c r="E5" i="1"/>
  <c r="D5" i="1"/>
  <c r="E29" i="1"/>
  <c r="D29" i="1"/>
  <c r="E33" i="1"/>
  <c r="D33" i="1"/>
  <c r="E22" i="1"/>
  <c r="D22" i="1"/>
  <c r="E6" i="1"/>
  <c r="D6" i="1"/>
  <c r="E12" i="1"/>
  <c r="D12" i="1"/>
  <c r="F12" i="1" s="1"/>
  <c r="E15" i="1"/>
  <c r="D15" i="1"/>
  <c r="E36" i="1"/>
  <c r="D36" i="1"/>
  <c r="E16" i="1"/>
  <c r="D16" i="1"/>
  <c r="F25" i="1" l="1"/>
  <c r="F40" i="1"/>
  <c r="F24" i="1"/>
  <c r="F42" i="1"/>
  <c r="F28" i="1"/>
  <c r="F31" i="1"/>
  <c r="F34" i="1"/>
  <c r="E35" i="1"/>
  <c r="D35" i="1"/>
  <c r="E19" i="1"/>
  <c r="D19" i="1"/>
  <c r="E2" i="1"/>
  <c r="D2" i="1"/>
  <c r="E17" i="1"/>
  <c r="D17" i="1"/>
  <c r="E41" i="1"/>
  <c r="D41" i="1"/>
  <c r="E30" i="1"/>
  <c r="D30" i="1"/>
  <c r="E37" i="1"/>
  <c r="D37" i="1"/>
  <c r="E38" i="1"/>
  <c r="D38" i="1"/>
  <c r="E26" i="1"/>
  <c r="D26" i="1"/>
  <c r="F13" i="1" l="1"/>
  <c r="F35" i="1"/>
  <c r="F29" i="1"/>
  <c r="F36" i="1"/>
  <c r="F41" i="1"/>
  <c r="F20" i="1"/>
  <c r="F38" i="1"/>
  <c r="F14" i="1"/>
  <c r="F32" i="1"/>
  <c r="F18" i="1"/>
  <c r="F33" i="1"/>
  <c r="F27" i="1"/>
  <c r="F11" i="1"/>
  <c r="F19" i="1"/>
  <c r="F9" i="1"/>
  <c r="F22" i="1"/>
  <c r="F37" i="1"/>
  <c r="F4" i="1" l="1"/>
  <c r="F21" i="1"/>
  <c r="F16" i="1"/>
  <c r="F2" i="1"/>
  <c r="F23" i="1"/>
  <c r="F10" i="1"/>
  <c r="F3" i="1"/>
  <c r="F7" i="1"/>
  <c r="F17" i="1"/>
  <c r="F26" i="1"/>
  <c r="F30" i="1"/>
  <c r="F15" i="1"/>
  <c r="F5" i="1"/>
  <c r="F6" i="1"/>
</calcChain>
</file>

<file path=xl/sharedStrings.xml><?xml version="1.0" encoding="utf-8"?>
<sst xmlns="http://schemas.openxmlformats.org/spreadsheetml/2006/main" count="146" uniqueCount="93">
  <si>
    <t>Rank</t>
  </si>
  <si>
    <t>Player</t>
  </si>
  <si>
    <t>Team</t>
  </si>
  <si>
    <t>Total Points</t>
  </si>
  <si>
    <t>Total Darts</t>
  </si>
  <si>
    <t>Total PPD</t>
  </si>
  <si>
    <t>Wks Played</t>
  </si>
  <si>
    <t>501 BP</t>
  </si>
  <si>
    <t>RON</t>
  </si>
  <si>
    <t xml:space="preserve"> MVP Pts</t>
  </si>
  <si>
    <t>Payout</t>
  </si>
  <si>
    <t>Richie Thomas</t>
  </si>
  <si>
    <t>Luigi's Loose Change</t>
  </si>
  <si>
    <t>Ed Davis</t>
  </si>
  <si>
    <t>VFW 1589 Bad Monkeys</t>
  </si>
  <si>
    <t>Larry Jenkins</t>
  </si>
  <si>
    <t xml:space="preserve">Purple Cow 1  </t>
  </si>
  <si>
    <t>Pat Nabors</t>
  </si>
  <si>
    <t>Elks Wiseguys</t>
  </si>
  <si>
    <t>Matt Nacarate</t>
  </si>
  <si>
    <t>Steve Stockett</t>
  </si>
  <si>
    <t>Jimmy Smith</t>
  </si>
  <si>
    <t>Legion Post 174 Snipers</t>
  </si>
  <si>
    <t xml:space="preserve">Sam Powers </t>
  </si>
  <si>
    <t>Richard Whisler</t>
  </si>
  <si>
    <t>Beaver Galusky</t>
  </si>
  <si>
    <t>Rob Cicchino</t>
  </si>
  <si>
    <t>Elks Jolly</t>
  </si>
  <si>
    <t>Zach Barlow</t>
  </si>
  <si>
    <t>Travis Ruckle</t>
  </si>
  <si>
    <t>John Powers</t>
  </si>
  <si>
    <t>Griffin Wilcox</t>
  </si>
  <si>
    <t>VFW 1589 Dissapointers</t>
  </si>
  <si>
    <t>Ryan Swaniger</t>
  </si>
  <si>
    <t>Jon Kline</t>
  </si>
  <si>
    <t>Gabbie Mellie</t>
  </si>
  <si>
    <t>Barb Hardy</t>
  </si>
  <si>
    <t>Kevin Ruckle</t>
  </si>
  <si>
    <t>Alex Keenan</t>
  </si>
  <si>
    <t>JL Brown</t>
  </si>
  <si>
    <t>Joe White</t>
  </si>
  <si>
    <t>Marshall Jenkins</t>
  </si>
  <si>
    <t>Alex Rice</t>
  </si>
  <si>
    <t>Bryant Losh</t>
  </si>
  <si>
    <t xml:space="preserve">Teams - Overall </t>
  </si>
  <si>
    <t>Wins</t>
  </si>
  <si>
    <t>Lose</t>
  </si>
  <si>
    <t>Points</t>
  </si>
  <si>
    <t>Weekly Payouts and Season High's</t>
  </si>
  <si>
    <t xml:space="preserve">Season Best Game 501:  </t>
  </si>
  <si>
    <t xml:space="preserve">PURPLE COW 1 </t>
  </si>
  <si>
    <t xml:space="preserve">High Average for Week:   </t>
  </si>
  <si>
    <t>VFW 1589 DISSAPOINTERS</t>
  </si>
  <si>
    <t xml:space="preserve">High in 301 for the week: </t>
  </si>
  <si>
    <t xml:space="preserve">High Out for the week: </t>
  </si>
  <si>
    <t>LUIGI'S LOOSE CHANGE</t>
  </si>
  <si>
    <t xml:space="preserve">Season High In for 301:  </t>
  </si>
  <si>
    <t xml:space="preserve">Season High Out:    </t>
  </si>
  <si>
    <t>ELKS WISEGUYS</t>
  </si>
  <si>
    <t>VFW 1589 BAD MONKEYS</t>
  </si>
  <si>
    <t>LEGION POST 174 SNIPERS</t>
  </si>
  <si>
    <t>ELKS JOLLY</t>
  </si>
  <si>
    <t>Tie</t>
  </si>
  <si>
    <t>Stephen Thurbon</t>
  </si>
  <si>
    <t>Gary Daft</t>
  </si>
  <si>
    <t>Alwyn Thurbon</t>
  </si>
  <si>
    <t>Purple Cow Tippers</t>
  </si>
  <si>
    <t>Angela Bell</t>
  </si>
  <si>
    <t>PURPLE COW TIPPERS</t>
  </si>
  <si>
    <t>Timmy Frymyer</t>
  </si>
  <si>
    <t>Doug Himes</t>
  </si>
  <si>
    <t>Tom Gallegly</t>
  </si>
  <si>
    <t>Kenny Goldsborough</t>
  </si>
  <si>
    <t xml:space="preserve">POP A TOP </t>
  </si>
  <si>
    <t>Harley Hall</t>
  </si>
  <si>
    <t>CLASSICS</t>
  </si>
  <si>
    <t>Teams - Tungsten Division</t>
  </si>
  <si>
    <t>Teams - Wood Division</t>
  </si>
  <si>
    <t>Todd Wotring</t>
  </si>
  <si>
    <t>Seth Boyles</t>
  </si>
  <si>
    <t>Tammy Allen</t>
  </si>
  <si>
    <t>Bob Fox</t>
  </si>
  <si>
    <t>Shawn Cole</t>
  </si>
  <si>
    <t>Thom Douglas</t>
  </si>
  <si>
    <t>Tim Rosati</t>
  </si>
  <si>
    <t>Allen Collins</t>
  </si>
  <si>
    <t>Rob Cicchino 115 Out</t>
  </si>
  <si>
    <t>Matt Nacarate 19.24</t>
  </si>
  <si>
    <t>Matt Nacarate 20 Dart Game</t>
  </si>
  <si>
    <t>Pop A Top</t>
  </si>
  <si>
    <t>Griffin Wilcox/Seth Boyles 120 In</t>
  </si>
  <si>
    <t>Classics</t>
  </si>
  <si>
    <t>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</si>
</sst>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textRotation="73"/>
    </xf>
    <xf numFmtId="0" fontId="1" fillId="2" borderId="1" xfId="0" applyFont="1" applyFill="1" applyBorder="1" applyAlignment="1">
      <alignment textRotation="73" wrapText="1"/>
    </xf>
    <xf numFmtId="0" fontId="2" fillId="0" borderId="2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0" xfId="0" applyFont="1" applyBorder="1"/>
    <xf numFmtId="0" fontId="3" fillId="0" borderId="2" xfId="0" applyFont="1" applyBorder="1"/>
    <xf numFmtId="0" fontId="1" fillId="0" borderId="5" xfId="0" applyFont="1" applyBorder="1"/>
    <xf numFmtId="0" fontId="1" fillId="0" borderId="17" xfId="0" applyFont="1" applyBorder="1"/>
    <xf numFmtId="0" fontId="3" fillId="0" borderId="17" xfId="0" applyFont="1" applyBorder="1"/>
    <xf numFmtId="0" fontId="1" fillId="0" borderId="19" xfId="0" applyFont="1" applyBorder="1"/>
    <xf numFmtId="0" fontId="1" fillId="4" borderId="20" xfId="0" applyFont="1" applyFill="1" applyBorder="1"/>
    <xf numFmtId="0" fontId="1" fillId="0" borderId="21" xfId="0" applyFont="1" applyBorder="1"/>
    <xf numFmtId="0" fontId="2" fillId="0" borderId="5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19" xfId="0" applyFont="1" applyBorder="1"/>
    <xf numFmtId="0" fontId="3" fillId="0" borderId="22" xfId="0" applyFont="1" applyBorder="1"/>
    <xf numFmtId="0" fontId="1" fillId="4" borderId="23" xfId="0" applyFont="1" applyFill="1" applyBorder="1"/>
    <xf numFmtId="0" fontId="1" fillId="4" borderId="24" xfId="0" applyFont="1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0" borderId="29" xfId="0" applyFont="1" applyBorder="1"/>
    <xf numFmtId="0" fontId="1" fillId="0" borderId="28" xfId="0" applyFont="1" applyBorder="1"/>
    <xf numFmtId="0" fontId="3" fillId="0" borderId="4" xfId="0" applyFont="1" applyBorder="1"/>
    <xf numFmtId="0" fontId="1" fillId="3" borderId="18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workbookViewId="0">
      <pane ySplit="1" topLeftCell="A2" activePane="bottomLeft" state="frozen"/>
      <selection pane="bottomLeft" activeCell="M59" sqref="M59"/>
    </sheetView>
  </sheetViews>
  <sheetFormatPr defaultRowHeight="15" x14ac:dyDescent="0.25"/>
  <cols>
    <col min="1" max="1" width="5.42578125" bestFit="1" customWidth="1"/>
    <col min="2" max="2" width="23.85546875" bestFit="1" customWidth="1"/>
    <col min="3" max="3" width="31.140625" bestFit="1" customWidth="1"/>
    <col min="4" max="5" width="10.7109375" bestFit="1" customWidth="1"/>
    <col min="6" max="6" width="7.7109375" bestFit="1" customWidth="1"/>
    <col min="7" max="7" width="8.140625" bestFit="1" customWidth="1"/>
    <col min="8" max="11" width="5.7109375" customWidth="1"/>
    <col min="12" max="12" width="7.7109375" bestFit="1" customWidth="1"/>
    <col min="13" max="13" width="10.85546875" bestFit="1" customWidth="1"/>
    <col min="18" max="18" width="18.85546875" customWidth="1"/>
  </cols>
  <sheetData>
    <row r="1" spans="1:13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>
        <v>180</v>
      </c>
      <c r="J1" s="1">
        <v>171</v>
      </c>
      <c r="K1" s="1" t="s">
        <v>8</v>
      </c>
      <c r="L1" s="2" t="s">
        <v>9</v>
      </c>
      <c r="M1" s="2" t="s">
        <v>10</v>
      </c>
    </row>
    <row r="2" spans="1:13" ht="18.75" x14ac:dyDescent="0.3">
      <c r="A2" s="3">
        <v>1</v>
      </c>
      <c r="B2" s="4" t="s">
        <v>11</v>
      </c>
      <c r="C2" s="4" t="s">
        <v>12</v>
      </c>
      <c r="D2" s="11">
        <f>SUM(1434)</f>
        <v>1434</v>
      </c>
      <c r="E2" s="11">
        <f>SUM(78)</f>
        <v>78</v>
      </c>
      <c r="F2" s="12">
        <f t="shared" ref="F2:F42" si="0">SUM(D2/E2)</f>
        <v>18.384615384615383</v>
      </c>
      <c r="G2" s="11">
        <v>1</v>
      </c>
      <c r="H2" s="11"/>
      <c r="I2" s="11"/>
      <c r="J2" s="11"/>
      <c r="K2" s="11"/>
      <c r="L2" s="11">
        <v>0.5</v>
      </c>
      <c r="M2" s="13">
        <v>5</v>
      </c>
    </row>
    <row r="3" spans="1:13" ht="18.75" x14ac:dyDescent="0.3">
      <c r="A3" s="3">
        <v>2</v>
      </c>
      <c r="B3" s="4" t="s">
        <v>19</v>
      </c>
      <c r="C3" s="4" t="s">
        <v>14</v>
      </c>
      <c r="D3" s="11">
        <f>SUM(1503+1501)</f>
        <v>3004</v>
      </c>
      <c r="E3" s="11">
        <f>SUM(88+78)</f>
        <v>166</v>
      </c>
      <c r="F3" s="12">
        <f t="shared" si="0"/>
        <v>18.096385542168676</v>
      </c>
      <c r="G3" s="11">
        <v>2</v>
      </c>
      <c r="H3" s="11">
        <v>2</v>
      </c>
      <c r="I3" s="11"/>
      <c r="J3" s="11"/>
      <c r="K3" s="11"/>
      <c r="L3" s="11">
        <v>10</v>
      </c>
      <c r="M3" s="13">
        <v>5</v>
      </c>
    </row>
    <row r="4" spans="1:13" ht="18.75" x14ac:dyDescent="0.3">
      <c r="A4" s="3">
        <v>3</v>
      </c>
      <c r="B4" s="4" t="s">
        <v>15</v>
      </c>
      <c r="C4" s="4" t="s">
        <v>16</v>
      </c>
      <c r="D4" s="11">
        <f>SUM(1439+1494)</f>
        <v>2933</v>
      </c>
      <c r="E4" s="11">
        <f>SUM(83+92)</f>
        <v>175</v>
      </c>
      <c r="F4" s="12">
        <f t="shared" si="0"/>
        <v>16.760000000000002</v>
      </c>
      <c r="G4" s="11">
        <v>2</v>
      </c>
      <c r="H4" s="11"/>
      <c r="I4" s="11"/>
      <c r="J4" s="11"/>
      <c r="K4" s="11"/>
      <c r="L4" s="11">
        <v>3.5</v>
      </c>
      <c r="M4" s="13"/>
    </row>
    <row r="5" spans="1:13" ht="18.75" x14ac:dyDescent="0.3">
      <c r="A5" s="3">
        <v>4</v>
      </c>
      <c r="B5" s="4" t="s">
        <v>13</v>
      </c>
      <c r="C5" s="4" t="s">
        <v>14</v>
      </c>
      <c r="D5" s="11">
        <f>SUM(1503+1493)</f>
        <v>2996</v>
      </c>
      <c r="E5" s="11">
        <f>SUM(87+94)</f>
        <v>181</v>
      </c>
      <c r="F5" s="12">
        <f t="shared" si="0"/>
        <v>16.552486187845304</v>
      </c>
      <c r="G5" s="11">
        <v>2</v>
      </c>
      <c r="H5" s="11">
        <v>2</v>
      </c>
      <c r="I5" s="11"/>
      <c r="J5" s="11"/>
      <c r="K5" s="11"/>
      <c r="L5" s="11">
        <v>10</v>
      </c>
      <c r="M5" s="13"/>
    </row>
    <row r="6" spans="1:13" ht="18.75" x14ac:dyDescent="0.3">
      <c r="A6" s="3">
        <v>5</v>
      </c>
      <c r="B6" s="15" t="s">
        <v>31</v>
      </c>
      <c r="C6" s="4" t="s">
        <v>32</v>
      </c>
      <c r="D6" s="11">
        <f>SUM(1463+1440)</f>
        <v>2903</v>
      </c>
      <c r="E6" s="11">
        <f>SUM(87+90)</f>
        <v>177</v>
      </c>
      <c r="F6" s="12">
        <f t="shared" si="0"/>
        <v>16.401129943502823</v>
      </c>
      <c r="G6" s="11">
        <v>2</v>
      </c>
      <c r="H6" s="11">
        <v>2</v>
      </c>
      <c r="I6" s="11"/>
      <c r="J6" s="11"/>
      <c r="K6" s="11"/>
      <c r="L6" s="11">
        <v>6.5</v>
      </c>
      <c r="M6" s="13">
        <v>10</v>
      </c>
    </row>
    <row r="7" spans="1:13" ht="18.75" x14ac:dyDescent="0.3">
      <c r="A7" s="3">
        <v>6</v>
      </c>
      <c r="B7" s="4" t="s">
        <v>41</v>
      </c>
      <c r="C7" s="4" t="s">
        <v>16</v>
      </c>
      <c r="D7" s="11">
        <f>SUM(1305+1155)</f>
        <v>2460</v>
      </c>
      <c r="E7" s="11">
        <f>SUM(82+73)</f>
        <v>155</v>
      </c>
      <c r="F7" s="12">
        <f t="shared" si="0"/>
        <v>15.870967741935484</v>
      </c>
      <c r="G7" s="11">
        <v>2</v>
      </c>
      <c r="H7" s="11">
        <v>1</v>
      </c>
      <c r="I7" s="11"/>
      <c r="J7" s="11"/>
      <c r="K7" s="11"/>
      <c r="L7" s="11">
        <v>6</v>
      </c>
      <c r="M7" s="13"/>
    </row>
    <row r="8" spans="1:13" ht="18.75" x14ac:dyDescent="0.3">
      <c r="A8" s="3">
        <v>7</v>
      </c>
      <c r="B8" s="15" t="s">
        <v>85</v>
      </c>
      <c r="C8" s="4" t="s">
        <v>91</v>
      </c>
      <c r="D8" s="11">
        <f>SUM(1503)</f>
        <v>1503</v>
      </c>
      <c r="E8" s="11">
        <f>SUM(97)</f>
        <v>97</v>
      </c>
      <c r="F8" s="12">
        <f t="shared" si="0"/>
        <v>15.494845360824742</v>
      </c>
      <c r="G8" s="11">
        <v>1</v>
      </c>
      <c r="H8" s="11">
        <v>1</v>
      </c>
      <c r="I8" s="11"/>
      <c r="J8" s="11"/>
      <c r="K8" s="11"/>
      <c r="L8" s="11">
        <v>5</v>
      </c>
      <c r="M8" s="13"/>
    </row>
    <row r="9" spans="1:13" ht="18.75" x14ac:dyDescent="0.3">
      <c r="A9" s="3">
        <v>8</v>
      </c>
      <c r="B9" s="4" t="s">
        <v>23</v>
      </c>
      <c r="C9" s="4" t="s">
        <v>14</v>
      </c>
      <c r="D9" s="11">
        <f>SUM(1503+1503)</f>
        <v>3006</v>
      </c>
      <c r="E9" s="11">
        <f>SUM(93+102)</f>
        <v>195</v>
      </c>
      <c r="F9" s="12">
        <f t="shared" si="0"/>
        <v>15.415384615384616</v>
      </c>
      <c r="G9" s="11">
        <v>2</v>
      </c>
      <c r="H9" s="11">
        <v>2</v>
      </c>
      <c r="I9" s="11">
        <v>1</v>
      </c>
      <c r="J9" s="11"/>
      <c r="K9" s="11">
        <v>1</v>
      </c>
      <c r="L9" s="11">
        <v>10</v>
      </c>
      <c r="M9" s="13"/>
    </row>
    <row r="10" spans="1:13" ht="18.75" x14ac:dyDescent="0.3">
      <c r="A10" s="3">
        <v>9</v>
      </c>
      <c r="B10" s="3" t="s">
        <v>33</v>
      </c>
      <c r="C10" s="4" t="s">
        <v>22</v>
      </c>
      <c r="D10" s="11">
        <f>SUM(1385+1499)</f>
        <v>2884</v>
      </c>
      <c r="E10" s="11">
        <f>SUM(79+109)</f>
        <v>188</v>
      </c>
      <c r="F10" s="12">
        <f t="shared" si="0"/>
        <v>15.340425531914894</v>
      </c>
      <c r="G10" s="11">
        <v>2</v>
      </c>
      <c r="H10" s="11">
        <v>2</v>
      </c>
      <c r="I10" s="11"/>
      <c r="J10" s="11"/>
      <c r="K10" s="11"/>
      <c r="L10" s="11">
        <v>9.5</v>
      </c>
      <c r="M10" s="13"/>
    </row>
    <row r="11" spans="1:13" ht="18.75" x14ac:dyDescent="0.3">
      <c r="A11" s="3">
        <v>10</v>
      </c>
      <c r="B11" s="3" t="s">
        <v>21</v>
      </c>
      <c r="C11" s="4" t="s">
        <v>22</v>
      </c>
      <c r="D11" s="11">
        <f>SUM(1399+1503)</f>
        <v>2902</v>
      </c>
      <c r="E11" s="11">
        <f>SUM(82+109)</f>
        <v>191</v>
      </c>
      <c r="F11" s="12">
        <f t="shared" si="0"/>
        <v>15.193717277486911</v>
      </c>
      <c r="G11" s="11">
        <v>2</v>
      </c>
      <c r="H11" s="11">
        <v>1</v>
      </c>
      <c r="I11" s="11"/>
      <c r="J11" s="11"/>
      <c r="K11" s="11"/>
      <c r="L11" s="11">
        <v>7</v>
      </c>
      <c r="M11" s="13"/>
    </row>
    <row r="12" spans="1:13" ht="18.75" x14ac:dyDescent="0.3">
      <c r="A12" s="3">
        <v>11</v>
      </c>
      <c r="B12" s="4" t="s">
        <v>78</v>
      </c>
      <c r="C12" s="4" t="s">
        <v>18</v>
      </c>
      <c r="D12" s="11">
        <f>SUM(1503)</f>
        <v>1503</v>
      </c>
      <c r="E12" s="11">
        <f>SUM(102)</f>
        <v>102</v>
      </c>
      <c r="F12" s="12">
        <f t="shared" si="0"/>
        <v>14.735294117647058</v>
      </c>
      <c r="G12" s="11">
        <v>1</v>
      </c>
      <c r="H12" s="11">
        <v>1</v>
      </c>
      <c r="I12" s="11"/>
      <c r="J12" s="11"/>
      <c r="K12" s="11"/>
      <c r="L12" s="11">
        <v>5</v>
      </c>
      <c r="M12" s="13"/>
    </row>
    <row r="13" spans="1:13" ht="18.75" x14ac:dyDescent="0.3">
      <c r="A13" s="3">
        <v>12</v>
      </c>
      <c r="B13" s="15" t="s">
        <v>69</v>
      </c>
      <c r="C13" s="4" t="s">
        <v>14</v>
      </c>
      <c r="D13" s="11">
        <f>SUM(1497+1503)</f>
        <v>3000</v>
      </c>
      <c r="E13" s="11">
        <f>SUM(119+89)</f>
        <v>208</v>
      </c>
      <c r="F13" s="12">
        <f t="shared" si="0"/>
        <v>14.423076923076923</v>
      </c>
      <c r="G13" s="11">
        <v>2</v>
      </c>
      <c r="H13" s="11">
        <v>2</v>
      </c>
      <c r="I13" s="11"/>
      <c r="J13" s="11"/>
      <c r="K13" s="11"/>
      <c r="L13" s="11">
        <v>9</v>
      </c>
      <c r="M13" s="13"/>
    </row>
    <row r="14" spans="1:13" ht="18.75" x14ac:dyDescent="0.3">
      <c r="A14" s="3">
        <v>13</v>
      </c>
      <c r="B14" s="15" t="s">
        <v>64</v>
      </c>
      <c r="C14" s="4" t="s">
        <v>27</v>
      </c>
      <c r="D14" s="11">
        <f>SUM(1501+1463)</f>
        <v>2964</v>
      </c>
      <c r="E14" s="11">
        <f>SUM(113+99)</f>
        <v>212</v>
      </c>
      <c r="F14" s="12">
        <f t="shared" si="0"/>
        <v>13.981132075471699</v>
      </c>
      <c r="G14" s="11">
        <v>2</v>
      </c>
      <c r="H14" s="11">
        <v>1</v>
      </c>
      <c r="I14" s="11"/>
      <c r="J14" s="11"/>
      <c r="K14" s="11"/>
      <c r="L14" s="11">
        <v>6</v>
      </c>
      <c r="M14" s="13">
        <v>5</v>
      </c>
    </row>
    <row r="15" spans="1:13" ht="18.75" x14ac:dyDescent="0.3">
      <c r="A15" s="3">
        <v>14</v>
      </c>
      <c r="B15" s="4" t="s">
        <v>26</v>
      </c>
      <c r="C15" s="7" t="s">
        <v>18</v>
      </c>
      <c r="D15" s="11">
        <f>SUM(1501+1503)</f>
        <v>3004</v>
      </c>
      <c r="E15" s="11">
        <f>SUM(125+90)</f>
        <v>215</v>
      </c>
      <c r="F15" s="12">
        <f t="shared" si="0"/>
        <v>13.972093023255814</v>
      </c>
      <c r="G15" s="11">
        <v>2</v>
      </c>
      <c r="H15" s="11">
        <v>2</v>
      </c>
      <c r="I15" s="11"/>
      <c r="J15" s="11"/>
      <c r="K15" s="11">
        <v>1</v>
      </c>
      <c r="L15" s="11">
        <v>9.5</v>
      </c>
      <c r="M15" s="13">
        <v>5</v>
      </c>
    </row>
    <row r="16" spans="1:13" ht="18.75" x14ac:dyDescent="0.3">
      <c r="A16" s="3">
        <v>15</v>
      </c>
      <c r="B16" s="3" t="s">
        <v>17</v>
      </c>
      <c r="C16" s="4" t="s">
        <v>18</v>
      </c>
      <c r="D16" s="11">
        <f>SUM(1503+1238)</f>
        <v>2741</v>
      </c>
      <c r="E16" s="11">
        <f>SUM(101+96)</f>
        <v>197</v>
      </c>
      <c r="F16" s="12">
        <f t="shared" si="0"/>
        <v>13.913705583756345</v>
      </c>
      <c r="G16" s="11">
        <v>2</v>
      </c>
      <c r="H16" s="11">
        <v>1</v>
      </c>
      <c r="I16" s="11"/>
      <c r="J16" s="11"/>
      <c r="K16" s="11"/>
      <c r="L16" s="11">
        <v>7</v>
      </c>
      <c r="M16" s="13"/>
    </row>
    <row r="17" spans="1:13" ht="18.75" x14ac:dyDescent="0.3">
      <c r="A17" s="3">
        <v>16</v>
      </c>
      <c r="B17" s="4" t="s">
        <v>25</v>
      </c>
      <c r="C17" s="4" t="s">
        <v>12</v>
      </c>
      <c r="D17" s="11">
        <f>SUM(1124)</f>
        <v>1124</v>
      </c>
      <c r="E17" s="11">
        <f>SUM(81)</f>
        <v>81</v>
      </c>
      <c r="F17" s="12">
        <f t="shared" si="0"/>
        <v>13.876543209876543</v>
      </c>
      <c r="G17" s="11">
        <v>1</v>
      </c>
      <c r="H17" s="11"/>
      <c r="I17" s="11"/>
      <c r="J17" s="11"/>
      <c r="K17" s="11"/>
      <c r="L17" s="11">
        <v>1</v>
      </c>
      <c r="M17" s="13"/>
    </row>
    <row r="18" spans="1:13" ht="18.75" x14ac:dyDescent="0.3">
      <c r="A18" s="3">
        <v>17</v>
      </c>
      <c r="B18" s="15" t="s">
        <v>34</v>
      </c>
      <c r="C18" s="4" t="s">
        <v>27</v>
      </c>
      <c r="D18" s="11">
        <f>SUM(1315+1435)</f>
        <v>2750</v>
      </c>
      <c r="E18" s="11">
        <f>SUM(90+109)</f>
        <v>199</v>
      </c>
      <c r="F18" s="12">
        <f t="shared" si="0"/>
        <v>13.819095477386934</v>
      </c>
      <c r="G18" s="11">
        <v>2</v>
      </c>
      <c r="H18" s="11">
        <v>2</v>
      </c>
      <c r="I18" s="11"/>
      <c r="J18" s="11"/>
      <c r="K18" s="11"/>
      <c r="L18" s="11">
        <v>8</v>
      </c>
      <c r="M18" s="13"/>
    </row>
    <row r="19" spans="1:13" ht="18.75" x14ac:dyDescent="0.3">
      <c r="A19" s="3">
        <v>18</v>
      </c>
      <c r="B19" s="4" t="s">
        <v>28</v>
      </c>
      <c r="C19" s="4" t="s">
        <v>12</v>
      </c>
      <c r="D19" s="11">
        <f>SUM(1228)</f>
        <v>1228</v>
      </c>
      <c r="E19" s="11">
        <f>SUM(90)</f>
        <v>90</v>
      </c>
      <c r="F19" s="12">
        <f t="shared" si="0"/>
        <v>13.644444444444444</v>
      </c>
      <c r="G19" s="11">
        <v>1</v>
      </c>
      <c r="H19" s="11"/>
      <c r="I19" s="11"/>
      <c r="J19" s="11"/>
      <c r="K19" s="11"/>
      <c r="L19" s="11">
        <v>1</v>
      </c>
      <c r="M19" s="13"/>
    </row>
    <row r="20" spans="1:13" ht="18.75" x14ac:dyDescent="0.3">
      <c r="A20" s="3">
        <v>19</v>
      </c>
      <c r="B20" s="15" t="s">
        <v>65</v>
      </c>
      <c r="C20" s="4" t="s">
        <v>27</v>
      </c>
      <c r="D20" s="11">
        <f>SUM(1423+1499)</f>
        <v>2922</v>
      </c>
      <c r="E20" s="11">
        <f>SUM(103+114)</f>
        <v>217</v>
      </c>
      <c r="F20" s="12">
        <f t="shared" si="0"/>
        <v>13.465437788018432</v>
      </c>
      <c r="G20" s="11">
        <v>2</v>
      </c>
      <c r="H20" s="11">
        <v>2</v>
      </c>
      <c r="I20" s="11"/>
      <c r="J20" s="11"/>
      <c r="K20" s="11">
        <v>1</v>
      </c>
      <c r="L20" s="11">
        <v>7.5</v>
      </c>
      <c r="M20" s="13"/>
    </row>
    <row r="21" spans="1:13" ht="18.75" x14ac:dyDescent="0.3">
      <c r="A21" s="3">
        <v>20</v>
      </c>
      <c r="B21" s="4" t="s">
        <v>20</v>
      </c>
      <c r="C21" s="4" t="s">
        <v>16</v>
      </c>
      <c r="D21" s="11">
        <f>SUM(1316+1259)</f>
        <v>2575</v>
      </c>
      <c r="E21" s="11">
        <f>SUM(107+90)</f>
        <v>197</v>
      </c>
      <c r="F21" s="12">
        <f t="shared" si="0"/>
        <v>13.071065989847716</v>
      </c>
      <c r="G21" s="11">
        <v>2</v>
      </c>
      <c r="H21" s="11">
        <v>1</v>
      </c>
      <c r="I21" s="11"/>
      <c r="J21" s="11"/>
      <c r="K21" s="11"/>
      <c r="L21" s="11">
        <v>3.5</v>
      </c>
      <c r="M21" s="13"/>
    </row>
    <row r="22" spans="1:13" ht="18.75" x14ac:dyDescent="0.3">
      <c r="A22" s="3">
        <v>21</v>
      </c>
      <c r="B22" s="4" t="s">
        <v>40</v>
      </c>
      <c r="C22" s="4" t="s">
        <v>32</v>
      </c>
      <c r="D22" s="11">
        <f>SUM(1263+1432)</f>
        <v>2695</v>
      </c>
      <c r="E22" s="11">
        <f>SUM(96+111)</f>
        <v>207</v>
      </c>
      <c r="F22" s="12">
        <f t="shared" si="0"/>
        <v>13.019323671497585</v>
      </c>
      <c r="G22" s="11">
        <v>2</v>
      </c>
      <c r="H22" s="11">
        <v>1</v>
      </c>
      <c r="I22" s="11"/>
      <c r="J22" s="11"/>
      <c r="K22" s="11"/>
      <c r="L22" s="11">
        <v>4</v>
      </c>
      <c r="M22" s="13"/>
    </row>
    <row r="23" spans="1:13" ht="18.75" x14ac:dyDescent="0.3">
      <c r="A23" s="3">
        <v>22</v>
      </c>
      <c r="B23" s="4" t="s">
        <v>24</v>
      </c>
      <c r="C23" s="4" t="s">
        <v>22</v>
      </c>
      <c r="D23" s="11">
        <f>SUM(1465+1469)</f>
        <v>2934</v>
      </c>
      <c r="E23" s="11">
        <f>SUM(109+117)</f>
        <v>226</v>
      </c>
      <c r="F23" s="12">
        <f t="shared" si="0"/>
        <v>12.982300884955752</v>
      </c>
      <c r="G23" s="11">
        <v>2</v>
      </c>
      <c r="H23" s="11"/>
      <c r="I23" s="11"/>
      <c r="J23" s="11"/>
      <c r="K23" s="11"/>
      <c r="L23" s="11">
        <v>7</v>
      </c>
      <c r="M23" s="13"/>
    </row>
    <row r="24" spans="1:13" ht="18.75" x14ac:dyDescent="0.3">
      <c r="A24" s="3">
        <v>23</v>
      </c>
      <c r="B24" s="4" t="s">
        <v>84</v>
      </c>
      <c r="C24" s="7" t="s">
        <v>91</v>
      </c>
      <c r="D24" s="11">
        <f>SUM(1385)</f>
        <v>1385</v>
      </c>
      <c r="E24" s="11">
        <f>SUM(107)</f>
        <v>107</v>
      </c>
      <c r="F24" s="12">
        <f t="shared" si="0"/>
        <v>12.94392523364486</v>
      </c>
      <c r="G24" s="11">
        <v>1</v>
      </c>
      <c r="H24" s="11"/>
      <c r="I24" s="11"/>
      <c r="J24" s="11"/>
      <c r="K24" s="11"/>
      <c r="L24" s="11">
        <v>2.5</v>
      </c>
      <c r="M24" s="13"/>
    </row>
    <row r="25" spans="1:13" ht="18.75" x14ac:dyDescent="0.3">
      <c r="A25" s="3">
        <v>24</v>
      </c>
      <c r="B25" s="15" t="s">
        <v>81</v>
      </c>
      <c r="C25" s="4" t="s">
        <v>89</v>
      </c>
      <c r="D25" s="11">
        <f>SUM(1431)</f>
        <v>1431</v>
      </c>
      <c r="E25" s="11">
        <f>SUM(111)</f>
        <v>111</v>
      </c>
      <c r="F25" s="12">
        <f t="shared" si="0"/>
        <v>12.891891891891891</v>
      </c>
      <c r="G25" s="11">
        <v>1</v>
      </c>
      <c r="H25" s="11">
        <v>1</v>
      </c>
      <c r="I25" s="11"/>
      <c r="J25" s="11"/>
      <c r="K25" s="11"/>
      <c r="L25" s="11">
        <v>3.5</v>
      </c>
      <c r="M25" s="13"/>
    </row>
    <row r="26" spans="1:13" ht="18.75" x14ac:dyDescent="0.3">
      <c r="A26" s="3">
        <v>25</v>
      </c>
      <c r="B26" s="7" t="s">
        <v>37</v>
      </c>
      <c r="C26" s="4" t="s">
        <v>66</v>
      </c>
      <c r="D26" s="11">
        <f>SUM(1218)</f>
        <v>1218</v>
      </c>
      <c r="E26" s="11">
        <f>SUM(96)</f>
        <v>96</v>
      </c>
      <c r="F26" s="12">
        <f t="shared" si="0"/>
        <v>12.6875</v>
      </c>
      <c r="G26" s="11">
        <v>1</v>
      </c>
      <c r="H26" s="11"/>
      <c r="I26" s="11"/>
      <c r="J26" s="11"/>
      <c r="K26" s="11"/>
      <c r="L26" s="11">
        <v>1.5</v>
      </c>
      <c r="M26" s="13"/>
    </row>
    <row r="27" spans="1:13" ht="18.75" x14ac:dyDescent="0.3">
      <c r="A27" s="3">
        <v>26</v>
      </c>
      <c r="B27" s="9" t="s">
        <v>30</v>
      </c>
      <c r="C27" s="4" t="s">
        <v>22</v>
      </c>
      <c r="D27" s="11">
        <f>SUM(1503+1285)</f>
        <v>2788</v>
      </c>
      <c r="E27" s="11">
        <f>SUM(109+111)</f>
        <v>220</v>
      </c>
      <c r="F27" s="12">
        <f t="shared" si="0"/>
        <v>12.672727272727272</v>
      </c>
      <c r="G27" s="11">
        <v>2</v>
      </c>
      <c r="H27" s="11">
        <v>1</v>
      </c>
      <c r="I27" s="11"/>
      <c r="J27" s="11"/>
      <c r="K27" s="11"/>
      <c r="L27" s="11">
        <v>7.5</v>
      </c>
      <c r="M27" s="13"/>
    </row>
    <row r="28" spans="1:13" ht="18.75" x14ac:dyDescent="0.3">
      <c r="A28" s="3">
        <v>27</v>
      </c>
      <c r="B28" s="9" t="s">
        <v>82</v>
      </c>
      <c r="C28" s="4" t="s">
        <v>89</v>
      </c>
      <c r="D28" s="11">
        <f>SUM(1451)</f>
        <v>1451</v>
      </c>
      <c r="E28" s="11">
        <f>SUM(115)</f>
        <v>115</v>
      </c>
      <c r="F28" s="12">
        <f t="shared" si="0"/>
        <v>12.617391304347827</v>
      </c>
      <c r="G28" s="11">
        <v>1</v>
      </c>
      <c r="H28" s="11">
        <v>1</v>
      </c>
      <c r="I28" s="11"/>
      <c r="J28" s="11"/>
      <c r="K28" s="11"/>
      <c r="L28" s="11">
        <v>3.5</v>
      </c>
      <c r="M28" s="13"/>
    </row>
    <row r="29" spans="1:13" ht="18.75" x14ac:dyDescent="0.3">
      <c r="A29" s="3">
        <v>28</v>
      </c>
      <c r="B29" s="9" t="s">
        <v>67</v>
      </c>
      <c r="C29" s="4" t="s">
        <v>32</v>
      </c>
      <c r="D29" s="11">
        <f>SUM(1261+1230)</f>
        <v>2491</v>
      </c>
      <c r="E29" s="11">
        <f>SUM(102+96)</f>
        <v>198</v>
      </c>
      <c r="F29" s="12">
        <f t="shared" si="0"/>
        <v>12.580808080808081</v>
      </c>
      <c r="G29" s="11">
        <v>2</v>
      </c>
      <c r="H29" s="11"/>
      <c r="I29" s="11"/>
      <c r="J29" s="11"/>
      <c r="K29" s="11"/>
      <c r="L29" s="11">
        <v>1</v>
      </c>
      <c r="M29" s="13"/>
    </row>
    <row r="30" spans="1:13" ht="18.75" x14ac:dyDescent="0.3">
      <c r="A30" s="3">
        <v>29</v>
      </c>
      <c r="B30" s="7" t="s">
        <v>36</v>
      </c>
      <c r="C30" s="4" t="s">
        <v>66</v>
      </c>
      <c r="D30" s="11">
        <f>SUM(1457)</f>
        <v>1457</v>
      </c>
      <c r="E30" s="11">
        <f>SUM(116)</f>
        <v>116</v>
      </c>
      <c r="F30" s="12">
        <f t="shared" si="0"/>
        <v>12.560344827586206</v>
      </c>
      <c r="G30" s="11">
        <v>1</v>
      </c>
      <c r="H30" s="11"/>
      <c r="I30" s="11"/>
      <c r="J30" s="11"/>
      <c r="K30" s="11"/>
      <c r="L30" s="11">
        <v>2.5</v>
      </c>
      <c r="M30" s="13"/>
    </row>
    <row r="31" spans="1:13" ht="18.75" x14ac:dyDescent="0.3">
      <c r="A31" s="3">
        <v>30</v>
      </c>
      <c r="B31" s="7" t="s">
        <v>79</v>
      </c>
      <c r="C31" s="4" t="s">
        <v>89</v>
      </c>
      <c r="D31" s="11">
        <f>SUM(1393)</f>
        <v>1393</v>
      </c>
      <c r="E31" s="11">
        <f>SUM(111)</f>
        <v>111</v>
      </c>
      <c r="F31" s="12">
        <f t="shared" si="0"/>
        <v>12.54954954954955</v>
      </c>
      <c r="G31" s="11">
        <v>1</v>
      </c>
      <c r="H31" s="11"/>
      <c r="I31" s="11"/>
      <c r="J31" s="11"/>
      <c r="K31" s="11"/>
      <c r="L31" s="11">
        <v>1</v>
      </c>
      <c r="M31" s="13">
        <v>5</v>
      </c>
    </row>
    <row r="32" spans="1:13" ht="18.75" x14ac:dyDescent="0.3">
      <c r="A32" s="3">
        <v>31</v>
      </c>
      <c r="B32" s="34" t="s">
        <v>63</v>
      </c>
      <c r="C32" s="8" t="s">
        <v>27</v>
      </c>
      <c r="D32" s="11">
        <f>SUM(1424+1501)</f>
        <v>2925</v>
      </c>
      <c r="E32" s="11">
        <f>SUM(90+147)</f>
        <v>237</v>
      </c>
      <c r="F32" s="12">
        <f t="shared" si="0"/>
        <v>12.341772151898734</v>
      </c>
      <c r="G32" s="11">
        <v>2</v>
      </c>
      <c r="H32" s="11">
        <v>1</v>
      </c>
      <c r="I32" s="11"/>
      <c r="J32" s="11"/>
      <c r="K32" s="11"/>
      <c r="L32" s="11">
        <v>7.5</v>
      </c>
      <c r="M32" s="13"/>
    </row>
    <row r="33" spans="1:18" ht="18.75" x14ac:dyDescent="0.3">
      <c r="A33" s="3">
        <v>32</v>
      </c>
      <c r="B33" s="9" t="s">
        <v>39</v>
      </c>
      <c r="C33" s="7" t="s">
        <v>32</v>
      </c>
      <c r="D33" s="11">
        <f>SUM(1397+971)</f>
        <v>2368</v>
      </c>
      <c r="E33" s="11">
        <f>SUM(109+84)</f>
        <v>193</v>
      </c>
      <c r="F33" s="12">
        <f t="shared" si="0"/>
        <v>12.269430051813471</v>
      </c>
      <c r="G33" s="11">
        <v>2</v>
      </c>
      <c r="H33" s="11"/>
      <c r="I33" s="11"/>
      <c r="J33" s="11"/>
      <c r="K33" s="11"/>
      <c r="L33" s="11">
        <v>3.5</v>
      </c>
      <c r="M33" s="13"/>
    </row>
    <row r="34" spans="1:18" ht="18.75" x14ac:dyDescent="0.3">
      <c r="A34" s="3">
        <v>33</v>
      </c>
      <c r="B34" s="10" t="s">
        <v>71</v>
      </c>
      <c r="C34" s="7" t="s">
        <v>16</v>
      </c>
      <c r="D34" s="11">
        <f>SUM(1373+1159)</f>
        <v>2532</v>
      </c>
      <c r="E34" s="11">
        <f>SUM(111+99)</f>
        <v>210</v>
      </c>
      <c r="F34" s="12">
        <f t="shared" si="0"/>
        <v>12.057142857142857</v>
      </c>
      <c r="G34" s="11">
        <v>2</v>
      </c>
      <c r="H34" s="11"/>
      <c r="I34" s="11"/>
      <c r="J34" s="11"/>
      <c r="K34" s="11"/>
      <c r="L34" s="11">
        <v>1</v>
      </c>
      <c r="M34" s="13"/>
    </row>
    <row r="35" spans="1:18" ht="18.75" x14ac:dyDescent="0.3">
      <c r="A35" s="3">
        <v>34</v>
      </c>
      <c r="B35" s="15" t="s">
        <v>72</v>
      </c>
      <c r="C35" s="4" t="s">
        <v>12</v>
      </c>
      <c r="D35" s="11">
        <f>SUM(1409)</f>
        <v>1409</v>
      </c>
      <c r="E35" s="11">
        <f>SUM(119)</f>
        <v>119</v>
      </c>
      <c r="F35" s="12">
        <f t="shared" si="0"/>
        <v>11.840336134453782</v>
      </c>
      <c r="G35" s="11">
        <v>1</v>
      </c>
      <c r="H35" s="11"/>
      <c r="I35" s="11"/>
      <c r="J35" s="11"/>
      <c r="K35" s="11"/>
      <c r="L35" s="11">
        <v>1.5</v>
      </c>
      <c r="M35" s="13"/>
    </row>
    <row r="36" spans="1:18" ht="18.75" x14ac:dyDescent="0.3">
      <c r="A36" s="3">
        <v>35</v>
      </c>
      <c r="B36" s="10" t="s">
        <v>70</v>
      </c>
      <c r="C36" s="4" t="s">
        <v>18</v>
      </c>
      <c r="D36" s="11">
        <f>SUM(1487+1277)</f>
        <v>2764</v>
      </c>
      <c r="E36" s="11">
        <f>SUM(122+115)</f>
        <v>237</v>
      </c>
      <c r="F36" s="12">
        <f t="shared" si="0"/>
        <v>11.662447257383967</v>
      </c>
      <c r="G36" s="11">
        <v>2</v>
      </c>
      <c r="H36" s="11">
        <v>1</v>
      </c>
      <c r="I36" s="11"/>
      <c r="J36" s="11"/>
      <c r="K36" s="11"/>
      <c r="L36" s="11">
        <v>6</v>
      </c>
      <c r="M36" s="13"/>
    </row>
    <row r="37" spans="1:18" ht="18.75" x14ac:dyDescent="0.3">
      <c r="A37" s="3">
        <v>36</v>
      </c>
      <c r="B37" s="16" t="s">
        <v>29</v>
      </c>
      <c r="C37" s="7" t="s">
        <v>66</v>
      </c>
      <c r="D37" s="11">
        <f>SUM(1467)</f>
        <v>1467</v>
      </c>
      <c r="E37" s="11">
        <f>SUM(129)</f>
        <v>129</v>
      </c>
      <c r="F37" s="12">
        <f t="shared" si="0"/>
        <v>11.372093023255815</v>
      </c>
      <c r="G37" s="11">
        <v>1</v>
      </c>
      <c r="H37" s="11"/>
      <c r="I37" s="11"/>
      <c r="J37" s="11"/>
      <c r="K37" s="11"/>
      <c r="L37" s="11">
        <v>0.5</v>
      </c>
      <c r="M37" s="13"/>
    </row>
    <row r="38" spans="1:18" ht="18.75" x14ac:dyDescent="0.3">
      <c r="A38" s="3">
        <v>37</v>
      </c>
      <c r="B38" s="10" t="s">
        <v>42</v>
      </c>
      <c r="C38" s="7" t="s">
        <v>18</v>
      </c>
      <c r="D38" s="11">
        <f>SUM(1503)</f>
        <v>1503</v>
      </c>
      <c r="E38" s="11">
        <f>SUM(133)</f>
        <v>133</v>
      </c>
      <c r="F38" s="12">
        <f t="shared" si="0"/>
        <v>11.300751879699249</v>
      </c>
      <c r="G38" s="11">
        <v>1</v>
      </c>
      <c r="H38" s="11">
        <v>1</v>
      </c>
      <c r="I38" s="11"/>
      <c r="J38" s="11"/>
      <c r="K38" s="11"/>
      <c r="L38" s="11">
        <v>7.5</v>
      </c>
      <c r="M38" s="13"/>
    </row>
    <row r="39" spans="1:18" ht="18.75" x14ac:dyDescent="0.3">
      <c r="A39" s="3">
        <v>38</v>
      </c>
      <c r="B39" s="16" t="s">
        <v>80</v>
      </c>
      <c r="C39" s="7" t="s">
        <v>89</v>
      </c>
      <c r="D39" s="11">
        <f>SUM(1219)</f>
        <v>1219</v>
      </c>
      <c r="E39" s="11">
        <f>SUM(108)</f>
        <v>108</v>
      </c>
      <c r="F39" s="12">
        <f t="shared" si="0"/>
        <v>11.287037037037036</v>
      </c>
      <c r="G39" s="11">
        <v>1</v>
      </c>
      <c r="H39" s="11"/>
      <c r="I39" s="11"/>
      <c r="J39" s="11"/>
      <c r="K39" s="11"/>
      <c r="L39" s="11">
        <v>0</v>
      </c>
      <c r="M39" s="13"/>
    </row>
    <row r="40" spans="1:18" ht="18.75" x14ac:dyDescent="0.3">
      <c r="A40" s="3">
        <v>39</v>
      </c>
      <c r="B40" s="10" t="s">
        <v>38</v>
      </c>
      <c r="C40" s="7" t="s">
        <v>91</v>
      </c>
      <c r="D40" s="11">
        <f>SUM(1214)</f>
        <v>1214</v>
      </c>
      <c r="E40" s="11">
        <f>SUM(116)</f>
        <v>116</v>
      </c>
      <c r="F40" s="12">
        <f t="shared" si="0"/>
        <v>10.46551724137931</v>
      </c>
      <c r="G40" s="11">
        <v>1</v>
      </c>
      <c r="H40" s="11"/>
      <c r="I40" s="11"/>
      <c r="J40" s="11"/>
      <c r="K40" s="11"/>
      <c r="L40" s="11">
        <v>1.5</v>
      </c>
      <c r="M40" s="13"/>
    </row>
    <row r="41" spans="1:18" ht="18.75" x14ac:dyDescent="0.3">
      <c r="A41" s="3">
        <v>40</v>
      </c>
      <c r="B41" s="10" t="s">
        <v>43</v>
      </c>
      <c r="C41" s="7" t="s">
        <v>66</v>
      </c>
      <c r="D41" s="11">
        <f>SUM(1252)</f>
        <v>1252</v>
      </c>
      <c r="E41" s="11">
        <f>SUM(120)</f>
        <v>120</v>
      </c>
      <c r="F41" s="12">
        <f t="shared" si="0"/>
        <v>10.433333333333334</v>
      </c>
      <c r="G41" s="11">
        <v>1</v>
      </c>
      <c r="H41" s="11"/>
      <c r="I41" s="11"/>
      <c r="J41" s="11"/>
      <c r="K41" s="11"/>
      <c r="L41" s="11">
        <v>1</v>
      </c>
      <c r="M41" s="13"/>
    </row>
    <row r="42" spans="1:18" ht="18.75" x14ac:dyDescent="0.3">
      <c r="A42" s="3">
        <v>41</v>
      </c>
      <c r="B42" s="16" t="s">
        <v>83</v>
      </c>
      <c r="C42" s="7" t="s">
        <v>91</v>
      </c>
      <c r="D42" s="11">
        <f>SUM(1448)</f>
        <v>1448</v>
      </c>
      <c r="E42" s="11">
        <f>SUM(144)</f>
        <v>144</v>
      </c>
      <c r="F42" s="12">
        <f t="shared" si="0"/>
        <v>10.055555555555555</v>
      </c>
      <c r="G42" s="11">
        <v>1</v>
      </c>
      <c r="H42" s="11"/>
      <c r="I42" s="11"/>
      <c r="J42" s="11"/>
      <c r="K42" s="11"/>
      <c r="L42" s="11">
        <v>1</v>
      </c>
      <c r="M42" s="13"/>
    </row>
    <row r="43" spans="1:18" ht="18.75" x14ac:dyDescent="0.3">
      <c r="A43" s="3">
        <v>42</v>
      </c>
      <c r="B43" s="33" t="s">
        <v>35</v>
      </c>
      <c r="C43" s="7" t="s">
        <v>32</v>
      </c>
      <c r="D43" s="11"/>
      <c r="E43" s="11"/>
      <c r="F43" s="12"/>
      <c r="G43" s="11"/>
      <c r="H43" s="11"/>
      <c r="I43" s="11"/>
      <c r="J43" s="11"/>
      <c r="K43" s="11"/>
      <c r="L43" s="11">
        <v>1</v>
      </c>
      <c r="M43" s="13"/>
    </row>
    <row r="44" spans="1:18" ht="18.75" x14ac:dyDescent="0.3">
      <c r="A44" s="3">
        <v>43</v>
      </c>
      <c r="B44" s="4" t="s">
        <v>74</v>
      </c>
      <c r="C44" s="7" t="s">
        <v>66</v>
      </c>
      <c r="D44" s="11"/>
      <c r="E44" s="11"/>
      <c r="F44" s="12"/>
      <c r="G44" s="11"/>
      <c r="H44" s="11"/>
      <c r="I44" s="11"/>
      <c r="J44" s="11"/>
      <c r="K44" s="11"/>
      <c r="L44" s="11">
        <v>0.5</v>
      </c>
      <c r="M44" s="13"/>
    </row>
    <row r="45" spans="1:18" ht="18.75" x14ac:dyDescent="0.3">
      <c r="A45" s="3"/>
      <c r="B45" s="15"/>
      <c r="C45" s="17"/>
      <c r="D45" s="11"/>
      <c r="E45" s="11"/>
      <c r="F45" s="12"/>
      <c r="G45" s="11"/>
      <c r="H45" s="11"/>
      <c r="I45" s="11"/>
      <c r="J45" s="11"/>
      <c r="K45" s="11"/>
      <c r="L45" s="11"/>
      <c r="M45" s="13"/>
    </row>
    <row r="46" spans="1:18" ht="18.75" x14ac:dyDescent="0.3">
      <c r="A46" s="3"/>
      <c r="B46" s="4"/>
      <c r="C46" s="4"/>
      <c r="D46" s="11"/>
      <c r="E46" s="11"/>
      <c r="F46" s="12"/>
      <c r="G46" s="11"/>
      <c r="H46" s="11"/>
      <c r="I46" s="11"/>
      <c r="J46" s="11"/>
      <c r="K46" s="11"/>
      <c r="L46" s="11"/>
      <c r="M46" s="13"/>
    </row>
    <row r="47" spans="1:18" ht="17.25" customHeight="1" thickBot="1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8" ht="19.5" customHeight="1" thickBot="1" x14ac:dyDescent="0.35">
      <c r="A48" s="5"/>
      <c r="B48" s="35" t="s">
        <v>92</v>
      </c>
      <c r="C48" s="27" t="s">
        <v>44</v>
      </c>
      <c r="D48" s="28" t="s">
        <v>45</v>
      </c>
      <c r="E48" s="29" t="s">
        <v>46</v>
      </c>
      <c r="F48" s="20" t="s">
        <v>62</v>
      </c>
      <c r="G48" s="30" t="s">
        <v>47</v>
      </c>
      <c r="I48" s="45" t="s">
        <v>48</v>
      </c>
      <c r="J48" s="46"/>
      <c r="K48" s="46"/>
      <c r="L48" s="46"/>
      <c r="M48" s="46"/>
      <c r="N48" s="46"/>
      <c r="O48" s="46"/>
      <c r="P48" s="46"/>
      <c r="Q48" s="46"/>
      <c r="R48" s="47"/>
    </row>
    <row r="49" spans="1:18" ht="18.75" x14ac:dyDescent="0.3">
      <c r="A49" s="5"/>
      <c r="B49" s="36"/>
      <c r="C49" s="17" t="s">
        <v>59</v>
      </c>
      <c r="D49" s="7">
        <v>2</v>
      </c>
      <c r="E49" s="22">
        <v>0</v>
      </c>
      <c r="F49" s="15"/>
      <c r="G49" s="23">
        <v>39</v>
      </c>
      <c r="I49" s="37" t="s">
        <v>49</v>
      </c>
      <c r="J49" s="38"/>
      <c r="K49" s="38"/>
      <c r="L49" s="38"/>
      <c r="M49" s="38"/>
      <c r="N49" s="48" t="s">
        <v>88</v>
      </c>
      <c r="O49" s="48"/>
      <c r="P49" s="48"/>
      <c r="Q49" s="48"/>
      <c r="R49" s="49"/>
    </row>
    <row r="50" spans="1:18" ht="18.75" x14ac:dyDescent="0.3">
      <c r="A50" s="5"/>
      <c r="B50" s="36"/>
      <c r="C50" s="17" t="s">
        <v>58</v>
      </c>
      <c r="D50" s="7">
        <v>2</v>
      </c>
      <c r="E50" s="16">
        <v>0</v>
      </c>
      <c r="F50" s="15"/>
      <c r="G50" s="17">
        <v>35</v>
      </c>
      <c r="I50" s="39" t="s">
        <v>51</v>
      </c>
      <c r="J50" s="40"/>
      <c r="K50" s="40"/>
      <c r="L50" s="40"/>
      <c r="M50" s="40"/>
      <c r="N50" s="43" t="s">
        <v>87</v>
      </c>
      <c r="O50" s="43"/>
      <c r="P50" s="43"/>
      <c r="Q50" s="43"/>
      <c r="R50" s="44"/>
    </row>
    <row r="51" spans="1:18" ht="18.75" x14ac:dyDescent="0.3">
      <c r="A51" s="5"/>
      <c r="B51" s="36"/>
      <c r="C51" s="17" t="s">
        <v>60</v>
      </c>
      <c r="D51" s="7">
        <v>2</v>
      </c>
      <c r="E51" s="22">
        <v>0</v>
      </c>
      <c r="F51" s="15"/>
      <c r="G51" s="23">
        <v>31</v>
      </c>
      <c r="I51" s="39" t="s">
        <v>53</v>
      </c>
      <c r="J51" s="40"/>
      <c r="K51" s="40"/>
      <c r="L51" s="40"/>
      <c r="M51" s="40"/>
      <c r="N51" s="43" t="s">
        <v>90</v>
      </c>
      <c r="O51" s="43"/>
      <c r="P51" s="43"/>
      <c r="Q51" s="43"/>
      <c r="R51" s="44"/>
    </row>
    <row r="52" spans="1:18" ht="18.75" x14ac:dyDescent="0.3">
      <c r="A52" s="6"/>
      <c r="B52" s="36"/>
      <c r="C52" s="18" t="s">
        <v>61</v>
      </c>
      <c r="D52" s="9">
        <v>2</v>
      </c>
      <c r="E52" s="10">
        <v>0</v>
      </c>
      <c r="F52" s="15"/>
      <c r="G52" s="18">
        <v>29</v>
      </c>
      <c r="I52" s="39" t="s">
        <v>54</v>
      </c>
      <c r="J52" s="40"/>
      <c r="K52" s="40"/>
      <c r="L52" s="40"/>
      <c r="M52" s="40"/>
      <c r="N52" s="43" t="s">
        <v>86</v>
      </c>
      <c r="O52" s="43"/>
      <c r="P52" s="43"/>
      <c r="Q52" s="43"/>
      <c r="R52" s="44"/>
    </row>
    <row r="53" spans="1:18" ht="18" customHeight="1" x14ac:dyDescent="0.3">
      <c r="A53" s="6"/>
      <c r="B53" s="36"/>
      <c r="C53" s="17" t="s">
        <v>52</v>
      </c>
      <c r="D53" s="7">
        <v>0</v>
      </c>
      <c r="E53" s="22">
        <v>2</v>
      </c>
      <c r="F53" s="15"/>
      <c r="G53" s="23">
        <v>16</v>
      </c>
      <c r="I53" s="39" t="s">
        <v>56</v>
      </c>
      <c r="J53" s="40"/>
      <c r="K53" s="40"/>
      <c r="L53" s="40"/>
      <c r="M53" s="40"/>
      <c r="N53" s="43" t="s">
        <v>90</v>
      </c>
      <c r="O53" s="43"/>
      <c r="P53" s="43"/>
      <c r="Q53" s="43"/>
      <c r="R53" s="44"/>
    </row>
    <row r="54" spans="1:18" ht="18" customHeight="1" thickBot="1" x14ac:dyDescent="0.35">
      <c r="A54" s="6"/>
      <c r="B54" s="36"/>
      <c r="C54" s="17" t="s">
        <v>50</v>
      </c>
      <c r="D54" s="7">
        <v>0</v>
      </c>
      <c r="E54" s="16">
        <v>2</v>
      </c>
      <c r="F54" s="15"/>
      <c r="G54" s="17">
        <v>14</v>
      </c>
      <c r="I54" s="41" t="s">
        <v>57</v>
      </c>
      <c r="J54" s="42"/>
      <c r="K54" s="42"/>
      <c r="L54" s="42"/>
      <c r="M54" s="42"/>
      <c r="N54" s="43" t="s">
        <v>86</v>
      </c>
      <c r="O54" s="43"/>
      <c r="P54" s="43"/>
      <c r="Q54" s="43"/>
      <c r="R54" s="44"/>
    </row>
    <row r="55" spans="1:18" ht="18.75" x14ac:dyDescent="0.3">
      <c r="A55" s="6"/>
      <c r="B55" s="36"/>
      <c r="C55" s="18" t="s">
        <v>75</v>
      </c>
      <c r="D55" s="9">
        <v>0</v>
      </c>
      <c r="E55" s="10">
        <v>1</v>
      </c>
      <c r="F55" s="15"/>
      <c r="G55" s="18">
        <v>10</v>
      </c>
      <c r="H55" s="6"/>
      <c r="I55" s="6"/>
    </row>
    <row r="56" spans="1:18" ht="18.75" x14ac:dyDescent="0.3">
      <c r="A56" s="6"/>
      <c r="B56" s="36"/>
      <c r="C56" s="17" t="s">
        <v>73</v>
      </c>
      <c r="D56" s="7">
        <v>0</v>
      </c>
      <c r="E56" s="22">
        <v>1</v>
      </c>
      <c r="F56" s="15"/>
      <c r="G56" s="23">
        <v>8</v>
      </c>
      <c r="H56" s="6"/>
    </row>
    <row r="57" spans="1:18" ht="18.75" x14ac:dyDescent="0.3">
      <c r="B57" s="36"/>
      <c r="C57" s="19" t="s">
        <v>68</v>
      </c>
      <c r="D57" s="9">
        <v>0</v>
      </c>
      <c r="E57" s="10">
        <v>1</v>
      </c>
      <c r="F57" s="15"/>
      <c r="G57" s="18">
        <v>6</v>
      </c>
    </row>
    <row r="58" spans="1:18" ht="18.75" x14ac:dyDescent="0.3">
      <c r="B58" s="36"/>
      <c r="C58" s="17" t="s">
        <v>55</v>
      </c>
      <c r="D58" s="7">
        <v>0</v>
      </c>
      <c r="E58" s="22">
        <v>1</v>
      </c>
      <c r="F58" s="15"/>
      <c r="G58" s="23">
        <v>4</v>
      </c>
    </row>
    <row r="59" spans="1:18" ht="15.75" thickBot="1" x14ac:dyDescent="0.3"/>
    <row r="60" spans="1:18" ht="19.5" thickBot="1" x14ac:dyDescent="0.35">
      <c r="C60" s="27" t="s">
        <v>76</v>
      </c>
      <c r="D60" s="28" t="s">
        <v>45</v>
      </c>
      <c r="E60" s="28" t="s">
        <v>46</v>
      </c>
      <c r="F60" s="20" t="s">
        <v>62</v>
      </c>
      <c r="G60" s="31" t="s">
        <v>47</v>
      </c>
    </row>
    <row r="61" spans="1:18" ht="18.75" x14ac:dyDescent="0.3">
      <c r="C61" s="14" t="s">
        <v>59</v>
      </c>
      <c r="D61" s="14">
        <v>2</v>
      </c>
      <c r="E61" s="24">
        <v>0</v>
      </c>
      <c r="F61" s="15"/>
      <c r="G61" s="25">
        <v>39</v>
      </c>
    </row>
    <row r="62" spans="1:18" ht="18.75" x14ac:dyDescent="0.3">
      <c r="C62" s="7" t="s">
        <v>60</v>
      </c>
      <c r="D62" s="7">
        <v>2</v>
      </c>
      <c r="E62" s="22">
        <v>0</v>
      </c>
      <c r="F62" s="15"/>
      <c r="G62" s="23">
        <v>31</v>
      </c>
    </row>
    <row r="63" spans="1:18" ht="18.75" x14ac:dyDescent="0.3">
      <c r="C63" s="14" t="s">
        <v>50</v>
      </c>
      <c r="D63" s="14">
        <v>0</v>
      </c>
      <c r="E63" s="21">
        <v>2</v>
      </c>
      <c r="F63" s="26"/>
      <c r="G63" s="19">
        <v>14</v>
      </c>
    </row>
    <row r="64" spans="1:18" ht="18.75" x14ac:dyDescent="0.3">
      <c r="C64" s="14" t="s">
        <v>73</v>
      </c>
      <c r="D64" s="14">
        <v>0</v>
      </c>
      <c r="E64" s="24">
        <v>1</v>
      </c>
      <c r="F64" s="26"/>
      <c r="G64" s="25">
        <v>8</v>
      </c>
    </row>
    <row r="65" spans="3:7" ht="18.75" x14ac:dyDescent="0.3">
      <c r="C65" s="7" t="s">
        <v>55</v>
      </c>
      <c r="D65" s="7">
        <v>0</v>
      </c>
      <c r="E65" s="22">
        <v>1</v>
      </c>
      <c r="F65" s="15"/>
      <c r="G65" s="23">
        <v>4</v>
      </c>
    </row>
    <row r="66" spans="3:7" ht="15.75" thickBot="1" x14ac:dyDescent="0.3"/>
    <row r="67" spans="3:7" ht="19.5" thickBot="1" x14ac:dyDescent="0.35">
      <c r="C67" s="27" t="s">
        <v>77</v>
      </c>
      <c r="D67" s="28" t="s">
        <v>45</v>
      </c>
      <c r="E67" s="28" t="s">
        <v>46</v>
      </c>
      <c r="F67" s="20" t="s">
        <v>62</v>
      </c>
      <c r="G67" s="31" t="s">
        <v>47</v>
      </c>
    </row>
    <row r="68" spans="3:7" ht="18.75" x14ac:dyDescent="0.3">
      <c r="C68" s="7" t="s">
        <v>58</v>
      </c>
      <c r="D68" s="7">
        <v>2</v>
      </c>
      <c r="E68" s="16">
        <v>0</v>
      </c>
      <c r="F68" s="15"/>
      <c r="G68" s="17">
        <v>35</v>
      </c>
    </row>
    <row r="69" spans="3:7" ht="18.75" x14ac:dyDescent="0.3">
      <c r="C69" s="9" t="s">
        <v>61</v>
      </c>
      <c r="D69" s="9">
        <v>2</v>
      </c>
      <c r="E69" s="10">
        <v>0</v>
      </c>
      <c r="F69" s="15"/>
      <c r="G69" s="18">
        <v>29</v>
      </c>
    </row>
    <row r="70" spans="3:7" ht="18.75" x14ac:dyDescent="0.3">
      <c r="C70" s="32" t="s">
        <v>52</v>
      </c>
      <c r="D70" s="14">
        <v>0</v>
      </c>
      <c r="E70" s="24">
        <v>2</v>
      </c>
      <c r="F70" s="15"/>
      <c r="G70" s="25">
        <v>16</v>
      </c>
    </row>
    <row r="71" spans="3:7" ht="18.75" x14ac:dyDescent="0.3">
      <c r="C71" s="15" t="s">
        <v>75</v>
      </c>
      <c r="D71" s="18">
        <v>0</v>
      </c>
      <c r="E71" s="10">
        <v>1</v>
      </c>
      <c r="F71" s="15"/>
      <c r="G71" s="18">
        <v>10</v>
      </c>
    </row>
    <row r="72" spans="3:7" ht="18.75" x14ac:dyDescent="0.3">
      <c r="C72" s="14" t="s">
        <v>68</v>
      </c>
      <c r="D72" s="14">
        <v>0</v>
      </c>
      <c r="E72" s="21">
        <v>1</v>
      </c>
      <c r="F72" s="26"/>
      <c r="G72" s="19">
        <v>6</v>
      </c>
    </row>
  </sheetData>
  <sortState ref="A2:M44">
    <sortCondition descending="1" ref="F2:F44"/>
  </sortState>
  <mergeCells count="14">
    <mergeCell ref="N54:R54"/>
    <mergeCell ref="I48:R48"/>
    <mergeCell ref="N49:R49"/>
    <mergeCell ref="N50:R50"/>
    <mergeCell ref="N51:R51"/>
    <mergeCell ref="N52:R52"/>
    <mergeCell ref="N53:R53"/>
    <mergeCell ref="B48:B58"/>
    <mergeCell ref="I49:M49"/>
    <mergeCell ref="I50:M50"/>
    <mergeCell ref="I51:M51"/>
    <mergeCell ref="I52:M52"/>
    <mergeCell ref="I53:M53"/>
    <mergeCell ref="I54:M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Sam</dc:creator>
  <cp:keywords/>
  <dc:description/>
  <cp:lastModifiedBy>Mellie, Gabriella</cp:lastModifiedBy>
  <cp:revision/>
  <dcterms:created xsi:type="dcterms:W3CDTF">2023-09-18T23:48:25Z</dcterms:created>
  <dcterms:modified xsi:type="dcterms:W3CDTF">2025-08-28T11:46:48Z</dcterms:modified>
  <cp:category/>
  <cp:contentStatus/>
</cp:coreProperties>
</file>