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lliga1\Desktop\"/>
    </mc:Choice>
  </mc:AlternateContent>
  <xr:revisionPtr revIDLastSave="0" documentId="8_{E50D1677-2BD8-4976-B10E-39C08AEB22D5}" xr6:coauthVersionLast="36" xr6:coauthVersionMax="36" xr10:uidLastSave="{00000000-0000-0000-0000-000000000000}"/>
  <bookViews>
    <workbookView showHorizontalScroll="0" showVerticalScroll="0" xWindow="0" yWindow="0" windowWidth="19200" windowHeight="6810" activeTab="13" xr2:uid="{00000000-000D-0000-FFFF-FFFF00000000}"/>
  </bookViews>
  <sheets>
    <sheet name="Week 1" sheetId="2" r:id="rId1"/>
    <sheet name="Week 2" sheetId="1" r:id="rId2"/>
    <sheet name="Week 3" sheetId="3" r:id="rId3"/>
    <sheet name="Week 4" sheetId="5" r:id="rId4"/>
    <sheet name="Week 5" sheetId="6" r:id="rId5"/>
    <sheet name="Week 6" sheetId="7" r:id="rId6"/>
    <sheet name="Week 7" sheetId="4" r:id="rId7"/>
    <sheet name="Week 8" sheetId="8" r:id="rId8"/>
    <sheet name="Week 9" sheetId="9" r:id="rId9"/>
    <sheet name="Week 10" sheetId="13" r:id="rId10"/>
    <sheet name="Week 11" sheetId="10" r:id="rId11"/>
    <sheet name="Week 12" sheetId="14" r:id="rId12"/>
    <sheet name="Week 13" sheetId="11" r:id="rId13"/>
    <sheet name="Week 14" sheetId="12" r:id="rId1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4" l="1"/>
  <c r="F2" i="14" s="1"/>
  <c r="E2" i="14"/>
  <c r="D3" i="14"/>
  <c r="E3" i="14"/>
  <c r="F3" i="14"/>
  <c r="D4" i="14"/>
  <c r="E4" i="14"/>
  <c r="F4" i="14"/>
  <c r="D5" i="14"/>
  <c r="F5" i="14" s="1"/>
  <c r="E5" i="14"/>
  <c r="D6" i="14"/>
  <c r="F6" i="14" s="1"/>
  <c r="E6" i="14"/>
  <c r="D7" i="14"/>
  <c r="E7" i="14"/>
  <c r="F7" i="14"/>
  <c r="D8" i="14"/>
  <c r="E8" i="14"/>
  <c r="F8" i="14"/>
  <c r="D9" i="14"/>
  <c r="E9" i="14"/>
  <c r="F9" i="14"/>
  <c r="D10" i="14"/>
  <c r="F10" i="14" s="1"/>
  <c r="E10" i="14"/>
  <c r="D11" i="14"/>
  <c r="F11" i="14" s="1"/>
  <c r="E11" i="14"/>
  <c r="D12" i="14"/>
  <c r="E12" i="14"/>
  <c r="F12" i="14"/>
  <c r="D13" i="14"/>
  <c r="E13" i="14"/>
  <c r="F13" i="14"/>
  <c r="D14" i="14"/>
  <c r="E14" i="14"/>
  <c r="F14" i="14"/>
  <c r="D15" i="14"/>
  <c r="E15" i="14"/>
  <c r="F15" i="14"/>
  <c r="D16" i="14"/>
  <c r="F16" i="14" s="1"/>
  <c r="E16" i="14"/>
  <c r="D17" i="14"/>
  <c r="E17" i="14"/>
  <c r="F17" i="14"/>
  <c r="D18" i="14"/>
  <c r="E18" i="14"/>
  <c r="F18" i="14"/>
  <c r="D19" i="14"/>
  <c r="F19" i="14" s="1"/>
  <c r="E19" i="14"/>
  <c r="D20" i="14"/>
  <c r="F20" i="14" s="1"/>
  <c r="E20" i="14"/>
  <c r="D21" i="14"/>
  <c r="E21" i="14"/>
  <c r="F21" i="14"/>
  <c r="D22" i="14"/>
  <c r="E22" i="14"/>
  <c r="F22" i="14"/>
  <c r="D23" i="14"/>
  <c r="E23" i="14"/>
  <c r="F23" i="14"/>
  <c r="D24" i="14"/>
  <c r="F24" i="14" s="1"/>
  <c r="E24" i="14"/>
  <c r="D25" i="14"/>
  <c r="F25" i="14" s="1"/>
  <c r="E25" i="14"/>
  <c r="D26" i="14"/>
  <c r="E26" i="14"/>
  <c r="F26" i="14"/>
  <c r="D27" i="14"/>
  <c r="E27" i="14"/>
  <c r="F27" i="14"/>
  <c r="D28" i="14"/>
  <c r="E28" i="14"/>
  <c r="F28" i="14"/>
  <c r="D29" i="14"/>
  <c r="E29" i="14"/>
  <c r="F29" i="14"/>
  <c r="D30" i="14"/>
  <c r="F30" i="14" s="1"/>
  <c r="E30" i="14"/>
  <c r="D31" i="14"/>
  <c r="E31" i="14"/>
  <c r="F31" i="14"/>
  <c r="D32" i="14"/>
  <c r="E32" i="14"/>
  <c r="F32" i="14"/>
  <c r="D33" i="14"/>
  <c r="F33" i="14" s="1"/>
  <c r="E33" i="14"/>
  <c r="D34" i="14"/>
  <c r="F34" i="14" s="1"/>
  <c r="E34" i="14"/>
  <c r="D35" i="14"/>
  <c r="E35" i="14"/>
  <c r="F35" i="14"/>
  <c r="D36" i="14"/>
  <c r="E36" i="14"/>
  <c r="F36" i="14"/>
  <c r="D37" i="14"/>
  <c r="E37" i="14"/>
  <c r="F37" i="14"/>
  <c r="D38" i="14"/>
  <c r="F38" i="14" s="1"/>
  <c r="E38" i="14"/>
  <c r="D39" i="14"/>
  <c r="F39" i="14" s="1"/>
  <c r="E39" i="14"/>
  <c r="D40" i="14"/>
  <c r="E40" i="14"/>
  <c r="F40" i="14"/>
  <c r="D41" i="14"/>
  <c r="E41" i="14"/>
  <c r="F41" i="14"/>
  <c r="D42" i="14"/>
  <c r="E42" i="14"/>
  <c r="F42" i="14"/>
  <c r="D43" i="14"/>
  <c r="E43" i="14"/>
  <c r="F43" i="14"/>
  <c r="D44" i="14"/>
  <c r="F44" i="14" s="1"/>
  <c r="E44" i="14"/>
  <c r="D45" i="14"/>
  <c r="E45" i="14"/>
  <c r="F45" i="14"/>
  <c r="D46" i="14"/>
  <c r="E46" i="14"/>
  <c r="F46" i="14"/>
  <c r="D47" i="14"/>
  <c r="F47" i="14" s="1"/>
  <c r="E47" i="14"/>
  <c r="D48" i="14"/>
  <c r="F48" i="14" s="1"/>
  <c r="E48" i="14"/>
  <c r="D49" i="14"/>
  <c r="E49" i="14"/>
  <c r="F49" i="14"/>
  <c r="D50" i="14"/>
  <c r="E50" i="14"/>
  <c r="F50" i="14"/>
  <c r="D51" i="14"/>
  <c r="E51" i="14"/>
  <c r="F51" i="14"/>
  <c r="D52" i="14"/>
  <c r="F52" i="14" s="1"/>
  <c r="E52" i="14"/>
  <c r="D53" i="14"/>
  <c r="F53" i="14" s="1"/>
  <c r="E53" i="14"/>
  <c r="D54" i="14"/>
  <c r="E54" i="14"/>
  <c r="F54" i="14"/>
  <c r="D2" i="13" l="1"/>
  <c r="F2" i="13" s="1"/>
  <c r="E2" i="13"/>
  <c r="D3" i="13"/>
  <c r="E3" i="13"/>
  <c r="F3" i="13"/>
  <c r="D4" i="13"/>
  <c r="E4" i="13"/>
  <c r="F4" i="13"/>
  <c r="D5" i="13"/>
  <c r="E5" i="13"/>
  <c r="F5" i="13"/>
  <c r="D6" i="13"/>
  <c r="E6" i="13"/>
  <c r="F6" i="13"/>
  <c r="D7" i="13"/>
  <c r="E7" i="13"/>
  <c r="F7" i="13"/>
  <c r="D8" i="13"/>
  <c r="E8" i="13"/>
  <c r="F8" i="13"/>
  <c r="D9" i="13"/>
  <c r="E9" i="13"/>
  <c r="F9" i="13"/>
  <c r="D10" i="13"/>
  <c r="E10" i="13"/>
  <c r="F10" i="13"/>
  <c r="D11" i="13"/>
  <c r="F11" i="13" s="1"/>
  <c r="E11" i="13"/>
  <c r="D12" i="13"/>
  <c r="E12" i="13"/>
  <c r="F12" i="13"/>
  <c r="D13" i="13"/>
  <c r="E13" i="13"/>
  <c r="F13" i="13"/>
  <c r="D14" i="13"/>
  <c r="E14" i="13"/>
  <c r="F14" i="13"/>
  <c r="D15" i="13"/>
  <c r="E15" i="13"/>
  <c r="F15" i="13"/>
  <c r="D16" i="13"/>
  <c r="F16" i="13" s="1"/>
  <c r="E16" i="13"/>
  <c r="D17" i="13"/>
  <c r="E17" i="13"/>
  <c r="F17" i="13"/>
  <c r="D18" i="13"/>
  <c r="E18" i="13"/>
  <c r="F18" i="13"/>
  <c r="D19" i="13"/>
  <c r="E19" i="13"/>
  <c r="F19" i="13"/>
  <c r="D20" i="13"/>
  <c r="E20" i="13"/>
  <c r="F20" i="13"/>
  <c r="D21" i="13"/>
  <c r="E21" i="13"/>
  <c r="F21" i="13"/>
  <c r="D22" i="13"/>
  <c r="E22" i="13"/>
  <c r="F22" i="13"/>
  <c r="D23" i="13"/>
  <c r="E23" i="13"/>
  <c r="F23" i="13"/>
  <c r="D24" i="13"/>
  <c r="E24" i="13"/>
  <c r="F24" i="13"/>
  <c r="D25" i="13"/>
  <c r="F25" i="13" s="1"/>
  <c r="E25" i="13"/>
  <c r="D26" i="13"/>
  <c r="E26" i="13"/>
  <c r="F26" i="13"/>
  <c r="D27" i="13"/>
  <c r="E27" i="13"/>
  <c r="F27" i="13"/>
  <c r="D28" i="13"/>
  <c r="E28" i="13"/>
  <c r="F28" i="13"/>
  <c r="D29" i="13"/>
  <c r="E29" i="13"/>
  <c r="F29" i="13"/>
  <c r="D30" i="13"/>
  <c r="F30" i="13" s="1"/>
  <c r="E30" i="13"/>
  <c r="D31" i="13"/>
  <c r="E31" i="13"/>
  <c r="F31" i="13"/>
  <c r="D32" i="13"/>
  <c r="E32" i="13"/>
  <c r="F32" i="13"/>
  <c r="D33" i="13"/>
  <c r="E33" i="13"/>
  <c r="F33" i="13"/>
  <c r="D34" i="13"/>
  <c r="E34" i="13"/>
  <c r="F34" i="13"/>
  <c r="D35" i="13"/>
  <c r="E35" i="13"/>
  <c r="F35" i="13"/>
  <c r="D36" i="13"/>
  <c r="E36" i="13"/>
  <c r="F36" i="13"/>
  <c r="D37" i="13"/>
  <c r="E37" i="13"/>
  <c r="F37" i="13"/>
  <c r="D38" i="13"/>
  <c r="E38" i="13"/>
  <c r="F38" i="13"/>
  <c r="D39" i="13"/>
  <c r="F39" i="13" s="1"/>
  <c r="E39" i="13"/>
  <c r="D40" i="13"/>
  <c r="E40" i="13"/>
  <c r="F40" i="13"/>
  <c r="D41" i="13"/>
  <c r="E41" i="13"/>
  <c r="F41" i="13"/>
  <c r="D42" i="13"/>
  <c r="E42" i="13"/>
  <c r="F42" i="13"/>
  <c r="D43" i="13"/>
  <c r="E43" i="13"/>
  <c r="F43" i="13"/>
  <c r="D44" i="13"/>
  <c r="F44" i="13" s="1"/>
  <c r="E44" i="13"/>
  <c r="D45" i="13"/>
  <c r="E45" i="13"/>
  <c r="F45" i="13"/>
  <c r="D46" i="13"/>
  <c r="E46" i="13"/>
  <c r="F46" i="13"/>
  <c r="D47" i="13"/>
  <c r="E47" i="13"/>
  <c r="F47" i="13"/>
  <c r="D48" i="13"/>
  <c r="E48" i="13"/>
  <c r="F48" i="13"/>
  <c r="D49" i="13"/>
  <c r="E49" i="13"/>
  <c r="F49" i="13"/>
  <c r="D50" i="13"/>
  <c r="E50" i="13"/>
  <c r="F50" i="13"/>
  <c r="D51" i="13"/>
  <c r="E51" i="13"/>
  <c r="F51" i="13"/>
  <c r="D52" i="13"/>
  <c r="E52" i="13"/>
  <c r="F52" i="13"/>
  <c r="D53" i="13"/>
  <c r="F53" i="13" s="1"/>
  <c r="E53" i="13"/>
  <c r="D54" i="13"/>
  <c r="E54" i="13"/>
  <c r="F54" i="13"/>
  <c r="D2" i="12" l="1"/>
  <c r="E2" i="12"/>
  <c r="F2" i="12"/>
  <c r="D3" i="12"/>
  <c r="E3" i="12"/>
  <c r="F3" i="12"/>
  <c r="D4" i="12"/>
  <c r="E4" i="12"/>
  <c r="F4" i="12" s="1"/>
  <c r="D5" i="12"/>
  <c r="E5" i="12"/>
  <c r="F5" i="12"/>
  <c r="D6" i="12"/>
  <c r="F6" i="12" s="1"/>
  <c r="E6" i="12"/>
  <c r="D7" i="12"/>
  <c r="E7" i="12"/>
  <c r="F7" i="12"/>
  <c r="D8" i="12"/>
  <c r="E8" i="12"/>
  <c r="F8" i="12"/>
  <c r="D9" i="12"/>
  <c r="E9" i="12"/>
  <c r="F9" i="12"/>
  <c r="D10" i="12"/>
  <c r="E10" i="12"/>
  <c r="F10" i="12"/>
  <c r="D11" i="12"/>
  <c r="F11" i="12" s="1"/>
  <c r="E11" i="12"/>
  <c r="D12" i="12"/>
  <c r="E12" i="12"/>
  <c r="F12" i="12"/>
  <c r="D13" i="12"/>
  <c r="E13" i="12"/>
  <c r="F13" i="12"/>
  <c r="D14" i="12"/>
  <c r="E14" i="12"/>
  <c r="F14" i="12"/>
  <c r="D15" i="12"/>
  <c r="E15" i="12"/>
  <c r="F15" i="12"/>
  <c r="D16" i="12"/>
  <c r="E16" i="12"/>
  <c r="F16" i="12"/>
  <c r="D17" i="12"/>
  <c r="E17" i="12"/>
  <c r="F17" i="12"/>
  <c r="D18" i="12"/>
  <c r="E18" i="12"/>
  <c r="F18" i="12"/>
  <c r="D19" i="12"/>
  <c r="E19" i="12"/>
  <c r="F19" i="12"/>
  <c r="D20" i="12"/>
  <c r="F20" i="12" s="1"/>
  <c r="E20" i="12"/>
  <c r="D21" i="12"/>
  <c r="E21" i="12"/>
  <c r="F21" i="12"/>
  <c r="D22" i="12"/>
  <c r="E22" i="12"/>
  <c r="F22" i="12"/>
  <c r="D23" i="12"/>
  <c r="E23" i="12"/>
  <c r="F23" i="12"/>
  <c r="D24" i="12"/>
  <c r="E24" i="12"/>
  <c r="F24" i="12"/>
  <c r="D25" i="12"/>
  <c r="F25" i="12" s="1"/>
  <c r="E25" i="12"/>
  <c r="D26" i="12"/>
  <c r="E26" i="12"/>
  <c r="F26" i="12"/>
  <c r="D27" i="12"/>
  <c r="E27" i="12"/>
  <c r="F27" i="12"/>
  <c r="D28" i="12"/>
  <c r="E28" i="12"/>
  <c r="F28" i="12"/>
  <c r="D29" i="12"/>
  <c r="E29" i="12"/>
  <c r="F29" i="12"/>
  <c r="D30" i="12"/>
  <c r="E30" i="12"/>
  <c r="F30" i="12"/>
  <c r="D31" i="12"/>
  <c r="E31" i="12"/>
  <c r="F31" i="12"/>
  <c r="D32" i="12"/>
  <c r="E32" i="12"/>
  <c r="F32" i="12"/>
  <c r="D33" i="12"/>
  <c r="E33" i="12"/>
  <c r="F33" i="12"/>
  <c r="D34" i="12"/>
  <c r="F34" i="12" s="1"/>
  <c r="E34" i="12"/>
  <c r="D35" i="12"/>
  <c r="E35" i="12"/>
  <c r="F35" i="12"/>
  <c r="D36" i="12"/>
  <c r="E36" i="12"/>
  <c r="F36" i="12"/>
  <c r="D37" i="12"/>
  <c r="E37" i="12"/>
  <c r="F37" i="12"/>
  <c r="D38" i="12"/>
  <c r="E38" i="12"/>
  <c r="F38" i="12"/>
  <c r="D39" i="12"/>
  <c r="F39" i="12" s="1"/>
  <c r="E39" i="12"/>
  <c r="D40" i="12"/>
  <c r="E40" i="12"/>
  <c r="F40" i="12"/>
  <c r="D41" i="12"/>
  <c r="E41" i="12"/>
  <c r="F41" i="12"/>
  <c r="D42" i="12"/>
  <c r="E42" i="12"/>
  <c r="F42" i="12"/>
  <c r="D43" i="12"/>
  <c r="E43" i="12"/>
  <c r="F43" i="12"/>
  <c r="D44" i="12"/>
  <c r="E44" i="12"/>
  <c r="F44" i="12"/>
  <c r="D45" i="12"/>
  <c r="E45" i="12"/>
  <c r="F45" i="12"/>
  <c r="D46" i="12"/>
  <c r="E46" i="12"/>
  <c r="F46" i="12"/>
  <c r="D47" i="12"/>
  <c r="E47" i="12"/>
  <c r="F47" i="12"/>
  <c r="D48" i="12"/>
  <c r="F48" i="12" s="1"/>
  <c r="E48" i="12"/>
  <c r="D49" i="12"/>
  <c r="E49" i="12"/>
  <c r="F49" i="12"/>
  <c r="D50" i="12"/>
  <c r="E50" i="12"/>
  <c r="F50" i="12"/>
  <c r="D51" i="12"/>
  <c r="E51" i="12"/>
  <c r="F51" i="12"/>
  <c r="D52" i="12"/>
  <c r="E52" i="12"/>
  <c r="F52" i="12"/>
  <c r="D53" i="12"/>
  <c r="F53" i="12" s="1"/>
  <c r="E53" i="12"/>
  <c r="D54" i="12"/>
  <c r="E54" i="12"/>
  <c r="F54" i="12"/>
  <c r="D55" i="12"/>
  <c r="E55" i="12"/>
  <c r="F55" i="12"/>
  <c r="D56" i="12"/>
  <c r="E56" i="12"/>
  <c r="F56" i="12"/>
  <c r="D57" i="12"/>
  <c r="E57" i="12"/>
  <c r="F57" i="12"/>
  <c r="D2" i="11" l="1"/>
  <c r="E2" i="11"/>
  <c r="F2" i="11"/>
  <c r="D3" i="11"/>
  <c r="E3" i="11"/>
  <c r="F3" i="11"/>
  <c r="D4" i="11"/>
  <c r="F4" i="11" s="1"/>
  <c r="E4" i="11"/>
  <c r="D5" i="11"/>
  <c r="E5" i="11"/>
  <c r="F5" i="11"/>
  <c r="D6" i="11"/>
  <c r="F6" i="11" s="1"/>
  <c r="E6" i="11"/>
  <c r="D7" i="11"/>
  <c r="E7" i="11"/>
  <c r="F7" i="11"/>
  <c r="D8" i="11"/>
  <c r="E8" i="11"/>
  <c r="F8" i="11"/>
  <c r="D9" i="11"/>
  <c r="F9" i="11" s="1"/>
  <c r="E9" i="11"/>
  <c r="D10" i="11"/>
  <c r="E10" i="11"/>
  <c r="F10" i="11"/>
  <c r="D11" i="11"/>
  <c r="F11" i="11" s="1"/>
  <c r="E11" i="11"/>
  <c r="D12" i="11"/>
  <c r="E12" i="11"/>
  <c r="F12" i="11"/>
  <c r="D13" i="11"/>
  <c r="E13" i="11"/>
  <c r="F13" i="11"/>
  <c r="D14" i="11"/>
  <c r="E14" i="11"/>
  <c r="F14" i="11"/>
  <c r="D15" i="11"/>
  <c r="E15" i="11"/>
  <c r="F15" i="11"/>
  <c r="D16" i="11"/>
  <c r="E16" i="11"/>
  <c r="F16" i="11"/>
  <c r="D17" i="11"/>
  <c r="E17" i="11"/>
  <c r="F17" i="11"/>
  <c r="D18" i="11"/>
  <c r="F18" i="11" s="1"/>
  <c r="E18" i="11"/>
  <c r="D19" i="11"/>
  <c r="E19" i="11"/>
  <c r="F19" i="11"/>
  <c r="D20" i="11"/>
  <c r="F20" i="11" s="1"/>
  <c r="E20" i="11"/>
  <c r="D21" i="11"/>
  <c r="E21" i="11"/>
  <c r="F21" i="11"/>
  <c r="D22" i="11"/>
  <c r="E22" i="11"/>
  <c r="F22" i="11"/>
  <c r="D23" i="11"/>
  <c r="F23" i="11" s="1"/>
  <c r="E23" i="11"/>
  <c r="D24" i="11"/>
  <c r="E24" i="11"/>
  <c r="F24" i="11"/>
  <c r="D25" i="11"/>
  <c r="F25" i="11" s="1"/>
  <c r="E25" i="11"/>
  <c r="D26" i="11"/>
  <c r="E26" i="11"/>
  <c r="F26" i="11"/>
  <c r="D27" i="11"/>
  <c r="E27" i="11"/>
  <c r="F27" i="11"/>
  <c r="D28" i="11"/>
  <c r="E28" i="11"/>
  <c r="F28" i="11"/>
  <c r="D29" i="11"/>
  <c r="E29" i="11"/>
  <c r="F29" i="11"/>
  <c r="D30" i="11"/>
  <c r="E30" i="11"/>
  <c r="F30" i="11"/>
  <c r="D31" i="11"/>
  <c r="E31" i="11"/>
  <c r="F31" i="11" s="1"/>
  <c r="D32" i="11"/>
  <c r="F32" i="11" s="1"/>
  <c r="E32" i="11"/>
  <c r="D33" i="11"/>
  <c r="E33" i="11"/>
  <c r="F33" i="11"/>
  <c r="D34" i="11"/>
  <c r="F34" i="11" s="1"/>
  <c r="E34" i="11"/>
  <c r="D35" i="11"/>
  <c r="E35" i="11"/>
  <c r="F35" i="11"/>
  <c r="D36" i="11"/>
  <c r="E36" i="11"/>
  <c r="F36" i="11"/>
  <c r="D37" i="11"/>
  <c r="F37" i="11" s="1"/>
  <c r="E37" i="11"/>
  <c r="D38" i="11"/>
  <c r="E38" i="11"/>
  <c r="F38" i="11"/>
  <c r="D39" i="11"/>
  <c r="F39" i="11" s="1"/>
  <c r="E39" i="11"/>
  <c r="D40" i="11"/>
  <c r="E40" i="11"/>
  <c r="F40" i="11"/>
  <c r="D41" i="11"/>
  <c r="E41" i="11"/>
  <c r="F41" i="11"/>
  <c r="D42" i="11"/>
  <c r="E42" i="11"/>
  <c r="F42" i="11"/>
  <c r="D43" i="11"/>
  <c r="E43" i="11"/>
  <c r="F43" i="11"/>
  <c r="D44" i="11"/>
  <c r="E44" i="11"/>
  <c r="F44" i="11"/>
  <c r="D45" i="11"/>
  <c r="E45" i="11"/>
  <c r="F45" i="11"/>
  <c r="D46" i="11"/>
  <c r="F46" i="11" s="1"/>
  <c r="E46" i="11"/>
  <c r="D47" i="11"/>
  <c r="E47" i="11"/>
  <c r="F47" i="11"/>
  <c r="D48" i="11"/>
  <c r="F48" i="11" s="1"/>
  <c r="E48" i="11"/>
  <c r="D49" i="11"/>
  <c r="E49" i="11"/>
  <c r="F49" i="11"/>
  <c r="D50" i="11"/>
  <c r="E50" i="11"/>
  <c r="F50" i="11"/>
  <c r="D51" i="11"/>
  <c r="F51" i="11" s="1"/>
  <c r="E51" i="11"/>
  <c r="D52" i="11"/>
  <c r="E52" i="11"/>
  <c r="F52" i="11"/>
  <c r="D53" i="11"/>
  <c r="F53" i="11" s="1"/>
  <c r="E53" i="11"/>
  <c r="D54" i="11"/>
  <c r="E54" i="11"/>
  <c r="F54" i="11"/>
  <c r="D55" i="11"/>
  <c r="E55" i="11"/>
  <c r="F55" i="11"/>
  <c r="D56" i="11"/>
  <c r="E56" i="11"/>
  <c r="F56" i="11"/>
  <c r="D2" i="10" l="1"/>
  <c r="F2" i="10" s="1"/>
  <c r="E2" i="10"/>
  <c r="D3" i="10"/>
  <c r="E3" i="10"/>
  <c r="F3" i="10"/>
  <c r="D4" i="10"/>
  <c r="F4" i="10" s="1"/>
  <c r="E4" i="10"/>
  <c r="D5" i="10"/>
  <c r="E5" i="10"/>
  <c r="F5" i="10"/>
  <c r="D6" i="10"/>
  <c r="E6" i="10"/>
  <c r="F6" i="10"/>
  <c r="D7" i="10"/>
  <c r="E7" i="10"/>
  <c r="F7" i="10"/>
  <c r="D8" i="10"/>
  <c r="E8" i="10"/>
  <c r="F8" i="10"/>
  <c r="D9" i="10"/>
  <c r="E9" i="10"/>
  <c r="F9" i="10"/>
  <c r="D10" i="10"/>
  <c r="E10" i="10"/>
  <c r="F10" i="10"/>
  <c r="D11" i="10"/>
  <c r="F11" i="10" s="1"/>
  <c r="E11" i="10"/>
  <c r="D12" i="10"/>
  <c r="E12" i="10"/>
  <c r="F12" i="10"/>
  <c r="D13" i="10"/>
  <c r="F13" i="10" s="1"/>
  <c r="E13" i="10"/>
  <c r="D14" i="10"/>
  <c r="E14" i="10"/>
  <c r="F14" i="10"/>
  <c r="D15" i="10"/>
  <c r="E15" i="10"/>
  <c r="F15" i="10"/>
  <c r="D16" i="10"/>
  <c r="F16" i="10" s="1"/>
  <c r="E16" i="10"/>
  <c r="D17" i="10"/>
  <c r="E17" i="10"/>
  <c r="F17" i="10"/>
  <c r="D18" i="10"/>
  <c r="F18" i="10" s="1"/>
  <c r="E18" i="10"/>
  <c r="D19" i="10"/>
  <c r="E19" i="10"/>
  <c r="F19" i="10"/>
  <c r="D20" i="10"/>
  <c r="E20" i="10"/>
  <c r="F20" i="10"/>
  <c r="D21" i="10"/>
  <c r="E21" i="10"/>
  <c r="F21" i="10"/>
  <c r="D22" i="10"/>
  <c r="E22" i="10"/>
  <c r="F22" i="10"/>
  <c r="D23" i="10"/>
  <c r="E23" i="10"/>
  <c r="F23" i="10"/>
  <c r="D24" i="10"/>
  <c r="E24" i="10"/>
  <c r="F24" i="10"/>
  <c r="D25" i="10"/>
  <c r="F25" i="10" s="1"/>
  <c r="E25" i="10"/>
  <c r="D26" i="10"/>
  <c r="E26" i="10"/>
  <c r="F26" i="10"/>
  <c r="D27" i="10"/>
  <c r="F27" i="10" s="1"/>
  <c r="E27" i="10"/>
  <c r="D28" i="10"/>
  <c r="E28" i="10"/>
  <c r="F28" i="10"/>
  <c r="D29" i="10"/>
  <c r="E29" i="10"/>
  <c r="F29" i="10"/>
  <c r="D30" i="10"/>
  <c r="F30" i="10" s="1"/>
  <c r="E30" i="10"/>
  <c r="D31" i="10"/>
  <c r="E31" i="10"/>
  <c r="F31" i="10"/>
  <c r="D32" i="10"/>
  <c r="F32" i="10" s="1"/>
  <c r="E32" i="10"/>
  <c r="D33" i="10"/>
  <c r="E33" i="10"/>
  <c r="F33" i="10"/>
  <c r="D34" i="10"/>
  <c r="E34" i="10"/>
  <c r="F34" i="10"/>
  <c r="D35" i="10"/>
  <c r="E35" i="10"/>
  <c r="F35" i="10"/>
  <c r="D36" i="10"/>
  <c r="E36" i="10"/>
  <c r="F36" i="10"/>
  <c r="D37" i="10"/>
  <c r="E37" i="10"/>
  <c r="F37" i="10"/>
  <c r="D38" i="10"/>
  <c r="E38" i="10"/>
  <c r="F38" i="10"/>
  <c r="D39" i="10"/>
  <c r="F39" i="10" s="1"/>
  <c r="E39" i="10"/>
  <c r="D40" i="10"/>
  <c r="E40" i="10"/>
  <c r="F40" i="10"/>
  <c r="D41" i="10"/>
  <c r="F41" i="10" s="1"/>
  <c r="E41" i="10"/>
  <c r="D42" i="10"/>
  <c r="E42" i="10"/>
  <c r="F42" i="10"/>
  <c r="D43" i="10"/>
  <c r="E43" i="10"/>
  <c r="F43" i="10"/>
  <c r="D44" i="10"/>
  <c r="F44" i="10" s="1"/>
  <c r="E44" i="10"/>
  <c r="D45" i="10"/>
  <c r="E45" i="10"/>
  <c r="F45" i="10"/>
  <c r="D46" i="10"/>
  <c r="F46" i="10" s="1"/>
  <c r="E46" i="10"/>
  <c r="D47" i="10"/>
  <c r="E47" i="10"/>
  <c r="F47" i="10"/>
  <c r="D48" i="10"/>
  <c r="E48" i="10"/>
  <c r="F48" i="10"/>
  <c r="D49" i="10"/>
  <c r="E49" i="10"/>
  <c r="F49" i="10"/>
  <c r="D50" i="10"/>
  <c r="E50" i="10"/>
  <c r="F50" i="10"/>
  <c r="D51" i="10"/>
  <c r="E51" i="10"/>
  <c r="F51" i="10"/>
  <c r="D52" i="10"/>
  <c r="E52" i="10"/>
  <c r="F52" i="10"/>
  <c r="D53" i="10"/>
  <c r="F53" i="10" s="1"/>
  <c r="E53" i="10"/>
  <c r="D54" i="10"/>
  <c r="E54" i="10"/>
  <c r="F54" i="10"/>
  <c r="D2" i="9" l="1"/>
  <c r="E2" i="9"/>
  <c r="F2" i="9"/>
  <c r="D3" i="9"/>
  <c r="E3" i="9"/>
  <c r="F3" i="9"/>
  <c r="D4" i="9"/>
  <c r="E4" i="9"/>
  <c r="F4" i="9"/>
  <c r="D5" i="9"/>
  <c r="E5" i="9"/>
  <c r="F5" i="9"/>
  <c r="D6" i="9"/>
  <c r="F6" i="9" s="1"/>
  <c r="E6" i="9"/>
  <c r="D7" i="9"/>
  <c r="E7" i="9"/>
  <c r="F7" i="9"/>
  <c r="D8" i="9"/>
  <c r="E8" i="9"/>
  <c r="F8" i="9"/>
  <c r="D9" i="9"/>
  <c r="E9" i="9"/>
  <c r="F9" i="9"/>
  <c r="D10" i="9"/>
  <c r="E10" i="9"/>
  <c r="F10" i="9"/>
  <c r="D11" i="9"/>
  <c r="F11" i="9" s="1"/>
  <c r="E11" i="9"/>
  <c r="D12" i="9"/>
  <c r="E12" i="9"/>
  <c r="F12" i="9"/>
  <c r="D13" i="9"/>
  <c r="E13" i="9"/>
  <c r="F13" i="9"/>
  <c r="D14" i="9"/>
  <c r="E14" i="9"/>
  <c r="F14" i="9"/>
  <c r="D15" i="9"/>
  <c r="E15" i="9"/>
  <c r="F15" i="9"/>
  <c r="D16" i="9"/>
  <c r="E16" i="9"/>
  <c r="F16" i="9"/>
  <c r="D17" i="9"/>
  <c r="E17" i="9"/>
  <c r="F17" i="9"/>
  <c r="D18" i="9"/>
  <c r="E18" i="9"/>
  <c r="F18" i="9"/>
  <c r="D19" i="9"/>
  <c r="E19" i="9"/>
  <c r="F19" i="9"/>
  <c r="D20" i="9"/>
  <c r="F20" i="9" s="1"/>
  <c r="E20" i="9"/>
  <c r="D21" i="9"/>
  <c r="E21" i="9"/>
  <c r="F21" i="9"/>
  <c r="D22" i="9"/>
  <c r="E22" i="9"/>
  <c r="F22" i="9"/>
  <c r="D23" i="9"/>
  <c r="E23" i="9"/>
  <c r="F23" i="9"/>
  <c r="D24" i="9"/>
  <c r="E24" i="9"/>
  <c r="F24" i="9"/>
  <c r="D25" i="9"/>
  <c r="F25" i="9" s="1"/>
  <c r="E25" i="9"/>
  <c r="D26" i="9"/>
  <c r="E26" i="9"/>
  <c r="F26" i="9"/>
  <c r="D27" i="9"/>
  <c r="E27" i="9"/>
  <c r="F27" i="9"/>
  <c r="D28" i="9"/>
  <c r="E28" i="9"/>
  <c r="F28" i="9"/>
  <c r="D29" i="9"/>
  <c r="E29" i="9"/>
  <c r="F29" i="9"/>
  <c r="D30" i="9"/>
  <c r="E30" i="9"/>
  <c r="F30" i="9"/>
  <c r="D31" i="9"/>
  <c r="E31" i="9"/>
  <c r="F31" i="9"/>
  <c r="D32" i="9"/>
  <c r="E32" i="9"/>
  <c r="F32" i="9"/>
  <c r="D33" i="9"/>
  <c r="E33" i="9"/>
  <c r="F33" i="9"/>
  <c r="D34" i="9"/>
  <c r="F34" i="9" s="1"/>
  <c r="E34" i="9"/>
  <c r="D35" i="9"/>
  <c r="E35" i="9"/>
  <c r="F35" i="9"/>
  <c r="D36" i="9"/>
  <c r="E36" i="9"/>
  <c r="F36" i="9"/>
  <c r="D37" i="9"/>
  <c r="E37" i="9"/>
  <c r="F37" i="9"/>
  <c r="D38" i="9"/>
  <c r="E38" i="9"/>
  <c r="F38" i="9"/>
  <c r="D39" i="9"/>
  <c r="F39" i="9" s="1"/>
  <c r="E39" i="9"/>
  <c r="D40" i="9"/>
  <c r="E40" i="9"/>
  <c r="F40" i="9"/>
  <c r="D41" i="9"/>
  <c r="E41" i="9"/>
  <c r="F41" i="9"/>
  <c r="D42" i="9"/>
  <c r="E42" i="9"/>
  <c r="F42" i="9"/>
  <c r="D43" i="9"/>
  <c r="E43" i="9"/>
  <c r="F43" i="9"/>
  <c r="D44" i="9"/>
  <c r="E44" i="9"/>
  <c r="F44" i="9"/>
  <c r="D45" i="9"/>
  <c r="E45" i="9"/>
  <c r="F45" i="9"/>
  <c r="D46" i="9"/>
  <c r="E46" i="9"/>
  <c r="F46" i="9"/>
  <c r="D47" i="9"/>
  <c r="E47" i="9"/>
  <c r="F47" i="9"/>
  <c r="D48" i="9"/>
  <c r="F48" i="9" s="1"/>
  <c r="E48" i="9"/>
  <c r="D49" i="9"/>
  <c r="E49" i="9"/>
  <c r="F49" i="9"/>
  <c r="D50" i="9"/>
  <c r="E50" i="9"/>
  <c r="F50" i="9"/>
  <c r="D51" i="9"/>
  <c r="E51" i="9"/>
  <c r="F51" i="9"/>
  <c r="D52" i="9"/>
  <c r="E52" i="9"/>
  <c r="F52" i="9"/>
  <c r="D53" i="9"/>
  <c r="F53" i="9" s="1"/>
  <c r="E53" i="9"/>
  <c r="D54" i="9"/>
  <c r="E54" i="9"/>
  <c r="F54" i="9"/>
  <c r="D2" i="8" l="1"/>
  <c r="F2" i="8" s="1"/>
  <c r="E2" i="8"/>
  <c r="D3" i="8"/>
  <c r="E3" i="8"/>
  <c r="F3" i="8"/>
  <c r="D4" i="8"/>
  <c r="E4" i="8"/>
  <c r="F4" i="8"/>
  <c r="D5" i="8"/>
  <c r="E5" i="8"/>
  <c r="F5" i="8"/>
  <c r="D6" i="8"/>
  <c r="F6" i="8" s="1"/>
  <c r="E6" i="8"/>
  <c r="D7" i="8"/>
  <c r="F7" i="8" s="1"/>
  <c r="E7" i="8"/>
  <c r="D8" i="8"/>
  <c r="E8" i="8"/>
  <c r="F8" i="8"/>
  <c r="D9" i="8"/>
  <c r="E9" i="8"/>
  <c r="F9" i="8"/>
  <c r="D10" i="8"/>
  <c r="E10" i="8"/>
  <c r="F10" i="8"/>
  <c r="D11" i="8"/>
  <c r="F11" i="8" s="1"/>
  <c r="E11" i="8"/>
  <c r="D12" i="8"/>
  <c r="E12" i="8"/>
  <c r="F12" i="8" s="1"/>
  <c r="D13" i="8"/>
  <c r="E13" i="8"/>
  <c r="F13" i="8"/>
  <c r="D14" i="8"/>
  <c r="E14" i="8"/>
  <c r="F14" i="8"/>
  <c r="D15" i="8"/>
  <c r="E15" i="8"/>
  <c r="F15" i="8"/>
  <c r="D16" i="8"/>
  <c r="F16" i="8" s="1"/>
  <c r="E16" i="8"/>
  <c r="D17" i="8"/>
  <c r="E17" i="8"/>
  <c r="F17" i="8"/>
  <c r="D18" i="8"/>
  <c r="E18" i="8"/>
  <c r="F18" i="8"/>
  <c r="D19" i="8"/>
  <c r="E19" i="8"/>
  <c r="F19" i="8"/>
  <c r="D20" i="8"/>
  <c r="F20" i="8" s="1"/>
  <c r="E20" i="8"/>
  <c r="D21" i="8"/>
  <c r="F21" i="8" s="1"/>
  <c r="E21" i="8"/>
  <c r="D22" i="8"/>
  <c r="E22" i="8"/>
  <c r="F22" i="8"/>
  <c r="D23" i="8"/>
  <c r="E23" i="8"/>
  <c r="F23" i="8"/>
  <c r="D24" i="8"/>
  <c r="E24" i="8"/>
  <c r="F24" i="8"/>
  <c r="D25" i="8"/>
  <c r="F25" i="8" s="1"/>
  <c r="E25" i="8"/>
  <c r="D26" i="8"/>
  <c r="E26" i="8"/>
  <c r="F26" i="8" s="1"/>
  <c r="D27" i="8"/>
  <c r="E27" i="8"/>
  <c r="F27" i="8"/>
  <c r="D28" i="8"/>
  <c r="E28" i="8"/>
  <c r="F28" i="8"/>
  <c r="D29" i="8"/>
  <c r="E29" i="8"/>
  <c r="F29" i="8"/>
  <c r="D30" i="8"/>
  <c r="F30" i="8" s="1"/>
  <c r="E30" i="8"/>
  <c r="D31" i="8"/>
  <c r="E31" i="8"/>
  <c r="F31" i="8"/>
  <c r="D32" i="8"/>
  <c r="E32" i="8"/>
  <c r="F32" i="8"/>
  <c r="D33" i="8"/>
  <c r="E33" i="8"/>
  <c r="F33" i="8"/>
  <c r="D34" i="8"/>
  <c r="F34" i="8" s="1"/>
  <c r="E34" i="8"/>
  <c r="D35" i="8"/>
  <c r="F35" i="8" s="1"/>
  <c r="E35" i="8"/>
  <c r="D36" i="8"/>
  <c r="E36" i="8"/>
  <c r="F36" i="8"/>
  <c r="D37" i="8"/>
  <c r="E37" i="8"/>
  <c r="F37" i="8"/>
  <c r="D38" i="8"/>
  <c r="E38" i="8"/>
  <c r="F38" i="8"/>
  <c r="D39" i="8"/>
  <c r="F39" i="8" s="1"/>
  <c r="E39" i="8"/>
  <c r="D40" i="8"/>
  <c r="E40" i="8"/>
  <c r="F40" i="8" s="1"/>
  <c r="D41" i="8"/>
  <c r="E41" i="8"/>
  <c r="F41" i="8"/>
  <c r="D42" i="8"/>
  <c r="E42" i="8"/>
  <c r="F42" i="8"/>
  <c r="D43" i="8"/>
  <c r="E43" i="8"/>
  <c r="F43" i="8"/>
  <c r="D44" i="8"/>
  <c r="F44" i="8" s="1"/>
  <c r="E44" i="8"/>
  <c r="D45" i="8"/>
  <c r="E45" i="8"/>
  <c r="F45" i="8"/>
  <c r="D46" i="8"/>
  <c r="E46" i="8"/>
  <c r="F46" i="8"/>
  <c r="D47" i="8"/>
  <c r="E47" i="8"/>
  <c r="F47" i="8"/>
  <c r="D48" i="8"/>
  <c r="F48" i="8" s="1"/>
  <c r="E48" i="8"/>
  <c r="D49" i="8"/>
  <c r="F49" i="8" s="1"/>
  <c r="E49" i="8"/>
  <c r="D50" i="8"/>
  <c r="E50" i="8"/>
  <c r="F50" i="8"/>
  <c r="D51" i="8"/>
  <c r="E51" i="8"/>
  <c r="F51" i="8"/>
  <c r="D52" i="8"/>
  <c r="E52" i="8"/>
  <c r="F52" i="8"/>
  <c r="D2" i="7" l="1"/>
  <c r="E2" i="7"/>
  <c r="F2" i="7" s="1"/>
  <c r="D3" i="7"/>
  <c r="E3" i="7"/>
  <c r="F3" i="7"/>
  <c r="D4" i="7"/>
  <c r="E4" i="7"/>
  <c r="F4" i="7"/>
  <c r="D5" i="7"/>
  <c r="E5" i="7"/>
  <c r="F5" i="7"/>
  <c r="D6" i="7"/>
  <c r="F6" i="7" s="1"/>
  <c r="E6" i="7"/>
  <c r="D7" i="7"/>
  <c r="E7" i="7"/>
  <c r="F7" i="7"/>
  <c r="D8" i="7"/>
  <c r="E8" i="7"/>
  <c r="F8" i="7" s="1"/>
  <c r="D9" i="7"/>
  <c r="E9" i="7"/>
  <c r="F9" i="7"/>
  <c r="D10" i="7"/>
  <c r="F10" i="7" s="1"/>
  <c r="E10" i="7"/>
  <c r="D11" i="7"/>
  <c r="F11" i="7" s="1"/>
  <c r="E11" i="7"/>
  <c r="D12" i="7"/>
  <c r="F12" i="7" s="1"/>
  <c r="E12" i="7"/>
  <c r="D13" i="7"/>
  <c r="E13" i="7"/>
  <c r="F13" i="7"/>
  <c r="D14" i="7"/>
  <c r="E14" i="7"/>
  <c r="F14" i="7"/>
  <c r="D15" i="7"/>
  <c r="F15" i="7" s="1"/>
  <c r="E15" i="7"/>
  <c r="D16" i="7"/>
  <c r="E16" i="7"/>
  <c r="F16" i="7"/>
  <c r="D17" i="7"/>
  <c r="E17" i="7"/>
  <c r="F17" i="7"/>
  <c r="D18" i="7"/>
  <c r="E18" i="7"/>
  <c r="F18" i="7"/>
  <c r="D19" i="7"/>
  <c r="E19" i="7"/>
  <c r="F19" i="7"/>
  <c r="D20" i="7"/>
  <c r="F20" i="7" s="1"/>
  <c r="E20" i="7"/>
  <c r="D21" i="7"/>
  <c r="E21" i="7"/>
  <c r="F21" i="7"/>
  <c r="D22" i="7"/>
  <c r="E22" i="7"/>
  <c r="F22" i="7"/>
  <c r="D23" i="7"/>
  <c r="E23" i="7"/>
  <c r="F23" i="7"/>
  <c r="D24" i="7"/>
  <c r="F24" i="7" s="1"/>
  <c r="E24" i="7"/>
  <c r="D25" i="7"/>
  <c r="F25" i="7" s="1"/>
  <c r="E25" i="7"/>
  <c r="D26" i="7"/>
  <c r="E26" i="7"/>
  <c r="F26" i="7"/>
  <c r="D27" i="7"/>
  <c r="E27" i="7"/>
  <c r="F27" i="7"/>
  <c r="D28" i="7"/>
  <c r="E28" i="7"/>
  <c r="F28" i="7"/>
  <c r="D29" i="7"/>
  <c r="F29" i="7" s="1"/>
  <c r="E29" i="7"/>
  <c r="D30" i="7"/>
  <c r="E30" i="7"/>
  <c r="F30" i="7"/>
  <c r="D31" i="7"/>
  <c r="E31" i="7"/>
  <c r="F31" i="7"/>
  <c r="D32" i="7"/>
  <c r="E32" i="7"/>
  <c r="F32" i="7"/>
  <c r="D33" i="7"/>
  <c r="E33" i="7"/>
  <c r="F33" i="7"/>
  <c r="D34" i="7"/>
  <c r="F34" i="7" s="1"/>
  <c r="E34" i="7"/>
  <c r="D35" i="7"/>
  <c r="E35" i="7"/>
  <c r="F35" i="7"/>
  <c r="D36" i="7"/>
  <c r="E36" i="7"/>
  <c r="F36" i="7"/>
  <c r="D37" i="7"/>
  <c r="E37" i="7"/>
  <c r="F37" i="7"/>
  <c r="D38" i="7"/>
  <c r="F38" i="7" s="1"/>
  <c r="E38" i="7"/>
  <c r="D39" i="7"/>
  <c r="F39" i="7" s="1"/>
  <c r="E39" i="7"/>
  <c r="D40" i="7"/>
  <c r="E40" i="7"/>
  <c r="F40" i="7"/>
  <c r="D41" i="7"/>
  <c r="E41" i="7"/>
  <c r="F41" i="7"/>
  <c r="D42" i="7"/>
  <c r="E42" i="7"/>
  <c r="F42" i="7"/>
  <c r="D43" i="7"/>
  <c r="F43" i="7" s="1"/>
  <c r="E43" i="7"/>
  <c r="D44" i="7"/>
  <c r="E44" i="7"/>
  <c r="F44" i="7"/>
  <c r="D45" i="7"/>
  <c r="E45" i="7"/>
  <c r="F45" i="7"/>
  <c r="D46" i="7"/>
  <c r="E46" i="7"/>
  <c r="F46" i="7"/>
  <c r="D47" i="7"/>
  <c r="E47" i="7"/>
  <c r="F47" i="7"/>
  <c r="D48" i="7"/>
  <c r="F48" i="7" s="1"/>
  <c r="E48" i="7"/>
  <c r="D49" i="7"/>
  <c r="E49" i="7"/>
  <c r="F49" i="7"/>
  <c r="D2" i="6" l="1"/>
  <c r="E2" i="6"/>
  <c r="F2" i="6"/>
  <c r="D3" i="6"/>
  <c r="E3" i="6"/>
  <c r="F3" i="6"/>
  <c r="D4" i="6"/>
  <c r="E4" i="6"/>
  <c r="F4" i="6"/>
  <c r="D5" i="6"/>
  <c r="E5" i="6"/>
  <c r="F5" i="6"/>
  <c r="D6" i="6"/>
  <c r="F6" i="6" s="1"/>
  <c r="E6" i="6"/>
  <c r="D7" i="6"/>
  <c r="F7" i="6" s="1"/>
  <c r="E7" i="6"/>
  <c r="D8" i="6"/>
  <c r="E8" i="6"/>
  <c r="F8" i="6"/>
  <c r="D9" i="6"/>
  <c r="E9" i="6"/>
  <c r="F9" i="6"/>
  <c r="D10" i="6"/>
  <c r="E10" i="6"/>
  <c r="F10" i="6"/>
  <c r="D11" i="6"/>
  <c r="F11" i="6" s="1"/>
  <c r="E11" i="6"/>
  <c r="D12" i="6"/>
  <c r="F12" i="6" s="1"/>
  <c r="E12" i="6"/>
  <c r="D13" i="6"/>
  <c r="E13" i="6"/>
  <c r="F13" i="6"/>
  <c r="D14" i="6"/>
  <c r="E14" i="6"/>
  <c r="F14" i="6"/>
  <c r="D15" i="6"/>
  <c r="E15" i="6"/>
  <c r="F15" i="6"/>
  <c r="D16" i="6"/>
  <c r="E16" i="6"/>
  <c r="F16" i="6"/>
  <c r="D17" i="6"/>
  <c r="E17" i="6"/>
  <c r="F17" i="6"/>
  <c r="D18" i="6"/>
  <c r="E18" i="6"/>
  <c r="F18" i="6"/>
  <c r="D19" i="6"/>
  <c r="E19" i="6"/>
  <c r="F19" i="6"/>
  <c r="D20" i="6"/>
  <c r="F20" i="6" s="1"/>
  <c r="E20" i="6"/>
  <c r="D21" i="6"/>
  <c r="F21" i="6" s="1"/>
  <c r="E21" i="6"/>
  <c r="D22" i="6"/>
  <c r="E22" i="6"/>
  <c r="F22" i="6"/>
  <c r="D23" i="6"/>
  <c r="E23" i="6"/>
  <c r="F23" i="6"/>
  <c r="D24" i="6"/>
  <c r="E24" i="6"/>
  <c r="F24" i="6"/>
  <c r="D25" i="6"/>
  <c r="F25" i="6" s="1"/>
  <c r="E25" i="6"/>
  <c r="D26" i="6"/>
  <c r="F26" i="6" s="1"/>
  <c r="E26" i="6"/>
  <c r="D27" i="6"/>
  <c r="E27" i="6"/>
  <c r="F27" i="6"/>
  <c r="D28" i="6"/>
  <c r="E28" i="6"/>
  <c r="F28" i="6"/>
  <c r="D29" i="6"/>
  <c r="E29" i="6"/>
  <c r="F29" i="6"/>
  <c r="D30" i="6"/>
  <c r="E30" i="6"/>
  <c r="F30" i="6"/>
  <c r="D31" i="6"/>
  <c r="E31" i="6"/>
  <c r="F31" i="6"/>
  <c r="D32" i="6"/>
  <c r="E32" i="6"/>
  <c r="F32" i="6"/>
  <c r="D33" i="6"/>
  <c r="E33" i="6"/>
  <c r="F33" i="6"/>
  <c r="D34" i="6"/>
  <c r="F34" i="6" s="1"/>
  <c r="E34" i="6"/>
  <c r="D35" i="6"/>
  <c r="F35" i="6" s="1"/>
  <c r="E35" i="6"/>
  <c r="D36" i="6"/>
  <c r="E36" i="6"/>
  <c r="F36" i="6"/>
  <c r="D37" i="6"/>
  <c r="E37" i="6"/>
  <c r="F37" i="6"/>
  <c r="D38" i="6"/>
  <c r="E38" i="6"/>
  <c r="F38" i="6"/>
  <c r="D39" i="6"/>
  <c r="F39" i="6" s="1"/>
  <c r="E39" i="6"/>
  <c r="D40" i="6"/>
  <c r="F40" i="6" s="1"/>
  <c r="E40" i="6"/>
  <c r="D41" i="6"/>
  <c r="E41" i="6"/>
  <c r="F41" i="6"/>
  <c r="D42" i="6"/>
  <c r="E42" i="6"/>
  <c r="F42" i="6"/>
  <c r="D43" i="6"/>
  <c r="E43" i="6"/>
  <c r="F43" i="6"/>
  <c r="D44" i="6"/>
  <c r="E44" i="6"/>
  <c r="F44" i="6"/>
  <c r="D45" i="6"/>
  <c r="E45" i="6"/>
  <c r="F45" i="6"/>
  <c r="D46" i="6"/>
  <c r="E46" i="6"/>
  <c r="F46" i="6"/>
  <c r="D47" i="6"/>
  <c r="E47" i="6"/>
  <c r="F47" i="6"/>
  <c r="D48" i="6"/>
  <c r="F48" i="6" s="1"/>
  <c r="E48" i="6"/>
  <c r="D2" i="5" l="1"/>
  <c r="E2" i="5"/>
  <c r="F2" i="5"/>
  <c r="D3" i="5"/>
  <c r="E3" i="5"/>
  <c r="F3" i="5" s="1"/>
  <c r="D4" i="5"/>
  <c r="E4" i="5"/>
  <c r="F4" i="5"/>
  <c r="D5" i="5"/>
  <c r="E5" i="5"/>
  <c r="F5" i="5"/>
  <c r="D6" i="5"/>
  <c r="F6" i="5" s="1"/>
  <c r="E6" i="5"/>
  <c r="D7" i="5"/>
  <c r="F7" i="5" s="1"/>
  <c r="E7" i="5"/>
  <c r="D8" i="5"/>
  <c r="E8" i="5"/>
  <c r="F8" i="5"/>
  <c r="D9" i="5"/>
  <c r="E9" i="5"/>
  <c r="F9" i="5"/>
  <c r="D10" i="5"/>
  <c r="E10" i="5"/>
  <c r="F10" i="5"/>
  <c r="D11" i="5"/>
  <c r="F11" i="5" s="1"/>
  <c r="E11" i="5"/>
  <c r="D12" i="5"/>
  <c r="F12" i="5" s="1"/>
  <c r="E12" i="5"/>
  <c r="D13" i="5"/>
  <c r="E13" i="5"/>
  <c r="F13" i="5"/>
  <c r="D14" i="5"/>
  <c r="E14" i="5"/>
  <c r="F14" i="5"/>
  <c r="D15" i="5"/>
  <c r="E15" i="5"/>
  <c r="F15" i="5"/>
  <c r="D16" i="5"/>
  <c r="E16" i="5"/>
  <c r="F16" i="5"/>
  <c r="D17" i="5"/>
  <c r="E17" i="5"/>
  <c r="F17" i="5"/>
  <c r="D18" i="5"/>
  <c r="E18" i="5"/>
  <c r="F18" i="5"/>
  <c r="D19" i="5"/>
  <c r="E19" i="5"/>
  <c r="F19" i="5"/>
  <c r="D20" i="5"/>
  <c r="F20" i="5" s="1"/>
  <c r="E20" i="5"/>
  <c r="D21" i="5"/>
  <c r="F21" i="5" s="1"/>
  <c r="E21" i="5"/>
  <c r="D22" i="5"/>
  <c r="E22" i="5"/>
  <c r="F22" i="5"/>
  <c r="D23" i="5"/>
  <c r="E23" i="5"/>
  <c r="F23" i="5"/>
  <c r="D24" i="5"/>
  <c r="E24" i="5"/>
  <c r="F24" i="5"/>
  <c r="D25" i="5"/>
  <c r="F25" i="5" s="1"/>
  <c r="E25" i="5"/>
  <c r="D26" i="5"/>
  <c r="F26" i="5" s="1"/>
  <c r="E26" i="5"/>
  <c r="D27" i="5"/>
  <c r="E27" i="5"/>
  <c r="F27" i="5"/>
  <c r="D28" i="5"/>
  <c r="E28" i="5"/>
  <c r="F28" i="5"/>
  <c r="D29" i="5"/>
  <c r="E29" i="5"/>
  <c r="F29" i="5"/>
  <c r="D30" i="5"/>
  <c r="E30" i="5"/>
  <c r="F30" i="5"/>
  <c r="D31" i="5"/>
  <c r="E31" i="5"/>
  <c r="F31" i="5"/>
  <c r="D32" i="5"/>
  <c r="E32" i="5"/>
  <c r="F32" i="5"/>
  <c r="D33" i="5"/>
  <c r="E33" i="5"/>
  <c r="F33" i="5"/>
  <c r="D34" i="5"/>
  <c r="F34" i="5" s="1"/>
  <c r="E34" i="5"/>
  <c r="D35" i="5"/>
  <c r="F35" i="5" s="1"/>
  <c r="E35" i="5"/>
  <c r="D36" i="5"/>
  <c r="E36" i="5"/>
  <c r="F36" i="5"/>
  <c r="D37" i="5"/>
  <c r="E37" i="5"/>
  <c r="F37" i="5"/>
  <c r="D38" i="5"/>
  <c r="E38" i="5"/>
  <c r="F38" i="5"/>
  <c r="D39" i="5"/>
  <c r="F39" i="5" s="1"/>
  <c r="E39" i="5"/>
  <c r="D40" i="5"/>
  <c r="F40" i="5" s="1"/>
  <c r="E40" i="5"/>
  <c r="D41" i="5"/>
  <c r="E41" i="5"/>
  <c r="F41" i="5"/>
  <c r="D42" i="5"/>
  <c r="E42" i="5"/>
  <c r="F42" i="5"/>
  <c r="D43" i="5"/>
  <c r="E43" i="5"/>
  <c r="F43" i="5"/>
  <c r="D44" i="5"/>
  <c r="E44" i="5"/>
  <c r="F44" i="5"/>
  <c r="D45" i="5"/>
  <c r="E45" i="5"/>
  <c r="F45" i="5"/>
  <c r="D46" i="5"/>
  <c r="E46" i="5"/>
  <c r="F46" i="5"/>
  <c r="D47" i="5"/>
  <c r="E47" i="5"/>
  <c r="F47" i="5"/>
  <c r="D48" i="5"/>
  <c r="F48" i="5" s="1"/>
  <c r="E48" i="5"/>
  <c r="D2" i="4" l="1"/>
  <c r="F2" i="4" s="1"/>
  <c r="E2" i="4"/>
  <c r="D3" i="4"/>
  <c r="E3" i="4"/>
  <c r="F3" i="4"/>
  <c r="D4" i="4"/>
  <c r="E4" i="4"/>
  <c r="F4" i="4"/>
  <c r="D5" i="4"/>
  <c r="E5" i="4"/>
  <c r="F5" i="4"/>
  <c r="D6" i="4"/>
  <c r="E6" i="4"/>
  <c r="F6" i="4"/>
  <c r="D7" i="4"/>
  <c r="E7" i="4"/>
  <c r="F7" i="4" s="1"/>
  <c r="D8" i="4"/>
  <c r="E8" i="4"/>
  <c r="F8" i="4"/>
  <c r="D9" i="4"/>
  <c r="E9" i="4"/>
  <c r="F9" i="4"/>
  <c r="D10" i="4"/>
  <c r="E10" i="4"/>
  <c r="F10" i="4"/>
  <c r="D11" i="4"/>
  <c r="F11" i="4" s="1"/>
  <c r="E11" i="4"/>
  <c r="D12" i="4"/>
  <c r="F12" i="4" s="1"/>
  <c r="E12" i="4"/>
  <c r="D13" i="4"/>
  <c r="E13" i="4"/>
  <c r="F13" i="4"/>
  <c r="D14" i="4"/>
  <c r="E14" i="4"/>
  <c r="F14" i="4"/>
  <c r="D15" i="4"/>
  <c r="E15" i="4"/>
  <c r="F15" i="4"/>
  <c r="D16" i="4"/>
  <c r="F16" i="4" s="1"/>
  <c r="E16" i="4"/>
  <c r="D17" i="4"/>
  <c r="E17" i="4"/>
  <c r="F17" i="4"/>
  <c r="D18" i="4"/>
  <c r="E18" i="4"/>
  <c r="F18" i="4"/>
  <c r="D19" i="4"/>
  <c r="E19" i="4"/>
  <c r="F19" i="4"/>
  <c r="D20" i="4"/>
  <c r="E20" i="4"/>
  <c r="F20" i="4"/>
  <c r="D21" i="4"/>
  <c r="E21" i="4"/>
  <c r="F21" i="4" s="1"/>
  <c r="D22" i="4"/>
  <c r="E22" i="4"/>
  <c r="F22" i="4"/>
  <c r="D23" i="4"/>
  <c r="E23" i="4"/>
  <c r="F23" i="4"/>
  <c r="D24" i="4"/>
  <c r="E24" i="4"/>
  <c r="F24" i="4"/>
  <c r="D25" i="4"/>
  <c r="F25" i="4" s="1"/>
  <c r="E25" i="4"/>
  <c r="D26" i="4"/>
  <c r="F26" i="4" s="1"/>
  <c r="E26" i="4"/>
  <c r="D27" i="4"/>
  <c r="E27" i="4"/>
  <c r="F27" i="4"/>
  <c r="D28" i="4"/>
  <c r="E28" i="4"/>
  <c r="F28" i="4"/>
  <c r="D29" i="4"/>
  <c r="E29" i="4"/>
  <c r="F29" i="4"/>
  <c r="D30" i="4"/>
  <c r="F30" i="4" s="1"/>
  <c r="E30" i="4"/>
  <c r="D31" i="4"/>
  <c r="E31" i="4"/>
  <c r="F31" i="4"/>
  <c r="D32" i="4"/>
  <c r="E32" i="4"/>
  <c r="F32" i="4"/>
  <c r="D33" i="4"/>
  <c r="E33" i="4"/>
  <c r="F33" i="4"/>
  <c r="D34" i="4"/>
  <c r="E34" i="4"/>
  <c r="F34" i="4"/>
  <c r="D35" i="4"/>
  <c r="E35" i="4"/>
  <c r="F35" i="4" s="1"/>
  <c r="D36" i="4"/>
  <c r="E36" i="4"/>
  <c r="F36" i="4"/>
  <c r="D37" i="4"/>
  <c r="E37" i="4"/>
  <c r="F37" i="4"/>
  <c r="D38" i="4"/>
  <c r="E38" i="4"/>
  <c r="F38" i="4"/>
  <c r="D39" i="4"/>
  <c r="F39" i="4" s="1"/>
  <c r="E39" i="4"/>
  <c r="D40" i="4"/>
  <c r="F40" i="4" s="1"/>
  <c r="E40" i="4"/>
  <c r="D41" i="4"/>
  <c r="E41" i="4"/>
  <c r="F41" i="4"/>
  <c r="D42" i="4"/>
  <c r="E42" i="4"/>
  <c r="F42" i="4"/>
  <c r="D43" i="4"/>
  <c r="E43" i="4"/>
  <c r="F43" i="4"/>
  <c r="D44" i="4"/>
  <c r="F44" i="4" s="1"/>
  <c r="E44" i="4"/>
  <c r="D45" i="4"/>
  <c r="E45" i="4"/>
  <c r="F45" i="4"/>
  <c r="D46" i="4"/>
  <c r="E46" i="4"/>
  <c r="F46" i="4"/>
  <c r="D47" i="4"/>
  <c r="E47" i="4"/>
  <c r="F47" i="4"/>
  <c r="D48" i="4"/>
  <c r="E48" i="4"/>
  <c r="F48" i="4"/>
  <c r="D49" i="4"/>
  <c r="E49" i="4"/>
  <c r="F49" i="4" s="1"/>
  <c r="D50" i="4"/>
  <c r="E50" i="4"/>
  <c r="F50" i="4"/>
  <c r="D51" i="4"/>
  <c r="E51" i="4"/>
  <c r="F51" i="4"/>
  <c r="D2" i="3" l="1"/>
  <c r="E2" i="3"/>
  <c r="F2" i="3"/>
  <c r="D3" i="3"/>
  <c r="E3" i="3"/>
  <c r="F3" i="3" s="1"/>
  <c r="D4" i="3"/>
  <c r="E4" i="3"/>
  <c r="F4" i="3"/>
  <c r="D5" i="3"/>
  <c r="E5" i="3"/>
  <c r="F5" i="3"/>
  <c r="D6" i="3"/>
  <c r="F6" i="3" s="1"/>
  <c r="E6" i="3"/>
  <c r="D7" i="3"/>
  <c r="E7" i="3"/>
  <c r="F7" i="3"/>
  <c r="D8" i="3"/>
  <c r="E8" i="3"/>
  <c r="F8" i="3"/>
  <c r="D9" i="3"/>
  <c r="E9" i="3"/>
  <c r="F9" i="3"/>
  <c r="D10" i="3"/>
  <c r="E10" i="3"/>
  <c r="F10" i="3"/>
  <c r="D11" i="3"/>
  <c r="F11" i="3" s="1"/>
  <c r="E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 s="1"/>
  <c r="D18" i="3"/>
  <c r="E18" i="3"/>
  <c r="F18" i="3"/>
  <c r="D19" i="3"/>
  <c r="E19" i="3"/>
  <c r="F19" i="3"/>
  <c r="D20" i="3"/>
  <c r="F20" i="3" s="1"/>
  <c r="E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F25" i="3" s="1"/>
  <c r="E25" i="3"/>
  <c r="D26" i="3"/>
  <c r="E26" i="3"/>
  <c r="F26" i="3"/>
  <c r="D27" i="3"/>
  <c r="E27" i="3"/>
  <c r="F27" i="3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D33" i="3"/>
  <c r="E33" i="3"/>
  <c r="F33" i="3"/>
  <c r="D34" i="3"/>
  <c r="F34" i="3" s="1"/>
  <c r="E34" i="3"/>
  <c r="D35" i="3"/>
  <c r="E35" i="3"/>
  <c r="F35" i="3"/>
  <c r="D36" i="3"/>
  <c r="E36" i="3"/>
  <c r="F36" i="3"/>
  <c r="D37" i="3"/>
  <c r="E37" i="3"/>
  <c r="F37" i="3"/>
  <c r="D38" i="3"/>
  <c r="E38" i="3"/>
  <c r="F38" i="3"/>
  <c r="D39" i="3"/>
  <c r="F39" i="3" s="1"/>
  <c r="E39" i="3"/>
  <c r="D40" i="3"/>
  <c r="E40" i="3"/>
  <c r="F40" i="3"/>
  <c r="D41" i="3"/>
  <c r="E41" i="3"/>
  <c r="F41" i="3"/>
  <c r="D42" i="3"/>
  <c r="E42" i="3"/>
  <c r="F42" i="3"/>
  <c r="D43" i="3"/>
  <c r="E43" i="3"/>
  <c r="F43" i="3"/>
  <c r="D44" i="3"/>
  <c r="E44" i="3"/>
  <c r="F44" i="3"/>
  <c r="D45" i="3"/>
  <c r="E45" i="3"/>
  <c r="F45" i="3"/>
  <c r="D46" i="3"/>
  <c r="E46" i="3"/>
  <c r="F46" i="3"/>
  <c r="D2" i="2" l="1"/>
  <c r="E2" i="2"/>
  <c r="F2" i="2"/>
  <c r="D3" i="2"/>
  <c r="E3" i="2"/>
  <c r="F3" i="2"/>
  <c r="D4" i="2"/>
  <c r="F4" i="2" s="1"/>
  <c r="E4" i="2"/>
  <c r="D5" i="2"/>
  <c r="E5" i="2"/>
  <c r="F5" i="2"/>
  <c r="D6" i="2"/>
  <c r="E6" i="2"/>
  <c r="F6" i="2"/>
  <c r="D7" i="2"/>
  <c r="E7" i="2"/>
  <c r="F7" i="2"/>
  <c r="D8" i="2"/>
  <c r="E8" i="2"/>
  <c r="F8" i="2"/>
  <c r="D9" i="2"/>
  <c r="E9" i="2"/>
  <c r="F9" i="2" s="1"/>
  <c r="D10" i="2"/>
  <c r="F10" i="2" s="1"/>
  <c r="E10" i="2"/>
  <c r="D11" i="2"/>
  <c r="E11" i="2"/>
  <c r="F11" i="2"/>
  <c r="D12" i="2"/>
  <c r="E12" i="2"/>
  <c r="F12" i="2"/>
  <c r="D13" i="2"/>
  <c r="F13" i="2" s="1"/>
  <c r="E13" i="2"/>
  <c r="D14" i="2"/>
  <c r="E14" i="2"/>
  <c r="F14" i="2"/>
  <c r="D15" i="2"/>
  <c r="F15" i="2" s="1"/>
  <c r="E15" i="2"/>
  <c r="D16" i="2"/>
  <c r="E16" i="2"/>
  <c r="F16" i="2"/>
  <c r="D17" i="2"/>
  <c r="E17" i="2"/>
  <c r="F17" i="2"/>
  <c r="D18" i="2"/>
  <c r="F18" i="2" s="1"/>
  <c r="E18" i="2"/>
  <c r="D19" i="2"/>
  <c r="E19" i="2"/>
  <c r="F19" i="2"/>
  <c r="D20" i="2"/>
  <c r="E20" i="2"/>
  <c r="F20" i="2"/>
  <c r="D21" i="2"/>
  <c r="E21" i="2"/>
  <c r="F21" i="2"/>
  <c r="D22" i="2"/>
  <c r="E22" i="2"/>
  <c r="F22" i="2"/>
  <c r="D23" i="2"/>
  <c r="E23" i="2"/>
  <c r="F23" i="2"/>
  <c r="D24" i="2"/>
  <c r="F24" i="2" s="1"/>
  <c r="E24" i="2"/>
  <c r="D25" i="2"/>
  <c r="E25" i="2"/>
  <c r="F25" i="2"/>
  <c r="D26" i="2"/>
  <c r="E26" i="2"/>
  <c r="F26" i="2"/>
  <c r="D27" i="2"/>
  <c r="F27" i="2" s="1"/>
  <c r="E27" i="2"/>
  <c r="D28" i="2"/>
  <c r="E28" i="2"/>
  <c r="F28" i="2"/>
  <c r="D29" i="2"/>
  <c r="F29" i="2" s="1"/>
  <c r="E29" i="2"/>
  <c r="D30" i="2"/>
  <c r="E30" i="2"/>
  <c r="F30" i="2"/>
  <c r="D31" i="2"/>
  <c r="E31" i="2"/>
  <c r="F31" i="2"/>
  <c r="D32" i="2"/>
  <c r="F32" i="2" s="1"/>
  <c r="E32" i="2"/>
  <c r="D33" i="2"/>
  <c r="E33" i="2"/>
  <c r="F33" i="2"/>
  <c r="E32" i="1" l="1"/>
  <c r="D32" i="1"/>
  <c r="E8" i="1"/>
  <c r="D8" i="1"/>
  <c r="F8" i="1" s="1"/>
  <c r="E40" i="1"/>
  <c r="D40" i="1"/>
  <c r="E24" i="1"/>
  <c r="D24" i="1"/>
  <c r="E42" i="1"/>
  <c r="D42" i="1"/>
  <c r="E14" i="1"/>
  <c r="D14" i="1"/>
  <c r="E20" i="1"/>
  <c r="D20" i="1"/>
  <c r="E18" i="1"/>
  <c r="D18" i="1"/>
  <c r="E23" i="1"/>
  <c r="D23" i="1"/>
  <c r="E27" i="1"/>
  <c r="D27" i="1"/>
  <c r="E11" i="1"/>
  <c r="D11" i="1"/>
  <c r="E10" i="1"/>
  <c r="D10" i="1"/>
  <c r="E28" i="1"/>
  <c r="D28" i="1"/>
  <c r="E25" i="1"/>
  <c r="D25" i="1"/>
  <c r="E39" i="1"/>
  <c r="D39" i="1"/>
  <c r="F39" i="1" s="1"/>
  <c r="D31" i="1"/>
  <c r="E31" i="1"/>
  <c r="E21" i="1"/>
  <c r="D21" i="1"/>
  <c r="E34" i="1"/>
  <c r="D34" i="1"/>
  <c r="E7" i="1"/>
  <c r="D7" i="1"/>
  <c r="E4" i="1"/>
  <c r="D4" i="1"/>
  <c r="E13" i="1"/>
  <c r="D13" i="1"/>
  <c r="E9" i="1"/>
  <c r="D9" i="1"/>
  <c r="E3" i="1"/>
  <c r="D3" i="1"/>
  <c r="E5" i="1"/>
  <c r="D5" i="1"/>
  <c r="E29" i="1"/>
  <c r="D29" i="1"/>
  <c r="E33" i="1"/>
  <c r="D33" i="1"/>
  <c r="E22" i="1"/>
  <c r="D22" i="1"/>
  <c r="E6" i="1"/>
  <c r="D6" i="1"/>
  <c r="E12" i="1"/>
  <c r="D12" i="1"/>
  <c r="F12" i="1" s="1"/>
  <c r="E15" i="1"/>
  <c r="D15" i="1"/>
  <c r="E36" i="1"/>
  <c r="D36" i="1"/>
  <c r="E16" i="1"/>
  <c r="D16" i="1"/>
  <c r="F25" i="1" l="1"/>
  <c r="F40" i="1"/>
  <c r="F24" i="1"/>
  <c r="F42" i="1"/>
  <c r="F28" i="1"/>
  <c r="F31" i="1"/>
  <c r="F34" i="1"/>
  <c r="E35" i="1"/>
  <c r="D35" i="1"/>
  <c r="E19" i="1"/>
  <c r="D19" i="1"/>
  <c r="E2" i="1"/>
  <c r="D2" i="1"/>
  <c r="E17" i="1"/>
  <c r="D17" i="1"/>
  <c r="E41" i="1"/>
  <c r="D41" i="1"/>
  <c r="E30" i="1"/>
  <c r="D30" i="1"/>
  <c r="E37" i="1"/>
  <c r="D37" i="1"/>
  <c r="E38" i="1"/>
  <c r="D38" i="1"/>
  <c r="E26" i="1"/>
  <c r="D26" i="1"/>
  <c r="F13" i="1" l="1"/>
  <c r="F35" i="1"/>
  <c r="F29" i="1"/>
  <c r="F36" i="1"/>
  <c r="F41" i="1"/>
  <c r="F20" i="1"/>
  <c r="F38" i="1"/>
  <c r="F14" i="1"/>
  <c r="F32" i="1"/>
  <c r="F18" i="1"/>
  <c r="F33" i="1"/>
  <c r="F27" i="1"/>
  <c r="F11" i="1"/>
  <c r="F19" i="1"/>
  <c r="F9" i="1"/>
  <c r="F22" i="1"/>
  <c r="F37" i="1"/>
  <c r="F4" i="1" l="1"/>
  <c r="F21" i="1"/>
  <c r="F16" i="1"/>
  <c r="F2" i="1"/>
  <c r="F23" i="1"/>
  <c r="F10" i="1"/>
  <c r="F3" i="1"/>
  <c r="F7" i="1"/>
  <c r="F17" i="1"/>
  <c r="F26" i="1"/>
  <c r="F30" i="1"/>
  <c r="F15" i="1"/>
  <c r="F5" i="1"/>
  <c r="F6" i="1"/>
</calcChain>
</file>

<file path=xl/sharedStrings.xml><?xml version="1.0" encoding="utf-8"?>
<sst xmlns="http://schemas.openxmlformats.org/spreadsheetml/2006/main" count="2226" uniqueCount="163">
  <si>
    <t>Rank</t>
  </si>
  <si>
    <t>Player</t>
  </si>
  <si>
    <t>Team</t>
  </si>
  <si>
    <t>Total Points</t>
  </si>
  <si>
    <t>Total Darts</t>
  </si>
  <si>
    <t>Total PPD</t>
  </si>
  <si>
    <t>Wks Played</t>
  </si>
  <si>
    <t>501 BP</t>
  </si>
  <si>
    <t>RON</t>
  </si>
  <si>
    <t xml:space="preserve"> MVP Pts</t>
  </si>
  <si>
    <t>Payout</t>
  </si>
  <si>
    <t>Richie Thomas</t>
  </si>
  <si>
    <t>Luigi's Loose Change</t>
  </si>
  <si>
    <t>Ed Davis</t>
  </si>
  <si>
    <t>VFW 1589 Bad Monkeys</t>
  </si>
  <si>
    <t>Larry Jenkins</t>
  </si>
  <si>
    <t xml:space="preserve">Purple Cow 1  </t>
  </si>
  <si>
    <t>Pat Nabors</t>
  </si>
  <si>
    <t>Elks Wiseguys</t>
  </si>
  <si>
    <t>Matt Nacarate</t>
  </si>
  <si>
    <t>Steve Stockett</t>
  </si>
  <si>
    <t>Jimmy Smith</t>
  </si>
  <si>
    <t>Legion Post 174 Snipers</t>
  </si>
  <si>
    <t xml:space="preserve">Sam Powers </t>
  </si>
  <si>
    <t>Richard Whisler</t>
  </si>
  <si>
    <t>Beaver Galusky</t>
  </si>
  <si>
    <t>Rob Cicchino</t>
  </si>
  <si>
    <t>Elks Jolly</t>
  </si>
  <si>
    <t>Zach Barlow</t>
  </si>
  <si>
    <t>Travis Ruckle</t>
  </si>
  <si>
    <t>John Powers</t>
  </si>
  <si>
    <t>Griffin Wilcox</t>
  </si>
  <si>
    <t>VFW 1589 Dissapointers</t>
  </si>
  <si>
    <t>Ryan Swaniger</t>
  </si>
  <si>
    <t>Jon Kline</t>
  </si>
  <si>
    <t>Gabbie Mellie</t>
  </si>
  <si>
    <t>Barb Hardy</t>
  </si>
  <si>
    <t>Kevin Ruckle</t>
  </si>
  <si>
    <t>Alex Keenan</t>
  </si>
  <si>
    <t>JL Brown</t>
  </si>
  <si>
    <t>Joe White</t>
  </si>
  <si>
    <t>Marshall Jenkins</t>
  </si>
  <si>
    <t>Alex Rice</t>
  </si>
  <si>
    <t>Bryant Losh</t>
  </si>
  <si>
    <t xml:space="preserve">Teams - Overall </t>
  </si>
  <si>
    <t>Wins</t>
  </si>
  <si>
    <t>Lose</t>
  </si>
  <si>
    <t>Points</t>
  </si>
  <si>
    <t>Weekly Payouts and Season High's</t>
  </si>
  <si>
    <t xml:space="preserve">Season Best Game 501:  </t>
  </si>
  <si>
    <t xml:space="preserve">PURPLE COW 1 </t>
  </si>
  <si>
    <t xml:space="preserve">High Average for Week:   </t>
  </si>
  <si>
    <t>VFW 1589 DISSAPOINTERS</t>
  </si>
  <si>
    <t xml:space="preserve">High in 301 for the week: </t>
  </si>
  <si>
    <t xml:space="preserve">High Out for the week: </t>
  </si>
  <si>
    <t>LUIGI'S LOOSE CHANGE</t>
  </si>
  <si>
    <t xml:space="preserve">Season High In for 301:  </t>
  </si>
  <si>
    <t xml:space="preserve">Season High Out:    </t>
  </si>
  <si>
    <t>ELKS WISEGUYS</t>
  </si>
  <si>
    <t>VFW 1589 BAD MONKEYS</t>
  </si>
  <si>
    <t>LEGION POST 174 SNIPERS</t>
  </si>
  <si>
    <t>ELKS JOLLY</t>
  </si>
  <si>
    <t>Tie</t>
  </si>
  <si>
    <t>Stephen Thurbon</t>
  </si>
  <si>
    <t>Gary Daft</t>
  </si>
  <si>
    <t>Alwyn Thurbon</t>
  </si>
  <si>
    <t>Purple Cow Tippers</t>
  </si>
  <si>
    <t>Angela Bell</t>
  </si>
  <si>
    <t>PURPLE COW TIPPERS</t>
  </si>
  <si>
    <t>Timmy Frymyer</t>
  </si>
  <si>
    <t>Doug Himes</t>
  </si>
  <si>
    <t>Tom Gallegly</t>
  </si>
  <si>
    <t>Kenny Goldsborough</t>
  </si>
  <si>
    <t xml:space="preserve">POP A TOP </t>
  </si>
  <si>
    <t>Harley Hall</t>
  </si>
  <si>
    <t>CLASSICS</t>
  </si>
  <si>
    <t>Teams - Tungsten Division</t>
  </si>
  <si>
    <t>Teams - Wood Division</t>
  </si>
  <si>
    <t>Todd Wotring</t>
  </si>
  <si>
    <t>Seth Boyles</t>
  </si>
  <si>
    <t>Tammy Allen</t>
  </si>
  <si>
    <t>Bob Fox</t>
  </si>
  <si>
    <t>Shawn Cole</t>
  </si>
  <si>
    <t>Thom Douglas</t>
  </si>
  <si>
    <t>Tim Rosati</t>
  </si>
  <si>
    <t>Allen Collins</t>
  </si>
  <si>
    <t>Rob Cicchino 115 Out</t>
  </si>
  <si>
    <t>Matt Nacarate 19.24</t>
  </si>
  <si>
    <t>Matt Nacarate 20 Dart Game</t>
  </si>
  <si>
    <t>Pop A Top</t>
  </si>
  <si>
    <t>Griffin Wilcox/Seth Boyles 120 In</t>
  </si>
  <si>
    <t>Classics</t>
  </si>
  <si>
    <t>Week 2</t>
  </si>
  <si>
    <t>Gary Daft 93 Out</t>
  </si>
  <si>
    <t>Griffin Wilcox 120 In</t>
  </si>
  <si>
    <t>Richie Thomas 18.38</t>
  </si>
  <si>
    <t>Jimmy Smith/Sam Powers 22 Dart Game</t>
  </si>
  <si>
    <t>Week 1</t>
  </si>
  <si>
    <t>CLASSICS ROCKS</t>
  </si>
  <si>
    <t>John Powers 59 Out</t>
  </si>
  <si>
    <t>Travis Ruckle 105 In</t>
  </si>
  <si>
    <t>Beaver Galusky 18.33</t>
  </si>
  <si>
    <t>Week 3</t>
  </si>
  <si>
    <t>Classics Rocks</t>
  </si>
  <si>
    <t>Carter Kline</t>
  </si>
  <si>
    <t>Doug Tennant</t>
  </si>
  <si>
    <t>John Sinclair</t>
  </si>
  <si>
    <t>Josh Jenkins</t>
  </si>
  <si>
    <t>Tammy Allen 160 In</t>
  </si>
  <si>
    <t>Richie Thomas 92 Out</t>
  </si>
  <si>
    <t>Tammy Allen 103 In</t>
  </si>
  <si>
    <t>Larry Jenkins 18.71</t>
  </si>
  <si>
    <t>Week 7</t>
  </si>
  <si>
    <t>Josh Stegmaier</t>
  </si>
  <si>
    <t>Dave Novotney</t>
  </si>
  <si>
    <t>Jerry Shiflett</t>
  </si>
  <si>
    <t>Griffin Wilcox/Bryant Losh 120 In</t>
  </si>
  <si>
    <t>Griffin Wilcox 77 Out</t>
  </si>
  <si>
    <t>Bryant Losh 120 In</t>
  </si>
  <si>
    <t>Richie Thomas 17.28</t>
  </si>
  <si>
    <t>Week 4</t>
  </si>
  <si>
    <t>Griffin Wilcox 140 In</t>
  </si>
  <si>
    <t>Ed Davis 110 Out</t>
  </si>
  <si>
    <t>Sam Powers 19.72</t>
  </si>
  <si>
    <t>Week 5</t>
  </si>
  <si>
    <t>Matt Nacarate 86 Out</t>
  </si>
  <si>
    <t>Matt Nacarate 18.74</t>
  </si>
  <si>
    <t>Week 6</t>
  </si>
  <si>
    <t>Rob Cicchino 95 Out</t>
  </si>
  <si>
    <t>John Sinclair 132 In</t>
  </si>
  <si>
    <t>Ed Davis 16.53</t>
  </si>
  <si>
    <t>Week 8</t>
  </si>
  <si>
    <t>Steve Root</t>
  </si>
  <si>
    <t>Joe White 134 Out</t>
  </si>
  <si>
    <t>Rob Cicchino 112 In</t>
  </si>
  <si>
    <t>Marshall Jenkins 19.03</t>
  </si>
  <si>
    <t>Week 9</t>
  </si>
  <si>
    <t>Brandi Naylor</t>
  </si>
  <si>
    <t>Jimmy Scudiere</t>
  </si>
  <si>
    <t>Marshall Jenkins 152 Out</t>
  </si>
  <si>
    <t>Bryant Losh 105 In</t>
  </si>
  <si>
    <t>Richie Thomas 17.89</t>
  </si>
  <si>
    <t>Week 11</t>
  </si>
  <si>
    <t>Richie Thomas 61 Out</t>
  </si>
  <si>
    <t>Zach Barlow 105 In</t>
  </si>
  <si>
    <t>Rob Cicchino 18.52</t>
  </si>
  <si>
    <t>Week 13</t>
  </si>
  <si>
    <t>Ewert Wagener</t>
  </si>
  <si>
    <t>Sharea Bishop</t>
  </si>
  <si>
    <t>Griffin Wilcox 107 Out</t>
  </si>
  <si>
    <t>Bob Fox/Seth Boyles/Josh Jenkins 112 In</t>
  </si>
  <si>
    <t>Rob Cicchino 20.59</t>
  </si>
  <si>
    <t>Larry Jenkins 18 Dart Game</t>
  </si>
  <si>
    <t>Week 14</t>
  </si>
  <si>
    <t>Ashley Ruckle</t>
  </si>
  <si>
    <t>Kevin Ruckle 112 Out</t>
  </si>
  <si>
    <t>Alwyn Thurbon 106 In</t>
  </si>
  <si>
    <t>Matt Nacarate 20.09</t>
  </si>
  <si>
    <t>Week 10</t>
  </si>
  <si>
    <t>Ryan Swaniger 127 Out</t>
  </si>
  <si>
    <t>Larry Jenkins/Gary Daft 120 In</t>
  </si>
  <si>
    <t>Richie Thomas 19.78</t>
  </si>
  <si>
    <t>Week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</si>
</sst>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1" xfId="0" applyFont="1" applyFill="1" applyBorder="1" applyAlignment="1">
      <alignment textRotation="73"/>
    </xf>
    <xf numFmtId="0" fontId="1" fillId="2" borderId="1" xfId="0" applyFont="1" applyFill="1" applyBorder="1" applyAlignment="1">
      <alignment textRotation="73" wrapText="1"/>
    </xf>
    <xf numFmtId="0" fontId="2" fillId="0" borderId="2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" fillId="0" borderId="10" xfId="0" applyFont="1" applyBorder="1"/>
    <xf numFmtId="0" fontId="3" fillId="0" borderId="2" xfId="0" applyFont="1" applyBorder="1"/>
    <xf numFmtId="0" fontId="1" fillId="0" borderId="5" xfId="0" applyFont="1" applyBorder="1"/>
    <xf numFmtId="0" fontId="1" fillId="0" borderId="17" xfId="0" applyFont="1" applyBorder="1"/>
    <xf numFmtId="0" fontId="3" fillId="0" borderId="17" xfId="0" applyFont="1" applyBorder="1"/>
    <xf numFmtId="0" fontId="1" fillId="0" borderId="19" xfId="0" applyFont="1" applyBorder="1"/>
    <xf numFmtId="0" fontId="1" fillId="4" borderId="20" xfId="0" applyFont="1" applyFill="1" applyBorder="1"/>
    <xf numFmtId="0" fontId="1" fillId="0" borderId="21" xfId="0" applyFont="1" applyBorder="1"/>
    <xf numFmtId="0" fontId="2" fillId="0" borderId="5" xfId="0" applyFont="1" applyBorder="1"/>
    <xf numFmtId="0" fontId="2" fillId="0" borderId="17" xfId="0" applyFont="1" applyBorder="1"/>
    <xf numFmtId="0" fontId="2" fillId="0" borderId="21" xfId="0" applyFont="1" applyBorder="1"/>
    <xf numFmtId="0" fontId="2" fillId="0" borderId="19" xfId="0" applyFont="1" applyBorder="1"/>
    <xf numFmtId="0" fontId="3" fillId="0" borderId="22" xfId="0" applyFont="1" applyBorder="1"/>
    <xf numFmtId="0" fontId="1" fillId="4" borderId="23" xfId="0" applyFont="1" applyFill="1" applyBorder="1"/>
    <xf numFmtId="0" fontId="1" fillId="4" borderId="24" xfId="0" applyFont="1" applyFill="1" applyBorder="1"/>
    <xf numFmtId="0" fontId="1" fillId="4" borderId="25" xfId="0" applyFont="1" applyFill="1" applyBorder="1"/>
    <xf numFmtId="0" fontId="1" fillId="4" borderId="26" xfId="0" applyFont="1" applyFill="1" applyBorder="1"/>
    <xf numFmtId="0" fontId="1" fillId="4" borderId="27" xfId="0" applyFont="1" applyFill="1" applyBorder="1"/>
    <xf numFmtId="0" fontId="1" fillId="0" borderId="29" xfId="0" applyFont="1" applyBorder="1"/>
    <xf numFmtId="0" fontId="1" fillId="0" borderId="28" xfId="0" applyFont="1" applyBorder="1"/>
    <xf numFmtId="0" fontId="3" fillId="0" borderId="4" xfId="0" applyFont="1" applyBorder="1"/>
    <xf numFmtId="0" fontId="3" fillId="0" borderId="28" xfId="0" applyFont="1" applyBorder="1"/>
    <xf numFmtId="0" fontId="2" fillId="0" borderId="30" xfId="0" applyFont="1" applyBorder="1"/>
    <xf numFmtId="0" fontId="3" fillId="0" borderId="31" xfId="0" applyFont="1" applyBorder="1"/>
    <xf numFmtId="0" fontId="2" fillId="0" borderId="31" xfId="0" applyFont="1" applyBorder="1"/>
    <xf numFmtId="0" fontId="1" fillId="0" borderId="31" xfId="0" applyFont="1" applyBorder="1"/>
    <xf numFmtId="0" fontId="1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22" xfId="0" applyFont="1" applyBorder="1"/>
    <xf numFmtId="0" fontId="1" fillId="0" borderId="36" xfId="0" applyFont="1" applyBorder="1"/>
    <xf numFmtId="0" fontId="1" fillId="0" borderId="37" xfId="0" applyFont="1" applyBorder="1"/>
    <xf numFmtId="0" fontId="3" fillId="0" borderId="38" xfId="0" applyFont="1" applyBorder="1"/>
    <xf numFmtId="0" fontId="1" fillId="0" borderId="39" xfId="0" applyFont="1" applyBorder="1"/>
    <xf numFmtId="0" fontId="1" fillId="0" borderId="40" xfId="0" applyFont="1" applyBorder="1"/>
    <xf numFmtId="0" fontId="1" fillId="0" borderId="41" xfId="0" applyFont="1" applyBorder="1"/>
    <xf numFmtId="0" fontId="2" fillId="0" borderId="42" xfId="0" applyFont="1" applyBorder="1"/>
    <xf numFmtId="0" fontId="1" fillId="0" borderId="43" xfId="0" applyFont="1" applyBorder="1"/>
    <xf numFmtId="0" fontId="2" fillId="0" borderId="44" xfId="0" applyFont="1" applyBorder="1"/>
    <xf numFmtId="0" fontId="1" fillId="0" borderId="45" xfId="0" applyFont="1" applyBorder="1"/>
    <xf numFmtId="0" fontId="1" fillId="4" borderId="56" xfId="0" applyFont="1" applyFill="1" applyBorder="1"/>
    <xf numFmtId="0" fontId="1" fillId="0" borderId="4" xfId="0" applyFont="1" applyBorder="1"/>
    <xf numFmtId="0" fontId="2" fillId="0" borderId="3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1" fillId="4" borderId="55" xfId="0" applyFont="1" applyFill="1" applyBorder="1" applyAlignment="1">
      <alignment horizontal="center"/>
    </xf>
    <xf numFmtId="0" fontId="1" fillId="4" borderId="54" xfId="0" applyFont="1" applyFill="1" applyBorder="1" applyAlignment="1">
      <alignment horizontal="center"/>
    </xf>
    <xf numFmtId="0" fontId="1" fillId="4" borderId="53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1" fillId="3" borderId="57" xfId="0" applyFont="1" applyFill="1" applyBorder="1" applyAlignment="1">
      <alignment horizontal="center" vertical="center" textRotation="90" wrapText="1"/>
    </xf>
    <xf numFmtId="0" fontId="1" fillId="3" borderId="47" xfId="0" applyFont="1" applyFill="1" applyBorder="1" applyAlignment="1">
      <alignment horizontal="center" vertical="center" textRotation="90" wrapText="1"/>
    </xf>
    <xf numFmtId="0" fontId="1" fillId="3" borderId="46" xfId="0" applyFont="1" applyFill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3" borderId="18" xfId="0" applyFont="1" applyFill="1" applyBorder="1" applyAlignment="1">
      <alignment horizontal="center" vertical="center" textRotation="90" wrapText="1"/>
    </xf>
    <xf numFmtId="0" fontId="1" fillId="3" borderId="16" xfId="0" applyFont="1" applyFill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5E5D6-6D45-4646-B760-FDC8F4D3E222}">
  <sheetPr codeName="Sheet2"/>
  <dimension ref="A1:R73"/>
  <sheetViews>
    <sheetView workbookViewId="0">
      <pane ySplit="1" topLeftCell="A2" activePane="bottomLeft" state="frozen"/>
      <selection pane="bottomLeft" activeCell="Q67" sqref="Q67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8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18.8164062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11</v>
      </c>
      <c r="C2" s="4" t="s">
        <v>12</v>
      </c>
      <c r="D2" s="11">
        <f>SUM(1434)</f>
        <v>1434</v>
      </c>
      <c r="E2" s="11">
        <f>SUM(78)</f>
        <v>78</v>
      </c>
      <c r="F2" s="12">
        <f t="shared" ref="F2:F33" si="0">SUM(D2/E2)</f>
        <v>18.384615384615383</v>
      </c>
      <c r="G2" s="11">
        <v>1</v>
      </c>
      <c r="H2" s="11"/>
      <c r="I2" s="11"/>
      <c r="J2" s="11"/>
      <c r="K2" s="11"/>
      <c r="L2" s="11">
        <v>0.5</v>
      </c>
      <c r="M2" s="13"/>
    </row>
    <row r="3" spans="1:13" ht="18.5" x14ac:dyDescent="0.45">
      <c r="A3" s="3">
        <v>2</v>
      </c>
      <c r="B3" s="3" t="s">
        <v>33</v>
      </c>
      <c r="C3" s="4" t="s">
        <v>22</v>
      </c>
      <c r="D3" s="11">
        <f>SUM(1385)</f>
        <v>1385</v>
      </c>
      <c r="E3" s="11">
        <f>SUM(79)</f>
        <v>79</v>
      </c>
      <c r="F3" s="12">
        <f t="shared" si="0"/>
        <v>17.531645569620252</v>
      </c>
      <c r="G3" s="11">
        <v>1</v>
      </c>
      <c r="H3" s="11">
        <v>1</v>
      </c>
      <c r="I3" s="11"/>
      <c r="J3" s="11"/>
      <c r="K3" s="11"/>
      <c r="L3" s="11">
        <v>4.5</v>
      </c>
      <c r="M3" s="13"/>
    </row>
    <row r="4" spans="1:13" ht="18.5" x14ac:dyDescent="0.45">
      <c r="A4" s="3">
        <v>3</v>
      </c>
      <c r="B4" s="4" t="s">
        <v>15</v>
      </c>
      <c r="C4" s="4" t="s">
        <v>16</v>
      </c>
      <c r="D4" s="11">
        <f>SUM(1439)</f>
        <v>1439</v>
      </c>
      <c r="E4" s="11">
        <f>SUM(83)</f>
        <v>83</v>
      </c>
      <c r="F4" s="12">
        <f t="shared" si="0"/>
        <v>17.337349397590362</v>
      </c>
      <c r="G4" s="11">
        <v>1</v>
      </c>
      <c r="H4" s="11"/>
      <c r="I4" s="11"/>
      <c r="J4" s="11"/>
      <c r="K4" s="11"/>
      <c r="L4" s="11">
        <v>1.5</v>
      </c>
      <c r="M4" s="13"/>
    </row>
    <row r="5" spans="1:13" ht="18.5" x14ac:dyDescent="0.45">
      <c r="A5" s="3">
        <v>4</v>
      </c>
      <c r="B5" s="4" t="s">
        <v>13</v>
      </c>
      <c r="C5" s="4" t="s">
        <v>14</v>
      </c>
      <c r="D5" s="11">
        <f>SUM(1503)</f>
        <v>1503</v>
      </c>
      <c r="E5" s="11">
        <f>SUM(87)</f>
        <v>87</v>
      </c>
      <c r="F5" s="12">
        <f t="shared" si="0"/>
        <v>17.275862068965516</v>
      </c>
      <c r="G5" s="11">
        <v>1</v>
      </c>
      <c r="H5" s="11">
        <v>1</v>
      </c>
      <c r="I5" s="11"/>
      <c r="J5" s="11"/>
      <c r="K5" s="11"/>
      <c r="L5" s="11">
        <v>5</v>
      </c>
      <c r="M5" s="13"/>
    </row>
    <row r="6" spans="1:13" ht="18.5" x14ac:dyDescent="0.45">
      <c r="A6" s="3">
        <v>5</v>
      </c>
      <c r="B6" s="4" t="s">
        <v>19</v>
      </c>
      <c r="C6" s="4" t="s">
        <v>14</v>
      </c>
      <c r="D6" s="11">
        <f>SUM(1503)</f>
        <v>1503</v>
      </c>
      <c r="E6" s="11">
        <f>SUM(88)</f>
        <v>88</v>
      </c>
      <c r="F6" s="12">
        <f t="shared" si="0"/>
        <v>17.079545454545453</v>
      </c>
      <c r="G6" s="11">
        <v>1</v>
      </c>
      <c r="H6" s="11">
        <v>1</v>
      </c>
      <c r="I6" s="11"/>
      <c r="J6" s="11"/>
      <c r="K6" s="11"/>
      <c r="L6" s="11">
        <v>5.5</v>
      </c>
      <c r="M6" s="13"/>
    </row>
    <row r="7" spans="1:13" ht="18.5" x14ac:dyDescent="0.45">
      <c r="A7" s="3">
        <v>6</v>
      </c>
      <c r="B7" s="3" t="s">
        <v>21</v>
      </c>
      <c r="C7" s="4" t="s">
        <v>22</v>
      </c>
      <c r="D7" s="11">
        <f>SUM(1399)</f>
        <v>1399</v>
      </c>
      <c r="E7" s="11">
        <f>SUM(82)</f>
        <v>82</v>
      </c>
      <c r="F7" s="12">
        <f t="shared" si="0"/>
        <v>17.060975609756099</v>
      </c>
      <c r="G7" s="11">
        <v>1</v>
      </c>
      <c r="H7" s="11"/>
      <c r="I7" s="11"/>
      <c r="J7" s="11"/>
      <c r="K7" s="11"/>
      <c r="L7" s="11">
        <v>2.5</v>
      </c>
      <c r="M7" s="13"/>
    </row>
    <row r="8" spans="1:13" ht="18.5" x14ac:dyDescent="0.45">
      <c r="A8" s="3">
        <v>7</v>
      </c>
      <c r="B8" s="15" t="s">
        <v>31</v>
      </c>
      <c r="C8" s="4" t="s">
        <v>32</v>
      </c>
      <c r="D8" s="11">
        <f>SUM(1463)</f>
        <v>1463</v>
      </c>
      <c r="E8" s="11">
        <f>SUM(87)</f>
        <v>87</v>
      </c>
      <c r="F8" s="12">
        <f t="shared" si="0"/>
        <v>16.816091954022987</v>
      </c>
      <c r="G8" s="11">
        <v>1</v>
      </c>
      <c r="H8" s="11">
        <v>1</v>
      </c>
      <c r="I8" s="11"/>
      <c r="J8" s="11"/>
      <c r="K8" s="11"/>
      <c r="L8" s="11">
        <v>3</v>
      </c>
      <c r="M8" s="13"/>
    </row>
    <row r="9" spans="1:13" ht="18.5" x14ac:dyDescent="0.45">
      <c r="A9" s="3">
        <v>8</v>
      </c>
      <c r="B9" s="4" t="s">
        <v>23</v>
      </c>
      <c r="C9" s="4" t="s">
        <v>14</v>
      </c>
      <c r="D9" s="11">
        <f>SUM(1503)</f>
        <v>1503</v>
      </c>
      <c r="E9" s="11">
        <f>SUM(93)</f>
        <v>93</v>
      </c>
      <c r="F9" s="12">
        <f t="shared" si="0"/>
        <v>16.161290322580644</v>
      </c>
      <c r="G9" s="11">
        <v>1</v>
      </c>
      <c r="H9" s="11">
        <v>1</v>
      </c>
      <c r="I9" s="11"/>
      <c r="J9" s="11"/>
      <c r="K9" s="11"/>
      <c r="L9" s="11">
        <v>5.5</v>
      </c>
      <c r="M9" s="13"/>
    </row>
    <row r="10" spans="1:13" ht="18.5" x14ac:dyDescent="0.45">
      <c r="A10" s="3">
        <v>9</v>
      </c>
      <c r="B10" s="4" t="s">
        <v>41</v>
      </c>
      <c r="C10" s="4" t="s">
        <v>16</v>
      </c>
      <c r="D10" s="11">
        <f>SUM(1305)</f>
        <v>1305</v>
      </c>
      <c r="E10" s="11">
        <f>SUM(82)</f>
        <v>82</v>
      </c>
      <c r="F10" s="12">
        <f t="shared" si="0"/>
        <v>15.914634146341463</v>
      </c>
      <c r="G10" s="11">
        <v>1</v>
      </c>
      <c r="H10" s="11">
        <v>1</v>
      </c>
      <c r="I10" s="11"/>
      <c r="J10" s="11"/>
      <c r="K10" s="11"/>
      <c r="L10" s="11">
        <v>3.5</v>
      </c>
      <c r="M10" s="13"/>
    </row>
    <row r="11" spans="1:13" ht="18.5" x14ac:dyDescent="0.45">
      <c r="A11" s="3">
        <v>10</v>
      </c>
      <c r="B11" s="15" t="s">
        <v>63</v>
      </c>
      <c r="C11" s="4" t="s">
        <v>27</v>
      </c>
      <c r="D11" s="11">
        <f>SUM(1424)</f>
        <v>1424</v>
      </c>
      <c r="E11" s="11">
        <f>SUM(90)</f>
        <v>90</v>
      </c>
      <c r="F11" s="12">
        <f t="shared" si="0"/>
        <v>15.822222222222223</v>
      </c>
      <c r="G11" s="11">
        <v>1</v>
      </c>
      <c r="H11" s="11"/>
      <c r="I11" s="11"/>
      <c r="J11" s="11"/>
      <c r="K11" s="11"/>
      <c r="L11" s="11">
        <v>3</v>
      </c>
      <c r="M11" s="13"/>
    </row>
    <row r="12" spans="1:13" ht="18.5" x14ac:dyDescent="0.45">
      <c r="A12" s="3">
        <v>11</v>
      </c>
      <c r="B12" s="3" t="s">
        <v>17</v>
      </c>
      <c r="C12" s="4" t="s">
        <v>18</v>
      </c>
      <c r="D12" s="11">
        <f>SUM(1503)</f>
        <v>1503</v>
      </c>
      <c r="E12" s="11">
        <f>SUM(101)</f>
        <v>101</v>
      </c>
      <c r="F12" s="12">
        <f t="shared" si="0"/>
        <v>14.881188118811881</v>
      </c>
      <c r="G12" s="11">
        <v>1</v>
      </c>
      <c r="H12" s="11">
        <v>1</v>
      </c>
      <c r="I12" s="11"/>
      <c r="J12" s="11"/>
      <c r="K12" s="11"/>
      <c r="L12" s="11">
        <v>4.5</v>
      </c>
      <c r="M12" s="13"/>
    </row>
    <row r="13" spans="1:13" ht="18.5" x14ac:dyDescent="0.45">
      <c r="A13" s="3">
        <v>12</v>
      </c>
      <c r="B13" s="15" t="s">
        <v>34</v>
      </c>
      <c r="C13" s="4" t="s">
        <v>27</v>
      </c>
      <c r="D13" s="11">
        <f>SUM(1315)</f>
        <v>1315</v>
      </c>
      <c r="E13" s="11">
        <f>SUM(90)</f>
        <v>90</v>
      </c>
      <c r="F13" s="12">
        <f t="shared" si="0"/>
        <v>14.611111111111111</v>
      </c>
      <c r="G13" s="11">
        <v>1</v>
      </c>
      <c r="H13" s="11">
        <v>1</v>
      </c>
      <c r="I13" s="11"/>
      <c r="J13" s="11"/>
      <c r="K13" s="11"/>
      <c r="L13" s="11">
        <v>4</v>
      </c>
      <c r="M13" s="13"/>
    </row>
    <row r="14" spans="1:13" ht="18.5" x14ac:dyDescent="0.45">
      <c r="A14" s="3">
        <v>13</v>
      </c>
      <c r="B14" s="4" t="s">
        <v>25</v>
      </c>
      <c r="C14" s="4" t="s">
        <v>12</v>
      </c>
      <c r="D14" s="11">
        <f>SUM(1124)</f>
        <v>1124</v>
      </c>
      <c r="E14" s="11">
        <f>SUM(81)</f>
        <v>81</v>
      </c>
      <c r="F14" s="12">
        <f t="shared" si="0"/>
        <v>13.876543209876543</v>
      </c>
      <c r="G14" s="11">
        <v>1</v>
      </c>
      <c r="H14" s="11"/>
      <c r="I14" s="11"/>
      <c r="J14" s="11"/>
      <c r="K14" s="11"/>
      <c r="L14" s="11">
        <v>1</v>
      </c>
      <c r="M14" s="13"/>
    </row>
    <row r="15" spans="1:13" ht="18.5" x14ac:dyDescent="0.45">
      <c r="A15" s="3">
        <v>14</v>
      </c>
      <c r="B15" s="15" t="s">
        <v>65</v>
      </c>
      <c r="C15" s="7" t="s">
        <v>27</v>
      </c>
      <c r="D15" s="11">
        <f>SUM(1423)</f>
        <v>1423</v>
      </c>
      <c r="E15" s="11">
        <f>SUM(103)</f>
        <v>103</v>
      </c>
      <c r="F15" s="12">
        <f t="shared" si="0"/>
        <v>13.815533980582524</v>
      </c>
      <c r="G15" s="11">
        <v>1</v>
      </c>
      <c r="H15" s="11">
        <v>1</v>
      </c>
      <c r="I15" s="11"/>
      <c r="J15" s="11"/>
      <c r="K15" s="11">
        <v>1</v>
      </c>
      <c r="L15" s="11">
        <v>4.5</v>
      </c>
      <c r="M15" s="13"/>
    </row>
    <row r="16" spans="1:13" ht="18.5" x14ac:dyDescent="0.45">
      <c r="A16" s="3">
        <v>15</v>
      </c>
      <c r="B16" s="15" t="s">
        <v>30</v>
      </c>
      <c r="C16" s="4" t="s">
        <v>22</v>
      </c>
      <c r="D16" s="11">
        <f>SUM(1503)</f>
        <v>1503</v>
      </c>
      <c r="E16" s="11">
        <f>SUM(109)</f>
        <v>109</v>
      </c>
      <c r="F16" s="12">
        <f t="shared" si="0"/>
        <v>13.788990825688073</v>
      </c>
      <c r="G16" s="11">
        <v>1</v>
      </c>
      <c r="H16" s="11">
        <v>1</v>
      </c>
      <c r="I16" s="11"/>
      <c r="J16" s="11"/>
      <c r="K16" s="11"/>
      <c r="L16" s="11">
        <v>4.5</v>
      </c>
      <c r="M16" s="13"/>
    </row>
    <row r="17" spans="1:13" ht="18.5" x14ac:dyDescent="0.45">
      <c r="A17" s="3">
        <v>16</v>
      </c>
      <c r="B17" s="4" t="s">
        <v>28</v>
      </c>
      <c r="C17" s="4" t="s">
        <v>12</v>
      </c>
      <c r="D17" s="11">
        <f>SUM(1228)</f>
        <v>1228</v>
      </c>
      <c r="E17" s="11">
        <f>SUM(90)</f>
        <v>90</v>
      </c>
      <c r="F17" s="12">
        <f t="shared" si="0"/>
        <v>13.644444444444444</v>
      </c>
      <c r="G17" s="11">
        <v>1</v>
      </c>
      <c r="H17" s="11"/>
      <c r="I17" s="11"/>
      <c r="J17" s="11"/>
      <c r="K17" s="11"/>
      <c r="L17" s="11">
        <v>1</v>
      </c>
      <c r="M17" s="13"/>
    </row>
    <row r="18" spans="1:13" ht="18.5" x14ac:dyDescent="0.45">
      <c r="A18" s="3">
        <v>17</v>
      </c>
      <c r="B18" s="4" t="s">
        <v>24</v>
      </c>
      <c r="C18" s="4" t="s">
        <v>22</v>
      </c>
      <c r="D18" s="11">
        <f>SUM(1465)</f>
        <v>1465</v>
      </c>
      <c r="E18" s="11">
        <f>SUM(109)</f>
        <v>109</v>
      </c>
      <c r="F18" s="12">
        <f t="shared" si="0"/>
        <v>13.440366972477063</v>
      </c>
      <c r="G18" s="11">
        <v>1</v>
      </c>
      <c r="H18" s="11"/>
      <c r="I18" s="11"/>
      <c r="J18" s="11"/>
      <c r="K18" s="11"/>
      <c r="L18" s="11">
        <v>3.5</v>
      </c>
      <c r="M18" s="13"/>
    </row>
    <row r="19" spans="1:13" ht="18.5" x14ac:dyDescent="0.45">
      <c r="A19" s="3">
        <v>18</v>
      </c>
      <c r="B19" s="15" t="s">
        <v>64</v>
      </c>
      <c r="C19" s="4" t="s">
        <v>27</v>
      </c>
      <c r="D19" s="11">
        <f>SUM(1501)</f>
        <v>1501</v>
      </c>
      <c r="E19" s="11">
        <f>SUM(113)</f>
        <v>113</v>
      </c>
      <c r="F19" s="12">
        <f t="shared" si="0"/>
        <v>13.283185840707965</v>
      </c>
      <c r="G19" s="11">
        <v>1</v>
      </c>
      <c r="H19" s="11">
        <v>1</v>
      </c>
      <c r="I19" s="11"/>
      <c r="J19" s="11"/>
      <c r="K19" s="11"/>
      <c r="L19" s="11">
        <v>3.5</v>
      </c>
      <c r="M19" s="13"/>
    </row>
    <row r="20" spans="1:13" ht="18.5" x14ac:dyDescent="0.45">
      <c r="A20" s="3">
        <v>19</v>
      </c>
      <c r="B20" s="4" t="s">
        <v>40</v>
      </c>
      <c r="C20" s="4" t="s">
        <v>32</v>
      </c>
      <c r="D20" s="11">
        <f>SUM(1263)</f>
        <v>1263</v>
      </c>
      <c r="E20" s="11">
        <f>SUM(96)</f>
        <v>96</v>
      </c>
      <c r="F20" s="12">
        <f t="shared" si="0"/>
        <v>13.15625</v>
      </c>
      <c r="G20" s="11">
        <v>1</v>
      </c>
      <c r="H20" s="11"/>
      <c r="I20" s="11"/>
      <c r="J20" s="11"/>
      <c r="K20" s="11"/>
      <c r="L20" s="11">
        <v>2</v>
      </c>
      <c r="M20" s="13"/>
    </row>
    <row r="21" spans="1:13" ht="18.5" x14ac:dyDescent="0.45">
      <c r="A21" s="3">
        <v>20</v>
      </c>
      <c r="B21" s="15" t="s">
        <v>39</v>
      </c>
      <c r="C21" s="4" t="s">
        <v>32</v>
      </c>
      <c r="D21" s="11">
        <f>SUM(1397)</f>
        <v>1397</v>
      </c>
      <c r="E21" s="11">
        <f>SUM(109)</f>
        <v>109</v>
      </c>
      <c r="F21" s="12">
        <f t="shared" si="0"/>
        <v>12.81651376146789</v>
      </c>
      <c r="G21" s="11">
        <v>1</v>
      </c>
      <c r="H21" s="11"/>
      <c r="I21" s="11"/>
      <c r="J21" s="11"/>
      <c r="K21" s="11"/>
      <c r="L21" s="11">
        <v>2.5</v>
      </c>
      <c r="M21" s="13"/>
    </row>
    <row r="22" spans="1:13" ht="18.5" x14ac:dyDescent="0.45">
      <c r="A22" s="3">
        <v>21</v>
      </c>
      <c r="B22" s="4" t="s">
        <v>37</v>
      </c>
      <c r="C22" s="4" t="s">
        <v>66</v>
      </c>
      <c r="D22" s="11">
        <f>SUM(1218)</f>
        <v>1218</v>
      </c>
      <c r="E22" s="11">
        <f>SUM(96)</f>
        <v>96</v>
      </c>
      <c r="F22" s="12">
        <f t="shared" si="0"/>
        <v>12.6875</v>
      </c>
      <c r="G22" s="11">
        <v>1</v>
      </c>
      <c r="H22" s="11"/>
      <c r="I22" s="11"/>
      <c r="J22" s="11"/>
      <c r="K22" s="11"/>
      <c r="L22" s="11">
        <v>1.5</v>
      </c>
      <c r="M22" s="13"/>
    </row>
    <row r="23" spans="1:13" ht="18.5" x14ac:dyDescent="0.45">
      <c r="A23" s="3">
        <v>22</v>
      </c>
      <c r="B23" s="15" t="s">
        <v>69</v>
      </c>
      <c r="C23" s="4" t="s">
        <v>14</v>
      </c>
      <c r="D23" s="11">
        <f>SUM(1497)</f>
        <v>1497</v>
      </c>
      <c r="E23" s="11">
        <f>SUM(119)</f>
        <v>119</v>
      </c>
      <c r="F23" s="12">
        <f t="shared" si="0"/>
        <v>12.579831932773109</v>
      </c>
      <c r="G23" s="11">
        <v>1</v>
      </c>
      <c r="H23" s="11">
        <v>1</v>
      </c>
      <c r="I23" s="11"/>
      <c r="J23" s="11"/>
      <c r="K23" s="11"/>
      <c r="L23" s="11">
        <v>4</v>
      </c>
      <c r="M23" s="13"/>
    </row>
    <row r="24" spans="1:13" ht="18.5" x14ac:dyDescent="0.45">
      <c r="A24" s="3">
        <v>23</v>
      </c>
      <c r="B24" s="4" t="s">
        <v>36</v>
      </c>
      <c r="C24" s="7" t="s">
        <v>66</v>
      </c>
      <c r="D24" s="11">
        <f>SUM(1457)</f>
        <v>1457</v>
      </c>
      <c r="E24" s="11">
        <f>SUM(116)</f>
        <v>116</v>
      </c>
      <c r="F24" s="12">
        <f t="shared" si="0"/>
        <v>12.560344827586206</v>
      </c>
      <c r="G24" s="11">
        <v>1</v>
      </c>
      <c r="H24" s="11"/>
      <c r="I24" s="11"/>
      <c r="J24" s="11"/>
      <c r="K24" s="11"/>
      <c r="L24" s="11">
        <v>2.5</v>
      </c>
      <c r="M24" s="13"/>
    </row>
    <row r="25" spans="1:13" ht="18.5" x14ac:dyDescent="0.45">
      <c r="A25" s="3">
        <v>24</v>
      </c>
      <c r="B25" s="15" t="s">
        <v>71</v>
      </c>
      <c r="C25" s="4" t="s">
        <v>16</v>
      </c>
      <c r="D25" s="11">
        <f>SUM(1373)</f>
        <v>1373</v>
      </c>
      <c r="E25" s="11">
        <f>SUM(111)</f>
        <v>111</v>
      </c>
      <c r="F25" s="12">
        <f t="shared" si="0"/>
        <v>12.36936936936937</v>
      </c>
      <c r="G25" s="11">
        <v>1</v>
      </c>
      <c r="H25" s="11"/>
      <c r="I25" s="11"/>
      <c r="J25" s="11"/>
      <c r="K25" s="11"/>
      <c r="L25" s="11">
        <v>0.5</v>
      </c>
      <c r="M25" s="13"/>
    </row>
    <row r="26" spans="1:13" ht="18.5" x14ac:dyDescent="0.45">
      <c r="A26" s="3">
        <v>25</v>
      </c>
      <c r="B26" s="9" t="s">
        <v>67</v>
      </c>
      <c r="C26" s="4" t="s">
        <v>32</v>
      </c>
      <c r="D26" s="11">
        <f>SUM(1261)</f>
        <v>1261</v>
      </c>
      <c r="E26" s="11">
        <f>SUM(102)</f>
        <v>102</v>
      </c>
      <c r="F26" s="12">
        <f t="shared" si="0"/>
        <v>12.362745098039216</v>
      </c>
      <c r="G26" s="11">
        <v>1</v>
      </c>
      <c r="H26" s="11"/>
      <c r="I26" s="11"/>
      <c r="J26" s="11"/>
      <c r="K26" s="11"/>
      <c r="L26" s="11">
        <v>1</v>
      </c>
      <c r="M26" s="13"/>
    </row>
    <row r="27" spans="1:13" ht="18.5" x14ac:dyDescent="0.45">
      <c r="A27" s="3">
        <v>26</v>
      </c>
      <c r="B27" s="7" t="s">
        <v>20</v>
      </c>
      <c r="C27" s="4" t="s">
        <v>16</v>
      </c>
      <c r="D27" s="11">
        <f>SUM(1316)</f>
        <v>1316</v>
      </c>
      <c r="E27" s="11">
        <f>SUM(107)</f>
        <v>107</v>
      </c>
      <c r="F27" s="12">
        <f t="shared" si="0"/>
        <v>12.299065420560748</v>
      </c>
      <c r="G27" s="11">
        <v>1</v>
      </c>
      <c r="H27" s="11">
        <v>1</v>
      </c>
      <c r="I27" s="11"/>
      <c r="J27" s="11"/>
      <c r="K27" s="11"/>
      <c r="L27" s="11">
        <v>3.5</v>
      </c>
      <c r="M27" s="13"/>
    </row>
    <row r="28" spans="1:13" ht="18.5" x14ac:dyDescent="0.45">
      <c r="A28" s="3">
        <v>27</v>
      </c>
      <c r="B28" s="9" t="s">
        <v>70</v>
      </c>
      <c r="C28" s="4" t="s">
        <v>18</v>
      </c>
      <c r="D28" s="11">
        <f>SUM(1487)</f>
        <v>1487</v>
      </c>
      <c r="E28" s="11">
        <f>SUM(122)</f>
        <v>122</v>
      </c>
      <c r="F28" s="12">
        <f t="shared" si="0"/>
        <v>12.188524590163935</v>
      </c>
      <c r="G28" s="11">
        <v>1</v>
      </c>
      <c r="H28" s="11">
        <v>1</v>
      </c>
      <c r="I28" s="11"/>
      <c r="J28" s="11"/>
      <c r="K28" s="11"/>
      <c r="L28" s="11">
        <v>3.5</v>
      </c>
      <c r="M28" s="13"/>
    </row>
    <row r="29" spans="1:13" ht="18.5" x14ac:dyDescent="0.45">
      <c r="A29" s="3">
        <v>28</v>
      </c>
      <c r="B29" s="7" t="s">
        <v>26</v>
      </c>
      <c r="C29" s="4" t="s">
        <v>18</v>
      </c>
      <c r="D29" s="11">
        <f>SUM(1501)</f>
        <v>1501</v>
      </c>
      <c r="E29" s="11">
        <f>SUM(125)</f>
        <v>125</v>
      </c>
      <c r="F29" s="12">
        <f t="shared" si="0"/>
        <v>12.007999999999999</v>
      </c>
      <c r="G29" s="11">
        <v>1</v>
      </c>
      <c r="H29" s="11">
        <v>1</v>
      </c>
      <c r="I29" s="11"/>
      <c r="J29" s="11"/>
      <c r="K29" s="11">
        <v>1</v>
      </c>
      <c r="L29" s="11">
        <v>5</v>
      </c>
      <c r="M29" s="13"/>
    </row>
    <row r="30" spans="1:13" ht="18.5" x14ac:dyDescent="0.45">
      <c r="A30" s="3">
        <v>29</v>
      </c>
      <c r="B30" s="9" t="s">
        <v>72</v>
      </c>
      <c r="C30" s="4" t="s">
        <v>12</v>
      </c>
      <c r="D30" s="11">
        <f>SUM(1409)</f>
        <v>1409</v>
      </c>
      <c r="E30" s="11">
        <f>SUM(119)</f>
        <v>119</v>
      </c>
      <c r="F30" s="12">
        <f t="shared" si="0"/>
        <v>11.840336134453782</v>
      </c>
      <c r="G30" s="11">
        <v>1</v>
      </c>
      <c r="H30" s="11"/>
      <c r="I30" s="11"/>
      <c r="J30" s="11"/>
      <c r="K30" s="11"/>
      <c r="L30" s="11">
        <v>1.5</v>
      </c>
      <c r="M30" s="13"/>
    </row>
    <row r="31" spans="1:13" ht="18.5" x14ac:dyDescent="0.45">
      <c r="A31" s="3">
        <v>30</v>
      </c>
      <c r="B31" s="7" t="s">
        <v>29</v>
      </c>
      <c r="C31" s="4" t="s">
        <v>66</v>
      </c>
      <c r="D31" s="11">
        <f>SUM(1467)</f>
        <v>1467</v>
      </c>
      <c r="E31" s="11">
        <f>SUM(129)</f>
        <v>129</v>
      </c>
      <c r="F31" s="12">
        <f t="shared" si="0"/>
        <v>11.372093023255815</v>
      </c>
      <c r="G31" s="11">
        <v>1</v>
      </c>
      <c r="H31" s="11"/>
      <c r="I31" s="11"/>
      <c r="J31" s="11"/>
      <c r="K31" s="11"/>
      <c r="L31" s="11">
        <v>0.5</v>
      </c>
      <c r="M31" s="13"/>
    </row>
    <row r="32" spans="1:13" ht="18.5" x14ac:dyDescent="0.45">
      <c r="A32" s="3">
        <v>31</v>
      </c>
      <c r="B32" s="34" t="s">
        <v>42</v>
      </c>
      <c r="C32" s="8" t="s">
        <v>18</v>
      </c>
      <c r="D32" s="11">
        <f>SUM(1503)</f>
        <v>1503</v>
      </c>
      <c r="E32" s="11">
        <f>SUM(133)</f>
        <v>133</v>
      </c>
      <c r="F32" s="12">
        <f t="shared" si="0"/>
        <v>11.300751879699249</v>
      </c>
      <c r="G32" s="11">
        <v>1</v>
      </c>
      <c r="H32" s="11">
        <v>1</v>
      </c>
      <c r="I32" s="11"/>
      <c r="J32" s="11"/>
      <c r="K32" s="11"/>
      <c r="L32" s="11">
        <v>5</v>
      </c>
      <c r="M32" s="13"/>
    </row>
    <row r="33" spans="1:13" ht="18.5" x14ac:dyDescent="0.45">
      <c r="A33" s="3">
        <v>32</v>
      </c>
      <c r="B33" s="9" t="s">
        <v>43</v>
      </c>
      <c r="C33" s="7" t="s">
        <v>66</v>
      </c>
      <c r="D33" s="11">
        <f>SUM(1252)</f>
        <v>1252</v>
      </c>
      <c r="E33" s="11">
        <f>SUM(120)</f>
        <v>120</v>
      </c>
      <c r="F33" s="12">
        <f t="shared" si="0"/>
        <v>10.433333333333334</v>
      </c>
      <c r="G33" s="11">
        <v>1</v>
      </c>
      <c r="H33" s="11"/>
      <c r="I33" s="11"/>
      <c r="J33" s="11"/>
      <c r="K33" s="11"/>
      <c r="L33" s="11">
        <v>1</v>
      </c>
      <c r="M33" s="13"/>
    </row>
    <row r="34" spans="1:13" ht="18.5" x14ac:dyDescent="0.45">
      <c r="A34" s="3">
        <v>33</v>
      </c>
      <c r="B34" s="16" t="s">
        <v>35</v>
      </c>
      <c r="C34" s="7" t="s">
        <v>32</v>
      </c>
      <c r="D34" s="11"/>
      <c r="E34" s="11"/>
      <c r="F34" s="12"/>
      <c r="G34" s="11"/>
      <c r="H34" s="11"/>
      <c r="I34" s="11"/>
      <c r="J34" s="11"/>
      <c r="K34" s="11"/>
      <c r="L34" s="11">
        <v>0.5</v>
      </c>
      <c r="M34" s="13"/>
    </row>
    <row r="35" spans="1:13" ht="18.5" x14ac:dyDescent="0.45">
      <c r="A35" s="3">
        <v>34</v>
      </c>
      <c r="B35" s="4" t="s">
        <v>74</v>
      </c>
      <c r="C35" s="4" t="s">
        <v>66</v>
      </c>
      <c r="D35" s="11"/>
      <c r="E35" s="11"/>
      <c r="F35" s="12"/>
      <c r="G35" s="11"/>
      <c r="H35" s="11"/>
      <c r="I35" s="11"/>
      <c r="J35" s="11"/>
      <c r="K35" s="11"/>
      <c r="L35" s="11">
        <v>0.5</v>
      </c>
      <c r="M35" s="13"/>
    </row>
    <row r="36" spans="1:13" ht="18.5" x14ac:dyDescent="0.45">
      <c r="A36" s="3"/>
      <c r="B36" s="16"/>
      <c r="C36" s="4"/>
      <c r="D36" s="11"/>
      <c r="E36" s="11"/>
      <c r="F36" s="12"/>
      <c r="G36" s="11"/>
      <c r="H36" s="11"/>
      <c r="I36" s="11"/>
      <c r="J36" s="11"/>
      <c r="K36" s="11"/>
      <c r="L36" s="11"/>
      <c r="M36" s="13"/>
    </row>
    <row r="37" spans="1:13" ht="18.5" x14ac:dyDescent="0.45">
      <c r="A37" s="3"/>
      <c r="B37" s="16"/>
      <c r="C37" s="7"/>
      <c r="D37" s="11"/>
      <c r="E37" s="11"/>
      <c r="F37" s="12"/>
      <c r="G37" s="11"/>
      <c r="H37" s="11"/>
      <c r="I37" s="11"/>
      <c r="J37" s="11"/>
      <c r="K37" s="11"/>
      <c r="L37" s="11"/>
      <c r="M37" s="13"/>
    </row>
    <row r="38" spans="1:13" ht="18.5" x14ac:dyDescent="0.45">
      <c r="A38" s="3"/>
      <c r="B38" s="16"/>
      <c r="C38" s="7"/>
      <c r="D38" s="11"/>
      <c r="E38" s="11"/>
      <c r="F38" s="12"/>
      <c r="G38" s="11"/>
      <c r="H38" s="11"/>
      <c r="I38" s="11"/>
      <c r="J38" s="11"/>
      <c r="K38" s="11"/>
      <c r="L38" s="11"/>
      <c r="M38" s="13"/>
    </row>
    <row r="39" spans="1:13" ht="18.5" x14ac:dyDescent="0.45">
      <c r="A39" s="3"/>
      <c r="B39" s="10"/>
      <c r="C39" s="7"/>
      <c r="D39" s="11"/>
      <c r="E39" s="11"/>
      <c r="F39" s="12"/>
      <c r="G39" s="11"/>
      <c r="H39" s="11"/>
      <c r="I39" s="11"/>
      <c r="J39" s="11"/>
      <c r="K39" s="11"/>
      <c r="L39" s="11"/>
      <c r="M39" s="13"/>
    </row>
    <row r="40" spans="1:13" ht="18.5" x14ac:dyDescent="0.45">
      <c r="A40" s="3"/>
      <c r="B40" s="10"/>
      <c r="C40" s="7"/>
      <c r="D40" s="11"/>
      <c r="E40" s="11"/>
      <c r="F40" s="12"/>
      <c r="G40" s="11"/>
      <c r="H40" s="11"/>
      <c r="I40" s="11"/>
      <c r="J40" s="11"/>
      <c r="K40" s="11"/>
      <c r="L40" s="11"/>
      <c r="M40" s="13"/>
    </row>
    <row r="41" spans="1:13" ht="18.5" x14ac:dyDescent="0.45">
      <c r="A41" s="3"/>
      <c r="B41" s="16"/>
      <c r="C41" s="7"/>
      <c r="D41" s="11"/>
      <c r="E41" s="11"/>
      <c r="F41" s="12"/>
      <c r="G41" s="11"/>
      <c r="H41" s="11"/>
      <c r="I41" s="11"/>
      <c r="J41" s="11"/>
      <c r="K41" s="11"/>
      <c r="L41" s="11"/>
      <c r="M41" s="13"/>
    </row>
    <row r="42" spans="1:13" ht="18.5" x14ac:dyDescent="0.45">
      <c r="A42" s="3"/>
      <c r="B42" s="16"/>
      <c r="C42" s="4"/>
      <c r="D42" s="11"/>
      <c r="E42" s="11"/>
      <c r="F42" s="12"/>
      <c r="G42" s="11"/>
      <c r="H42" s="11"/>
      <c r="I42" s="11"/>
      <c r="J42" s="11"/>
      <c r="K42" s="11"/>
      <c r="L42" s="11"/>
      <c r="M42" s="13"/>
    </row>
    <row r="43" spans="1:13" ht="18.5" x14ac:dyDescent="0.45">
      <c r="A43" s="3"/>
      <c r="B43" s="10"/>
      <c r="C43" s="7"/>
      <c r="D43" s="11"/>
      <c r="E43" s="11"/>
      <c r="F43" s="12"/>
      <c r="G43" s="11"/>
      <c r="H43" s="11"/>
      <c r="I43" s="11"/>
      <c r="J43" s="11"/>
      <c r="K43" s="11"/>
      <c r="L43" s="11"/>
      <c r="M43" s="13"/>
    </row>
    <row r="44" spans="1:13" ht="18.5" x14ac:dyDescent="0.45">
      <c r="A44" s="3"/>
      <c r="B44" s="35"/>
      <c r="C44" s="4"/>
      <c r="D44" s="11"/>
      <c r="E44" s="11"/>
      <c r="F44" s="12"/>
      <c r="G44" s="11"/>
      <c r="H44" s="11"/>
      <c r="I44" s="11"/>
      <c r="J44" s="11"/>
      <c r="K44" s="11"/>
      <c r="L44" s="11"/>
      <c r="M44" s="13"/>
    </row>
    <row r="45" spans="1:13" ht="18.5" x14ac:dyDescent="0.45">
      <c r="A45" s="3"/>
      <c r="B45" s="4"/>
      <c r="C45" s="4"/>
      <c r="D45" s="11"/>
      <c r="E45" s="11"/>
      <c r="F45" s="12"/>
      <c r="G45" s="11"/>
      <c r="H45" s="11"/>
      <c r="I45" s="11"/>
      <c r="J45" s="11"/>
      <c r="K45" s="11"/>
      <c r="L45" s="11"/>
      <c r="M45" s="13"/>
    </row>
    <row r="46" spans="1:13" ht="18.5" x14ac:dyDescent="0.45">
      <c r="A46" s="3"/>
      <c r="B46" s="15"/>
      <c r="C46" s="17"/>
      <c r="D46" s="11"/>
      <c r="E46" s="11"/>
      <c r="F46" s="12"/>
      <c r="G46" s="11"/>
      <c r="H46" s="11"/>
      <c r="I46" s="11"/>
      <c r="J46" s="11"/>
      <c r="K46" s="11"/>
      <c r="L46" s="11"/>
      <c r="M46" s="13"/>
    </row>
    <row r="47" spans="1:13" ht="18.5" x14ac:dyDescent="0.45">
      <c r="A47" s="3"/>
      <c r="B47" s="4"/>
      <c r="C47" s="4"/>
      <c r="D47" s="11"/>
      <c r="E47" s="11"/>
      <c r="F47" s="12"/>
      <c r="G47" s="11"/>
      <c r="H47" s="11"/>
      <c r="I47" s="11"/>
      <c r="J47" s="11"/>
      <c r="K47" s="11"/>
      <c r="L47" s="11"/>
      <c r="M47" s="13"/>
    </row>
    <row r="48" spans="1:13" ht="17.25" customHeight="1" thickBot="1" x14ac:dyDescent="0.5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8" ht="19.5" customHeight="1" thickBot="1" x14ac:dyDescent="0.5">
      <c r="A49" s="5"/>
      <c r="B49" s="82" t="s">
        <v>97</v>
      </c>
      <c r="C49" s="27" t="s">
        <v>44</v>
      </c>
      <c r="D49" s="28" t="s">
        <v>45</v>
      </c>
      <c r="E49" s="29" t="s">
        <v>46</v>
      </c>
      <c r="F49" s="20" t="s">
        <v>62</v>
      </c>
      <c r="G49" s="30" t="s">
        <v>47</v>
      </c>
      <c r="I49" s="78" t="s">
        <v>48</v>
      </c>
      <c r="J49" s="79"/>
      <c r="K49" s="79"/>
      <c r="L49" s="79"/>
      <c r="M49" s="79"/>
      <c r="N49" s="79"/>
      <c r="O49" s="79"/>
      <c r="P49" s="79"/>
      <c r="Q49" s="79"/>
      <c r="R49" s="80"/>
    </row>
    <row r="50" spans="1:18" ht="18.5" x14ac:dyDescent="0.45">
      <c r="A50" s="5"/>
      <c r="B50" s="83"/>
      <c r="C50" s="17" t="s">
        <v>59</v>
      </c>
      <c r="D50" s="7">
        <v>1</v>
      </c>
      <c r="E50" s="22">
        <v>0</v>
      </c>
      <c r="F50" s="15"/>
      <c r="G50" s="23">
        <v>20</v>
      </c>
      <c r="I50" s="84" t="s">
        <v>49</v>
      </c>
      <c r="J50" s="70"/>
      <c r="K50" s="70"/>
      <c r="L50" s="70"/>
      <c r="M50" s="70"/>
      <c r="N50" s="64" t="s">
        <v>96</v>
      </c>
      <c r="O50" s="64"/>
      <c r="P50" s="64"/>
      <c r="Q50" s="64"/>
      <c r="R50" s="81"/>
    </row>
    <row r="51" spans="1:18" ht="18.5" x14ac:dyDescent="0.45">
      <c r="A51" s="5"/>
      <c r="B51" s="83"/>
      <c r="C51" s="17" t="s">
        <v>58</v>
      </c>
      <c r="D51" s="7">
        <v>1</v>
      </c>
      <c r="E51" s="16">
        <v>0</v>
      </c>
      <c r="F51" s="15"/>
      <c r="G51" s="17">
        <v>18</v>
      </c>
      <c r="I51" s="85" t="s">
        <v>51</v>
      </c>
      <c r="J51" s="72"/>
      <c r="K51" s="72"/>
      <c r="L51" s="72"/>
      <c r="M51" s="72"/>
      <c r="N51" s="59" t="s">
        <v>95</v>
      </c>
      <c r="O51" s="59"/>
      <c r="P51" s="59"/>
      <c r="Q51" s="59"/>
      <c r="R51" s="77"/>
    </row>
    <row r="52" spans="1:18" ht="18.5" x14ac:dyDescent="0.45">
      <c r="A52" s="5"/>
      <c r="B52" s="83"/>
      <c r="C52" s="17" t="s">
        <v>60</v>
      </c>
      <c r="D52" s="7">
        <v>1</v>
      </c>
      <c r="E52" s="22">
        <v>0</v>
      </c>
      <c r="F52" s="15"/>
      <c r="G52" s="23">
        <v>15</v>
      </c>
      <c r="I52" s="85" t="s">
        <v>53</v>
      </c>
      <c r="J52" s="72"/>
      <c r="K52" s="72"/>
      <c r="L52" s="72"/>
      <c r="M52" s="72"/>
      <c r="N52" s="59" t="s">
        <v>94</v>
      </c>
      <c r="O52" s="59"/>
      <c r="P52" s="59"/>
      <c r="Q52" s="59"/>
      <c r="R52" s="77"/>
    </row>
    <row r="53" spans="1:18" ht="18.5" x14ac:dyDescent="0.45">
      <c r="A53" s="6"/>
      <c r="B53" s="83"/>
      <c r="C53" s="18" t="s">
        <v>61</v>
      </c>
      <c r="D53" s="9">
        <v>1</v>
      </c>
      <c r="E53" s="10">
        <v>0</v>
      </c>
      <c r="F53" s="15"/>
      <c r="G53" s="18">
        <v>15</v>
      </c>
      <c r="I53" s="85" t="s">
        <v>54</v>
      </c>
      <c r="J53" s="72"/>
      <c r="K53" s="72"/>
      <c r="L53" s="72"/>
      <c r="M53" s="72"/>
      <c r="N53" s="59" t="s">
        <v>93</v>
      </c>
      <c r="O53" s="59"/>
      <c r="P53" s="59"/>
      <c r="Q53" s="59"/>
      <c r="R53" s="77"/>
    </row>
    <row r="54" spans="1:18" ht="18" customHeight="1" x14ac:dyDescent="0.45">
      <c r="A54" s="6"/>
      <c r="B54" s="83"/>
      <c r="C54" s="17" t="s">
        <v>50</v>
      </c>
      <c r="D54" s="7">
        <v>0</v>
      </c>
      <c r="E54" s="16">
        <v>1</v>
      </c>
      <c r="F54" s="15"/>
      <c r="G54" s="17">
        <v>9</v>
      </c>
      <c r="I54" s="85" t="s">
        <v>56</v>
      </c>
      <c r="J54" s="72"/>
      <c r="K54" s="72"/>
      <c r="L54" s="72"/>
      <c r="M54" s="72"/>
      <c r="N54" s="59" t="s">
        <v>94</v>
      </c>
      <c r="O54" s="59"/>
      <c r="P54" s="59"/>
      <c r="Q54" s="59"/>
      <c r="R54" s="77"/>
    </row>
    <row r="55" spans="1:18" ht="18" customHeight="1" thickBot="1" x14ac:dyDescent="0.5">
      <c r="A55" s="6"/>
      <c r="B55" s="83"/>
      <c r="C55" s="17" t="s">
        <v>52</v>
      </c>
      <c r="D55" s="7">
        <v>0</v>
      </c>
      <c r="E55" s="22">
        <v>1</v>
      </c>
      <c r="F55" s="15"/>
      <c r="G55" s="23">
        <v>9</v>
      </c>
      <c r="I55" s="86" t="s">
        <v>57</v>
      </c>
      <c r="J55" s="87"/>
      <c r="K55" s="87"/>
      <c r="L55" s="87"/>
      <c r="M55" s="87"/>
      <c r="N55" s="59" t="s">
        <v>93</v>
      </c>
      <c r="O55" s="59"/>
      <c r="P55" s="59"/>
      <c r="Q55" s="59"/>
      <c r="R55" s="77"/>
    </row>
    <row r="56" spans="1:18" ht="18.5" x14ac:dyDescent="0.45">
      <c r="A56" s="6"/>
      <c r="B56" s="83"/>
      <c r="C56" s="19" t="s">
        <v>68</v>
      </c>
      <c r="D56" s="9">
        <v>0</v>
      </c>
      <c r="E56" s="10">
        <v>1</v>
      </c>
      <c r="F56" s="15"/>
      <c r="G56" s="18">
        <v>6</v>
      </c>
      <c r="H56" s="6"/>
      <c r="I56" s="6"/>
    </row>
    <row r="57" spans="1:18" ht="18.5" x14ac:dyDescent="0.45">
      <c r="A57" s="6"/>
      <c r="B57" s="83"/>
      <c r="C57" s="17" t="s">
        <v>55</v>
      </c>
      <c r="D57" s="7">
        <v>0</v>
      </c>
      <c r="E57" s="22">
        <v>1</v>
      </c>
      <c r="F57" s="15"/>
      <c r="G57" s="23">
        <v>4</v>
      </c>
      <c r="H57" s="6"/>
    </row>
    <row r="58" spans="1:18" ht="18.5" x14ac:dyDescent="0.45">
      <c r="B58" s="83"/>
      <c r="C58" s="18" t="s">
        <v>75</v>
      </c>
      <c r="D58" s="9"/>
      <c r="E58" s="10"/>
      <c r="F58" s="15"/>
      <c r="G58" s="18"/>
    </row>
    <row r="59" spans="1:18" ht="18.5" x14ac:dyDescent="0.45">
      <c r="B59" s="83"/>
      <c r="C59" s="17" t="s">
        <v>73</v>
      </c>
      <c r="D59" s="7"/>
      <c r="E59" s="22"/>
      <c r="F59" s="15"/>
      <c r="G59" s="23"/>
    </row>
    <row r="60" spans="1:18" ht="15" thickBot="1" x14ac:dyDescent="0.4"/>
    <row r="61" spans="1:18" ht="19" thickBot="1" x14ac:dyDescent="0.5">
      <c r="C61" s="27" t="s">
        <v>76</v>
      </c>
      <c r="D61" s="28" t="s">
        <v>45</v>
      </c>
      <c r="E61" s="28" t="s">
        <v>46</v>
      </c>
      <c r="F61" s="20" t="s">
        <v>62</v>
      </c>
      <c r="G61" s="31" t="s">
        <v>47</v>
      </c>
    </row>
    <row r="62" spans="1:18" ht="18.5" x14ac:dyDescent="0.45">
      <c r="C62" s="14" t="s">
        <v>59</v>
      </c>
      <c r="D62" s="14">
        <v>1</v>
      </c>
      <c r="E62" s="24">
        <v>0</v>
      </c>
      <c r="F62" s="15"/>
      <c r="G62" s="25">
        <v>20</v>
      </c>
    </row>
    <row r="63" spans="1:18" ht="18.5" x14ac:dyDescent="0.45">
      <c r="C63" s="7" t="s">
        <v>60</v>
      </c>
      <c r="D63" s="7">
        <v>1</v>
      </c>
      <c r="E63" s="22">
        <v>0</v>
      </c>
      <c r="F63" s="15"/>
      <c r="G63" s="23">
        <v>15</v>
      </c>
    </row>
    <row r="64" spans="1:18" ht="18.5" x14ac:dyDescent="0.45">
      <c r="C64" s="14" t="s">
        <v>50</v>
      </c>
      <c r="D64" s="14">
        <v>0</v>
      </c>
      <c r="E64" s="21">
        <v>1</v>
      </c>
      <c r="F64" s="26"/>
      <c r="G64" s="19">
        <v>9</v>
      </c>
    </row>
    <row r="65" spans="3:7" ht="18.5" x14ac:dyDescent="0.45">
      <c r="C65" s="7" t="s">
        <v>55</v>
      </c>
      <c r="D65" s="7">
        <v>0</v>
      </c>
      <c r="E65" s="22">
        <v>1</v>
      </c>
      <c r="F65" s="15"/>
      <c r="G65" s="23">
        <v>4</v>
      </c>
    </row>
    <row r="66" spans="3:7" ht="18.5" x14ac:dyDescent="0.45">
      <c r="C66" s="14" t="s">
        <v>73</v>
      </c>
      <c r="D66" s="14"/>
      <c r="E66" s="24"/>
      <c r="F66" s="26"/>
      <c r="G66" s="25"/>
    </row>
    <row r="67" spans="3:7" ht="15" thickBot="1" x14ac:dyDescent="0.4"/>
    <row r="68" spans="3:7" ht="19" thickBot="1" x14ac:dyDescent="0.5">
      <c r="C68" s="27" t="s">
        <v>77</v>
      </c>
      <c r="D68" s="28" t="s">
        <v>45</v>
      </c>
      <c r="E68" s="28" t="s">
        <v>46</v>
      </c>
      <c r="F68" s="20" t="s">
        <v>62</v>
      </c>
      <c r="G68" s="31" t="s">
        <v>47</v>
      </c>
    </row>
    <row r="69" spans="3:7" ht="18.5" x14ac:dyDescent="0.45">
      <c r="C69" s="7" t="s">
        <v>58</v>
      </c>
      <c r="D69" s="7">
        <v>1</v>
      </c>
      <c r="E69" s="16">
        <v>0</v>
      </c>
      <c r="F69" s="15"/>
      <c r="G69" s="17">
        <v>18</v>
      </c>
    </row>
    <row r="70" spans="3:7" ht="18.5" x14ac:dyDescent="0.45">
      <c r="C70" s="9" t="s">
        <v>61</v>
      </c>
      <c r="D70" s="9">
        <v>1</v>
      </c>
      <c r="E70" s="10">
        <v>0</v>
      </c>
      <c r="F70" s="15"/>
      <c r="G70" s="18">
        <v>15</v>
      </c>
    </row>
    <row r="71" spans="3:7" ht="18.5" x14ac:dyDescent="0.45">
      <c r="C71" s="14" t="s">
        <v>52</v>
      </c>
      <c r="D71" s="14">
        <v>0</v>
      </c>
      <c r="E71" s="24">
        <v>1</v>
      </c>
      <c r="F71" s="15"/>
      <c r="G71" s="25">
        <v>9</v>
      </c>
    </row>
    <row r="72" spans="3:7" ht="18.5" x14ac:dyDescent="0.45">
      <c r="C72" s="14" t="s">
        <v>68</v>
      </c>
      <c r="D72" s="14">
        <v>0</v>
      </c>
      <c r="E72" s="21">
        <v>1</v>
      </c>
      <c r="F72" s="26"/>
      <c r="G72" s="19">
        <v>6</v>
      </c>
    </row>
    <row r="73" spans="3:7" ht="18.5" x14ac:dyDescent="0.45">
      <c r="C73" s="18" t="s">
        <v>75</v>
      </c>
      <c r="D73" s="9"/>
      <c r="E73" s="10"/>
      <c r="F73" s="15"/>
      <c r="G73" s="18"/>
    </row>
  </sheetData>
  <mergeCells count="14">
    <mergeCell ref="B49:B59"/>
    <mergeCell ref="I50:M50"/>
    <mergeCell ref="I51:M51"/>
    <mergeCell ref="I52:M52"/>
    <mergeCell ref="I53:M53"/>
    <mergeCell ref="I54:M54"/>
    <mergeCell ref="I55:M55"/>
    <mergeCell ref="N55:R55"/>
    <mergeCell ref="I49:R49"/>
    <mergeCell ref="N50:R50"/>
    <mergeCell ref="N51:R51"/>
    <mergeCell ref="N52:R52"/>
    <mergeCell ref="N53:R53"/>
    <mergeCell ref="N54:R5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B887-A48E-46E4-AD02-12A2AB9C0AEB}">
  <dimension ref="A1:R80"/>
  <sheetViews>
    <sheetView workbookViewId="0">
      <pane ySplit="1" topLeftCell="A2" activePane="bottomLeft" state="frozen"/>
      <selection pane="bottomLeft" activeCell="J14" sqref="J14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8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18.8164062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138</v>
      </c>
      <c r="C2" s="4" t="s">
        <v>22</v>
      </c>
      <c r="D2" s="11">
        <f>SUM(1503)</f>
        <v>1503</v>
      </c>
      <c r="E2" s="11">
        <f>SUM(83)</f>
        <v>83</v>
      </c>
      <c r="F2" s="12">
        <f>SUM(D2/E2)</f>
        <v>18.108433734939759</v>
      </c>
      <c r="G2" s="11">
        <v>1</v>
      </c>
      <c r="H2" s="11">
        <v>1</v>
      </c>
      <c r="I2" s="11"/>
      <c r="J2" s="11"/>
      <c r="K2" s="11"/>
      <c r="L2" s="11">
        <v>6</v>
      </c>
      <c r="M2" s="13"/>
    </row>
    <row r="3" spans="1:13" ht="18.5" x14ac:dyDescent="0.45">
      <c r="A3" s="3">
        <v>2</v>
      </c>
      <c r="B3" s="4" t="s">
        <v>19</v>
      </c>
      <c r="C3" s="4" t="s">
        <v>14</v>
      </c>
      <c r="D3" s="11">
        <f>SUM(1503+1501+1499+1401+1471+1481+1487)</f>
        <v>10343</v>
      </c>
      <c r="E3" s="11">
        <f>SUM(88+78+80+76+97+122+74)</f>
        <v>615</v>
      </c>
      <c r="F3" s="12">
        <f>SUM(D3/E3)</f>
        <v>16.817886178861787</v>
      </c>
      <c r="G3" s="11">
        <v>7</v>
      </c>
      <c r="H3" s="11">
        <v>6</v>
      </c>
      <c r="I3" s="11"/>
      <c r="J3" s="11"/>
      <c r="K3" s="11"/>
      <c r="L3" s="11">
        <v>32.5</v>
      </c>
      <c r="M3" s="13">
        <v>20</v>
      </c>
    </row>
    <row r="4" spans="1:13" ht="18.5" x14ac:dyDescent="0.45">
      <c r="A4" s="3">
        <v>3</v>
      </c>
      <c r="B4" s="4" t="s">
        <v>23</v>
      </c>
      <c r="C4" s="4" t="s">
        <v>14</v>
      </c>
      <c r="D4" s="11">
        <f>SUM(1503+1503+1503+1479+1498+1336+1503+1501+1479)</f>
        <v>13305</v>
      </c>
      <c r="E4" s="11">
        <f>SUM(93+102+87+75+85+80+94+92+94)</f>
        <v>802</v>
      </c>
      <c r="F4" s="12">
        <f>SUM(D4/E4)</f>
        <v>16.589775561097255</v>
      </c>
      <c r="G4" s="11">
        <v>9</v>
      </c>
      <c r="H4" s="11">
        <v>7</v>
      </c>
      <c r="I4" s="11">
        <v>1</v>
      </c>
      <c r="J4" s="11"/>
      <c r="K4" s="11">
        <v>1</v>
      </c>
      <c r="L4" s="11">
        <v>39</v>
      </c>
      <c r="M4" s="13">
        <v>5</v>
      </c>
    </row>
    <row r="5" spans="1:13" ht="18.5" x14ac:dyDescent="0.45">
      <c r="A5" s="3">
        <v>4</v>
      </c>
      <c r="B5" s="4" t="s">
        <v>13</v>
      </c>
      <c r="C5" s="4" t="s">
        <v>14</v>
      </c>
      <c r="D5" s="11">
        <f>SUM(1503+1493+1483+1503+1347+1503+1471+1503+1428)</f>
        <v>13234</v>
      </c>
      <c r="E5" s="11">
        <f>SUM(87+94+89+105+89+91+89+89+89)</f>
        <v>822</v>
      </c>
      <c r="F5" s="12">
        <f>SUM(D5/E5)</f>
        <v>16.099756690997566</v>
      </c>
      <c r="G5" s="11">
        <v>9</v>
      </c>
      <c r="H5" s="11">
        <v>8</v>
      </c>
      <c r="I5" s="11"/>
      <c r="J5" s="11"/>
      <c r="K5" s="11"/>
      <c r="L5" s="11">
        <v>40.5</v>
      </c>
      <c r="M5" s="13">
        <v>5</v>
      </c>
    </row>
    <row r="6" spans="1:13" ht="18.5" x14ac:dyDescent="0.45">
      <c r="A6" s="3">
        <v>5</v>
      </c>
      <c r="B6" s="4" t="s">
        <v>15</v>
      </c>
      <c r="C6" s="4" t="s">
        <v>16</v>
      </c>
      <c r="D6" s="11">
        <f>SUM(1439+1494+1469+1433+1433+1403+1360+1481+1457)</f>
        <v>12969</v>
      </c>
      <c r="E6" s="11">
        <f>SUM(83+92+88+91+92+75+104+114+90)</f>
        <v>829</v>
      </c>
      <c r="F6" s="12">
        <f>SUM(D6/E6)</f>
        <v>15.644149577804583</v>
      </c>
      <c r="G6" s="11">
        <v>9</v>
      </c>
      <c r="H6" s="11">
        <v>3</v>
      </c>
      <c r="I6" s="11"/>
      <c r="J6" s="11"/>
      <c r="K6" s="11"/>
      <c r="L6" s="11">
        <v>24.5</v>
      </c>
      <c r="M6" s="13">
        <v>5</v>
      </c>
    </row>
    <row r="7" spans="1:13" ht="18.5" x14ac:dyDescent="0.45">
      <c r="A7" s="3">
        <v>6</v>
      </c>
      <c r="B7" s="4" t="s">
        <v>11</v>
      </c>
      <c r="C7" s="4" t="s">
        <v>12</v>
      </c>
      <c r="D7" s="11">
        <f>SUM(1434+1499+1503+1463+1490+1467+1348+1437)</f>
        <v>11641</v>
      </c>
      <c r="E7" s="11">
        <f>SUM(78+102+87+91+93+109+93+93)</f>
        <v>746</v>
      </c>
      <c r="F7" s="12">
        <f>SUM(D7/E7)</f>
        <v>15.60455764075067</v>
      </c>
      <c r="G7" s="11">
        <v>8</v>
      </c>
      <c r="H7" s="11">
        <v>5</v>
      </c>
      <c r="I7" s="11">
        <v>1</v>
      </c>
      <c r="J7" s="11"/>
      <c r="K7" s="11"/>
      <c r="L7" s="11">
        <v>27.5</v>
      </c>
      <c r="M7" s="13">
        <v>15</v>
      </c>
    </row>
    <row r="8" spans="1:13" ht="18.5" x14ac:dyDescent="0.45">
      <c r="A8" s="3">
        <v>7</v>
      </c>
      <c r="B8" s="4" t="s">
        <v>26</v>
      </c>
      <c r="C8" s="4" t="s">
        <v>18</v>
      </c>
      <c r="D8" s="11">
        <f>SUM(1501+1503+1503+1491+1412+1503+1462+1503)</f>
        <v>11878</v>
      </c>
      <c r="E8" s="11">
        <f>SUM(125+90+100+97+76+91+89+98)</f>
        <v>766</v>
      </c>
      <c r="F8" s="12">
        <f>SUM(D8/E8)</f>
        <v>15.506527415143603</v>
      </c>
      <c r="G8" s="11">
        <v>8</v>
      </c>
      <c r="H8" s="11">
        <v>6</v>
      </c>
      <c r="I8" s="11"/>
      <c r="J8" s="11"/>
      <c r="K8" s="11">
        <v>1</v>
      </c>
      <c r="L8" s="11">
        <v>31.5</v>
      </c>
      <c r="M8" s="13">
        <v>15</v>
      </c>
    </row>
    <row r="9" spans="1:13" ht="18.5" x14ac:dyDescent="0.45">
      <c r="A9" s="3">
        <v>8</v>
      </c>
      <c r="B9" s="4" t="s">
        <v>41</v>
      </c>
      <c r="C9" s="4" t="s">
        <v>16</v>
      </c>
      <c r="D9" s="11">
        <f>SUM(1305+1155+1497+1433+1488+1439+1495+1503+1503)</f>
        <v>12818</v>
      </c>
      <c r="E9" s="11">
        <f>SUM(82+73+109+98+104+100+102+79+98)</f>
        <v>845</v>
      </c>
      <c r="F9" s="12">
        <f>SUM(D9/E9)</f>
        <v>15.169230769230769</v>
      </c>
      <c r="G9" s="11">
        <v>9</v>
      </c>
      <c r="H9" s="11">
        <v>7</v>
      </c>
      <c r="I9" s="11"/>
      <c r="J9" s="11"/>
      <c r="K9" s="11"/>
      <c r="L9" s="11">
        <v>35</v>
      </c>
      <c r="M9" s="13">
        <v>5</v>
      </c>
    </row>
    <row r="10" spans="1:13" ht="18.5" x14ac:dyDescent="0.45">
      <c r="A10" s="3">
        <v>9</v>
      </c>
      <c r="B10" s="4" t="s">
        <v>115</v>
      </c>
      <c r="C10" s="4" t="s">
        <v>103</v>
      </c>
      <c r="D10" s="11">
        <f>SUM(1503+1473+1444+1426+1498+1392)</f>
        <v>8736</v>
      </c>
      <c r="E10" s="11">
        <f>SUM(115+100+87+93+103+86)</f>
        <v>584</v>
      </c>
      <c r="F10" s="12">
        <f>SUM(D10/E10)</f>
        <v>14.95890410958904</v>
      </c>
      <c r="G10" s="11">
        <v>6</v>
      </c>
      <c r="H10" s="11">
        <v>4</v>
      </c>
      <c r="I10" s="11"/>
      <c r="J10" s="11"/>
      <c r="K10" s="11"/>
      <c r="L10" s="11">
        <v>18</v>
      </c>
      <c r="M10" s="13"/>
    </row>
    <row r="11" spans="1:13" ht="18.5" x14ac:dyDescent="0.45">
      <c r="A11" s="3">
        <v>10</v>
      </c>
      <c r="B11" s="4" t="s">
        <v>25</v>
      </c>
      <c r="C11" s="4" t="s">
        <v>12</v>
      </c>
      <c r="D11" s="11">
        <f>SUM(1124+1503+1455+1463+1431+1419+1263+1357)</f>
        <v>11015</v>
      </c>
      <c r="E11" s="11">
        <f>SUM(81+82+115+97+102+100+96+80)</f>
        <v>753</v>
      </c>
      <c r="F11" s="12">
        <f>SUM(D11/E11)</f>
        <v>14.628154050464808</v>
      </c>
      <c r="G11" s="11">
        <v>8</v>
      </c>
      <c r="H11" s="11">
        <v>3</v>
      </c>
      <c r="I11" s="11"/>
      <c r="J11" s="11">
        <v>1</v>
      </c>
      <c r="K11" s="11"/>
      <c r="L11" s="11">
        <v>23</v>
      </c>
      <c r="M11" s="13">
        <v>5</v>
      </c>
    </row>
    <row r="12" spans="1:13" ht="18.5" x14ac:dyDescent="0.45">
      <c r="A12" s="3">
        <v>11</v>
      </c>
      <c r="B12" s="15" t="s">
        <v>31</v>
      </c>
      <c r="C12" s="4" t="s">
        <v>32</v>
      </c>
      <c r="D12" s="11">
        <f>SUM(1463+1440+1348+1483+1155+1501+1486+1449+1503)</f>
        <v>12828</v>
      </c>
      <c r="E12" s="11">
        <f>SUM(87+90+90+101+80+109+137+80+104)</f>
        <v>878</v>
      </c>
      <c r="F12" s="12">
        <f>SUM(D12/E12)</f>
        <v>14.610478359908884</v>
      </c>
      <c r="G12" s="11">
        <v>9</v>
      </c>
      <c r="H12" s="11">
        <v>5</v>
      </c>
      <c r="I12" s="11"/>
      <c r="J12" s="11"/>
      <c r="K12" s="11">
        <v>1</v>
      </c>
      <c r="L12" s="11">
        <v>25.5</v>
      </c>
      <c r="M12" s="13">
        <v>20</v>
      </c>
    </row>
    <row r="13" spans="1:13" ht="18.5" x14ac:dyDescent="0.45">
      <c r="A13" s="3">
        <v>12</v>
      </c>
      <c r="B13" s="15" t="s">
        <v>64</v>
      </c>
      <c r="C13" s="4" t="s">
        <v>27</v>
      </c>
      <c r="D13" s="11">
        <f>SUM(1501+1463+1503+1285+1296+1461+1463+1403)</f>
        <v>11375</v>
      </c>
      <c r="E13" s="11">
        <f>SUM(113+99+115+86+72+103+96+102)</f>
        <v>786</v>
      </c>
      <c r="F13" s="12">
        <f>SUM(D13/E13)</f>
        <v>14.472010178117049</v>
      </c>
      <c r="G13" s="11">
        <v>8</v>
      </c>
      <c r="H13" s="11">
        <v>3</v>
      </c>
      <c r="I13" s="11"/>
      <c r="J13" s="11"/>
      <c r="K13" s="11"/>
      <c r="L13" s="11">
        <v>22</v>
      </c>
      <c r="M13" s="13">
        <v>5</v>
      </c>
    </row>
    <row r="14" spans="1:13" ht="18.5" x14ac:dyDescent="0.45">
      <c r="A14" s="3">
        <v>13</v>
      </c>
      <c r="B14" s="15" t="s">
        <v>81</v>
      </c>
      <c r="C14" s="4" t="s">
        <v>89</v>
      </c>
      <c r="D14" s="11">
        <f>SUM(1431+1330+1465+1356+1495+1483+1453+1410+1431)</f>
        <v>12854</v>
      </c>
      <c r="E14" s="11">
        <f>SUM(111+103+105+76+116+100+108+82+93)</f>
        <v>894</v>
      </c>
      <c r="F14" s="12">
        <f>SUM(D14/E14)</f>
        <v>14.378076062639821</v>
      </c>
      <c r="G14" s="11">
        <v>9</v>
      </c>
      <c r="H14" s="11">
        <v>6</v>
      </c>
      <c r="I14" s="11"/>
      <c r="J14" s="11"/>
      <c r="K14" s="11"/>
      <c r="L14" s="11">
        <v>28</v>
      </c>
      <c r="M14" s="13"/>
    </row>
    <row r="15" spans="1:13" ht="18.5" x14ac:dyDescent="0.45">
      <c r="A15" s="3">
        <v>14</v>
      </c>
      <c r="B15" s="3" t="s">
        <v>17</v>
      </c>
      <c r="C15" s="7" t="s">
        <v>18</v>
      </c>
      <c r="D15" s="11">
        <f>SUM(1503+1238+1475+1503+1447+1455+1297+1438+1503)</f>
        <v>12859</v>
      </c>
      <c r="E15" s="11">
        <f>SUM(101+96+104+93+109+100+96+98+117)</f>
        <v>914</v>
      </c>
      <c r="F15" s="12">
        <f>SUM(D15/E15)</f>
        <v>14.068927789934355</v>
      </c>
      <c r="G15" s="11">
        <v>9</v>
      </c>
      <c r="H15" s="11">
        <v>4</v>
      </c>
      <c r="I15" s="11"/>
      <c r="J15" s="11"/>
      <c r="K15" s="11"/>
      <c r="L15" s="11">
        <v>28.5</v>
      </c>
      <c r="M15" s="13"/>
    </row>
    <row r="16" spans="1:13" ht="18.5" x14ac:dyDescent="0.45">
      <c r="A16" s="3">
        <v>15</v>
      </c>
      <c r="B16" s="3" t="s">
        <v>21</v>
      </c>
      <c r="C16" s="4" t="s">
        <v>22</v>
      </c>
      <c r="D16" s="11">
        <f>SUM(1399+1503+1274+1463+1443+1165+1500+1475+1335)</f>
        <v>12557</v>
      </c>
      <c r="E16" s="11">
        <f>SUM(82+109+87+114+103+86+141+97+93)</f>
        <v>912</v>
      </c>
      <c r="F16" s="12">
        <f>SUM(D16/E16)</f>
        <v>13.768640350877194</v>
      </c>
      <c r="G16" s="11">
        <v>9</v>
      </c>
      <c r="H16" s="11">
        <v>3</v>
      </c>
      <c r="I16" s="11"/>
      <c r="J16" s="11"/>
      <c r="K16" s="11"/>
      <c r="L16" s="11">
        <v>29.5</v>
      </c>
      <c r="M16" s="13"/>
    </row>
    <row r="17" spans="1:13" ht="18.5" x14ac:dyDescent="0.45">
      <c r="A17" s="3">
        <v>16</v>
      </c>
      <c r="B17" s="15" t="s">
        <v>85</v>
      </c>
      <c r="C17" s="4" t="s">
        <v>103</v>
      </c>
      <c r="D17" s="11">
        <f>SUM(1503+1503+1471+1501+1469+1503+1499+1503)</f>
        <v>11952</v>
      </c>
      <c r="E17" s="11">
        <f>SUM(97+85+93+158+100+121+119+98)</f>
        <v>871</v>
      </c>
      <c r="F17" s="12">
        <f>SUM(D17/E17)</f>
        <v>13.722158438576349</v>
      </c>
      <c r="G17" s="11">
        <v>8</v>
      </c>
      <c r="H17" s="11">
        <v>7</v>
      </c>
      <c r="I17" s="11">
        <v>1</v>
      </c>
      <c r="J17" s="11"/>
      <c r="K17" s="11"/>
      <c r="L17" s="11">
        <v>32.5</v>
      </c>
      <c r="M17" s="13"/>
    </row>
    <row r="18" spans="1:13" ht="18.5" x14ac:dyDescent="0.45">
      <c r="A18" s="3">
        <v>17</v>
      </c>
      <c r="B18" s="3" t="s">
        <v>33</v>
      </c>
      <c r="C18" s="4" t="s">
        <v>22</v>
      </c>
      <c r="D18" s="11">
        <f>SUM(1385+1499+1356+1205+1499+1449+1503+1259+1262)</f>
        <v>12417</v>
      </c>
      <c r="E18" s="11">
        <f>SUM(79+109+82+81+141+120+114+89+93)</f>
        <v>908</v>
      </c>
      <c r="F18" s="12">
        <f>SUM(D18/E18)</f>
        <v>13.67511013215859</v>
      </c>
      <c r="G18" s="11">
        <v>9</v>
      </c>
      <c r="H18" s="11">
        <v>5</v>
      </c>
      <c r="I18" s="11"/>
      <c r="J18" s="11"/>
      <c r="K18" s="11"/>
      <c r="L18" s="11">
        <v>31.5</v>
      </c>
      <c r="M18" s="13"/>
    </row>
    <row r="19" spans="1:13" ht="18.5" x14ac:dyDescent="0.45">
      <c r="A19" s="3">
        <v>18</v>
      </c>
      <c r="B19" s="4" t="s">
        <v>106</v>
      </c>
      <c r="C19" s="4" t="s">
        <v>12</v>
      </c>
      <c r="D19" s="11">
        <f>SUM(1503+1484+1456+1503+1447+1225+1487+1433)</f>
        <v>11538</v>
      </c>
      <c r="E19" s="11">
        <f>SUM(116+103+94+129+108+88+131+86)</f>
        <v>855</v>
      </c>
      <c r="F19" s="12">
        <f>SUM(D19/E19)</f>
        <v>13.494736842105263</v>
      </c>
      <c r="G19" s="11">
        <v>8</v>
      </c>
      <c r="H19" s="11">
        <v>4</v>
      </c>
      <c r="I19" s="11"/>
      <c r="J19" s="11"/>
      <c r="K19" s="11"/>
      <c r="L19" s="11">
        <v>28.5</v>
      </c>
      <c r="M19" s="13">
        <v>5</v>
      </c>
    </row>
    <row r="20" spans="1:13" ht="18.5" x14ac:dyDescent="0.45">
      <c r="A20" s="3">
        <v>19</v>
      </c>
      <c r="B20" s="4" t="s">
        <v>78</v>
      </c>
      <c r="C20" s="4" t="s">
        <v>18</v>
      </c>
      <c r="D20" s="11">
        <f>SUM(1503+1488+1478+1211+1473+1495+1492)</f>
        <v>10140</v>
      </c>
      <c r="E20" s="11">
        <f>SUM(102+160+117+90+93+96+94)</f>
        <v>752</v>
      </c>
      <c r="F20" s="12">
        <f>SUM(D20/E20)</f>
        <v>13.48404255319149</v>
      </c>
      <c r="G20" s="11">
        <v>7</v>
      </c>
      <c r="H20" s="11">
        <v>3</v>
      </c>
      <c r="I20" s="11"/>
      <c r="J20" s="11"/>
      <c r="K20" s="11"/>
      <c r="L20" s="11">
        <v>14.5</v>
      </c>
      <c r="M20" s="13"/>
    </row>
    <row r="21" spans="1:13" ht="18.5" x14ac:dyDescent="0.45">
      <c r="A21" s="3">
        <v>20</v>
      </c>
      <c r="B21" s="4" t="s">
        <v>40</v>
      </c>
      <c r="C21" s="4" t="s">
        <v>32</v>
      </c>
      <c r="D21" s="11">
        <f>SUM(1263+1432+1503+1311+1403+1503+1326+1463+1503)</f>
        <v>12707</v>
      </c>
      <c r="E21" s="11">
        <f>SUM(96+111+111+126+84+109+114+94+101)</f>
        <v>946</v>
      </c>
      <c r="F21" s="12">
        <f>SUM(D21/E21)</f>
        <v>13.432346723044397</v>
      </c>
      <c r="G21" s="11">
        <v>9</v>
      </c>
      <c r="H21" s="11">
        <v>5</v>
      </c>
      <c r="I21" s="11"/>
      <c r="J21" s="11"/>
      <c r="K21" s="11"/>
      <c r="L21" s="11">
        <v>24</v>
      </c>
      <c r="M21" s="13">
        <v>5</v>
      </c>
    </row>
    <row r="22" spans="1:13" ht="18.5" x14ac:dyDescent="0.45">
      <c r="A22" s="3">
        <v>21</v>
      </c>
      <c r="B22" s="15" t="s">
        <v>30</v>
      </c>
      <c r="C22" s="4" t="s">
        <v>22</v>
      </c>
      <c r="D22" s="11">
        <f>SUM(1503+1285+1503+1425+1495+1503+1494+1331)</f>
        <v>11539</v>
      </c>
      <c r="E22" s="11">
        <f>SUM(109+111+88+114+109+111+122+96)</f>
        <v>860</v>
      </c>
      <c r="F22" s="12">
        <f>SUM(D22/E22)</f>
        <v>13.417441860465116</v>
      </c>
      <c r="G22" s="11">
        <v>8</v>
      </c>
      <c r="H22" s="11">
        <v>5</v>
      </c>
      <c r="I22" s="11"/>
      <c r="J22" s="11"/>
      <c r="K22" s="11"/>
      <c r="L22" s="11">
        <v>26.5</v>
      </c>
      <c r="M22" s="13">
        <v>5</v>
      </c>
    </row>
    <row r="23" spans="1:13" ht="18.5" x14ac:dyDescent="0.45">
      <c r="A23" s="3">
        <v>22</v>
      </c>
      <c r="B23" s="4" t="s">
        <v>24</v>
      </c>
      <c r="C23" s="4" t="s">
        <v>22</v>
      </c>
      <c r="D23" s="11">
        <f>SUM(1465+1469+1456+1497+1481+1470+1495+1478+1463)</f>
        <v>13274</v>
      </c>
      <c r="E23" s="11">
        <f>SUM(109+117+124+101+127+93+115+98+107)</f>
        <v>991</v>
      </c>
      <c r="F23" s="12">
        <f>SUM(D23/E23)</f>
        <v>13.394550958627649</v>
      </c>
      <c r="G23" s="11">
        <v>9</v>
      </c>
      <c r="H23" s="11">
        <v>4</v>
      </c>
      <c r="I23" s="11"/>
      <c r="J23" s="11"/>
      <c r="K23" s="11"/>
      <c r="L23" s="11">
        <v>29.5</v>
      </c>
      <c r="M23" s="13"/>
    </row>
    <row r="24" spans="1:13" ht="18.5" x14ac:dyDescent="0.45">
      <c r="A24" s="3">
        <v>23</v>
      </c>
      <c r="B24" s="15" t="s">
        <v>65</v>
      </c>
      <c r="C24" s="7" t="s">
        <v>27</v>
      </c>
      <c r="D24" s="11">
        <f>SUM(1423+1499+1489+1368+1469+1306+1295+1430)</f>
        <v>11279</v>
      </c>
      <c r="E24" s="11">
        <f>SUM(103+114+104+113+102+86+125+99)</f>
        <v>846</v>
      </c>
      <c r="F24" s="12">
        <f>SUM(D24/E24)</f>
        <v>13.332151300236406</v>
      </c>
      <c r="G24" s="11">
        <v>8</v>
      </c>
      <c r="H24" s="11">
        <v>7</v>
      </c>
      <c r="I24" s="11"/>
      <c r="J24" s="11"/>
      <c r="K24" s="11">
        <v>1</v>
      </c>
      <c r="L24" s="11">
        <v>25</v>
      </c>
      <c r="M24" s="13">
        <v>5</v>
      </c>
    </row>
    <row r="25" spans="1:13" ht="18.5" x14ac:dyDescent="0.45">
      <c r="A25" s="3">
        <v>24</v>
      </c>
      <c r="B25" s="15" t="s">
        <v>71</v>
      </c>
      <c r="C25" s="4" t="s">
        <v>16</v>
      </c>
      <c r="D25" s="11">
        <f>SUM(1373+1159+1501+1471+1503+1503+1258+1503)</f>
        <v>11271</v>
      </c>
      <c r="E25" s="11">
        <f>SUM(111+99+117+102+95+133+96+95)</f>
        <v>848</v>
      </c>
      <c r="F25" s="12">
        <f>SUM(D25/E25)</f>
        <v>13.29127358490566</v>
      </c>
      <c r="G25" s="11">
        <v>8</v>
      </c>
      <c r="H25" s="11">
        <v>5</v>
      </c>
      <c r="I25" s="11"/>
      <c r="J25" s="11"/>
      <c r="K25" s="11"/>
      <c r="L25" s="11">
        <v>21.5</v>
      </c>
      <c r="M25" s="13"/>
    </row>
    <row r="26" spans="1:13" ht="18.5" x14ac:dyDescent="0.45">
      <c r="A26" s="3">
        <v>25</v>
      </c>
      <c r="B26" s="9" t="s">
        <v>82</v>
      </c>
      <c r="C26" s="4" t="s">
        <v>89</v>
      </c>
      <c r="D26" s="11">
        <f>SUM(1451+1138+1313+1427+1430+1357+1305+1159)</f>
        <v>10580</v>
      </c>
      <c r="E26" s="11">
        <f>SUM(115+81+108+114+112+96+90+90)</f>
        <v>806</v>
      </c>
      <c r="F26" s="12">
        <f>SUM(D26/E26)</f>
        <v>13.126550868486353</v>
      </c>
      <c r="G26" s="11">
        <v>8</v>
      </c>
      <c r="H26" s="11">
        <v>3</v>
      </c>
      <c r="I26" s="11"/>
      <c r="J26" s="11"/>
      <c r="K26" s="11"/>
      <c r="L26" s="11">
        <v>20</v>
      </c>
      <c r="M26" s="13"/>
    </row>
    <row r="27" spans="1:13" ht="18.5" x14ac:dyDescent="0.45">
      <c r="A27" s="3">
        <v>26</v>
      </c>
      <c r="B27" s="7" t="s">
        <v>29</v>
      </c>
      <c r="C27" s="4" t="s">
        <v>66</v>
      </c>
      <c r="D27" s="11">
        <f>SUM(1467+1499+1403+1499+1276+1487+1439+1503+1305)</f>
        <v>12878</v>
      </c>
      <c r="E27" s="11">
        <f>SUM(129+121+106+120+102+101+99+117+93)</f>
        <v>988</v>
      </c>
      <c r="F27" s="12">
        <f>SUM(D27/E27)</f>
        <v>13.034412955465587</v>
      </c>
      <c r="G27" s="11">
        <v>9</v>
      </c>
      <c r="H27" s="11">
        <v>5</v>
      </c>
      <c r="I27" s="11"/>
      <c r="J27" s="11"/>
      <c r="K27" s="11"/>
      <c r="L27" s="11">
        <v>23</v>
      </c>
      <c r="M27" s="13">
        <v>5</v>
      </c>
    </row>
    <row r="28" spans="1:13" ht="18.5" x14ac:dyDescent="0.45">
      <c r="A28" s="3">
        <v>27</v>
      </c>
      <c r="B28" s="7" t="s">
        <v>84</v>
      </c>
      <c r="C28" s="4" t="s">
        <v>103</v>
      </c>
      <c r="D28" s="11">
        <f>SUM(1385+1489+1228+1410+1447+1440+1360+1503)</f>
        <v>11262</v>
      </c>
      <c r="E28" s="11">
        <f>SUM(107+126+87+126+108+106+96+113)</f>
        <v>869</v>
      </c>
      <c r="F28" s="12">
        <f>SUM(D28/E28)</f>
        <v>12.959723820483314</v>
      </c>
      <c r="G28" s="11">
        <v>8</v>
      </c>
      <c r="H28" s="11">
        <v>1</v>
      </c>
      <c r="I28" s="11"/>
      <c r="J28" s="11"/>
      <c r="K28" s="11"/>
      <c r="L28" s="11">
        <v>15</v>
      </c>
      <c r="M28" s="13"/>
    </row>
    <row r="29" spans="1:13" ht="18.5" x14ac:dyDescent="0.45">
      <c r="A29" s="3">
        <v>28</v>
      </c>
      <c r="B29" s="9" t="s">
        <v>69</v>
      </c>
      <c r="C29" s="4" t="s">
        <v>14</v>
      </c>
      <c r="D29" s="11">
        <f>SUM(1497+1503+1455+1503+1487+1463+1503+1439)</f>
        <v>11850</v>
      </c>
      <c r="E29" s="11">
        <f>SUM(119+89+126+118+133+86+148+105)</f>
        <v>924</v>
      </c>
      <c r="F29" s="12">
        <f>SUM(D29/E29)</f>
        <v>12.824675324675324</v>
      </c>
      <c r="G29" s="11">
        <v>8</v>
      </c>
      <c r="H29" s="11">
        <v>6</v>
      </c>
      <c r="I29" s="11"/>
      <c r="J29" s="11"/>
      <c r="K29" s="11"/>
      <c r="L29" s="11">
        <v>33.5</v>
      </c>
      <c r="M29" s="13"/>
    </row>
    <row r="30" spans="1:13" ht="18.5" x14ac:dyDescent="0.45">
      <c r="A30" s="3">
        <v>29</v>
      </c>
      <c r="B30" s="7" t="s">
        <v>20</v>
      </c>
      <c r="C30" s="4" t="s">
        <v>16</v>
      </c>
      <c r="D30" s="11">
        <f>SUM(1316+1259+1404+1356+1498+1491)</f>
        <v>8324</v>
      </c>
      <c r="E30" s="11">
        <f>SUM(107+90+101+97+152+107)</f>
        <v>654</v>
      </c>
      <c r="F30" s="12">
        <f>SUM(D30/E30)</f>
        <v>12.727828746177369</v>
      </c>
      <c r="G30" s="11">
        <v>6</v>
      </c>
      <c r="H30" s="11">
        <v>2</v>
      </c>
      <c r="I30" s="11"/>
      <c r="J30" s="11"/>
      <c r="K30" s="11"/>
      <c r="L30" s="11">
        <v>21</v>
      </c>
      <c r="M30" s="13"/>
    </row>
    <row r="31" spans="1:13" ht="18.5" x14ac:dyDescent="0.45">
      <c r="A31" s="3">
        <v>30</v>
      </c>
      <c r="B31" s="7" t="s">
        <v>28</v>
      </c>
      <c r="C31" s="4" t="s">
        <v>12</v>
      </c>
      <c r="D31" s="11">
        <f>SUM(1228+1398+1503+1422+1503+1501+1252+1503+1503)</f>
        <v>12813</v>
      </c>
      <c r="E31" s="11">
        <f>SUM(90+96+119+100+121+136+110+130+110)</f>
        <v>1012</v>
      </c>
      <c r="F31" s="12">
        <f>SUM(D31/E31)</f>
        <v>12.661067193675889</v>
      </c>
      <c r="G31" s="11">
        <v>9</v>
      </c>
      <c r="H31" s="11">
        <v>5</v>
      </c>
      <c r="I31" s="11"/>
      <c r="J31" s="11"/>
      <c r="K31" s="11"/>
      <c r="L31" s="11">
        <v>24.5</v>
      </c>
      <c r="M31" s="13"/>
    </row>
    <row r="32" spans="1:13" ht="18.5" x14ac:dyDescent="0.45">
      <c r="A32" s="3">
        <v>31</v>
      </c>
      <c r="B32" s="34" t="s">
        <v>72</v>
      </c>
      <c r="C32" s="8" t="s">
        <v>12</v>
      </c>
      <c r="D32" s="11">
        <f>SUM(1409+1503+1471)</f>
        <v>4383</v>
      </c>
      <c r="E32" s="11">
        <f>SUM(119+107+121)</f>
        <v>347</v>
      </c>
      <c r="F32" s="12">
        <f>SUM(D32/E32)</f>
        <v>12.631123919308358</v>
      </c>
      <c r="G32" s="11">
        <v>3</v>
      </c>
      <c r="H32" s="11">
        <v>1</v>
      </c>
      <c r="I32" s="11"/>
      <c r="J32" s="11"/>
      <c r="K32" s="11"/>
      <c r="L32" s="11">
        <v>9.5</v>
      </c>
      <c r="M32" s="13"/>
    </row>
    <row r="33" spans="1:13" ht="18.5" x14ac:dyDescent="0.45">
      <c r="A33" s="3">
        <v>32</v>
      </c>
      <c r="B33" s="9" t="s">
        <v>63</v>
      </c>
      <c r="C33" s="7" t="s">
        <v>27</v>
      </c>
      <c r="D33" s="11">
        <f>SUM(1424+1501+1501+1473+1429+1406+1479+1503)</f>
        <v>11716</v>
      </c>
      <c r="E33" s="11">
        <f>SUM(90+147+123+91+148+90+118+133)</f>
        <v>940</v>
      </c>
      <c r="F33" s="12">
        <f>SUM(D33/E33)</f>
        <v>12.463829787234042</v>
      </c>
      <c r="G33" s="11">
        <v>8</v>
      </c>
      <c r="H33" s="11">
        <v>6</v>
      </c>
      <c r="I33" s="11"/>
      <c r="J33" s="11"/>
      <c r="K33" s="11"/>
      <c r="L33" s="11">
        <v>26.5</v>
      </c>
      <c r="M33" s="13"/>
    </row>
    <row r="34" spans="1:13" ht="18.5" x14ac:dyDescent="0.45">
      <c r="A34" s="3">
        <v>33</v>
      </c>
      <c r="B34" s="16" t="s">
        <v>79</v>
      </c>
      <c r="C34" s="7" t="s">
        <v>89</v>
      </c>
      <c r="D34" s="11">
        <f>SUM(1393+1406+1309+1237+1494+1503+1495+1501+1305)</f>
        <v>12643</v>
      </c>
      <c r="E34" s="11">
        <f>SUM(111+98+89+99+156+103+139+117+120)</f>
        <v>1032</v>
      </c>
      <c r="F34" s="12">
        <f>SUM(D34/E34)</f>
        <v>12.250968992248062</v>
      </c>
      <c r="G34" s="11">
        <v>9</v>
      </c>
      <c r="H34" s="11">
        <v>5</v>
      </c>
      <c r="I34" s="11"/>
      <c r="J34" s="11"/>
      <c r="K34" s="11"/>
      <c r="L34" s="11">
        <v>25</v>
      </c>
      <c r="M34" s="13">
        <v>5</v>
      </c>
    </row>
    <row r="35" spans="1:13" ht="18.5" x14ac:dyDescent="0.45">
      <c r="A35" s="3">
        <v>34</v>
      </c>
      <c r="B35" s="15" t="s">
        <v>34</v>
      </c>
      <c r="C35" s="4" t="s">
        <v>27</v>
      </c>
      <c r="D35" s="11">
        <f>SUM(1315+1435+1406+1490+1393+1184+1448+1481)</f>
        <v>11152</v>
      </c>
      <c r="E35" s="11">
        <f>SUM(90+109+99+157+128+86+96+146)</f>
        <v>911</v>
      </c>
      <c r="F35" s="12">
        <f>SUM(D35/E35)</f>
        <v>12.241492864983535</v>
      </c>
      <c r="G35" s="11">
        <v>8</v>
      </c>
      <c r="H35" s="11">
        <v>6</v>
      </c>
      <c r="I35" s="11"/>
      <c r="J35" s="11"/>
      <c r="K35" s="11"/>
      <c r="L35" s="11">
        <v>25</v>
      </c>
      <c r="M35" s="13"/>
    </row>
    <row r="36" spans="1:13" ht="18.5" x14ac:dyDescent="0.45">
      <c r="A36" s="3">
        <v>35</v>
      </c>
      <c r="B36" s="16" t="s">
        <v>132</v>
      </c>
      <c r="C36" s="4" t="s">
        <v>27</v>
      </c>
      <c r="D36" s="11">
        <f>SUM(1343)</f>
        <v>1343</v>
      </c>
      <c r="E36" s="11">
        <f>SUM(110)</f>
        <v>110</v>
      </c>
      <c r="F36" s="12">
        <f>SUM(D36/E36)</f>
        <v>12.209090909090909</v>
      </c>
      <c r="G36" s="11">
        <v>1</v>
      </c>
      <c r="H36" s="11"/>
      <c r="I36" s="11"/>
      <c r="J36" s="11"/>
      <c r="K36" s="11"/>
      <c r="L36" s="11">
        <v>1.5</v>
      </c>
      <c r="M36" s="13"/>
    </row>
    <row r="37" spans="1:13" ht="18.5" x14ac:dyDescent="0.45">
      <c r="A37" s="3">
        <v>36</v>
      </c>
      <c r="B37" s="10" t="s">
        <v>43</v>
      </c>
      <c r="C37" s="7" t="s">
        <v>66</v>
      </c>
      <c r="D37" s="11">
        <f>SUM(1252+1503+1201+1498+1182+1482+1183+1503+1393)</f>
        <v>12197</v>
      </c>
      <c r="E37" s="11">
        <f>SUM(120+142+91+137+104+119+89+94+117)</f>
        <v>1013</v>
      </c>
      <c r="F37" s="12">
        <f>SUM(D37/E37)</f>
        <v>12.040473840078974</v>
      </c>
      <c r="G37" s="11">
        <v>9</v>
      </c>
      <c r="H37" s="11">
        <v>3</v>
      </c>
      <c r="I37" s="11"/>
      <c r="J37" s="11"/>
      <c r="K37" s="11"/>
      <c r="L37" s="11">
        <v>21.5</v>
      </c>
      <c r="M37" s="13">
        <v>5</v>
      </c>
    </row>
    <row r="38" spans="1:13" ht="18.5" x14ac:dyDescent="0.45">
      <c r="A38" s="3">
        <v>37</v>
      </c>
      <c r="B38" s="16" t="s">
        <v>37</v>
      </c>
      <c r="C38" s="7" t="s">
        <v>66</v>
      </c>
      <c r="D38" s="11">
        <f>SUM(1218+1106+1372+1315+1297+1210+1169+832+1252)</f>
        <v>10771</v>
      </c>
      <c r="E38" s="11">
        <f>SUM(96+84+120+102+141+96+93+72+96)</f>
        <v>900</v>
      </c>
      <c r="F38" s="12">
        <f>SUM(D38/E38)</f>
        <v>11.967777777777778</v>
      </c>
      <c r="G38" s="11">
        <v>9</v>
      </c>
      <c r="H38" s="11"/>
      <c r="I38" s="11"/>
      <c r="J38" s="11"/>
      <c r="K38" s="11"/>
      <c r="L38" s="11">
        <v>10.5</v>
      </c>
      <c r="M38" s="13"/>
    </row>
    <row r="39" spans="1:13" ht="18.5" x14ac:dyDescent="0.45">
      <c r="A39" s="3">
        <v>38</v>
      </c>
      <c r="B39" s="16" t="s">
        <v>107</v>
      </c>
      <c r="C39" s="7" t="s">
        <v>14</v>
      </c>
      <c r="D39" s="11">
        <f>SUM(1081+1364+1494)</f>
        <v>3939</v>
      </c>
      <c r="E39" s="11">
        <f>SUM(81+113+137)</f>
        <v>331</v>
      </c>
      <c r="F39" s="12">
        <f>SUM(D39/E39)</f>
        <v>11.900302114803626</v>
      </c>
      <c r="G39" s="11">
        <v>3</v>
      </c>
      <c r="H39" s="11"/>
      <c r="I39" s="11"/>
      <c r="J39" s="11"/>
      <c r="K39" s="11"/>
      <c r="L39" s="11">
        <v>4.5</v>
      </c>
      <c r="M39" s="13"/>
    </row>
    <row r="40" spans="1:13" ht="18.5" x14ac:dyDescent="0.45">
      <c r="A40" s="3">
        <v>39</v>
      </c>
      <c r="B40" s="10" t="s">
        <v>42</v>
      </c>
      <c r="C40" s="7" t="s">
        <v>18</v>
      </c>
      <c r="D40" s="11">
        <f>SUM(1503+1503+1497+1499+1503)</f>
        <v>7505</v>
      </c>
      <c r="E40" s="11">
        <f>SUM(133+134+132+103+137)</f>
        <v>639</v>
      </c>
      <c r="F40" s="12">
        <f>SUM(D40/E40)</f>
        <v>11.744913928012519</v>
      </c>
      <c r="G40" s="11">
        <v>5</v>
      </c>
      <c r="H40" s="11">
        <v>5</v>
      </c>
      <c r="I40" s="11"/>
      <c r="J40" s="11"/>
      <c r="K40" s="11"/>
      <c r="L40" s="11">
        <v>23.5</v>
      </c>
      <c r="M40" s="13"/>
    </row>
    <row r="41" spans="1:13" ht="18.5" x14ac:dyDescent="0.45">
      <c r="A41" s="3">
        <v>40</v>
      </c>
      <c r="B41" s="16" t="s">
        <v>114</v>
      </c>
      <c r="C41" s="7" t="s">
        <v>16</v>
      </c>
      <c r="D41" s="11">
        <f>SUM(1286+1395+1503)</f>
        <v>4184</v>
      </c>
      <c r="E41" s="11">
        <f>SUM(104+105+148)</f>
        <v>357</v>
      </c>
      <c r="F41" s="12">
        <f>SUM(D41/E41)</f>
        <v>11.719887955182072</v>
      </c>
      <c r="G41" s="11">
        <v>3</v>
      </c>
      <c r="H41" s="11">
        <v>1</v>
      </c>
      <c r="I41" s="11"/>
      <c r="J41" s="11"/>
      <c r="K41" s="11"/>
      <c r="L41" s="11">
        <v>8.5</v>
      </c>
      <c r="M41" s="13"/>
    </row>
    <row r="42" spans="1:13" ht="18.5" x14ac:dyDescent="0.45">
      <c r="A42" s="3">
        <v>41</v>
      </c>
      <c r="B42" s="10" t="s">
        <v>113</v>
      </c>
      <c r="C42" s="7" t="s">
        <v>16</v>
      </c>
      <c r="D42" s="11">
        <f>SUM(1499)</f>
        <v>1499</v>
      </c>
      <c r="E42" s="11">
        <f>SUM(128)</f>
        <v>128</v>
      </c>
      <c r="F42" s="12">
        <f>SUM(D42/E42)</f>
        <v>11.7109375</v>
      </c>
      <c r="G42" s="11">
        <v>1</v>
      </c>
      <c r="H42" s="11"/>
      <c r="I42" s="11"/>
      <c r="J42" s="11"/>
      <c r="K42" s="11"/>
      <c r="L42" s="11">
        <v>3.5</v>
      </c>
      <c r="M42" s="13"/>
    </row>
    <row r="43" spans="1:13" ht="18.5" x14ac:dyDescent="0.45">
      <c r="A43" s="3">
        <v>42</v>
      </c>
      <c r="B43" s="33" t="s">
        <v>83</v>
      </c>
      <c r="C43" s="7" t="s">
        <v>103</v>
      </c>
      <c r="D43" s="11">
        <f>SUM(1448+1487+1481+1487+1483+1498)</f>
        <v>8884</v>
      </c>
      <c r="E43" s="11">
        <f>SUM(144+138+128+104+138+107)</f>
        <v>759</v>
      </c>
      <c r="F43" s="12">
        <f>SUM(D43/E43)</f>
        <v>11.704874835309617</v>
      </c>
      <c r="G43" s="11">
        <v>6</v>
      </c>
      <c r="H43" s="11">
        <v>4</v>
      </c>
      <c r="I43" s="11"/>
      <c r="J43" s="11"/>
      <c r="K43" s="11"/>
      <c r="L43" s="11">
        <v>17</v>
      </c>
      <c r="M43" s="13"/>
    </row>
    <row r="44" spans="1:13" ht="18.5" x14ac:dyDescent="0.45">
      <c r="A44" s="3">
        <v>43</v>
      </c>
      <c r="B44" s="15" t="s">
        <v>38</v>
      </c>
      <c r="C44" s="7" t="s">
        <v>103</v>
      </c>
      <c r="D44" s="11">
        <f>SUM(1214+1381+1209+1331+1260+1475+1467+1004)</f>
        <v>10341</v>
      </c>
      <c r="E44" s="11">
        <f>SUM(116+115+105+126+116+93+129+84)</f>
        <v>884</v>
      </c>
      <c r="F44" s="12">
        <f>SUM(D44/E44)</f>
        <v>11.697963800904978</v>
      </c>
      <c r="G44" s="11">
        <v>8</v>
      </c>
      <c r="H44" s="11"/>
      <c r="I44" s="11"/>
      <c r="J44" s="11"/>
      <c r="K44" s="11"/>
      <c r="L44" s="11">
        <v>10.5</v>
      </c>
      <c r="M44" s="13"/>
    </row>
    <row r="45" spans="1:13" ht="18.5" x14ac:dyDescent="0.45">
      <c r="A45" s="3">
        <v>44</v>
      </c>
      <c r="B45" s="15" t="s">
        <v>39</v>
      </c>
      <c r="C45" s="4" t="s">
        <v>32</v>
      </c>
      <c r="D45" s="11">
        <f>SUM(1397+971+1477+1493+1123+1483+1497+1425+1454)</f>
        <v>12320</v>
      </c>
      <c r="E45" s="11">
        <f>SUM(109+84+128+136+89+135+128+120+126)</f>
        <v>1055</v>
      </c>
      <c r="F45" s="12">
        <f>SUM(D45/E45)</f>
        <v>11.677725118483412</v>
      </c>
      <c r="G45" s="11">
        <v>9</v>
      </c>
      <c r="H45" s="11"/>
      <c r="I45" s="11"/>
      <c r="J45" s="11"/>
      <c r="K45" s="11"/>
      <c r="L45" s="11">
        <v>16.5</v>
      </c>
      <c r="M45" s="13"/>
    </row>
    <row r="46" spans="1:13" ht="18.5" x14ac:dyDescent="0.45">
      <c r="A46" s="3">
        <v>45</v>
      </c>
      <c r="B46" s="15" t="s">
        <v>70</v>
      </c>
      <c r="C46" s="4" t="s">
        <v>18</v>
      </c>
      <c r="D46" s="11">
        <f>SUM(1487+1277+1280+1499+1476+1485+1074)</f>
        <v>9578</v>
      </c>
      <c r="E46" s="11">
        <f>SUM(122+115+117+128+151+113+84)</f>
        <v>830</v>
      </c>
      <c r="F46" s="12">
        <f>SUM(D46/E46)</f>
        <v>11.539759036144579</v>
      </c>
      <c r="G46" s="11">
        <v>7</v>
      </c>
      <c r="H46" s="11">
        <v>3</v>
      </c>
      <c r="I46" s="11"/>
      <c r="J46" s="11"/>
      <c r="K46" s="11"/>
      <c r="L46" s="11">
        <v>21</v>
      </c>
      <c r="M46" s="13"/>
    </row>
    <row r="47" spans="1:13" ht="18.5" x14ac:dyDescent="0.45">
      <c r="A47" s="3">
        <v>46</v>
      </c>
      <c r="B47" s="4" t="s">
        <v>105</v>
      </c>
      <c r="C47" s="8" t="s">
        <v>89</v>
      </c>
      <c r="D47" s="11">
        <f>SUM(1344+1443+1351+1475+1447+1496+1499)</f>
        <v>10055</v>
      </c>
      <c r="E47" s="11">
        <f>SUM(108+114+117+134+119+115+166)</f>
        <v>873</v>
      </c>
      <c r="F47" s="12">
        <f>SUM(D47/E47)</f>
        <v>11.517754868270332</v>
      </c>
      <c r="G47" s="11">
        <v>7</v>
      </c>
      <c r="H47" s="11">
        <v>3</v>
      </c>
      <c r="I47" s="11"/>
      <c r="J47" s="11"/>
      <c r="K47" s="11"/>
      <c r="L47" s="11">
        <v>19.5</v>
      </c>
      <c r="M47" s="13"/>
    </row>
    <row r="48" spans="1:13" ht="18.5" x14ac:dyDescent="0.45">
      <c r="A48" s="3">
        <v>47</v>
      </c>
      <c r="B48" s="4" t="s">
        <v>80</v>
      </c>
      <c r="C48" s="4" t="s">
        <v>89</v>
      </c>
      <c r="D48" s="11">
        <f>SUM(1219+1493+1395)</f>
        <v>4107</v>
      </c>
      <c r="E48" s="11">
        <f>SUM(108+144+107)</f>
        <v>359</v>
      </c>
      <c r="F48" s="12">
        <f>SUM(D48/E48)</f>
        <v>11.440111420612814</v>
      </c>
      <c r="G48" s="11">
        <v>3</v>
      </c>
      <c r="H48" s="11">
        <v>1</v>
      </c>
      <c r="I48" s="11"/>
      <c r="J48" s="11"/>
      <c r="K48" s="11"/>
      <c r="L48" s="11">
        <v>7.5</v>
      </c>
      <c r="M48" s="13">
        <v>10</v>
      </c>
    </row>
    <row r="49" spans="1:18" ht="18.5" x14ac:dyDescent="0.45">
      <c r="A49" s="3">
        <v>48</v>
      </c>
      <c r="B49" s="4" t="s">
        <v>35</v>
      </c>
      <c r="C49" s="4" t="s">
        <v>32</v>
      </c>
      <c r="D49" s="11">
        <f>SUM(1232+1259+1463)</f>
        <v>3954</v>
      </c>
      <c r="E49" s="11">
        <f>SUM(111+114+139)</f>
        <v>364</v>
      </c>
      <c r="F49" s="12">
        <f>SUM(D49/E49)</f>
        <v>10.862637362637363</v>
      </c>
      <c r="G49" s="11">
        <v>3</v>
      </c>
      <c r="H49" s="11"/>
      <c r="I49" s="11"/>
      <c r="J49" s="11"/>
      <c r="K49" s="11"/>
      <c r="L49" s="11">
        <v>9</v>
      </c>
      <c r="M49" s="13"/>
    </row>
    <row r="50" spans="1:18" ht="18.5" x14ac:dyDescent="0.45">
      <c r="A50" s="3">
        <v>49</v>
      </c>
      <c r="B50" s="15" t="s">
        <v>104</v>
      </c>
      <c r="C50" s="4" t="s">
        <v>27</v>
      </c>
      <c r="D50" s="11">
        <f>SUM(1442+1464)</f>
        <v>2906</v>
      </c>
      <c r="E50" s="11">
        <f>SUM(129+141)</f>
        <v>270</v>
      </c>
      <c r="F50" s="12">
        <f>SUM(D50/E50)</f>
        <v>10.762962962962963</v>
      </c>
      <c r="G50" s="11">
        <v>2</v>
      </c>
      <c r="H50" s="11"/>
      <c r="I50" s="11"/>
      <c r="J50" s="11"/>
      <c r="K50" s="11"/>
      <c r="L50" s="11">
        <v>2.5</v>
      </c>
      <c r="M50" s="13"/>
    </row>
    <row r="51" spans="1:18" ht="18.5" x14ac:dyDescent="0.45">
      <c r="A51" s="3">
        <v>50</v>
      </c>
      <c r="B51" s="4" t="s">
        <v>137</v>
      </c>
      <c r="C51" s="7" t="s">
        <v>27</v>
      </c>
      <c r="D51" s="11">
        <f>SUM(1381)</f>
        <v>1381</v>
      </c>
      <c r="E51" s="11">
        <f>SUM(129)</f>
        <v>129</v>
      </c>
      <c r="F51" s="12">
        <f>SUM(D51/E51)</f>
        <v>10.705426356589147</v>
      </c>
      <c r="G51" s="11">
        <v>1</v>
      </c>
      <c r="H51" s="11"/>
      <c r="I51" s="11"/>
      <c r="J51" s="11"/>
      <c r="K51" s="11"/>
      <c r="L51" s="11">
        <v>0.5</v>
      </c>
      <c r="M51" s="13"/>
    </row>
    <row r="52" spans="1:18" ht="18.5" x14ac:dyDescent="0.45">
      <c r="A52" s="3">
        <v>51</v>
      </c>
      <c r="B52" s="4" t="s">
        <v>36</v>
      </c>
      <c r="C52" s="7" t="s">
        <v>66</v>
      </c>
      <c r="D52" s="11">
        <f>SUM(1457+1503+1489+1479+1444+1495+1429+1362)</f>
        <v>11658</v>
      </c>
      <c r="E52" s="11">
        <f>SUM(116+124+152+178+127+147+153+132)</f>
        <v>1129</v>
      </c>
      <c r="F52" s="12">
        <f>SUM(D52/E52)</f>
        <v>10.325952170062001</v>
      </c>
      <c r="G52" s="11">
        <v>8</v>
      </c>
      <c r="H52" s="11">
        <v>2</v>
      </c>
      <c r="I52" s="11"/>
      <c r="J52" s="11"/>
      <c r="K52" s="11"/>
      <c r="L52" s="11">
        <v>14.5</v>
      </c>
      <c r="M52" s="13"/>
    </row>
    <row r="53" spans="1:18" ht="18.5" x14ac:dyDescent="0.45">
      <c r="A53" s="3">
        <v>52</v>
      </c>
      <c r="B53" s="15" t="s">
        <v>67</v>
      </c>
      <c r="C53" s="4" t="s">
        <v>32</v>
      </c>
      <c r="D53" s="11">
        <f>SUM(1261+1230+1487+1434+1097+1454)</f>
        <v>7963</v>
      </c>
      <c r="E53" s="11">
        <f>SUM(102+96+177+137+99+162)</f>
        <v>773</v>
      </c>
      <c r="F53" s="12">
        <f>SUM(D53/E53)</f>
        <v>10.301423027166882</v>
      </c>
      <c r="G53" s="11">
        <v>5</v>
      </c>
      <c r="H53" s="11">
        <v>2</v>
      </c>
      <c r="I53" s="11"/>
      <c r="J53" s="11"/>
      <c r="K53" s="11"/>
      <c r="L53" s="11">
        <v>6</v>
      </c>
      <c r="M53" s="13"/>
    </row>
    <row r="54" spans="1:18" ht="18.5" x14ac:dyDescent="0.45">
      <c r="A54" s="3">
        <v>53</v>
      </c>
      <c r="B54" s="4" t="s">
        <v>74</v>
      </c>
      <c r="C54" s="4" t="s">
        <v>66</v>
      </c>
      <c r="D54" s="11">
        <f>SUM(1266)</f>
        <v>1266</v>
      </c>
      <c r="E54" s="11">
        <f>SUM(141)</f>
        <v>141</v>
      </c>
      <c r="F54" s="12">
        <f>SUM(D54/E54)</f>
        <v>8.9787234042553195</v>
      </c>
      <c r="G54" s="11">
        <v>1</v>
      </c>
      <c r="H54" s="11"/>
      <c r="I54" s="11"/>
      <c r="J54" s="11"/>
      <c r="K54" s="11"/>
      <c r="L54" s="11">
        <v>4.5</v>
      </c>
      <c r="M54" s="13"/>
    </row>
    <row r="55" spans="1:18" ht="17.25" customHeight="1" thickBot="1" x14ac:dyDescent="0.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8" ht="19.5" customHeight="1" thickBot="1" x14ac:dyDescent="0.5">
      <c r="A56" s="5"/>
      <c r="B56" s="66" t="s">
        <v>158</v>
      </c>
      <c r="C56" s="57" t="s">
        <v>44</v>
      </c>
      <c r="D56" s="28" t="s">
        <v>45</v>
      </c>
      <c r="E56" s="29" t="s">
        <v>46</v>
      </c>
      <c r="F56" s="20" t="s">
        <v>62</v>
      </c>
      <c r="G56" s="30" t="s">
        <v>47</v>
      </c>
      <c r="I56" s="61" t="s">
        <v>48</v>
      </c>
      <c r="J56" s="62"/>
      <c r="K56" s="62"/>
      <c r="L56" s="62"/>
      <c r="M56" s="62"/>
      <c r="N56" s="62"/>
      <c r="O56" s="62"/>
      <c r="P56" s="62"/>
      <c r="Q56" s="62"/>
      <c r="R56" s="63"/>
    </row>
    <row r="57" spans="1:18" ht="18.5" x14ac:dyDescent="0.45">
      <c r="A57" s="5"/>
      <c r="B57" s="67"/>
      <c r="C57" s="17" t="s">
        <v>59</v>
      </c>
      <c r="D57" s="7">
        <v>8</v>
      </c>
      <c r="E57" s="22">
        <v>1</v>
      </c>
      <c r="F57" s="15"/>
      <c r="G57" s="23">
        <v>150</v>
      </c>
      <c r="I57" s="69" t="s">
        <v>49</v>
      </c>
      <c r="J57" s="70"/>
      <c r="K57" s="70"/>
      <c r="L57" s="70"/>
      <c r="M57" s="70"/>
      <c r="N57" s="64" t="s">
        <v>88</v>
      </c>
      <c r="O57" s="64"/>
      <c r="P57" s="64"/>
      <c r="Q57" s="64"/>
      <c r="R57" s="65"/>
    </row>
    <row r="58" spans="1:18" ht="18.5" x14ac:dyDescent="0.45">
      <c r="A58" s="5"/>
      <c r="B58" s="67"/>
      <c r="C58" s="17" t="s">
        <v>55</v>
      </c>
      <c r="D58" s="7">
        <v>7</v>
      </c>
      <c r="E58" s="22">
        <v>2</v>
      </c>
      <c r="F58" s="15"/>
      <c r="G58" s="23">
        <v>123</v>
      </c>
      <c r="I58" s="71" t="s">
        <v>51</v>
      </c>
      <c r="J58" s="72"/>
      <c r="K58" s="72"/>
      <c r="L58" s="72"/>
      <c r="M58" s="72"/>
      <c r="N58" s="59" t="s">
        <v>157</v>
      </c>
      <c r="O58" s="59"/>
      <c r="P58" s="59"/>
      <c r="Q58" s="59"/>
      <c r="R58" s="60"/>
    </row>
    <row r="59" spans="1:18" ht="18.5" x14ac:dyDescent="0.45">
      <c r="A59" s="5"/>
      <c r="B59" s="67"/>
      <c r="C59" s="17" t="s">
        <v>60</v>
      </c>
      <c r="D59" s="7">
        <v>6</v>
      </c>
      <c r="E59" s="22">
        <v>3</v>
      </c>
      <c r="F59" s="15"/>
      <c r="G59" s="23">
        <v>123</v>
      </c>
      <c r="I59" s="71" t="s">
        <v>53</v>
      </c>
      <c r="J59" s="72"/>
      <c r="K59" s="72"/>
      <c r="L59" s="72"/>
      <c r="M59" s="72"/>
      <c r="N59" s="59" t="s">
        <v>156</v>
      </c>
      <c r="O59" s="59"/>
      <c r="P59" s="59"/>
      <c r="Q59" s="59"/>
      <c r="R59" s="60"/>
    </row>
    <row r="60" spans="1:18" ht="18.5" x14ac:dyDescent="0.45">
      <c r="A60" s="6"/>
      <c r="B60" s="67"/>
      <c r="C60" s="17" t="s">
        <v>58</v>
      </c>
      <c r="D60" s="7">
        <v>6</v>
      </c>
      <c r="E60" s="16">
        <v>3</v>
      </c>
      <c r="F60" s="15"/>
      <c r="G60" s="17">
        <v>117</v>
      </c>
      <c r="I60" s="71" t="s">
        <v>54</v>
      </c>
      <c r="J60" s="72"/>
      <c r="K60" s="72"/>
      <c r="L60" s="72"/>
      <c r="M60" s="72"/>
      <c r="N60" s="59" t="s">
        <v>155</v>
      </c>
      <c r="O60" s="59"/>
      <c r="P60" s="59"/>
      <c r="Q60" s="59"/>
      <c r="R60" s="60"/>
    </row>
    <row r="61" spans="1:18" ht="18" customHeight="1" x14ac:dyDescent="0.45">
      <c r="A61" s="6"/>
      <c r="B61" s="67"/>
      <c r="C61" s="17" t="s">
        <v>50</v>
      </c>
      <c r="D61" s="7">
        <v>6</v>
      </c>
      <c r="E61" s="16">
        <v>3</v>
      </c>
      <c r="F61" s="15"/>
      <c r="G61" s="17">
        <v>114</v>
      </c>
      <c r="I61" s="71" t="s">
        <v>56</v>
      </c>
      <c r="J61" s="72"/>
      <c r="K61" s="72"/>
      <c r="L61" s="72"/>
      <c r="M61" s="72"/>
      <c r="N61" s="59" t="s">
        <v>108</v>
      </c>
      <c r="O61" s="59"/>
      <c r="P61" s="59"/>
      <c r="Q61" s="59"/>
      <c r="R61" s="60"/>
    </row>
    <row r="62" spans="1:18" ht="18" customHeight="1" thickBot="1" x14ac:dyDescent="0.5">
      <c r="A62" s="6"/>
      <c r="B62" s="67"/>
      <c r="C62" s="18" t="s">
        <v>61</v>
      </c>
      <c r="D62" s="9">
        <v>4</v>
      </c>
      <c r="E62" s="10">
        <v>5</v>
      </c>
      <c r="F62" s="15"/>
      <c r="G62" s="18">
        <v>103</v>
      </c>
      <c r="I62" s="73" t="s">
        <v>57</v>
      </c>
      <c r="J62" s="74"/>
      <c r="K62" s="74"/>
      <c r="L62" s="74"/>
      <c r="M62" s="74"/>
      <c r="N62" s="59" t="s">
        <v>133</v>
      </c>
      <c r="O62" s="59"/>
      <c r="P62" s="59"/>
      <c r="Q62" s="59"/>
      <c r="R62" s="60"/>
    </row>
    <row r="63" spans="1:18" ht="18.5" x14ac:dyDescent="0.45">
      <c r="A63" s="6"/>
      <c r="B63" s="67"/>
      <c r="C63" s="17" t="s">
        <v>73</v>
      </c>
      <c r="D63" s="7">
        <v>4</v>
      </c>
      <c r="E63" s="22">
        <v>5</v>
      </c>
      <c r="F63" s="15"/>
      <c r="G63" s="23">
        <v>100</v>
      </c>
      <c r="H63" s="6"/>
      <c r="I63" s="6"/>
    </row>
    <row r="64" spans="1:18" ht="18.5" x14ac:dyDescent="0.45">
      <c r="A64" s="6"/>
      <c r="B64" s="67"/>
      <c r="C64" s="19" t="s">
        <v>68</v>
      </c>
      <c r="D64" s="9">
        <v>2</v>
      </c>
      <c r="E64" s="10">
        <v>7</v>
      </c>
      <c r="F64" s="15"/>
      <c r="G64" s="18">
        <v>74</v>
      </c>
      <c r="H64" s="6"/>
    </row>
    <row r="65" spans="2:7" ht="18.5" x14ac:dyDescent="0.45">
      <c r="B65" s="67"/>
      <c r="C65" s="18" t="s">
        <v>98</v>
      </c>
      <c r="D65" s="9">
        <v>1</v>
      </c>
      <c r="E65" s="10">
        <v>8</v>
      </c>
      <c r="F65" s="15"/>
      <c r="G65" s="18">
        <v>93</v>
      </c>
    </row>
    <row r="66" spans="2:7" ht="19" thickBot="1" x14ac:dyDescent="0.5">
      <c r="B66" s="68"/>
      <c r="C66" s="17" t="s">
        <v>52</v>
      </c>
      <c r="D66" s="7">
        <v>1</v>
      </c>
      <c r="E66" s="22">
        <v>8</v>
      </c>
      <c r="F66" s="15"/>
      <c r="G66" s="23">
        <v>81</v>
      </c>
    </row>
    <row r="67" spans="2:7" ht="15" thickBot="1" x14ac:dyDescent="0.4"/>
    <row r="68" spans="2:7" ht="19" thickBot="1" x14ac:dyDescent="0.5">
      <c r="C68" s="27" t="s">
        <v>76</v>
      </c>
      <c r="D68" s="28" t="s">
        <v>45</v>
      </c>
      <c r="E68" s="28" t="s">
        <v>46</v>
      </c>
      <c r="F68" s="20" t="s">
        <v>62</v>
      </c>
      <c r="G68" s="31" t="s">
        <v>47</v>
      </c>
    </row>
    <row r="69" spans="2:7" ht="18.5" x14ac:dyDescent="0.45">
      <c r="C69" s="54" t="s">
        <v>59</v>
      </c>
      <c r="D69" s="14">
        <v>8</v>
      </c>
      <c r="E69" s="24">
        <v>1</v>
      </c>
      <c r="F69" s="15"/>
      <c r="G69" s="53">
        <v>150</v>
      </c>
    </row>
    <row r="70" spans="2:7" ht="18.5" x14ac:dyDescent="0.45">
      <c r="C70" s="56" t="s">
        <v>55</v>
      </c>
      <c r="D70" s="7">
        <v>7</v>
      </c>
      <c r="E70" s="22">
        <v>2</v>
      </c>
      <c r="F70" s="15"/>
      <c r="G70" s="55">
        <v>123</v>
      </c>
    </row>
    <row r="71" spans="2:7" ht="18.5" x14ac:dyDescent="0.45">
      <c r="C71" s="56" t="s">
        <v>60</v>
      </c>
      <c r="D71" s="7">
        <v>6</v>
      </c>
      <c r="E71" s="22">
        <v>3</v>
      </c>
      <c r="F71" s="15"/>
      <c r="G71" s="55">
        <v>123</v>
      </c>
    </row>
    <row r="72" spans="2:7" ht="19" thickBot="1" x14ac:dyDescent="0.5">
      <c r="C72" s="52" t="s">
        <v>50</v>
      </c>
      <c r="D72" s="51">
        <v>6</v>
      </c>
      <c r="E72" s="50">
        <v>3</v>
      </c>
      <c r="F72" s="49"/>
      <c r="G72" s="48">
        <v>114</v>
      </c>
    </row>
    <row r="73" spans="2:7" ht="18.5" x14ac:dyDescent="0.45">
      <c r="C73" s="54" t="s">
        <v>73</v>
      </c>
      <c r="D73" s="14">
        <v>4</v>
      </c>
      <c r="E73" s="24">
        <v>5</v>
      </c>
      <c r="F73" s="26"/>
      <c r="G73" s="53">
        <v>100</v>
      </c>
    </row>
    <row r="74" spans="2:7" ht="15" thickBot="1" x14ac:dyDescent="0.4"/>
    <row r="75" spans="2:7" ht="19" thickBot="1" x14ac:dyDescent="0.5">
      <c r="C75" s="27" t="s">
        <v>77</v>
      </c>
      <c r="D75" s="28" t="s">
        <v>45</v>
      </c>
      <c r="E75" s="28" t="s">
        <v>46</v>
      </c>
      <c r="F75" s="20" t="s">
        <v>62</v>
      </c>
      <c r="G75" s="31" t="s">
        <v>47</v>
      </c>
    </row>
    <row r="76" spans="2:7" ht="18.5" x14ac:dyDescent="0.45">
      <c r="C76" s="47" t="s">
        <v>58</v>
      </c>
      <c r="D76" s="46">
        <v>6</v>
      </c>
      <c r="E76" s="46">
        <v>3</v>
      </c>
      <c r="F76" s="26"/>
      <c r="G76" s="45">
        <v>117</v>
      </c>
    </row>
    <row r="77" spans="2:7" ht="18.5" x14ac:dyDescent="0.45">
      <c r="C77" s="42" t="s">
        <v>61</v>
      </c>
      <c r="D77" s="15">
        <v>4</v>
      </c>
      <c r="E77" s="15">
        <v>5</v>
      </c>
      <c r="F77" s="15"/>
      <c r="G77" s="41">
        <v>103</v>
      </c>
    </row>
    <row r="78" spans="2:7" ht="18.5" x14ac:dyDescent="0.45">
      <c r="C78" s="44" t="s">
        <v>68</v>
      </c>
      <c r="D78" s="4">
        <v>2</v>
      </c>
      <c r="E78" s="4">
        <v>7</v>
      </c>
      <c r="F78" s="15"/>
      <c r="G78" s="43">
        <v>74</v>
      </c>
    </row>
    <row r="79" spans="2:7" ht="18.5" x14ac:dyDescent="0.45">
      <c r="C79" s="42" t="s">
        <v>98</v>
      </c>
      <c r="D79" s="15">
        <v>1</v>
      </c>
      <c r="E79" s="15">
        <v>8</v>
      </c>
      <c r="F79" s="15"/>
      <c r="G79" s="41">
        <v>93</v>
      </c>
    </row>
    <row r="80" spans="2:7" ht="19" thickBot="1" x14ac:dyDescent="0.5">
      <c r="C80" s="40" t="s">
        <v>52</v>
      </c>
      <c r="D80" s="39">
        <v>1</v>
      </c>
      <c r="E80" s="38">
        <v>8</v>
      </c>
      <c r="F80" s="37"/>
      <c r="G80" s="36">
        <v>81</v>
      </c>
    </row>
  </sheetData>
  <mergeCells count="14">
    <mergeCell ref="B56:B66"/>
    <mergeCell ref="I57:M57"/>
    <mergeCell ref="I58:M58"/>
    <mergeCell ref="I59:M59"/>
    <mergeCell ref="I60:M60"/>
    <mergeCell ref="I61:M61"/>
    <mergeCell ref="I62:M62"/>
    <mergeCell ref="N62:R62"/>
    <mergeCell ref="I56:R56"/>
    <mergeCell ref="N57:R57"/>
    <mergeCell ref="N58:R58"/>
    <mergeCell ref="N59:R59"/>
    <mergeCell ref="N60:R60"/>
    <mergeCell ref="N61:R6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B46F8-9B59-443F-92A8-742820657E50}">
  <sheetPr codeName="Sheet11"/>
  <dimension ref="A1:R80"/>
  <sheetViews>
    <sheetView zoomScale="80" zoomScaleNormal="80" workbookViewId="0">
      <pane ySplit="1" topLeftCell="A11" activePane="bottomLeft" state="frozen"/>
      <selection pane="bottomLeft" activeCell="Q16" sqref="Q16:R16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8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18.8164062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138</v>
      </c>
      <c r="C2" s="4" t="s">
        <v>22</v>
      </c>
      <c r="D2" s="11">
        <f>SUM(1503)</f>
        <v>1503</v>
      </c>
      <c r="E2" s="11">
        <f>SUM(83)</f>
        <v>83</v>
      </c>
      <c r="F2" s="12">
        <f t="shared" ref="F2:F33" si="0">SUM(D2/E2)</f>
        <v>18.108433734939759</v>
      </c>
      <c r="G2" s="11">
        <v>1</v>
      </c>
      <c r="H2" s="11">
        <v>1</v>
      </c>
      <c r="I2" s="11"/>
      <c r="J2" s="11"/>
      <c r="K2" s="11"/>
      <c r="L2" s="11">
        <v>6</v>
      </c>
      <c r="M2" s="13"/>
    </row>
    <row r="3" spans="1:13" ht="18.5" x14ac:dyDescent="0.45">
      <c r="A3" s="3">
        <v>2</v>
      </c>
      <c r="B3" s="4" t="s">
        <v>19</v>
      </c>
      <c r="C3" s="4" t="s">
        <v>14</v>
      </c>
      <c r="D3" s="11">
        <f>SUM(1503+1501+1499+1401+1471+1481+1487+1503)</f>
        <v>11846</v>
      </c>
      <c r="E3" s="11">
        <f>SUM(88+78+80+76+97+122+74+97)</f>
        <v>712</v>
      </c>
      <c r="F3" s="12">
        <f t="shared" si="0"/>
        <v>16.637640449438202</v>
      </c>
      <c r="G3" s="11">
        <v>8</v>
      </c>
      <c r="H3" s="11">
        <v>7</v>
      </c>
      <c r="I3" s="11"/>
      <c r="J3" s="11"/>
      <c r="K3" s="11"/>
      <c r="L3" s="11">
        <v>38</v>
      </c>
      <c r="M3" s="13">
        <v>20</v>
      </c>
    </row>
    <row r="4" spans="1:13" ht="18.5" x14ac:dyDescent="0.45">
      <c r="A4" s="3">
        <v>3</v>
      </c>
      <c r="B4" s="4" t="s">
        <v>23</v>
      </c>
      <c r="C4" s="4" t="s">
        <v>14</v>
      </c>
      <c r="D4" s="11">
        <f>SUM(1503+1503+1503+1479+1498+1336+1503+1501+1479+1495)</f>
        <v>14800</v>
      </c>
      <c r="E4" s="11">
        <f>SUM(93+102+87+75+85+80+94+92+94+98)</f>
        <v>900</v>
      </c>
      <c r="F4" s="12">
        <f t="shared" si="0"/>
        <v>16.444444444444443</v>
      </c>
      <c r="G4" s="11">
        <v>10</v>
      </c>
      <c r="H4" s="11">
        <v>7</v>
      </c>
      <c r="I4" s="11">
        <v>1</v>
      </c>
      <c r="J4" s="11"/>
      <c r="K4" s="11">
        <v>1</v>
      </c>
      <c r="L4" s="11">
        <v>42.5</v>
      </c>
      <c r="M4" s="13">
        <v>5</v>
      </c>
    </row>
    <row r="5" spans="1:13" ht="18.5" x14ac:dyDescent="0.45">
      <c r="A5" s="3">
        <v>4</v>
      </c>
      <c r="B5" s="4" t="s">
        <v>13</v>
      </c>
      <c r="C5" s="4" t="s">
        <v>14</v>
      </c>
      <c r="D5" s="11">
        <f>SUM(1503+1493+1483+1503+1347+1503+1471+1503+1428+1415)</f>
        <v>14649</v>
      </c>
      <c r="E5" s="11">
        <f>SUM(87+94+89+105+89+91+89+89+89+84)</f>
        <v>906</v>
      </c>
      <c r="F5" s="12">
        <f t="shared" si="0"/>
        <v>16.168874172185429</v>
      </c>
      <c r="G5" s="11">
        <v>10</v>
      </c>
      <c r="H5" s="11">
        <v>8</v>
      </c>
      <c r="I5" s="11"/>
      <c r="J5" s="11"/>
      <c r="K5" s="11"/>
      <c r="L5" s="11">
        <v>43</v>
      </c>
      <c r="M5" s="13">
        <v>5</v>
      </c>
    </row>
    <row r="6" spans="1:13" ht="18.5" x14ac:dyDescent="0.45">
      <c r="A6" s="3">
        <v>5</v>
      </c>
      <c r="B6" s="4" t="s">
        <v>11</v>
      </c>
      <c r="C6" s="4" t="s">
        <v>12</v>
      </c>
      <c r="D6" s="11">
        <f>SUM(1434+1499+1503+1463+1490+1467+1348+1437+1503)</f>
        <v>13144</v>
      </c>
      <c r="E6" s="11">
        <f>SUM(78+102+87+91+93+109+93+93+84)</f>
        <v>830</v>
      </c>
      <c r="F6" s="12">
        <f t="shared" si="0"/>
        <v>15.836144578313252</v>
      </c>
      <c r="G6" s="11">
        <v>9</v>
      </c>
      <c r="H6" s="11">
        <v>6</v>
      </c>
      <c r="I6" s="11">
        <v>1</v>
      </c>
      <c r="J6" s="11"/>
      <c r="K6" s="11"/>
      <c r="L6" s="11">
        <v>32.5</v>
      </c>
      <c r="M6" s="13">
        <v>20</v>
      </c>
    </row>
    <row r="7" spans="1:13" ht="18.5" x14ac:dyDescent="0.45">
      <c r="A7" s="3">
        <v>6</v>
      </c>
      <c r="B7" s="4" t="s">
        <v>41</v>
      </c>
      <c r="C7" s="4" t="s">
        <v>16</v>
      </c>
      <c r="D7" s="11">
        <f>SUM(1305+1155+1497+1433+1488+1439+1495+1503+1503+1473)</f>
        <v>14291</v>
      </c>
      <c r="E7" s="11">
        <f>SUM(82+73+109+98+104+100+102+79+98+85)</f>
        <v>930</v>
      </c>
      <c r="F7" s="12">
        <f t="shared" si="0"/>
        <v>15.366666666666667</v>
      </c>
      <c r="G7" s="11">
        <v>10</v>
      </c>
      <c r="H7" s="11">
        <v>8</v>
      </c>
      <c r="I7" s="11"/>
      <c r="J7" s="11"/>
      <c r="K7" s="11"/>
      <c r="L7" s="11">
        <v>39.5</v>
      </c>
      <c r="M7" s="13">
        <v>10</v>
      </c>
    </row>
    <row r="8" spans="1:13" ht="18.5" x14ac:dyDescent="0.45">
      <c r="A8" s="3">
        <v>7</v>
      </c>
      <c r="B8" s="4" t="s">
        <v>15</v>
      </c>
      <c r="C8" s="4" t="s">
        <v>16</v>
      </c>
      <c r="D8" s="11">
        <f>SUM(1439+1494+1469+1433+1433+1403+1360+1481+1457+1473)</f>
        <v>14442</v>
      </c>
      <c r="E8" s="11">
        <f>SUM(83+92+88+91+92+75+104+114+90+111)</f>
        <v>940</v>
      </c>
      <c r="F8" s="12">
        <f t="shared" si="0"/>
        <v>15.363829787234042</v>
      </c>
      <c r="G8" s="11">
        <v>10</v>
      </c>
      <c r="H8" s="11">
        <v>3</v>
      </c>
      <c r="I8" s="11"/>
      <c r="J8" s="11"/>
      <c r="K8" s="11"/>
      <c r="L8" s="11">
        <v>27</v>
      </c>
      <c r="M8" s="13">
        <v>5</v>
      </c>
    </row>
    <row r="9" spans="1:13" ht="18.5" x14ac:dyDescent="0.45">
      <c r="A9" s="3">
        <v>8</v>
      </c>
      <c r="B9" s="4" t="s">
        <v>26</v>
      </c>
      <c r="C9" s="4" t="s">
        <v>18</v>
      </c>
      <c r="D9" s="11">
        <f>SUM(1501+1503+1503+1491+1412+1503+1462+1503+1373)</f>
        <v>13251</v>
      </c>
      <c r="E9" s="11">
        <f>SUM(125+90+100+97+76+91+89+98+102)</f>
        <v>868</v>
      </c>
      <c r="F9" s="12">
        <f t="shared" si="0"/>
        <v>15.266129032258064</v>
      </c>
      <c r="G9" s="11">
        <v>9</v>
      </c>
      <c r="H9" s="11">
        <v>6</v>
      </c>
      <c r="I9" s="11"/>
      <c r="J9" s="11"/>
      <c r="K9" s="11">
        <v>1</v>
      </c>
      <c r="L9" s="11">
        <v>35</v>
      </c>
      <c r="M9" s="13">
        <v>15</v>
      </c>
    </row>
    <row r="10" spans="1:13" ht="18.5" x14ac:dyDescent="0.45">
      <c r="A10" s="3">
        <v>9</v>
      </c>
      <c r="B10" s="4" t="s">
        <v>115</v>
      </c>
      <c r="C10" s="4" t="s">
        <v>103</v>
      </c>
      <c r="D10" s="11">
        <f>SUM(1503+1473+1444+1426+1498+1392+1474)</f>
        <v>10210</v>
      </c>
      <c r="E10" s="11">
        <f>SUM(115+100+87+93+103+86+98)</f>
        <v>682</v>
      </c>
      <c r="F10" s="12">
        <f t="shared" si="0"/>
        <v>14.970674486803519</v>
      </c>
      <c r="G10" s="11">
        <v>7</v>
      </c>
      <c r="H10" s="11">
        <v>5</v>
      </c>
      <c r="I10" s="11"/>
      <c r="J10" s="11"/>
      <c r="K10" s="11"/>
      <c r="L10" s="11">
        <v>21.5</v>
      </c>
      <c r="M10" s="13"/>
    </row>
    <row r="11" spans="1:13" ht="18.5" x14ac:dyDescent="0.45">
      <c r="A11" s="3">
        <v>10</v>
      </c>
      <c r="B11" s="4" t="s">
        <v>25</v>
      </c>
      <c r="C11" s="4" t="s">
        <v>12</v>
      </c>
      <c r="D11" s="11">
        <f>SUM(1124+1503+1455+1463+1431+1419+1263+1357)</f>
        <v>11015</v>
      </c>
      <c r="E11" s="11">
        <f>SUM(81+82+115+97+102+100+96+80)</f>
        <v>753</v>
      </c>
      <c r="F11" s="12">
        <f t="shared" si="0"/>
        <v>14.628154050464808</v>
      </c>
      <c r="G11" s="11">
        <v>8</v>
      </c>
      <c r="H11" s="11">
        <v>3</v>
      </c>
      <c r="I11" s="11"/>
      <c r="J11" s="11">
        <v>1</v>
      </c>
      <c r="K11" s="11"/>
      <c r="L11" s="11">
        <v>23</v>
      </c>
      <c r="M11" s="13">
        <v>5</v>
      </c>
    </row>
    <row r="12" spans="1:13" ht="18.5" x14ac:dyDescent="0.45">
      <c r="A12" s="3">
        <v>11</v>
      </c>
      <c r="B12" s="15" t="s">
        <v>81</v>
      </c>
      <c r="C12" s="4" t="s">
        <v>89</v>
      </c>
      <c r="D12" s="11">
        <f>SUM(1431+1330+1465+1356+1495+1483+1453+1410+1431+1352)</f>
        <v>14206</v>
      </c>
      <c r="E12" s="11">
        <f>SUM(111+103+105+76+116+100+108+82+93+78)</f>
        <v>972</v>
      </c>
      <c r="F12" s="12">
        <f t="shared" si="0"/>
        <v>14.61522633744856</v>
      </c>
      <c r="G12" s="11">
        <v>10</v>
      </c>
      <c r="H12" s="11">
        <v>6</v>
      </c>
      <c r="I12" s="11"/>
      <c r="J12" s="11"/>
      <c r="K12" s="11"/>
      <c r="L12" s="11">
        <v>29</v>
      </c>
      <c r="M12" s="13"/>
    </row>
    <row r="13" spans="1:13" ht="18.5" x14ac:dyDescent="0.45">
      <c r="A13" s="3">
        <v>12</v>
      </c>
      <c r="B13" s="15" t="s">
        <v>64</v>
      </c>
      <c r="C13" s="4" t="s">
        <v>27</v>
      </c>
      <c r="D13" s="11">
        <f>SUM(1501+1463+1503+1285+1296+1461+1463+1403+1462)</f>
        <v>12837</v>
      </c>
      <c r="E13" s="11">
        <f>SUM(113+99+115+86+72+103+96+102+99)</f>
        <v>885</v>
      </c>
      <c r="F13" s="12">
        <f t="shared" si="0"/>
        <v>14.505084745762712</v>
      </c>
      <c r="G13" s="11">
        <v>9</v>
      </c>
      <c r="H13" s="11">
        <v>4</v>
      </c>
      <c r="I13" s="11"/>
      <c r="J13" s="11"/>
      <c r="K13" s="11"/>
      <c r="L13" s="11">
        <v>25</v>
      </c>
      <c r="M13" s="13">
        <v>5</v>
      </c>
    </row>
    <row r="14" spans="1:13" ht="18.5" x14ac:dyDescent="0.45">
      <c r="A14" s="3">
        <v>13</v>
      </c>
      <c r="B14" s="15" t="s">
        <v>31</v>
      </c>
      <c r="C14" s="4" t="s">
        <v>32</v>
      </c>
      <c r="D14" s="11">
        <f>SUM(1463+1440+1348+1483+1155+1501+1486+1449+1503+1503)</f>
        <v>14331</v>
      </c>
      <c r="E14" s="11">
        <f>SUM(87+90+90+101+80+109+137+80+104+115)</f>
        <v>993</v>
      </c>
      <c r="F14" s="12">
        <f t="shared" si="0"/>
        <v>14.43202416918429</v>
      </c>
      <c r="G14" s="11">
        <v>10</v>
      </c>
      <c r="H14" s="11">
        <v>6</v>
      </c>
      <c r="I14" s="11"/>
      <c r="J14" s="11"/>
      <c r="K14" s="11">
        <v>1</v>
      </c>
      <c r="L14" s="11">
        <v>29</v>
      </c>
      <c r="M14" s="13">
        <v>20</v>
      </c>
    </row>
    <row r="15" spans="1:13" ht="18.5" x14ac:dyDescent="0.45">
      <c r="A15" s="3">
        <v>14</v>
      </c>
      <c r="B15" s="3" t="s">
        <v>17</v>
      </c>
      <c r="C15" s="7" t="s">
        <v>18</v>
      </c>
      <c r="D15" s="11">
        <f>SUM(1503+1238+1475+1503+1447+1455+1297+1438+1503+1503)</f>
        <v>14362</v>
      </c>
      <c r="E15" s="11">
        <f>SUM(101+96+104+93+109+100+96+98+117+101)</f>
        <v>1015</v>
      </c>
      <c r="F15" s="12">
        <f t="shared" si="0"/>
        <v>14.14975369458128</v>
      </c>
      <c r="G15" s="11">
        <v>10</v>
      </c>
      <c r="H15" s="11">
        <v>5</v>
      </c>
      <c r="I15" s="11"/>
      <c r="J15" s="11"/>
      <c r="K15" s="11"/>
      <c r="L15" s="11">
        <v>32.5</v>
      </c>
      <c r="M15" s="13"/>
    </row>
    <row r="16" spans="1:13" ht="18.5" x14ac:dyDescent="0.45">
      <c r="A16" s="3">
        <v>15</v>
      </c>
      <c r="B16" s="15" t="s">
        <v>85</v>
      </c>
      <c r="C16" s="4" t="s">
        <v>103</v>
      </c>
      <c r="D16" s="11">
        <f>SUM(1503+1503+1471+1501+1469+1503+1499+1503+1453)</f>
        <v>13405</v>
      </c>
      <c r="E16" s="11">
        <f>SUM(97+85+93+158+100+121+119+98+103)</f>
        <v>974</v>
      </c>
      <c r="F16" s="12">
        <f t="shared" si="0"/>
        <v>13.762833675564682</v>
      </c>
      <c r="G16" s="11">
        <v>9</v>
      </c>
      <c r="H16" s="11">
        <v>8</v>
      </c>
      <c r="I16" s="11">
        <v>1</v>
      </c>
      <c r="J16" s="11"/>
      <c r="K16" s="11"/>
      <c r="L16" s="11">
        <v>35.5</v>
      </c>
      <c r="M16" s="13"/>
    </row>
    <row r="17" spans="1:13" ht="18.5" x14ac:dyDescent="0.45">
      <c r="A17" s="3">
        <v>16</v>
      </c>
      <c r="B17" s="3" t="s">
        <v>21</v>
      </c>
      <c r="C17" s="4" t="s">
        <v>22</v>
      </c>
      <c r="D17" s="11">
        <f>SUM(1399+1503+1274+1463+1443+1165+1500+1475+1335+1231)</f>
        <v>13788</v>
      </c>
      <c r="E17" s="11">
        <f>SUM(82+109+87+114+103+86+141+97+93+90)</f>
        <v>1002</v>
      </c>
      <c r="F17" s="12">
        <f t="shared" si="0"/>
        <v>13.760479041916168</v>
      </c>
      <c r="G17" s="11">
        <v>10</v>
      </c>
      <c r="H17" s="11">
        <v>3</v>
      </c>
      <c r="I17" s="11"/>
      <c r="J17" s="11"/>
      <c r="K17" s="11"/>
      <c r="L17" s="11">
        <v>29.5</v>
      </c>
      <c r="M17" s="13"/>
    </row>
    <row r="18" spans="1:13" ht="18.5" x14ac:dyDescent="0.45">
      <c r="A18" s="3">
        <v>17</v>
      </c>
      <c r="B18" s="15" t="s">
        <v>30</v>
      </c>
      <c r="C18" s="4" t="s">
        <v>22</v>
      </c>
      <c r="D18" s="11">
        <f>SUM(1503+1285+1503+1425+1495+1503+1494+1331+1503)</f>
        <v>13042</v>
      </c>
      <c r="E18" s="11">
        <f>SUM(109+111+88+114+109+111+122+96+89)</f>
        <v>949</v>
      </c>
      <c r="F18" s="12">
        <f t="shared" si="0"/>
        <v>13.742887249736565</v>
      </c>
      <c r="G18" s="11">
        <v>9</v>
      </c>
      <c r="H18" s="11">
        <v>6</v>
      </c>
      <c r="I18" s="11">
        <v>1</v>
      </c>
      <c r="J18" s="11"/>
      <c r="K18" s="11"/>
      <c r="L18" s="11">
        <v>30.5</v>
      </c>
      <c r="M18" s="13">
        <v>5</v>
      </c>
    </row>
    <row r="19" spans="1:13" ht="18.5" x14ac:dyDescent="0.45">
      <c r="A19" s="3">
        <v>18</v>
      </c>
      <c r="B19" s="4" t="s">
        <v>106</v>
      </c>
      <c r="C19" s="4" t="s">
        <v>12</v>
      </c>
      <c r="D19" s="11">
        <f>SUM(1503+1484+1456+1503+1447+1225+1487+1433+1368)</f>
        <v>12906</v>
      </c>
      <c r="E19" s="11">
        <f>SUM(116+103+94+129+108+88+131+86+86)</f>
        <v>941</v>
      </c>
      <c r="F19" s="12">
        <f t="shared" si="0"/>
        <v>13.715196599362381</v>
      </c>
      <c r="G19" s="11">
        <v>9</v>
      </c>
      <c r="H19" s="11">
        <v>4</v>
      </c>
      <c r="I19" s="11"/>
      <c r="J19" s="11"/>
      <c r="K19" s="11"/>
      <c r="L19" s="11">
        <v>31.5</v>
      </c>
      <c r="M19" s="13">
        <v>5</v>
      </c>
    </row>
    <row r="20" spans="1:13" ht="18.5" x14ac:dyDescent="0.45">
      <c r="A20" s="3">
        <v>19</v>
      </c>
      <c r="B20" s="3" t="s">
        <v>33</v>
      </c>
      <c r="C20" s="4" t="s">
        <v>22</v>
      </c>
      <c r="D20" s="11">
        <f>SUM(1385+1499+1356+1205+1499+1449+1503+1259+1262+1306)</f>
        <v>13723</v>
      </c>
      <c r="E20" s="11">
        <f>SUM(79+109+82+81+141+120+114+89+93+95)</f>
        <v>1003</v>
      </c>
      <c r="F20" s="12">
        <f t="shared" si="0"/>
        <v>13.681954137587239</v>
      </c>
      <c r="G20" s="11">
        <v>10</v>
      </c>
      <c r="H20" s="11">
        <v>6</v>
      </c>
      <c r="I20" s="11"/>
      <c r="J20" s="11"/>
      <c r="K20" s="11"/>
      <c r="L20" s="11">
        <v>34.5</v>
      </c>
      <c r="M20" s="13"/>
    </row>
    <row r="21" spans="1:13" ht="18.5" x14ac:dyDescent="0.45">
      <c r="A21" s="3">
        <v>20</v>
      </c>
      <c r="B21" s="4" t="s">
        <v>40</v>
      </c>
      <c r="C21" s="4" t="s">
        <v>32</v>
      </c>
      <c r="D21" s="11">
        <f>SUM(1263+1432+1503+1311+1403+1503+1326+1463+1503+1366)</f>
        <v>14073</v>
      </c>
      <c r="E21" s="11">
        <f>SUM(96+111+111+126+84+109+114+94+101+87)</f>
        <v>1033</v>
      </c>
      <c r="F21" s="12">
        <f t="shared" si="0"/>
        <v>13.623426911907067</v>
      </c>
      <c r="G21" s="11">
        <v>10</v>
      </c>
      <c r="H21" s="11">
        <v>5</v>
      </c>
      <c r="I21" s="11"/>
      <c r="J21" s="11"/>
      <c r="K21" s="11"/>
      <c r="L21" s="11">
        <v>25.5</v>
      </c>
      <c r="M21" s="13">
        <v>5</v>
      </c>
    </row>
    <row r="22" spans="1:13" ht="18.5" x14ac:dyDescent="0.45">
      <c r="A22" s="3">
        <v>21</v>
      </c>
      <c r="B22" s="4" t="s">
        <v>78</v>
      </c>
      <c r="C22" s="4" t="s">
        <v>18</v>
      </c>
      <c r="D22" s="11">
        <f>SUM(1503+1488+1478+1211+1473+1495+1492)</f>
        <v>10140</v>
      </c>
      <c r="E22" s="11">
        <f>SUM(102+160+117+90+93+96+94)</f>
        <v>752</v>
      </c>
      <c r="F22" s="12">
        <f t="shared" si="0"/>
        <v>13.48404255319149</v>
      </c>
      <c r="G22" s="11">
        <v>7</v>
      </c>
      <c r="H22" s="11">
        <v>3</v>
      </c>
      <c r="I22" s="11"/>
      <c r="J22" s="11"/>
      <c r="K22" s="11"/>
      <c r="L22" s="11">
        <v>14.5</v>
      </c>
      <c r="M22" s="13"/>
    </row>
    <row r="23" spans="1:13" ht="18.5" x14ac:dyDescent="0.45">
      <c r="A23" s="3">
        <v>22</v>
      </c>
      <c r="B23" s="15" t="s">
        <v>65</v>
      </c>
      <c r="C23" s="4" t="s">
        <v>27</v>
      </c>
      <c r="D23" s="11">
        <f>SUM(1423+1499+1489+1368+1469+1306+1295+1430+1434)</f>
        <v>12713</v>
      </c>
      <c r="E23" s="11">
        <f>SUM(103+114+104+113+102+86+125+99+102)</f>
        <v>948</v>
      </c>
      <c r="F23" s="12">
        <f t="shared" si="0"/>
        <v>13.410337552742616</v>
      </c>
      <c r="G23" s="11">
        <v>9</v>
      </c>
      <c r="H23" s="11">
        <v>7</v>
      </c>
      <c r="I23" s="11"/>
      <c r="J23" s="11"/>
      <c r="K23" s="11">
        <v>1</v>
      </c>
      <c r="L23" s="11">
        <v>26.5</v>
      </c>
      <c r="M23" s="13">
        <v>5</v>
      </c>
    </row>
    <row r="24" spans="1:13" ht="18.5" x14ac:dyDescent="0.45">
      <c r="A24" s="3">
        <v>23</v>
      </c>
      <c r="B24" s="4" t="s">
        <v>24</v>
      </c>
      <c r="C24" s="7" t="s">
        <v>22</v>
      </c>
      <c r="D24" s="11">
        <f>SUM(1465+1469+1456+1497+1481+1470+1495+1478+1463+1483)</f>
        <v>14757</v>
      </c>
      <c r="E24" s="11">
        <f>SUM(109+117+124+101+127+93+115+98+107+115)</f>
        <v>1106</v>
      </c>
      <c r="F24" s="12">
        <f t="shared" si="0"/>
        <v>13.342676311030742</v>
      </c>
      <c r="G24" s="11">
        <v>10</v>
      </c>
      <c r="H24" s="11">
        <v>5</v>
      </c>
      <c r="I24" s="11"/>
      <c r="J24" s="11"/>
      <c r="K24" s="11"/>
      <c r="L24" s="11">
        <v>31.5</v>
      </c>
      <c r="M24" s="13"/>
    </row>
    <row r="25" spans="1:13" ht="18.5" x14ac:dyDescent="0.45">
      <c r="A25" s="3">
        <v>24</v>
      </c>
      <c r="B25" s="15" t="s">
        <v>71</v>
      </c>
      <c r="C25" s="4" t="s">
        <v>16</v>
      </c>
      <c r="D25" s="11">
        <f>SUM(1373+1159+1501+1471+1503+1503+1258+1503)</f>
        <v>11271</v>
      </c>
      <c r="E25" s="11">
        <f>SUM(111+99+117+102+95+133+96+95)</f>
        <v>848</v>
      </c>
      <c r="F25" s="12">
        <f t="shared" si="0"/>
        <v>13.29127358490566</v>
      </c>
      <c r="G25" s="11">
        <v>8</v>
      </c>
      <c r="H25" s="11">
        <v>5</v>
      </c>
      <c r="I25" s="11"/>
      <c r="J25" s="11"/>
      <c r="K25" s="11"/>
      <c r="L25" s="11">
        <v>24</v>
      </c>
      <c r="M25" s="13"/>
    </row>
    <row r="26" spans="1:13" ht="18.5" x14ac:dyDescent="0.45">
      <c r="A26" s="3">
        <v>25</v>
      </c>
      <c r="B26" s="9" t="s">
        <v>82</v>
      </c>
      <c r="C26" s="4" t="s">
        <v>89</v>
      </c>
      <c r="D26" s="11">
        <f>SUM(1451+1138+1313+1427+1430+1357+1305+1159)</f>
        <v>10580</v>
      </c>
      <c r="E26" s="11">
        <f>SUM(115+81+108+114+112+96+90+90)</f>
        <v>806</v>
      </c>
      <c r="F26" s="12">
        <f t="shared" si="0"/>
        <v>13.126550868486353</v>
      </c>
      <c r="G26" s="11">
        <v>8</v>
      </c>
      <c r="H26" s="11">
        <v>3</v>
      </c>
      <c r="I26" s="11"/>
      <c r="J26" s="11"/>
      <c r="K26" s="11"/>
      <c r="L26" s="11">
        <v>20</v>
      </c>
      <c r="M26" s="13"/>
    </row>
    <row r="27" spans="1:13" ht="18.5" x14ac:dyDescent="0.45">
      <c r="A27" s="3">
        <v>26</v>
      </c>
      <c r="B27" s="7" t="s">
        <v>84</v>
      </c>
      <c r="C27" s="4" t="s">
        <v>103</v>
      </c>
      <c r="D27" s="11">
        <f>SUM(1385+1489+1228+1410+1447+1440+1360+1503+1467)</f>
        <v>12729</v>
      </c>
      <c r="E27" s="11">
        <f>SUM(107+126+87+126+108+106+96+113+107)</f>
        <v>976</v>
      </c>
      <c r="F27" s="12">
        <f t="shared" si="0"/>
        <v>13.042008196721312</v>
      </c>
      <c r="G27" s="11">
        <v>9</v>
      </c>
      <c r="H27" s="11">
        <v>2</v>
      </c>
      <c r="I27" s="11"/>
      <c r="J27" s="11"/>
      <c r="K27" s="11"/>
      <c r="L27" s="11">
        <v>18</v>
      </c>
      <c r="M27" s="13"/>
    </row>
    <row r="28" spans="1:13" ht="18.5" x14ac:dyDescent="0.45">
      <c r="A28" s="3">
        <v>27</v>
      </c>
      <c r="B28" s="7" t="s">
        <v>29</v>
      </c>
      <c r="C28" s="4" t="s">
        <v>66</v>
      </c>
      <c r="D28" s="11">
        <f>SUM(1467+1499+1403+1499+1276+1487+1439+1503+1305+1318)</f>
        <v>14196</v>
      </c>
      <c r="E28" s="11">
        <f>SUM(129+121+106+120+102+101+99+117+93+102)</f>
        <v>1090</v>
      </c>
      <c r="F28" s="12">
        <f t="shared" si="0"/>
        <v>13.023853211009174</v>
      </c>
      <c r="G28" s="11">
        <v>10</v>
      </c>
      <c r="H28" s="11">
        <v>5</v>
      </c>
      <c r="I28" s="11"/>
      <c r="J28" s="11"/>
      <c r="K28" s="11"/>
      <c r="L28" s="11">
        <v>24.5</v>
      </c>
      <c r="M28" s="13">
        <v>5</v>
      </c>
    </row>
    <row r="29" spans="1:13" ht="18.5" x14ac:dyDescent="0.45">
      <c r="A29" s="3">
        <v>28</v>
      </c>
      <c r="B29" s="9" t="s">
        <v>69</v>
      </c>
      <c r="C29" s="4" t="s">
        <v>14</v>
      </c>
      <c r="D29" s="11">
        <f>SUM(1497+1503+1455+1503+1487+1463+1503+1439+1453)</f>
        <v>13303</v>
      </c>
      <c r="E29" s="11">
        <f>SUM(119+89+126+118+133+86+148+105+111)</f>
        <v>1035</v>
      </c>
      <c r="F29" s="12">
        <f t="shared" si="0"/>
        <v>12.853140096618358</v>
      </c>
      <c r="G29" s="11">
        <v>9</v>
      </c>
      <c r="H29" s="11">
        <v>6</v>
      </c>
      <c r="I29" s="11"/>
      <c r="J29" s="11"/>
      <c r="K29" s="11"/>
      <c r="L29" s="11">
        <v>37</v>
      </c>
      <c r="M29" s="13"/>
    </row>
    <row r="30" spans="1:13" ht="18.5" x14ac:dyDescent="0.45">
      <c r="A30" s="3">
        <v>29</v>
      </c>
      <c r="B30" s="9" t="s">
        <v>34</v>
      </c>
      <c r="C30" s="4" t="s">
        <v>27</v>
      </c>
      <c r="D30" s="11">
        <f>SUM(1315+1435+1406+1490+1393+1184+1448+1481+1479)</f>
        <v>12631</v>
      </c>
      <c r="E30" s="11">
        <f>SUM(90+109+99+157+128+86+96+146+91)</f>
        <v>1002</v>
      </c>
      <c r="F30" s="12">
        <f t="shared" si="0"/>
        <v>12.605788423153692</v>
      </c>
      <c r="G30" s="11">
        <v>9</v>
      </c>
      <c r="H30" s="11">
        <v>7</v>
      </c>
      <c r="I30" s="11"/>
      <c r="J30" s="11"/>
      <c r="K30" s="11"/>
      <c r="L30" s="11">
        <v>29</v>
      </c>
      <c r="M30" s="13"/>
    </row>
    <row r="31" spans="1:13" ht="18.5" x14ac:dyDescent="0.45">
      <c r="A31" s="3">
        <v>30</v>
      </c>
      <c r="B31" s="7" t="s">
        <v>28</v>
      </c>
      <c r="C31" s="4" t="s">
        <v>12</v>
      </c>
      <c r="D31" s="11">
        <f>SUM(1228+1398+1503+1422+1503+1501+1252+1503+1503+1503)</f>
        <v>14316</v>
      </c>
      <c r="E31" s="11">
        <f>SUM(90+96+119+100+121+136+110+130+110+124)</f>
        <v>1136</v>
      </c>
      <c r="F31" s="12">
        <f t="shared" si="0"/>
        <v>12.602112676056338</v>
      </c>
      <c r="G31" s="11">
        <v>10</v>
      </c>
      <c r="H31" s="11">
        <v>6</v>
      </c>
      <c r="I31" s="11"/>
      <c r="J31" s="11"/>
      <c r="K31" s="11"/>
      <c r="L31" s="11">
        <v>29</v>
      </c>
      <c r="M31" s="13"/>
    </row>
    <row r="32" spans="1:13" ht="18.5" x14ac:dyDescent="0.45">
      <c r="A32" s="3">
        <v>31</v>
      </c>
      <c r="B32" s="58" t="s">
        <v>79</v>
      </c>
      <c r="C32" s="8" t="s">
        <v>89</v>
      </c>
      <c r="D32" s="11">
        <f>SUM(1393+1406+1309+1237+1494+1503+1495+1501+1305+1365)</f>
        <v>14008</v>
      </c>
      <c r="E32" s="11">
        <f>SUM(111+98+89+99+156+103+139+117+120+86)</f>
        <v>1118</v>
      </c>
      <c r="F32" s="12">
        <f t="shared" si="0"/>
        <v>12.529516994633275</v>
      </c>
      <c r="G32" s="11">
        <v>10</v>
      </c>
      <c r="H32" s="11">
        <v>6</v>
      </c>
      <c r="I32" s="11"/>
      <c r="J32" s="11"/>
      <c r="K32" s="11"/>
      <c r="L32" s="11">
        <v>28</v>
      </c>
      <c r="M32" s="13">
        <v>5</v>
      </c>
    </row>
    <row r="33" spans="1:13" ht="18.5" x14ac:dyDescent="0.45">
      <c r="A33" s="3">
        <v>32</v>
      </c>
      <c r="B33" s="9" t="s">
        <v>72</v>
      </c>
      <c r="C33" s="7" t="s">
        <v>12</v>
      </c>
      <c r="D33" s="11">
        <f>SUM(1409+1503+1471+1479)</f>
        <v>5862</v>
      </c>
      <c r="E33" s="11">
        <f>SUM(119+107+121+122)</f>
        <v>469</v>
      </c>
      <c r="F33" s="12">
        <f t="shared" si="0"/>
        <v>12.498933901918976</v>
      </c>
      <c r="G33" s="11">
        <v>4</v>
      </c>
      <c r="H33" s="11">
        <v>2</v>
      </c>
      <c r="I33" s="11"/>
      <c r="J33" s="11"/>
      <c r="K33" s="11"/>
      <c r="L33" s="11">
        <v>13</v>
      </c>
      <c r="M33" s="13"/>
    </row>
    <row r="34" spans="1:13" ht="18.5" x14ac:dyDescent="0.45">
      <c r="A34" s="3">
        <v>33</v>
      </c>
      <c r="B34" s="16" t="s">
        <v>20</v>
      </c>
      <c r="C34" s="7" t="s">
        <v>16</v>
      </c>
      <c r="D34" s="11">
        <f>SUM(1316+1259+1404+1356+1498+1491+1503)</f>
        <v>9827</v>
      </c>
      <c r="E34" s="11">
        <f>SUM(107+90+101+97+152+107+134)</f>
        <v>788</v>
      </c>
      <c r="F34" s="12">
        <f t="shared" ref="F34:F65" si="1">SUM(D34/E34)</f>
        <v>12.470812182741117</v>
      </c>
      <c r="G34" s="11">
        <v>7</v>
      </c>
      <c r="H34" s="11">
        <v>3</v>
      </c>
      <c r="I34" s="11"/>
      <c r="J34" s="11"/>
      <c r="K34" s="11"/>
      <c r="L34" s="11">
        <v>25.5</v>
      </c>
      <c r="M34" s="13"/>
    </row>
    <row r="35" spans="1:13" ht="18.5" x14ac:dyDescent="0.45">
      <c r="A35" s="3">
        <v>34</v>
      </c>
      <c r="B35" s="15" t="s">
        <v>63</v>
      </c>
      <c r="C35" s="4" t="s">
        <v>27</v>
      </c>
      <c r="D35" s="11">
        <f>SUM(1424+1501+1501+1473+1429+1406+1479+1503+1503)</f>
        <v>13219</v>
      </c>
      <c r="E35" s="11">
        <f>SUM(90+147+123+91+148+90+118+133+130)</f>
        <v>1070</v>
      </c>
      <c r="F35" s="12">
        <f t="shared" si="1"/>
        <v>12.354205607476635</v>
      </c>
      <c r="G35" s="11">
        <v>9</v>
      </c>
      <c r="H35" s="11">
        <v>7</v>
      </c>
      <c r="I35" s="11"/>
      <c r="J35" s="11"/>
      <c r="K35" s="11"/>
      <c r="L35" s="11">
        <v>30</v>
      </c>
      <c r="M35" s="13"/>
    </row>
    <row r="36" spans="1:13" ht="18.5" x14ac:dyDescent="0.45">
      <c r="A36" s="3">
        <v>35</v>
      </c>
      <c r="B36" s="10" t="s">
        <v>43</v>
      </c>
      <c r="C36" s="4" t="s">
        <v>66</v>
      </c>
      <c r="D36" s="11">
        <f>SUM(1252+1503+1201+1498+1182+1482+1183+1503+1393+1484)</f>
        <v>13681</v>
      </c>
      <c r="E36" s="11">
        <f>SUM(120+142+91+137+104+119+89+94+117+102)</f>
        <v>1115</v>
      </c>
      <c r="F36" s="12">
        <f t="shared" si="1"/>
        <v>12.269955156950672</v>
      </c>
      <c r="G36" s="11">
        <v>10</v>
      </c>
      <c r="H36" s="11">
        <v>3</v>
      </c>
      <c r="I36" s="11"/>
      <c r="J36" s="11"/>
      <c r="K36" s="11"/>
      <c r="L36" s="11">
        <v>24</v>
      </c>
      <c r="M36" s="13">
        <v>10</v>
      </c>
    </row>
    <row r="37" spans="1:13" ht="18.5" x14ac:dyDescent="0.45">
      <c r="A37" s="3">
        <v>36</v>
      </c>
      <c r="B37" s="16" t="s">
        <v>132</v>
      </c>
      <c r="C37" s="7" t="s">
        <v>27</v>
      </c>
      <c r="D37" s="11">
        <f>SUM(1343)</f>
        <v>1343</v>
      </c>
      <c r="E37" s="11">
        <f>SUM(110)</f>
        <v>110</v>
      </c>
      <c r="F37" s="12">
        <f t="shared" si="1"/>
        <v>12.209090909090909</v>
      </c>
      <c r="G37" s="11">
        <v>1</v>
      </c>
      <c r="H37" s="11"/>
      <c r="I37" s="11"/>
      <c r="J37" s="11"/>
      <c r="K37" s="11"/>
      <c r="L37" s="11">
        <v>1.5</v>
      </c>
      <c r="M37" s="13"/>
    </row>
    <row r="38" spans="1:13" ht="18.5" x14ac:dyDescent="0.45">
      <c r="A38" s="3">
        <v>37</v>
      </c>
      <c r="B38" s="16" t="s">
        <v>37</v>
      </c>
      <c r="C38" s="7" t="s">
        <v>66</v>
      </c>
      <c r="D38" s="11">
        <f>SUM(1218+1106+1372+1315+1297+1210+1169+832+1252+1471)</f>
        <v>12242</v>
      </c>
      <c r="E38" s="11">
        <f>SUM(96+84+120+102+141+96+93+72+96+108)</f>
        <v>1008</v>
      </c>
      <c r="F38" s="12">
        <f t="shared" si="1"/>
        <v>12.144841269841271</v>
      </c>
      <c r="G38" s="11">
        <v>10</v>
      </c>
      <c r="H38" s="11"/>
      <c r="I38" s="11"/>
      <c r="J38" s="11"/>
      <c r="K38" s="11"/>
      <c r="L38" s="11">
        <v>13.5</v>
      </c>
      <c r="M38" s="13"/>
    </row>
    <row r="39" spans="1:13" ht="18.5" x14ac:dyDescent="0.45">
      <c r="A39" s="3">
        <v>38</v>
      </c>
      <c r="B39" s="16" t="s">
        <v>83</v>
      </c>
      <c r="C39" s="7" t="s">
        <v>103</v>
      </c>
      <c r="D39" s="11">
        <f>SUM(1448+1487+1481+1487+1483+1498+1497)</f>
        <v>10381</v>
      </c>
      <c r="E39" s="11">
        <f>SUM(144+138+128+104+138+107+104)</f>
        <v>863</v>
      </c>
      <c r="F39" s="12">
        <f t="shared" si="1"/>
        <v>12.028968713789109</v>
      </c>
      <c r="G39" s="11">
        <v>7</v>
      </c>
      <c r="H39" s="11">
        <v>5</v>
      </c>
      <c r="I39" s="11"/>
      <c r="J39" s="11"/>
      <c r="K39" s="11"/>
      <c r="L39" s="11">
        <v>19.5</v>
      </c>
      <c r="M39" s="13"/>
    </row>
    <row r="40" spans="1:13" ht="18.5" x14ac:dyDescent="0.45">
      <c r="A40" s="3">
        <v>39</v>
      </c>
      <c r="B40" s="16" t="s">
        <v>107</v>
      </c>
      <c r="C40" s="7" t="s">
        <v>14</v>
      </c>
      <c r="D40" s="11">
        <f>SUM(1081+1364+1494)</f>
        <v>3939</v>
      </c>
      <c r="E40" s="11">
        <f>SUM(81+113+137)</f>
        <v>331</v>
      </c>
      <c r="F40" s="12">
        <f t="shared" si="1"/>
        <v>11.900302114803626</v>
      </c>
      <c r="G40" s="11">
        <v>3</v>
      </c>
      <c r="H40" s="11"/>
      <c r="I40" s="11"/>
      <c r="J40" s="11"/>
      <c r="K40" s="11"/>
      <c r="L40" s="11">
        <v>4.5</v>
      </c>
      <c r="M40" s="13"/>
    </row>
    <row r="41" spans="1:13" ht="18.5" x14ac:dyDescent="0.45">
      <c r="A41" s="3">
        <v>40</v>
      </c>
      <c r="B41" s="10" t="s">
        <v>70</v>
      </c>
      <c r="C41" s="7" t="s">
        <v>18</v>
      </c>
      <c r="D41" s="11">
        <f>SUM(1487+1277+1280+1499+1476+1485+1074+1373)</f>
        <v>10951</v>
      </c>
      <c r="E41" s="11">
        <f>SUM(122+115+117+128+151+113+84+99)</f>
        <v>929</v>
      </c>
      <c r="F41" s="12">
        <f t="shared" si="1"/>
        <v>11.78794402583423</v>
      </c>
      <c r="G41" s="11">
        <v>8</v>
      </c>
      <c r="H41" s="11">
        <v>3</v>
      </c>
      <c r="I41" s="11"/>
      <c r="J41" s="11"/>
      <c r="K41" s="11"/>
      <c r="L41" s="11">
        <v>23.5</v>
      </c>
      <c r="M41" s="13"/>
    </row>
    <row r="42" spans="1:13" ht="18.5" x14ac:dyDescent="0.45">
      <c r="A42" s="3">
        <v>41</v>
      </c>
      <c r="B42" s="10" t="s">
        <v>113</v>
      </c>
      <c r="C42" s="7" t="s">
        <v>16</v>
      </c>
      <c r="D42" s="11">
        <f>SUM(1499)</f>
        <v>1499</v>
      </c>
      <c r="E42" s="11">
        <f>SUM(128)</f>
        <v>128</v>
      </c>
      <c r="F42" s="12">
        <f t="shared" si="1"/>
        <v>11.7109375</v>
      </c>
      <c r="G42" s="11">
        <v>1</v>
      </c>
      <c r="H42" s="11"/>
      <c r="I42" s="11"/>
      <c r="J42" s="11"/>
      <c r="K42" s="11"/>
      <c r="L42" s="11">
        <v>3.5</v>
      </c>
      <c r="M42" s="13"/>
    </row>
    <row r="43" spans="1:13" ht="18.5" x14ac:dyDescent="0.45">
      <c r="A43" s="3">
        <v>42</v>
      </c>
      <c r="B43" s="35" t="s">
        <v>38</v>
      </c>
      <c r="C43" s="7" t="s">
        <v>103</v>
      </c>
      <c r="D43" s="11">
        <f>SUM(1214+1381+1209+1331+1260+1475+1467+1004)</f>
        <v>10341</v>
      </c>
      <c r="E43" s="11">
        <f>SUM(116+115+105+126+116+93+129+84)</f>
        <v>884</v>
      </c>
      <c r="F43" s="12">
        <f t="shared" si="1"/>
        <v>11.697963800904978</v>
      </c>
      <c r="G43" s="11">
        <v>8</v>
      </c>
      <c r="H43" s="11"/>
      <c r="I43" s="11"/>
      <c r="J43" s="11"/>
      <c r="K43" s="11"/>
      <c r="L43" s="11">
        <v>11.5</v>
      </c>
      <c r="M43" s="13"/>
    </row>
    <row r="44" spans="1:13" ht="18.5" x14ac:dyDescent="0.45">
      <c r="A44" s="3">
        <v>43</v>
      </c>
      <c r="B44" s="15" t="s">
        <v>42</v>
      </c>
      <c r="C44" s="7" t="s">
        <v>18</v>
      </c>
      <c r="D44" s="11">
        <f>SUM(1503+1503+1497+1499+1503+1419)</f>
        <v>8924</v>
      </c>
      <c r="E44" s="11">
        <f>SUM(133+134+132+103+137+124)</f>
        <v>763</v>
      </c>
      <c r="F44" s="12">
        <f t="shared" si="1"/>
        <v>11.695937090432503</v>
      </c>
      <c r="G44" s="11">
        <v>6</v>
      </c>
      <c r="H44" s="11">
        <v>5</v>
      </c>
      <c r="I44" s="11"/>
      <c r="J44" s="11"/>
      <c r="K44" s="11"/>
      <c r="L44" s="11">
        <v>25.5</v>
      </c>
      <c r="M44" s="13"/>
    </row>
    <row r="45" spans="1:13" ht="18.5" x14ac:dyDescent="0.45">
      <c r="A45" s="3">
        <v>44</v>
      </c>
      <c r="B45" s="15" t="s">
        <v>39</v>
      </c>
      <c r="C45" s="4" t="s">
        <v>32</v>
      </c>
      <c r="D45" s="11">
        <f>SUM(1397+971+1477+1493+1123+1483+1497+1425+1454+1479)</f>
        <v>13799</v>
      </c>
      <c r="E45" s="11">
        <f>SUM(109+84+128+136+89+135+128+120+126+126)</f>
        <v>1181</v>
      </c>
      <c r="F45" s="12">
        <f t="shared" si="1"/>
        <v>11.684165961049958</v>
      </c>
      <c r="G45" s="11">
        <v>10</v>
      </c>
      <c r="H45" s="11"/>
      <c r="I45" s="11"/>
      <c r="J45" s="11"/>
      <c r="K45" s="11"/>
      <c r="L45" s="11">
        <v>17</v>
      </c>
      <c r="M45" s="13"/>
    </row>
    <row r="46" spans="1:13" ht="18.5" x14ac:dyDescent="0.45">
      <c r="A46" s="3">
        <v>45</v>
      </c>
      <c r="B46" s="4" t="s">
        <v>80</v>
      </c>
      <c r="C46" s="4" t="s">
        <v>89</v>
      </c>
      <c r="D46" s="11">
        <f>SUM(1219+1493+1395+1489)</f>
        <v>5596</v>
      </c>
      <c r="E46" s="11">
        <f>SUM(108+144+107+121)</f>
        <v>480</v>
      </c>
      <c r="F46" s="12">
        <f t="shared" si="1"/>
        <v>11.658333333333333</v>
      </c>
      <c r="G46" s="11">
        <v>4</v>
      </c>
      <c r="H46" s="11">
        <v>1</v>
      </c>
      <c r="I46" s="11"/>
      <c r="J46" s="11"/>
      <c r="K46" s="11"/>
      <c r="L46" s="11">
        <v>10</v>
      </c>
      <c r="M46" s="13">
        <v>10</v>
      </c>
    </row>
    <row r="47" spans="1:13" ht="18.5" x14ac:dyDescent="0.45">
      <c r="A47" s="3">
        <v>46</v>
      </c>
      <c r="B47" s="4" t="s">
        <v>105</v>
      </c>
      <c r="C47" s="8" t="s">
        <v>89</v>
      </c>
      <c r="D47" s="11">
        <f>SUM(1344+1443+1351+1475+1447+1496+1499+1324)</f>
        <v>11379</v>
      </c>
      <c r="E47" s="11">
        <f>SUM(108+114+117+134+119+115+166+117)</f>
        <v>990</v>
      </c>
      <c r="F47" s="12">
        <f t="shared" si="1"/>
        <v>11.493939393939394</v>
      </c>
      <c r="G47" s="11">
        <v>8</v>
      </c>
      <c r="H47" s="11">
        <v>3</v>
      </c>
      <c r="I47" s="11"/>
      <c r="J47" s="11"/>
      <c r="K47" s="11"/>
      <c r="L47" s="11">
        <v>21</v>
      </c>
      <c r="M47" s="13"/>
    </row>
    <row r="48" spans="1:13" ht="18.5" x14ac:dyDescent="0.45">
      <c r="A48" s="3">
        <v>47</v>
      </c>
      <c r="B48" s="4" t="s">
        <v>114</v>
      </c>
      <c r="C48" s="4" t="s">
        <v>16</v>
      </c>
      <c r="D48" s="11">
        <f>SUM(1286+1395+1503+1501)</f>
        <v>5685</v>
      </c>
      <c r="E48" s="11">
        <f>SUM(104+105+148+146)</f>
        <v>503</v>
      </c>
      <c r="F48" s="12">
        <f t="shared" si="1"/>
        <v>11.302186878727634</v>
      </c>
      <c r="G48" s="11">
        <v>4</v>
      </c>
      <c r="H48" s="11">
        <v>2</v>
      </c>
      <c r="I48" s="11"/>
      <c r="J48" s="11"/>
      <c r="K48" s="11"/>
      <c r="L48" s="11">
        <v>11.5</v>
      </c>
      <c r="M48" s="13"/>
    </row>
    <row r="49" spans="1:18" ht="18.5" x14ac:dyDescent="0.45">
      <c r="A49" s="3">
        <v>48</v>
      </c>
      <c r="B49" s="4" t="s">
        <v>35</v>
      </c>
      <c r="C49" s="4" t="s">
        <v>32</v>
      </c>
      <c r="D49" s="11">
        <f>SUM(1232+1259+1463)</f>
        <v>3954</v>
      </c>
      <c r="E49" s="11">
        <f>SUM(111+114+139)</f>
        <v>364</v>
      </c>
      <c r="F49" s="12">
        <f t="shared" si="1"/>
        <v>10.862637362637363</v>
      </c>
      <c r="G49" s="11">
        <v>3</v>
      </c>
      <c r="H49" s="11"/>
      <c r="I49" s="11"/>
      <c r="J49" s="11"/>
      <c r="K49" s="11"/>
      <c r="L49" s="11">
        <v>9.5</v>
      </c>
      <c r="M49" s="13"/>
    </row>
    <row r="50" spans="1:18" ht="18.5" x14ac:dyDescent="0.45">
      <c r="A50" s="3">
        <v>49</v>
      </c>
      <c r="B50" s="15" t="s">
        <v>104</v>
      </c>
      <c r="C50" s="4" t="s">
        <v>27</v>
      </c>
      <c r="D50" s="11">
        <f>SUM(1442+1464)</f>
        <v>2906</v>
      </c>
      <c r="E50" s="11">
        <f>SUM(129+141)</f>
        <v>270</v>
      </c>
      <c r="F50" s="12">
        <f t="shared" si="1"/>
        <v>10.762962962962963</v>
      </c>
      <c r="G50" s="11">
        <v>2</v>
      </c>
      <c r="H50" s="11"/>
      <c r="I50" s="11"/>
      <c r="J50" s="11"/>
      <c r="K50" s="11"/>
      <c r="L50" s="11">
        <v>2.5</v>
      </c>
      <c r="M50" s="13"/>
    </row>
    <row r="51" spans="1:18" ht="18.5" x14ac:dyDescent="0.45">
      <c r="A51" s="3">
        <v>50</v>
      </c>
      <c r="B51" s="4" t="s">
        <v>137</v>
      </c>
      <c r="C51" s="7" t="s">
        <v>27</v>
      </c>
      <c r="D51" s="11">
        <f>SUM(1381)</f>
        <v>1381</v>
      </c>
      <c r="E51" s="11">
        <f>SUM(129)</f>
        <v>129</v>
      </c>
      <c r="F51" s="12">
        <f t="shared" si="1"/>
        <v>10.705426356589147</v>
      </c>
      <c r="G51" s="11">
        <v>1</v>
      </c>
      <c r="H51" s="11"/>
      <c r="I51" s="11"/>
      <c r="J51" s="11"/>
      <c r="K51" s="11"/>
      <c r="L51" s="11">
        <v>0.5</v>
      </c>
      <c r="M51" s="13"/>
    </row>
    <row r="52" spans="1:18" ht="18.5" x14ac:dyDescent="0.45">
      <c r="A52" s="3">
        <v>51</v>
      </c>
      <c r="B52" s="4" t="s">
        <v>36</v>
      </c>
      <c r="C52" s="7" t="s">
        <v>66</v>
      </c>
      <c r="D52" s="11">
        <f>SUM(1457+1503+1489+1479+1444+1495+1429+1362+1331)</f>
        <v>12989</v>
      </c>
      <c r="E52" s="11">
        <f>SUM(116+124+152+178+127+147+153+132+105)</f>
        <v>1234</v>
      </c>
      <c r="F52" s="12">
        <f t="shared" si="1"/>
        <v>10.525931928687196</v>
      </c>
      <c r="G52" s="11">
        <v>9</v>
      </c>
      <c r="H52" s="11">
        <v>2</v>
      </c>
      <c r="I52" s="11"/>
      <c r="J52" s="11"/>
      <c r="K52" s="11"/>
      <c r="L52" s="11">
        <v>17.5</v>
      </c>
      <c r="M52" s="13"/>
    </row>
    <row r="53" spans="1:18" ht="18.5" x14ac:dyDescent="0.45">
      <c r="A53" s="3">
        <v>52</v>
      </c>
      <c r="B53" s="15" t="s">
        <v>67</v>
      </c>
      <c r="C53" s="4" t="s">
        <v>32</v>
      </c>
      <c r="D53" s="11">
        <f>SUM(1261+1230+1487+1434+1097+1454+1478)</f>
        <v>9441</v>
      </c>
      <c r="E53" s="11">
        <f>SUM(102+96+177+137+99+162+142)</f>
        <v>915</v>
      </c>
      <c r="F53" s="12">
        <f t="shared" si="1"/>
        <v>10.318032786885245</v>
      </c>
      <c r="G53" s="11">
        <v>6</v>
      </c>
      <c r="H53" s="11">
        <v>2</v>
      </c>
      <c r="I53" s="11"/>
      <c r="J53" s="11"/>
      <c r="K53" s="11"/>
      <c r="L53" s="11">
        <v>7</v>
      </c>
      <c r="M53" s="13"/>
    </row>
    <row r="54" spans="1:18" ht="18.5" x14ac:dyDescent="0.45">
      <c r="A54" s="3">
        <v>53</v>
      </c>
      <c r="B54" s="4" t="s">
        <v>74</v>
      </c>
      <c r="C54" s="4" t="s">
        <v>66</v>
      </c>
      <c r="D54" s="11">
        <f>SUM(1266)</f>
        <v>1266</v>
      </c>
      <c r="E54" s="11">
        <f>SUM(141)</f>
        <v>141</v>
      </c>
      <c r="F54" s="12">
        <f t="shared" si="1"/>
        <v>8.9787234042553195</v>
      </c>
      <c r="G54" s="11">
        <v>1</v>
      </c>
      <c r="H54" s="11"/>
      <c r="I54" s="11"/>
      <c r="J54" s="11"/>
      <c r="K54" s="11"/>
      <c r="L54" s="11">
        <v>5.5</v>
      </c>
      <c r="M54" s="13"/>
    </row>
    <row r="55" spans="1:18" ht="17.25" customHeight="1" thickBot="1" x14ac:dyDescent="0.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8" ht="19.5" customHeight="1" thickBot="1" x14ac:dyDescent="0.5">
      <c r="A56" s="5"/>
      <c r="B56" s="66" t="s">
        <v>142</v>
      </c>
      <c r="C56" s="57" t="s">
        <v>44</v>
      </c>
      <c r="D56" s="28" t="s">
        <v>45</v>
      </c>
      <c r="E56" s="29" t="s">
        <v>46</v>
      </c>
      <c r="F56" s="20" t="s">
        <v>62</v>
      </c>
      <c r="G56" s="30" t="s">
        <v>47</v>
      </c>
      <c r="I56" s="61" t="s">
        <v>48</v>
      </c>
      <c r="J56" s="62"/>
      <c r="K56" s="62"/>
      <c r="L56" s="62"/>
      <c r="M56" s="62"/>
      <c r="N56" s="62"/>
      <c r="O56" s="62"/>
      <c r="P56" s="62"/>
      <c r="Q56" s="62"/>
      <c r="R56" s="63"/>
    </row>
    <row r="57" spans="1:18" ht="18.5" x14ac:dyDescent="0.45">
      <c r="A57" s="5"/>
      <c r="B57" s="67"/>
      <c r="C57" s="17" t="s">
        <v>59</v>
      </c>
      <c r="D57" s="7">
        <v>9</v>
      </c>
      <c r="E57" s="22">
        <v>1</v>
      </c>
      <c r="F57" s="15"/>
      <c r="G57" s="23">
        <v>165</v>
      </c>
      <c r="I57" s="69" t="s">
        <v>49</v>
      </c>
      <c r="J57" s="70"/>
      <c r="K57" s="70"/>
      <c r="L57" s="70"/>
      <c r="M57" s="70"/>
      <c r="N57" s="64" t="s">
        <v>88</v>
      </c>
      <c r="O57" s="64"/>
      <c r="P57" s="64"/>
      <c r="Q57" s="64"/>
      <c r="R57" s="65"/>
    </row>
    <row r="58" spans="1:18" ht="18.5" x14ac:dyDescent="0.45">
      <c r="A58" s="5"/>
      <c r="B58" s="67"/>
      <c r="C58" s="17" t="s">
        <v>55</v>
      </c>
      <c r="D58" s="7">
        <v>8</v>
      </c>
      <c r="E58" s="22">
        <v>2</v>
      </c>
      <c r="F58" s="15"/>
      <c r="G58" s="23">
        <v>139</v>
      </c>
      <c r="I58" s="71" t="s">
        <v>51</v>
      </c>
      <c r="J58" s="72"/>
      <c r="K58" s="72"/>
      <c r="L58" s="72"/>
      <c r="M58" s="72"/>
      <c r="N58" s="59" t="s">
        <v>141</v>
      </c>
      <c r="O58" s="59"/>
      <c r="P58" s="59"/>
      <c r="Q58" s="59"/>
      <c r="R58" s="60"/>
    </row>
    <row r="59" spans="1:18" ht="18.5" x14ac:dyDescent="0.45">
      <c r="A59" s="5"/>
      <c r="B59" s="67"/>
      <c r="C59" s="17" t="s">
        <v>50</v>
      </c>
      <c r="D59" s="7">
        <v>7</v>
      </c>
      <c r="E59" s="16">
        <v>3</v>
      </c>
      <c r="F59" s="15"/>
      <c r="G59" s="17">
        <v>131</v>
      </c>
      <c r="I59" s="71" t="s">
        <v>53</v>
      </c>
      <c r="J59" s="72"/>
      <c r="K59" s="72"/>
      <c r="L59" s="72"/>
      <c r="M59" s="72"/>
      <c r="N59" s="59" t="s">
        <v>140</v>
      </c>
      <c r="O59" s="59"/>
      <c r="P59" s="59"/>
      <c r="Q59" s="59"/>
      <c r="R59" s="60"/>
    </row>
    <row r="60" spans="1:18" ht="18.5" x14ac:dyDescent="0.45">
      <c r="A60" s="6"/>
      <c r="B60" s="67"/>
      <c r="C60" s="17" t="s">
        <v>58</v>
      </c>
      <c r="D60" s="7">
        <v>7</v>
      </c>
      <c r="E60" s="16">
        <v>3</v>
      </c>
      <c r="F60" s="15"/>
      <c r="G60" s="17">
        <v>129</v>
      </c>
      <c r="I60" s="71" t="s">
        <v>54</v>
      </c>
      <c r="J60" s="72"/>
      <c r="K60" s="72"/>
      <c r="L60" s="72"/>
      <c r="M60" s="72"/>
      <c r="N60" s="59" t="s">
        <v>139</v>
      </c>
      <c r="O60" s="59"/>
      <c r="P60" s="59"/>
      <c r="Q60" s="59"/>
      <c r="R60" s="60"/>
    </row>
    <row r="61" spans="1:18" ht="18" customHeight="1" x14ac:dyDescent="0.45">
      <c r="A61" s="6"/>
      <c r="B61" s="67"/>
      <c r="C61" s="17" t="s">
        <v>60</v>
      </c>
      <c r="D61" s="7">
        <v>6</v>
      </c>
      <c r="E61" s="22">
        <v>4</v>
      </c>
      <c r="F61" s="15"/>
      <c r="G61" s="23">
        <v>132</v>
      </c>
      <c r="I61" s="71" t="s">
        <v>56</v>
      </c>
      <c r="J61" s="72"/>
      <c r="K61" s="72"/>
      <c r="L61" s="72"/>
      <c r="M61" s="72"/>
      <c r="N61" s="59" t="s">
        <v>108</v>
      </c>
      <c r="O61" s="59"/>
      <c r="P61" s="59"/>
      <c r="Q61" s="59"/>
      <c r="R61" s="60"/>
    </row>
    <row r="62" spans="1:18" ht="18" customHeight="1" thickBot="1" x14ac:dyDescent="0.5">
      <c r="A62" s="6"/>
      <c r="B62" s="67"/>
      <c r="C62" s="18" t="s">
        <v>61</v>
      </c>
      <c r="D62" s="9">
        <v>4</v>
      </c>
      <c r="E62" s="10">
        <v>6</v>
      </c>
      <c r="F62" s="15"/>
      <c r="G62" s="18">
        <v>115</v>
      </c>
      <c r="I62" s="73" t="s">
        <v>57</v>
      </c>
      <c r="J62" s="74"/>
      <c r="K62" s="74"/>
      <c r="L62" s="74"/>
      <c r="M62" s="74"/>
      <c r="N62" s="59" t="s">
        <v>139</v>
      </c>
      <c r="O62" s="59"/>
      <c r="P62" s="59"/>
      <c r="Q62" s="59"/>
      <c r="R62" s="60"/>
    </row>
    <row r="63" spans="1:18" ht="18.5" x14ac:dyDescent="0.45">
      <c r="A63" s="6"/>
      <c r="B63" s="67"/>
      <c r="C63" s="17" t="s">
        <v>73</v>
      </c>
      <c r="D63" s="7">
        <v>4</v>
      </c>
      <c r="E63" s="22">
        <v>6</v>
      </c>
      <c r="F63" s="15"/>
      <c r="G63" s="23">
        <v>108</v>
      </c>
      <c r="H63" s="6"/>
      <c r="I63" s="6"/>
    </row>
    <row r="64" spans="1:18" ht="18.5" x14ac:dyDescent="0.45">
      <c r="A64" s="6"/>
      <c r="B64" s="67"/>
      <c r="C64" s="18" t="s">
        <v>98</v>
      </c>
      <c r="D64" s="9">
        <v>2</v>
      </c>
      <c r="E64" s="10">
        <v>8</v>
      </c>
      <c r="F64" s="15"/>
      <c r="G64" s="18">
        <v>106</v>
      </c>
      <c r="H64" s="6"/>
    </row>
    <row r="65" spans="2:7" ht="18.5" x14ac:dyDescent="0.45">
      <c r="B65" s="67"/>
      <c r="C65" s="19" t="s">
        <v>68</v>
      </c>
      <c r="D65" s="9">
        <v>2</v>
      </c>
      <c r="E65" s="10">
        <v>8</v>
      </c>
      <c r="F65" s="15"/>
      <c r="G65" s="18">
        <v>85</v>
      </c>
    </row>
    <row r="66" spans="2:7" ht="19" thickBot="1" x14ac:dyDescent="0.5">
      <c r="B66" s="68"/>
      <c r="C66" s="17" t="s">
        <v>52</v>
      </c>
      <c r="D66" s="7">
        <v>1</v>
      </c>
      <c r="E66" s="22">
        <v>9</v>
      </c>
      <c r="F66" s="15"/>
      <c r="G66" s="23">
        <v>88</v>
      </c>
    </row>
    <row r="67" spans="2:7" ht="15" thickBot="1" x14ac:dyDescent="0.4"/>
    <row r="68" spans="2:7" ht="19" thickBot="1" x14ac:dyDescent="0.5">
      <c r="C68" s="27" t="s">
        <v>76</v>
      </c>
      <c r="D68" s="28" t="s">
        <v>45</v>
      </c>
      <c r="E68" s="28" t="s">
        <v>46</v>
      </c>
      <c r="F68" s="20" t="s">
        <v>62</v>
      </c>
      <c r="G68" s="31" t="s">
        <v>47</v>
      </c>
    </row>
    <row r="69" spans="2:7" ht="18.5" x14ac:dyDescent="0.45">
      <c r="C69" s="54" t="s">
        <v>59</v>
      </c>
      <c r="D69" s="14">
        <v>9</v>
      </c>
      <c r="E69" s="24">
        <v>1</v>
      </c>
      <c r="F69" s="15"/>
      <c r="G69" s="53">
        <v>165</v>
      </c>
    </row>
    <row r="70" spans="2:7" ht="18.5" x14ac:dyDescent="0.45">
      <c r="C70" s="56" t="s">
        <v>55</v>
      </c>
      <c r="D70" s="7">
        <v>8</v>
      </c>
      <c r="E70" s="22">
        <v>2</v>
      </c>
      <c r="F70" s="15"/>
      <c r="G70" s="55">
        <v>139</v>
      </c>
    </row>
    <row r="71" spans="2:7" ht="18.5" x14ac:dyDescent="0.45">
      <c r="C71" s="56" t="s">
        <v>60</v>
      </c>
      <c r="D71" s="7">
        <v>6</v>
      </c>
      <c r="E71" s="22">
        <v>4</v>
      </c>
      <c r="F71" s="15"/>
      <c r="G71" s="55">
        <v>132</v>
      </c>
    </row>
    <row r="72" spans="2:7" ht="19" thickBot="1" x14ac:dyDescent="0.5">
      <c r="C72" s="52" t="s">
        <v>50</v>
      </c>
      <c r="D72" s="51">
        <v>7</v>
      </c>
      <c r="E72" s="50">
        <v>3</v>
      </c>
      <c r="F72" s="49"/>
      <c r="G72" s="48">
        <v>131</v>
      </c>
    </row>
    <row r="73" spans="2:7" ht="18.5" x14ac:dyDescent="0.45">
      <c r="C73" s="54" t="s">
        <v>73</v>
      </c>
      <c r="D73" s="14">
        <v>4</v>
      </c>
      <c r="E73" s="24">
        <v>6</v>
      </c>
      <c r="F73" s="26"/>
      <c r="G73" s="53">
        <v>108</v>
      </c>
    </row>
    <row r="74" spans="2:7" ht="15" thickBot="1" x14ac:dyDescent="0.4"/>
    <row r="75" spans="2:7" ht="19" thickBot="1" x14ac:dyDescent="0.5">
      <c r="C75" s="27" t="s">
        <v>77</v>
      </c>
      <c r="D75" s="28" t="s">
        <v>45</v>
      </c>
      <c r="E75" s="28" t="s">
        <v>46</v>
      </c>
      <c r="F75" s="20" t="s">
        <v>62</v>
      </c>
      <c r="G75" s="31" t="s">
        <v>47</v>
      </c>
    </row>
    <row r="76" spans="2:7" ht="18.5" x14ac:dyDescent="0.45">
      <c r="C76" s="47" t="s">
        <v>58</v>
      </c>
      <c r="D76" s="46">
        <v>7</v>
      </c>
      <c r="E76" s="46">
        <v>3</v>
      </c>
      <c r="F76" s="26"/>
      <c r="G76" s="45">
        <v>129</v>
      </c>
    </row>
    <row r="77" spans="2:7" ht="18.5" x14ac:dyDescent="0.45">
      <c r="C77" s="42" t="s">
        <v>61</v>
      </c>
      <c r="D77" s="15">
        <v>4</v>
      </c>
      <c r="E77" s="15">
        <v>6</v>
      </c>
      <c r="F77" s="15"/>
      <c r="G77" s="41">
        <v>115</v>
      </c>
    </row>
    <row r="78" spans="2:7" ht="18.5" x14ac:dyDescent="0.45">
      <c r="C78" s="44" t="s">
        <v>68</v>
      </c>
      <c r="D78" s="4">
        <v>2</v>
      </c>
      <c r="E78" s="4">
        <v>8</v>
      </c>
      <c r="F78" s="15"/>
      <c r="G78" s="43">
        <v>85</v>
      </c>
    </row>
    <row r="79" spans="2:7" ht="18.5" x14ac:dyDescent="0.45">
      <c r="C79" s="42" t="s">
        <v>98</v>
      </c>
      <c r="D79" s="15">
        <v>2</v>
      </c>
      <c r="E79" s="15">
        <v>8</v>
      </c>
      <c r="F79" s="15"/>
      <c r="G79" s="41">
        <v>106</v>
      </c>
    </row>
    <row r="80" spans="2:7" ht="19" thickBot="1" x14ac:dyDescent="0.5">
      <c r="C80" s="40" t="s">
        <v>52</v>
      </c>
      <c r="D80" s="39">
        <v>1</v>
      </c>
      <c r="E80" s="38">
        <v>9</v>
      </c>
      <c r="F80" s="37"/>
      <c r="G80" s="36">
        <v>88</v>
      </c>
    </row>
  </sheetData>
  <mergeCells count="14">
    <mergeCell ref="B56:B66"/>
    <mergeCell ref="I57:M57"/>
    <mergeCell ref="I58:M58"/>
    <mergeCell ref="I59:M59"/>
    <mergeCell ref="I60:M60"/>
    <mergeCell ref="I61:M61"/>
    <mergeCell ref="I62:M62"/>
    <mergeCell ref="N62:R62"/>
    <mergeCell ref="I56:R56"/>
    <mergeCell ref="N57:R57"/>
    <mergeCell ref="N58:R58"/>
    <mergeCell ref="N59:R59"/>
    <mergeCell ref="N60:R60"/>
    <mergeCell ref="N61:R6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9949-A0D5-4A8F-9769-97CDF501D041}">
  <dimension ref="A1:R80"/>
  <sheetViews>
    <sheetView workbookViewId="0">
      <pane ySplit="1" topLeftCell="A56" activePane="bottomLeft" state="frozen"/>
      <selection pane="bottomLeft" activeCell="B56" sqref="B56:B66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8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18.8164062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138</v>
      </c>
      <c r="C2" s="4" t="s">
        <v>22</v>
      </c>
      <c r="D2" s="11">
        <f>SUM(1503)</f>
        <v>1503</v>
      </c>
      <c r="E2" s="11">
        <f>SUM(83)</f>
        <v>83</v>
      </c>
      <c r="F2" s="12">
        <f>SUM(D2/E2)</f>
        <v>18.108433734939759</v>
      </c>
      <c r="G2" s="11">
        <v>1</v>
      </c>
      <c r="H2" s="11">
        <v>1</v>
      </c>
      <c r="I2" s="11"/>
      <c r="J2" s="11"/>
      <c r="K2" s="11"/>
      <c r="L2" s="11">
        <v>6</v>
      </c>
      <c r="M2" s="13"/>
    </row>
    <row r="3" spans="1:13" ht="18.5" x14ac:dyDescent="0.45">
      <c r="A3" s="3">
        <v>2</v>
      </c>
      <c r="B3" s="4" t="s">
        <v>19</v>
      </c>
      <c r="C3" s="4" t="s">
        <v>14</v>
      </c>
      <c r="D3" s="11">
        <f>SUM(1503+1501+1499+1401+1471+1481+1487+1503+1471)</f>
        <v>13317</v>
      </c>
      <c r="E3" s="11">
        <f>SUM(88+78+80+76+97+122+74+97+91)</f>
        <v>803</v>
      </c>
      <c r="F3" s="12">
        <f>SUM(D3/E3)</f>
        <v>16.584059775840597</v>
      </c>
      <c r="G3" s="11">
        <v>9</v>
      </c>
      <c r="H3" s="11">
        <v>8</v>
      </c>
      <c r="I3" s="11"/>
      <c r="J3" s="11"/>
      <c r="K3" s="11"/>
      <c r="L3" s="11">
        <v>41.5</v>
      </c>
      <c r="M3" s="13">
        <v>20</v>
      </c>
    </row>
    <row r="4" spans="1:13" ht="18.5" x14ac:dyDescent="0.45">
      <c r="A4" s="3">
        <v>3</v>
      </c>
      <c r="B4" s="4" t="s">
        <v>23</v>
      </c>
      <c r="C4" s="4" t="s">
        <v>14</v>
      </c>
      <c r="D4" s="11">
        <f>SUM(1503+1503+1503+1479+1498+1336+1503+1501+1479+1495+1503)</f>
        <v>16303</v>
      </c>
      <c r="E4" s="11">
        <f>SUM(93+102+87+75+85+80+94+92+94+98+86)</f>
        <v>986</v>
      </c>
      <c r="F4" s="12">
        <f>SUM(D4/E4)</f>
        <v>16.53448275862069</v>
      </c>
      <c r="G4" s="11">
        <v>11</v>
      </c>
      <c r="H4" s="11">
        <v>8</v>
      </c>
      <c r="I4" s="11">
        <v>1</v>
      </c>
      <c r="J4" s="11"/>
      <c r="K4" s="11">
        <v>1</v>
      </c>
      <c r="L4" s="11">
        <v>47</v>
      </c>
      <c r="M4" s="13">
        <v>5</v>
      </c>
    </row>
    <row r="5" spans="1:13" ht="18.5" x14ac:dyDescent="0.45">
      <c r="A5" s="3">
        <v>4</v>
      </c>
      <c r="B5" s="4" t="s">
        <v>11</v>
      </c>
      <c r="C5" s="4" t="s">
        <v>12</v>
      </c>
      <c r="D5" s="11">
        <f>SUM(1434+1499+1503+1463+1490+1467+1348+1437+1503+1503)</f>
        <v>14647</v>
      </c>
      <c r="E5" s="11">
        <f>SUM(78+102+87+91+93+109+93+93+84+76)</f>
        <v>906</v>
      </c>
      <c r="F5" s="12">
        <f>SUM(D5/E5)</f>
        <v>16.166666666666668</v>
      </c>
      <c r="G5" s="11">
        <v>10</v>
      </c>
      <c r="H5" s="11">
        <v>7</v>
      </c>
      <c r="I5" s="11">
        <v>1</v>
      </c>
      <c r="J5" s="11"/>
      <c r="K5" s="11"/>
      <c r="L5" s="11">
        <v>37.5</v>
      </c>
      <c r="M5" s="13">
        <v>25</v>
      </c>
    </row>
    <row r="6" spans="1:13" ht="18.5" x14ac:dyDescent="0.45">
      <c r="A6" s="3">
        <v>5</v>
      </c>
      <c r="B6" s="4" t="s">
        <v>13</v>
      </c>
      <c r="C6" s="4" t="s">
        <v>14</v>
      </c>
      <c r="D6" s="11">
        <f>SUM(1503+1493+1483+1503+1347+1503+1471+1503+1428+1415+1503)</f>
        <v>16152</v>
      </c>
      <c r="E6" s="11">
        <f>SUM(87+94+89+105+89+91+89+89+89+84+94)</f>
        <v>1000</v>
      </c>
      <c r="F6" s="12">
        <f>SUM(D6/E6)</f>
        <v>16.152000000000001</v>
      </c>
      <c r="G6" s="11">
        <v>11</v>
      </c>
      <c r="H6" s="11">
        <v>9</v>
      </c>
      <c r="I6" s="11"/>
      <c r="J6" s="11"/>
      <c r="K6" s="11"/>
      <c r="L6" s="11">
        <v>47.5</v>
      </c>
      <c r="M6" s="13">
        <v>5</v>
      </c>
    </row>
    <row r="7" spans="1:13" ht="18.5" x14ac:dyDescent="0.45">
      <c r="A7" s="3">
        <v>6</v>
      </c>
      <c r="B7" s="4" t="s">
        <v>41</v>
      </c>
      <c r="C7" s="4" t="s">
        <v>16</v>
      </c>
      <c r="D7" s="11">
        <f>SUM(1305+1155+1497+1433+1488+1439+1495+1503+1503+1473+1462)</f>
        <v>15753</v>
      </c>
      <c r="E7" s="11">
        <f>SUM(82+73+109+98+104+100+102+79+98+85+87)</f>
        <v>1017</v>
      </c>
      <c r="F7" s="12">
        <f>SUM(D7/E7)</f>
        <v>15.489675516224189</v>
      </c>
      <c r="G7" s="11">
        <v>11</v>
      </c>
      <c r="H7" s="11">
        <v>8</v>
      </c>
      <c r="I7" s="11"/>
      <c r="J7" s="11"/>
      <c r="K7" s="11"/>
      <c r="L7" s="11">
        <v>42</v>
      </c>
      <c r="M7" s="13">
        <v>10</v>
      </c>
    </row>
    <row r="8" spans="1:13" ht="18.5" x14ac:dyDescent="0.45">
      <c r="A8" s="3">
        <v>7</v>
      </c>
      <c r="B8" s="4" t="s">
        <v>15</v>
      </c>
      <c r="C8" s="4" t="s">
        <v>16</v>
      </c>
      <c r="D8" s="11">
        <f>SUM(1439+1494+1469+1433+1433+1403+1360+1481+1457+1473+1373)</f>
        <v>15815</v>
      </c>
      <c r="E8" s="11">
        <f>SUM(83+92+88+91+92+75+104+114+90+111+84)</f>
        <v>1024</v>
      </c>
      <c r="F8" s="12">
        <f>SUM(D8/E8)</f>
        <v>15.4443359375</v>
      </c>
      <c r="G8" s="11">
        <v>11</v>
      </c>
      <c r="H8" s="11">
        <v>3</v>
      </c>
      <c r="I8" s="11"/>
      <c r="J8" s="11"/>
      <c r="K8" s="11"/>
      <c r="L8" s="11">
        <v>28.5</v>
      </c>
      <c r="M8" s="13">
        <v>10</v>
      </c>
    </row>
    <row r="9" spans="1:13" ht="18.5" x14ac:dyDescent="0.45">
      <c r="A9" s="3">
        <v>8</v>
      </c>
      <c r="B9" s="4" t="s">
        <v>26</v>
      </c>
      <c r="C9" s="4" t="s">
        <v>18</v>
      </c>
      <c r="D9" s="11">
        <f>SUM(1501+1503+1503+1491+1412+1503+1462+1503+1373+1501)</f>
        <v>14752</v>
      </c>
      <c r="E9" s="11">
        <f>SUM(125+90+100+97+76+91+89+98+102+95)</f>
        <v>963</v>
      </c>
      <c r="F9" s="12">
        <f>SUM(D9/E9)</f>
        <v>15.318795430944963</v>
      </c>
      <c r="G9" s="11">
        <v>10</v>
      </c>
      <c r="H9" s="11">
        <v>7</v>
      </c>
      <c r="I9" s="11"/>
      <c r="J9" s="11"/>
      <c r="K9" s="11">
        <v>1</v>
      </c>
      <c r="L9" s="11">
        <v>38.5</v>
      </c>
      <c r="M9" s="13">
        <v>15</v>
      </c>
    </row>
    <row r="10" spans="1:13" ht="18.5" x14ac:dyDescent="0.45">
      <c r="A10" s="3">
        <v>9</v>
      </c>
      <c r="B10" s="4" t="s">
        <v>115</v>
      </c>
      <c r="C10" s="4" t="s">
        <v>103</v>
      </c>
      <c r="D10" s="11">
        <f>SUM(1503+1473+1444+1426+1498+1392+1474+1503)</f>
        <v>11713</v>
      </c>
      <c r="E10" s="11">
        <f>SUM(115+100+87+93+103+86+98+101)</f>
        <v>783</v>
      </c>
      <c r="F10" s="12">
        <f>SUM(D10/E10)</f>
        <v>14.959131545338442</v>
      </c>
      <c r="G10" s="11">
        <v>8</v>
      </c>
      <c r="H10" s="11">
        <v>6</v>
      </c>
      <c r="I10" s="11"/>
      <c r="J10" s="11"/>
      <c r="K10" s="11"/>
      <c r="L10" s="11">
        <v>27</v>
      </c>
      <c r="M10" s="13"/>
    </row>
    <row r="11" spans="1:13" ht="18.5" x14ac:dyDescent="0.45">
      <c r="A11" s="3">
        <v>10</v>
      </c>
      <c r="B11" s="15" t="s">
        <v>81</v>
      </c>
      <c r="C11" s="4" t="s">
        <v>89</v>
      </c>
      <c r="D11" s="11">
        <f>SUM(1431+1330+1465+1356+1495+1483+1453+1410+1431+1352+1271)</f>
        <v>15477</v>
      </c>
      <c r="E11" s="11">
        <f>SUM(111+103+105+76+116+100+108+82+93+78+87)</f>
        <v>1059</v>
      </c>
      <c r="F11" s="12">
        <f>SUM(D11/E11)</f>
        <v>14.614730878186968</v>
      </c>
      <c r="G11" s="11">
        <v>11</v>
      </c>
      <c r="H11" s="11">
        <v>6</v>
      </c>
      <c r="I11" s="11"/>
      <c r="J11" s="11"/>
      <c r="K11" s="11"/>
      <c r="L11" s="11">
        <v>30</v>
      </c>
      <c r="M11" s="13"/>
    </row>
    <row r="12" spans="1:13" ht="18.5" x14ac:dyDescent="0.45">
      <c r="A12" s="3">
        <v>11</v>
      </c>
      <c r="B12" s="15" t="s">
        <v>64</v>
      </c>
      <c r="C12" s="4" t="s">
        <v>27</v>
      </c>
      <c r="D12" s="11">
        <f>SUM(1501+1463+1503+1285+1296+1461+1463+1403+1462)</f>
        <v>12837</v>
      </c>
      <c r="E12" s="11">
        <f>SUM(113+99+115+86+72+103+96+102+99)</f>
        <v>885</v>
      </c>
      <c r="F12" s="12">
        <f>SUM(D12/E12)</f>
        <v>14.505084745762712</v>
      </c>
      <c r="G12" s="11">
        <v>9</v>
      </c>
      <c r="H12" s="11">
        <v>4</v>
      </c>
      <c r="I12" s="11"/>
      <c r="J12" s="11"/>
      <c r="K12" s="11"/>
      <c r="L12" s="11">
        <v>25.5</v>
      </c>
      <c r="M12" s="13">
        <v>10</v>
      </c>
    </row>
    <row r="13" spans="1:13" ht="18.5" x14ac:dyDescent="0.45">
      <c r="A13" s="3">
        <v>12</v>
      </c>
      <c r="B13" s="15" t="s">
        <v>31</v>
      </c>
      <c r="C13" s="4" t="s">
        <v>32</v>
      </c>
      <c r="D13" s="11">
        <f>SUM(1463+1440+1348+1483+1155+1501+1486+1449+1503+1503+1338)</f>
        <v>15669</v>
      </c>
      <c r="E13" s="11">
        <f>SUM(87+90+90+101+80+109+137+80+104+115+91)</f>
        <v>1084</v>
      </c>
      <c r="F13" s="12">
        <f>SUM(D13/E13)</f>
        <v>14.45479704797048</v>
      </c>
      <c r="G13" s="11">
        <v>11</v>
      </c>
      <c r="H13" s="11">
        <v>6</v>
      </c>
      <c r="I13" s="11"/>
      <c r="J13" s="11"/>
      <c r="K13" s="11">
        <v>1</v>
      </c>
      <c r="L13" s="11">
        <v>31.5</v>
      </c>
      <c r="M13" s="13">
        <v>20</v>
      </c>
    </row>
    <row r="14" spans="1:13" ht="18.5" x14ac:dyDescent="0.45">
      <c r="A14" s="3">
        <v>13</v>
      </c>
      <c r="B14" s="3" t="s">
        <v>17</v>
      </c>
      <c r="C14" s="4" t="s">
        <v>18</v>
      </c>
      <c r="D14" s="11">
        <f>SUM(1503+1238+1475+1503+1447+1455+1297+1438+1503+1503+1363)</f>
        <v>15725</v>
      </c>
      <c r="E14" s="11">
        <f>SUM(101+96+104+93+109+100+96+98+117+101+96)</f>
        <v>1111</v>
      </c>
      <c r="F14" s="12">
        <f>SUM(D14/E14)</f>
        <v>14.153915391539154</v>
      </c>
      <c r="G14" s="11">
        <v>11</v>
      </c>
      <c r="H14" s="11">
        <v>5</v>
      </c>
      <c r="I14" s="11"/>
      <c r="J14" s="11"/>
      <c r="K14" s="11"/>
      <c r="L14" s="11">
        <v>34.5</v>
      </c>
      <c r="M14" s="13"/>
    </row>
    <row r="15" spans="1:13" ht="18.5" x14ac:dyDescent="0.45">
      <c r="A15" s="3">
        <v>14</v>
      </c>
      <c r="B15" s="4" t="s">
        <v>25</v>
      </c>
      <c r="C15" s="7" t="s">
        <v>12</v>
      </c>
      <c r="D15" s="11">
        <f>SUM(1124+1503+1455+1463+1431+1419+1263+1357+1495)</f>
        <v>12510</v>
      </c>
      <c r="E15" s="11">
        <f>SUM(81+82+115+97+102+100+96+80+135)</f>
        <v>888</v>
      </c>
      <c r="F15" s="12">
        <f>SUM(D15/E15)</f>
        <v>14.087837837837839</v>
      </c>
      <c r="G15" s="11">
        <v>9</v>
      </c>
      <c r="H15" s="11">
        <v>3</v>
      </c>
      <c r="I15" s="11"/>
      <c r="J15" s="11">
        <v>1</v>
      </c>
      <c r="K15" s="11"/>
      <c r="L15" s="11">
        <v>27</v>
      </c>
      <c r="M15" s="13">
        <v>5</v>
      </c>
    </row>
    <row r="16" spans="1:13" ht="18.5" x14ac:dyDescent="0.45">
      <c r="A16" s="3">
        <v>15</v>
      </c>
      <c r="B16" s="3" t="s">
        <v>21</v>
      </c>
      <c r="C16" s="4" t="s">
        <v>22</v>
      </c>
      <c r="D16" s="11">
        <f>SUM(1399+1503+1274+1463+1443+1165+1500+1475+1335+1231+1503)</f>
        <v>15291</v>
      </c>
      <c r="E16" s="11">
        <f>SUM(82+109+87+114+103+86+141+97+93+90+91)</f>
        <v>1093</v>
      </c>
      <c r="F16" s="12">
        <f>SUM(D16/E16)</f>
        <v>13.989935956084173</v>
      </c>
      <c r="G16" s="11">
        <v>11</v>
      </c>
      <c r="H16" s="11">
        <v>4</v>
      </c>
      <c r="I16" s="11"/>
      <c r="J16" s="11"/>
      <c r="K16" s="11"/>
      <c r="L16" s="11">
        <v>34.5</v>
      </c>
      <c r="M16" s="13"/>
    </row>
    <row r="17" spans="1:13" ht="18.5" x14ac:dyDescent="0.45">
      <c r="A17" s="3">
        <v>16</v>
      </c>
      <c r="B17" s="3" t="s">
        <v>33</v>
      </c>
      <c r="C17" s="4" t="s">
        <v>22</v>
      </c>
      <c r="D17" s="11">
        <f>SUM(1385+1499+1356+1205+1499+1449+1503+1259+1262+1306+1464)</f>
        <v>15187</v>
      </c>
      <c r="E17" s="11">
        <f>SUM(79+109+82+81+141+120+114+89+93+95+87)</f>
        <v>1090</v>
      </c>
      <c r="F17" s="12">
        <f>SUM(D17/E17)</f>
        <v>13.933027522935779</v>
      </c>
      <c r="G17" s="11">
        <v>11</v>
      </c>
      <c r="H17" s="11">
        <v>7</v>
      </c>
      <c r="I17" s="11"/>
      <c r="J17" s="11"/>
      <c r="K17" s="11">
        <v>1</v>
      </c>
      <c r="L17" s="11">
        <v>38.5</v>
      </c>
      <c r="M17" s="13">
        <v>5</v>
      </c>
    </row>
    <row r="18" spans="1:13" ht="18.5" x14ac:dyDescent="0.45">
      <c r="A18" s="3">
        <v>17</v>
      </c>
      <c r="B18" s="15" t="s">
        <v>85</v>
      </c>
      <c r="C18" s="4" t="s">
        <v>103</v>
      </c>
      <c r="D18" s="11">
        <f>SUM(1503+1503+1471+1501+1469+1503+1499+1503+1453+1503)</f>
        <v>14908</v>
      </c>
      <c r="E18" s="11">
        <f>SUM(97+85+93+158+100+121+119+98+103+99)</f>
        <v>1073</v>
      </c>
      <c r="F18" s="12">
        <f>SUM(D18/E18)</f>
        <v>13.893755824790308</v>
      </c>
      <c r="G18" s="11">
        <v>10</v>
      </c>
      <c r="H18" s="11">
        <v>9</v>
      </c>
      <c r="I18" s="11">
        <v>1</v>
      </c>
      <c r="J18" s="11"/>
      <c r="K18" s="11"/>
      <c r="L18" s="11">
        <v>41</v>
      </c>
      <c r="M18" s="13"/>
    </row>
    <row r="19" spans="1:13" ht="18.5" x14ac:dyDescent="0.45">
      <c r="A19" s="3">
        <v>18</v>
      </c>
      <c r="B19" s="15" t="s">
        <v>30</v>
      </c>
      <c r="C19" s="4" t="s">
        <v>22</v>
      </c>
      <c r="D19" s="11">
        <f>SUM(1503+1285+1503+1425+1495+1503+1494+1331+1503+1503)</f>
        <v>14545</v>
      </c>
      <c r="E19" s="11">
        <f>SUM(109+111+88+114+109+111+122+96+89+106)</f>
        <v>1055</v>
      </c>
      <c r="F19" s="12">
        <f>SUM(D19/E19)</f>
        <v>13.786729857819905</v>
      </c>
      <c r="G19" s="11">
        <v>10</v>
      </c>
      <c r="H19" s="11">
        <v>7</v>
      </c>
      <c r="I19" s="11">
        <v>1</v>
      </c>
      <c r="J19" s="11"/>
      <c r="K19" s="11"/>
      <c r="L19" s="11">
        <v>35.5</v>
      </c>
      <c r="M19" s="13">
        <v>5</v>
      </c>
    </row>
    <row r="20" spans="1:13" ht="18.5" x14ac:dyDescent="0.45">
      <c r="A20" s="3">
        <v>19</v>
      </c>
      <c r="B20" s="4" t="s">
        <v>106</v>
      </c>
      <c r="C20" s="4" t="s">
        <v>12</v>
      </c>
      <c r="D20" s="11">
        <f>SUM(1503+1484+1456+1503+1447+1225+1487+1433+1368+1487)</f>
        <v>14393</v>
      </c>
      <c r="E20" s="11">
        <f>SUM(116+103+94+129+108+88+131+86+86+104)</f>
        <v>1045</v>
      </c>
      <c r="F20" s="12">
        <f>SUM(D20/E20)</f>
        <v>13.773205741626795</v>
      </c>
      <c r="G20" s="11">
        <v>10</v>
      </c>
      <c r="H20" s="11">
        <v>4</v>
      </c>
      <c r="I20" s="11"/>
      <c r="J20" s="11"/>
      <c r="K20" s="11"/>
      <c r="L20" s="11">
        <v>35</v>
      </c>
      <c r="M20" s="13">
        <v>5</v>
      </c>
    </row>
    <row r="21" spans="1:13" ht="18.5" x14ac:dyDescent="0.45">
      <c r="A21" s="3">
        <v>20</v>
      </c>
      <c r="B21" s="4" t="s">
        <v>40</v>
      </c>
      <c r="C21" s="4" t="s">
        <v>32</v>
      </c>
      <c r="D21" s="11">
        <f>SUM(1263+1432+1503+1311+1403+1503+1326+1463+1503+1366+1503)</f>
        <v>15576</v>
      </c>
      <c r="E21" s="11">
        <f>SUM(96+111+111+126+84+109+114+94+101+87+100)</f>
        <v>1133</v>
      </c>
      <c r="F21" s="12">
        <f>SUM(D21/E21)</f>
        <v>13.74757281553398</v>
      </c>
      <c r="G21" s="11">
        <v>11</v>
      </c>
      <c r="H21" s="11">
        <v>6</v>
      </c>
      <c r="I21" s="11"/>
      <c r="J21" s="11"/>
      <c r="K21" s="11"/>
      <c r="L21" s="11">
        <v>29.5</v>
      </c>
      <c r="M21" s="13">
        <v>5</v>
      </c>
    </row>
    <row r="22" spans="1:13" ht="18.5" x14ac:dyDescent="0.45">
      <c r="A22" s="3">
        <v>21</v>
      </c>
      <c r="B22" s="15" t="s">
        <v>71</v>
      </c>
      <c r="C22" s="4" t="s">
        <v>16</v>
      </c>
      <c r="D22" s="11">
        <f>SUM(1373+1159+1501+1471+1503+1503+1258+1503+1292)</f>
        <v>12563</v>
      </c>
      <c r="E22" s="11">
        <f>SUM(111+99+117+102+95+133+96+95+93)</f>
        <v>941</v>
      </c>
      <c r="F22" s="12">
        <f>SUM(D22/E22)</f>
        <v>13.350690754516473</v>
      </c>
      <c r="G22" s="11">
        <v>9</v>
      </c>
      <c r="H22" s="11">
        <v>5</v>
      </c>
      <c r="I22" s="11"/>
      <c r="J22" s="11"/>
      <c r="K22" s="11"/>
      <c r="L22" s="11">
        <v>25.5</v>
      </c>
      <c r="M22" s="13"/>
    </row>
    <row r="23" spans="1:13" ht="18.5" x14ac:dyDescent="0.45">
      <c r="A23" s="3">
        <v>22</v>
      </c>
      <c r="B23" s="15" t="s">
        <v>65</v>
      </c>
      <c r="C23" s="4" t="s">
        <v>27</v>
      </c>
      <c r="D23" s="11">
        <f>SUM(1423+1499+1489+1368+1469+1306+1295+1430+1434+1268)</f>
        <v>13981</v>
      </c>
      <c r="E23" s="11">
        <f>SUM(103+114+104+113+102+86+125+99+102+102)</f>
        <v>1050</v>
      </c>
      <c r="F23" s="12">
        <f>SUM(D23/E23)</f>
        <v>13.315238095238096</v>
      </c>
      <c r="G23" s="11">
        <v>10</v>
      </c>
      <c r="H23" s="11">
        <v>7</v>
      </c>
      <c r="I23" s="11"/>
      <c r="J23" s="11"/>
      <c r="K23" s="11">
        <v>1</v>
      </c>
      <c r="L23" s="11">
        <v>27</v>
      </c>
      <c r="M23" s="13">
        <v>5</v>
      </c>
    </row>
    <row r="24" spans="1:13" ht="18.5" x14ac:dyDescent="0.45">
      <c r="A24" s="3">
        <v>23</v>
      </c>
      <c r="B24" s="4" t="s">
        <v>29</v>
      </c>
      <c r="C24" s="7" t="s">
        <v>66</v>
      </c>
      <c r="D24" s="11">
        <f>SUM(1467+1499+1403+1499+1276+1487+1439+1503+1305+1318+1276)</f>
        <v>15472</v>
      </c>
      <c r="E24" s="11">
        <f>SUM(129+121+106+120+102+101+99+117+93+102+72)</f>
        <v>1162</v>
      </c>
      <c r="F24" s="12">
        <f>SUM(D24/E24)</f>
        <v>13.314974182444063</v>
      </c>
      <c r="G24" s="11">
        <v>11</v>
      </c>
      <c r="H24" s="11">
        <v>5</v>
      </c>
      <c r="I24" s="11"/>
      <c r="J24" s="11"/>
      <c r="K24" s="11"/>
      <c r="L24" s="11">
        <v>25.5</v>
      </c>
      <c r="M24" s="13">
        <v>5</v>
      </c>
    </row>
    <row r="25" spans="1:13" ht="18.5" x14ac:dyDescent="0.45">
      <c r="A25" s="3">
        <v>24</v>
      </c>
      <c r="B25" s="4" t="s">
        <v>24</v>
      </c>
      <c r="C25" s="4" t="s">
        <v>22</v>
      </c>
      <c r="D25" s="11">
        <f>SUM(1465+1469+1456+1497+1481+1470+1495+1478+1463+1483+1493)</f>
        <v>16250</v>
      </c>
      <c r="E25" s="11">
        <f>SUM(109+117+124+101+127+93+115+98+107+115+120)</f>
        <v>1226</v>
      </c>
      <c r="F25" s="12">
        <f>SUM(D25/E25)</f>
        <v>13.254486133768353</v>
      </c>
      <c r="G25" s="11">
        <v>11</v>
      </c>
      <c r="H25" s="11">
        <v>6</v>
      </c>
      <c r="I25" s="11"/>
      <c r="J25" s="11"/>
      <c r="K25" s="11"/>
      <c r="L25" s="11">
        <v>35.5</v>
      </c>
      <c r="M25" s="13"/>
    </row>
    <row r="26" spans="1:13" ht="18.5" x14ac:dyDescent="0.45">
      <c r="A26" s="3">
        <v>25</v>
      </c>
      <c r="B26" s="9" t="s">
        <v>82</v>
      </c>
      <c r="C26" s="4" t="s">
        <v>89</v>
      </c>
      <c r="D26" s="11">
        <f>SUM(1451+1138+1313+1427+1430+1357+1305+1159+1368)</f>
        <v>11948</v>
      </c>
      <c r="E26" s="11">
        <f>SUM(115+81+108+114+112+96+90+90+108)</f>
        <v>914</v>
      </c>
      <c r="F26" s="12">
        <f>SUM(D26/E26)</f>
        <v>13.072210065645514</v>
      </c>
      <c r="G26" s="11">
        <v>9</v>
      </c>
      <c r="H26" s="11">
        <v>3</v>
      </c>
      <c r="I26" s="11"/>
      <c r="J26" s="11"/>
      <c r="K26" s="11"/>
      <c r="L26" s="11">
        <v>21</v>
      </c>
      <c r="M26" s="13"/>
    </row>
    <row r="27" spans="1:13" ht="18.5" x14ac:dyDescent="0.45">
      <c r="A27" s="3">
        <v>26</v>
      </c>
      <c r="B27" s="9" t="s">
        <v>69</v>
      </c>
      <c r="C27" s="4" t="s">
        <v>14</v>
      </c>
      <c r="D27" s="11">
        <f>SUM(1497+1503+1455+1503+1487+1463+1503+1439+1453+1493)</f>
        <v>14796</v>
      </c>
      <c r="E27" s="11">
        <f>SUM(119+89+126+118+133+86+148+105+111+101)</f>
        <v>1136</v>
      </c>
      <c r="F27" s="12">
        <f>SUM(D27/E27)</f>
        <v>13.024647887323944</v>
      </c>
      <c r="G27" s="11">
        <v>10</v>
      </c>
      <c r="H27" s="11">
        <v>7</v>
      </c>
      <c r="I27" s="11"/>
      <c r="J27" s="11"/>
      <c r="K27" s="11"/>
      <c r="L27" s="11">
        <v>40</v>
      </c>
      <c r="M27" s="13"/>
    </row>
    <row r="28" spans="1:13" ht="18.5" x14ac:dyDescent="0.45">
      <c r="A28" s="3">
        <v>27</v>
      </c>
      <c r="B28" s="7" t="s">
        <v>78</v>
      </c>
      <c r="C28" s="4" t="s">
        <v>18</v>
      </c>
      <c r="D28" s="11">
        <f>SUM(1503+1488+1478+1211+1473+1495+1492+1500)</f>
        <v>11640</v>
      </c>
      <c r="E28" s="11">
        <f>SUM(102+160+117+90+93+96+94+146)</f>
        <v>898</v>
      </c>
      <c r="F28" s="12">
        <f>SUM(D28/E28)</f>
        <v>12.962138084632517</v>
      </c>
      <c r="G28" s="11">
        <v>8</v>
      </c>
      <c r="H28" s="11">
        <v>4</v>
      </c>
      <c r="I28" s="11"/>
      <c r="J28" s="11"/>
      <c r="K28" s="11"/>
      <c r="L28" s="11">
        <v>18.5</v>
      </c>
      <c r="M28" s="13"/>
    </row>
    <row r="29" spans="1:13" ht="18.5" x14ac:dyDescent="0.45">
      <c r="A29" s="3">
        <v>28</v>
      </c>
      <c r="B29" s="7" t="s">
        <v>79</v>
      </c>
      <c r="C29" s="4" t="s">
        <v>89</v>
      </c>
      <c r="D29" s="11">
        <f>SUM(1393+1406+1309+1237+1494+1503+1495+1501+1305+1365+1454)</f>
        <v>15462</v>
      </c>
      <c r="E29" s="11">
        <f>SUM(111+98+89+99+156+103+139+117+120+86+84)</f>
        <v>1202</v>
      </c>
      <c r="F29" s="12">
        <f>SUM(D29/E29)</f>
        <v>12.863560732113145</v>
      </c>
      <c r="G29" s="11">
        <v>11</v>
      </c>
      <c r="H29" s="11">
        <v>6</v>
      </c>
      <c r="I29" s="11"/>
      <c r="J29" s="11"/>
      <c r="K29" s="11"/>
      <c r="L29" s="11">
        <v>30</v>
      </c>
      <c r="M29" s="13">
        <v>5</v>
      </c>
    </row>
    <row r="30" spans="1:13" ht="18.5" x14ac:dyDescent="0.45">
      <c r="A30" s="3">
        <v>29</v>
      </c>
      <c r="B30" s="7" t="s">
        <v>84</v>
      </c>
      <c r="C30" s="4" t="s">
        <v>103</v>
      </c>
      <c r="D30" s="11">
        <f>SUM(1385+1489+1228+1410+1447+1440+1360+1503+1467+1421)</f>
        <v>14150</v>
      </c>
      <c r="E30" s="11">
        <f>SUM(107+126+87+126+108+106+96+113+107+128)</f>
        <v>1104</v>
      </c>
      <c r="F30" s="12">
        <f>SUM(D30/E30)</f>
        <v>12.817028985507246</v>
      </c>
      <c r="G30" s="11">
        <v>10</v>
      </c>
      <c r="H30" s="11">
        <v>3</v>
      </c>
      <c r="I30" s="11"/>
      <c r="J30" s="11"/>
      <c r="K30" s="11"/>
      <c r="L30" s="11">
        <v>21</v>
      </c>
      <c r="M30" s="13"/>
    </row>
    <row r="31" spans="1:13" ht="18.5" x14ac:dyDescent="0.45">
      <c r="A31" s="3">
        <v>30</v>
      </c>
      <c r="B31" s="7" t="s">
        <v>20</v>
      </c>
      <c r="C31" s="4" t="s">
        <v>16</v>
      </c>
      <c r="D31" s="11">
        <f>SUM(1316+1259+1404+1356+1498+1491+1503+1483)</f>
        <v>11310</v>
      </c>
      <c r="E31" s="11">
        <f>SUM(107+90+101+97+152+107+134+97)</f>
        <v>885</v>
      </c>
      <c r="F31" s="12">
        <f>SUM(D31/E31)</f>
        <v>12.779661016949152</v>
      </c>
      <c r="G31" s="11">
        <v>8</v>
      </c>
      <c r="H31" s="11">
        <v>3</v>
      </c>
      <c r="I31" s="11"/>
      <c r="J31" s="11"/>
      <c r="K31" s="11"/>
      <c r="L31" s="11">
        <v>27</v>
      </c>
      <c r="M31" s="13"/>
    </row>
    <row r="32" spans="1:13" ht="18.5" x14ac:dyDescent="0.45">
      <c r="A32" s="3">
        <v>31</v>
      </c>
      <c r="B32" s="34" t="s">
        <v>34</v>
      </c>
      <c r="C32" s="8" t="s">
        <v>27</v>
      </c>
      <c r="D32" s="11">
        <f>SUM(1315+1435+1406+1490+1393+1184+1448+1481+1479+1335)</f>
        <v>13966</v>
      </c>
      <c r="E32" s="11">
        <f>SUM(90+109+99+157+128+86+96+146+91+96)</f>
        <v>1098</v>
      </c>
      <c r="F32" s="12">
        <f>SUM(D32/E32)</f>
        <v>12.719489981785063</v>
      </c>
      <c r="G32" s="11">
        <v>10</v>
      </c>
      <c r="H32" s="11">
        <v>7</v>
      </c>
      <c r="I32" s="11"/>
      <c r="J32" s="11"/>
      <c r="K32" s="11"/>
      <c r="L32" s="11">
        <v>29</v>
      </c>
      <c r="M32" s="13"/>
    </row>
    <row r="33" spans="1:13" ht="18.5" x14ac:dyDescent="0.45">
      <c r="A33" s="3">
        <v>32</v>
      </c>
      <c r="B33" s="7" t="s">
        <v>28</v>
      </c>
      <c r="C33" s="7" t="s">
        <v>12</v>
      </c>
      <c r="D33" s="11">
        <f>SUM(1228+1398+1503+1422+1503+1501+1252+1503+1503+1503+1497)</f>
        <v>15813</v>
      </c>
      <c r="E33" s="11">
        <f>SUM(90+96+119+100+121+136+110+130+110+124+117)</f>
        <v>1253</v>
      </c>
      <c r="F33" s="12">
        <f>SUM(D33/E33)</f>
        <v>12.620111731843576</v>
      </c>
      <c r="G33" s="11">
        <v>11</v>
      </c>
      <c r="H33" s="11">
        <v>7</v>
      </c>
      <c r="I33" s="11"/>
      <c r="J33" s="11"/>
      <c r="K33" s="11"/>
      <c r="L33" s="11">
        <v>33.5</v>
      </c>
      <c r="M33" s="13"/>
    </row>
    <row r="34" spans="1:13" ht="18.5" x14ac:dyDescent="0.45">
      <c r="A34" s="3">
        <v>33</v>
      </c>
      <c r="B34" s="10" t="s">
        <v>72</v>
      </c>
      <c r="C34" s="7" t="s">
        <v>12</v>
      </c>
      <c r="D34" s="11">
        <f>SUM(1409+1503+1471+1479)</f>
        <v>5862</v>
      </c>
      <c r="E34" s="11">
        <f>SUM(119+107+121+122)</f>
        <v>469</v>
      </c>
      <c r="F34" s="12">
        <f>SUM(D34/E34)</f>
        <v>12.498933901918976</v>
      </c>
      <c r="G34" s="11">
        <v>4</v>
      </c>
      <c r="H34" s="11">
        <v>2</v>
      </c>
      <c r="I34" s="11"/>
      <c r="J34" s="11"/>
      <c r="K34" s="11"/>
      <c r="L34" s="11">
        <v>13</v>
      </c>
      <c r="M34" s="13"/>
    </row>
    <row r="35" spans="1:13" ht="18.5" x14ac:dyDescent="0.45">
      <c r="A35" s="3">
        <v>34</v>
      </c>
      <c r="B35" s="4" t="s">
        <v>37</v>
      </c>
      <c r="C35" s="4" t="s">
        <v>66</v>
      </c>
      <c r="D35" s="11">
        <f>SUM(1218+1106+1372+1315+1297+1210+1169+832+1252+1471+1501)</f>
        <v>13743</v>
      </c>
      <c r="E35" s="11">
        <f>SUM(96+84+120+102+141+96+93+72+96+108+103)</f>
        <v>1111</v>
      </c>
      <c r="F35" s="12">
        <f>SUM(D35/E35)</f>
        <v>12.369936993699369</v>
      </c>
      <c r="G35" s="11">
        <v>11</v>
      </c>
      <c r="H35" s="11">
        <v>1</v>
      </c>
      <c r="I35" s="11"/>
      <c r="J35" s="11"/>
      <c r="K35" s="11"/>
      <c r="L35" s="11">
        <v>16</v>
      </c>
      <c r="M35" s="13"/>
    </row>
    <row r="36" spans="1:13" ht="18.5" x14ac:dyDescent="0.45">
      <c r="A36" s="3">
        <v>35</v>
      </c>
      <c r="B36" s="10" t="s">
        <v>43</v>
      </c>
      <c r="C36" s="4" t="s">
        <v>66</v>
      </c>
      <c r="D36" s="11">
        <f>SUM(1252+1503+1201+1498+1182+1482+1183+1503+1393+1484+1489)</f>
        <v>15170</v>
      </c>
      <c r="E36" s="11">
        <f>SUM(120+142+91+137+104+119+89+94+117+102+129)</f>
        <v>1244</v>
      </c>
      <c r="F36" s="12">
        <f>SUM(D36/E36)</f>
        <v>12.194533762057878</v>
      </c>
      <c r="G36" s="11">
        <v>11</v>
      </c>
      <c r="H36" s="11">
        <v>4</v>
      </c>
      <c r="I36" s="11"/>
      <c r="J36" s="11"/>
      <c r="K36" s="11"/>
      <c r="L36" s="11">
        <v>26.5</v>
      </c>
      <c r="M36" s="13">
        <v>10</v>
      </c>
    </row>
    <row r="37" spans="1:13" ht="18.5" x14ac:dyDescent="0.45">
      <c r="A37" s="3">
        <v>36</v>
      </c>
      <c r="B37" s="10" t="s">
        <v>63</v>
      </c>
      <c r="C37" s="7" t="s">
        <v>27</v>
      </c>
      <c r="D37" s="11">
        <f>SUM(1424+1501+1501+1473+1429+1406+1479+1503+1503+1401)</f>
        <v>14620</v>
      </c>
      <c r="E37" s="11">
        <f>SUM(90+147+123+91+148+90+118+133+130+130)</f>
        <v>1200</v>
      </c>
      <c r="F37" s="12">
        <f>SUM(D37/E37)</f>
        <v>12.183333333333334</v>
      </c>
      <c r="G37" s="11">
        <v>10</v>
      </c>
      <c r="H37" s="11">
        <v>7</v>
      </c>
      <c r="I37" s="11"/>
      <c r="J37" s="11"/>
      <c r="K37" s="11"/>
      <c r="L37" s="11">
        <v>31.5</v>
      </c>
      <c r="M37" s="13"/>
    </row>
    <row r="38" spans="1:13" ht="18.5" x14ac:dyDescent="0.45">
      <c r="A38" s="3">
        <v>37</v>
      </c>
      <c r="B38" s="16" t="s">
        <v>83</v>
      </c>
      <c r="C38" s="7" t="s">
        <v>103</v>
      </c>
      <c r="D38" s="11">
        <f>SUM(1448+1487+1481+1487+1483+1498+1497+1499)</f>
        <v>11880</v>
      </c>
      <c r="E38" s="11">
        <f>SUM(144+138+128+104+138+107+104+126)</f>
        <v>989</v>
      </c>
      <c r="F38" s="12">
        <f>SUM(D38/E38)</f>
        <v>12.012133468149646</v>
      </c>
      <c r="G38" s="11">
        <v>8</v>
      </c>
      <c r="H38" s="11">
        <v>6</v>
      </c>
      <c r="I38" s="11"/>
      <c r="J38" s="11"/>
      <c r="K38" s="11"/>
      <c r="L38" s="11">
        <v>23</v>
      </c>
      <c r="M38" s="13"/>
    </row>
    <row r="39" spans="1:13" ht="18.5" x14ac:dyDescent="0.45">
      <c r="A39" s="3">
        <v>38</v>
      </c>
      <c r="B39" s="10" t="s">
        <v>42</v>
      </c>
      <c r="C39" s="7" t="s">
        <v>18</v>
      </c>
      <c r="D39" s="11">
        <f>SUM(1503+1503+1497+1499+1503+1419+1503)</f>
        <v>10427</v>
      </c>
      <c r="E39" s="11">
        <f>SUM(133+134+132+103+137+124+111)</f>
        <v>874</v>
      </c>
      <c r="F39" s="12">
        <f>SUM(D39/E39)</f>
        <v>11.930205949656751</v>
      </c>
      <c r="G39" s="11">
        <v>7</v>
      </c>
      <c r="H39" s="11">
        <v>6</v>
      </c>
      <c r="I39" s="11"/>
      <c r="J39" s="11"/>
      <c r="K39" s="11"/>
      <c r="L39" s="11">
        <v>30</v>
      </c>
      <c r="M39" s="13"/>
    </row>
    <row r="40" spans="1:13" ht="18.5" x14ac:dyDescent="0.45">
      <c r="A40" s="3">
        <v>39</v>
      </c>
      <c r="B40" s="16" t="s">
        <v>107</v>
      </c>
      <c r="C40" s="7" t="s">
        <v>14</v>
      </c>
      <c r="D40" s="11">
        <f>SUM(1081+1364+1494)</f>
        <v>3939</v>
      </c>
      <c r="E40" s="11">
        <f>SUM(81+113+137)</f>
        <v>331</v>
      </c>
      <c r="F40" s="12">
        <f>SUM(D40/E40)</f>
        <v>11.900302114803626</v>
      </c>
      <c r="G40" s="11">
        <v>3</v>
      </c>
      <c r="H40" s="11"/>
      <c r="I40" s="11"/>
      <c r="J40" s="11"/>
      <c r="K40" s="11"/>
      <c r="L40" s="11">
        <v>5</v>
      </c>
      <c r="M40" s="13"/>
    </row>
    <row r="41" spans="1:13" ht="18.5" x14ac:dyDescent="0.45">
      <c r="A41" s="3">
        <v>40</v>
      </c>
      <c r="B41" s="16" t="s">
        <v>132</v>
      </c>
      <c r="C41" s="7" t="s">
        <v>27</v>
      </c>
      <c r="D41" s="11">
        <f>SUM(1343+1405)</f>
        <v>2748</v>
      </c>
      <c r="E41" s="11">
        <f>SUM(110+122)</f>
        <v>232</v>
      </c>
      <c r="F41" s="12">
        <f>SUM(D41/E41)</f>
        <v>11.844827586206897</v>
      </c>
      <c r="G41" s="11">
        <v>2</v>
      </c>
      <c r="H41" s="11"/>
      <c r="I41" s="11"/>
      <c r="J41" s="11"/>
      <c r="K41" s="11"/>
      <c r="L41" s="11">
        <v>3</v>
      </c>
      <c r="M41" s="13"/>
    </row>
    <row r="42" spans="1:13" ht="18.5" x14ac:dyDescent="0.45">
      <c r="A42" s="3">
        <v>41</v>
      </c>
      <c r="B42" s="10" t="s">
        <v>70</v>
      </c>
      <c r="C42" s="7" t="s">
        <v>18</v>
      </c>
      <c r="D42" s="11">
        <f>SUM(1487+1277+1280+1499+1476+1485+1074+1373)</f>
        <v>10951</v>
      </c>
      <c r="E42" s="11">
        <f>SUM(122+115+117+128+151+113+84+99)</f>
        <v>929</v>
      </c>
      <c r="F42" s="12">
        <f>SUM(D42/E42)</f>
        <v>11.78794402583423</v>
      </c>
      <c r="G42" s="11">
        <v>8</v>
      </c>
      <c r="H42" s="11">
        <v>3</v>
      </c>
      <c r="I42" s="11"/>
      <c r="J42" s="11"/>
      <c r="K42" s="11"/>
      <c r="L42" s="11">
        <v>23.5</v>
      </c>
      <c r="M42" s="13"/>
    </row>
    <row r="43" spans="1:13" ht="18.5" x14ac:dyDescent="0.45">
      <c r="A43" s="3">
        <v>42</v>
      </c>
      <c r="B43" s="35" t="s">
        <v>113</v>
      </c>
      <c r="C43" s="7" t="s">
        <v>16</v>
      </c>
      <c r="D43" s="11">
        <f>SUM(1499)</f>
        <v>1499</v>
      </c>
      <c r="E43" s="11">
        <f>SUM(128)</f>
        <v>128</v>
      </c>
      <c r="F43" s="12">
        <f>SUM(D43/E43)</f>
        <v>11.7109375</v>
      </c>
      <c r="G43" s="11">
        <v>1</v>
      </c>
      <c r="H43" s="11"/>
      <c r="I43" s="11"/>
      <c r="J43" s="11"/>
      <c r="K43" s="11"/>
      <c r="L43" s="11">
        <v>3.5</v>
      </c>
      <c r="M43" s="13"/>
    </row>
    <row r="44" spans="1:13" ht="18.5" x14ac:dyDescent="0.45">
      <c r="A44" s="3">
        <v>43</v>
      </c>
      <c r="B44" s="15" t="s">
        <v>38</v>
      </c>
      <c r="C44" s="7" t="s">
        <v>103</v>
      </c>
      <c r="D44" s="11">
        <f>SUM(1214+1381+1209+1331+1260+1475+1467+1004)</f>
        <v>10341</v>
      </c>
      <c r="E44" s="11">
        <f>SUM(116+115+105+126+116+93+129+84)</f>
        <v>884</v>
      </c>
      <c r="F44" s="12">
        <f>SUM(D44/E44)</f>
        <v>11.697963800904978</v>
      </c>
      <c r="G44" s="11">
        <v>8</v>
      </c>
      <c r="H44" s="11"/>
      <c r="I44" s="11"/>
      <c r="J44" s="11"/>
      <c r="K44" s="11"/>
      <c r="L44" s="11">
        <v>14</v>
      </c>
      <c r="M44" s="13"/>
    </row>
    <row r="45" spans="1:13" ht="18.5" x14ac:dyDescent="0.45">
      <c r="A45" s="3">
        <v>44</v>
      </c>
      <c r="B45" s="4" t="s">
        <v>80</v>
      </c>
      <c r="C45" s="4" t="s">
        <v>89</v>
      </c>
      <c r="D45" s="11">
        <f>SUM(1219+1493+1395+1489)</f>
        <v>5596</v>
      </c>
      <c r="E45" s="11">
        <f>SUM(108+144+107+121)</f>
        <v>480</v>
      </c>
      <c r="F45" s="12">
        <f>SUM(D45/E45)</f>
        <v>11.658333333333333</v>
      </c>
      <c r="G45" s="11">
        <v>4</v>
      </c>
      <c r="H45" s="11">
        <v>1</v>
      </c>
      <c r="I45" s="11"/>
      <c r="J45" s="11"/>
      <c r="K45" s="11"/>
      <c r="L45" s="11">
        <v>10</v>
      </c>
      <c r="M45" s="13">
        <v>10</v>
      </c>
    </row>
    <row r="46" spans="1:13" ht="18.5" x14ac:dyDescent="0.45">
      <c r="A46" s="3">
        <v>45</v>
      </c>
      <c r="B46" s="4" t="s">
        <v>105</v>
      </c>
      <c r="C46" s="4" t="s">
        <v>89</v>
      </c>
      <c r="D46" s="11">
        <f>SUM(1344+1443+1351+1475+1447+1496+1499+1324+1473)</f>
        <v>12852</v>
      </c>
      <c r="E46" s="11">
        <f>SUM(108+114+117+134+119+115+166+117+122)</f>
        <v>1112</v>
      </c>
      <c r="F46" s="12">
        <f>SUM(D46/E46)</f>
        <v>11.557553956834532</v>
      </c>
      <c r="G46" s="11">
        <v>9</v>
      </c>
      <c r="H46" s="11">
        <v>3</v>
      </c>
      <c r="I46" s="11"/>
      <c r="J46" s="11"/>
      <c r="K46" s="11"/>
      <c r="L46" s="11">
        <v>23</v>
      </c>
      <c r="M46" s="13"/>
    </row>
    <row r="47" spans="1:13" ht="18.5" x14ac:dyDescent="0.45">
      <c r="A47" s="3">
        <v>46</v>
      </c>
      <c r="B47" s="15" t="s">
        <v>39</v>
      </c>
      <c r="C47" s="8" t="s">
        <v>32</v>
      </c>
      <c r="D47" s="11">
        <f>SUM(1397+971+1477+1493+1123+1483+1497+1425+1454+1479+1497)</f>
        <v>15296</v>
      </c>
      <c r="E47" s="11">
        <f>SUM(109+84+128+136+89+135+128+120+126+126+145)</f>
        <v>1326</v>
      </c>
      <c r="F47" s="12">
        <f>SUM(D47/E47)</f>
        <v>11.535444947209653</v>
      </c>
      <c r="G47" s="11">
        <v>11</v>
      </c>
      <c r="H47" s="11"/>
      <c r="I47" s="11"/>
      <c r="J47" s="11"/>
      <c r="K47" s="11"/>
      <c r="L47" s="11">
        <v>19.5</v>
      </c>
      <c r="M47" s="13"/>
    </row>
    <row r="48" spans="1:13" ht="18.5" x14ac:dyDescent="0.45">
      <c r="A48" s="3">
        <v>47</v>
      </c>
      <c r="B48" s="4" t="s">
        <v>114</v>
      </c>
      <c r="C48" s="4" t="s">
        <v>16</v>
      </c>
      <c r="D48" s="11">
        <f>SUM(1286+1395+1503+1501)</f>
        <v>5685</v>
      </c>
      <c r="E48" s="11">
        <f>SUM(104+105+148+146)</f>
        <v>503</v>
      </c>
      <c r="F48" s="12">
        <f>SUM(D48/E48)</f>
        <v>11.302186878727634</v>
      </c>
      <c r="G48" s="11">
        <v>4</v>
      </c>
      <c r="H48" s="11">
        <v>2</v>
      </c>
      <c r="I48" s="11"/>
      <c r="J48" s="11"/>
      <c r="K48" s="11"/>
      <c r="L48" s="11">
        <v>12.5</v>
      </c>
      <c r="M48" s="13"/>
    </row>
    <row r="49" spans="1:18" ht="18.5" x14ac:dyDescent="0.45">
      <c r="A49" s="3">
        <v>48</v>
      </c>
      <c r="B49" s="4" t="s">
        <v>35</v>
      </c>
      <c r="C49" s="4" t="s">
        <v>32</v>
      </c>
      <c r="D49" s="11">
        <f>SUM(1232+1259+1463)</f>
        <v>3954</v>
      </c>
      <c r="E49" s="11">
        <f>SUM(111+114+139)</f>
        <v>364</v>
      </c>
      <c r="F49" s="12">
        <f>SUM(D49/E49)</f>
        <v>10.862637362637363</v>
      </c>
      <c r="G49" s="11">
        <v>3</v>
      </c>
      <c r="H49" s="11"/>
      <c r="I49" s="11"/>
      <c r="J49" s="11"/>
      <c r="K49" s="11"/>
      <c r="L49" s="11">
        <v>10.5</v>
      </c>
      <c r="M49" s="13"/>
    </row>
    <row r="50" spans="1:18" ht="18.5" x14ac:dyDescent="0.45">
      <c r="A50" s="3">
        <v>49</v>
      </c>
      <c r="B50" s="15" t="s">
        <v>104</v>
      </c>
      <c r="C50" s="4" t="s">
        <v>27</v>
      </c>
      <c r="D50" s="11">
        <f>SUM(1442+1464)</f>
        <v>2906</v>
      </c>
      <c r="E50" s="11">
        <f>SUM(129+141)</f>
        <v>270</v>
      </c>
      <c r="F50" s="12">
        <f>SUM(D50/E50)</f>
        <v>10.762962962962963</v>
      </c>
      <c r="G50" s="11">
        <v>2</v>
      </c>
      <c r="H50" s="11"/>
      <c r="I50" s="11"/>
      <c r="J50" s="11"/>
      <c r="K50" s="11"/>
      <c r="L50" s="11">
        <v>2.5</v>
      </c>
      <c r="M50" s="13"/>
    </row>
    <row r="51" spans="1:18" ht="18.5" x14ac:dyDescent="0.45">
      <c r="A51" s="3">
        <v>50</v>
      </c>
      <c r="B51" s="4" t="s">
        <v>137</v>
      </c>
      <c r="C51" s="7" t="s">
        <v>27</v>
      </c>
      <c r="D51" s="11">
        <f>SUM(1381)</f>
        <v>1381</v>
      </c>
      <c r="E51" s="11">
        <f>SUM(129)</f>
        <v>129</v>
      </c>
      <c r="F51" s="12">
        <f>SUM(D51/E51)</f>
        <v>10.705426356589147</v>
      </c>
      <c r="G51" s="11">
        <v>1</v>
      </c>
      <c r="H51" s="11"/>
      <c r="I51" s="11"/>
      <c r="J51" s="11"/>
      <c r="K51" s="11"/>
      <c r="L51" s="11">
        <v>0.5</v>
      </c>
      <c r="M51" s="13"/>
    </row>
    <row r="52" spans="1:18" ht="18.5" x14ac:dyDescent="0.45">
      <c r="A52" s="3">
        <v>51</v>
      </c>
      <c r="B52" s="4" t="s">
        <v>36</v>
      </c>
      <c r="C52" s="7" t="s">
        <v>66</v>
      </c>
      <c r="D52" s="11">
        <f>SUM(1457+1503+1489+1479+1444+1495+1429+1362+1331)</f>
        <v>12989</v>
      </c>
      <c r="E52" s="11">
        <f>SUM(116+124+152+178+127+147+153+132+105)</f>
        <v>1234</v>
      </c>
      <c r="F52" s="12">
        <f>SUM(D52/E52)</f>
        <v>10.525931928687196</v>
      </c>
      <c r="G52" s="11">
        <v>9</v>
      </c>
      <c r="H52" s="11">
        <v>2</v>
      </c>
      <c r="I52" s="11"/>
      <c r="J52" s="11"/>
      <c r="K52" s="11"/>
      <c r="L52" s="11">
        <v>17.5</v>
      </c>
      <c r="M52" s="13"/>
    </row>
    <row r="53" spans="1:18" ht="18.5" x14ac:dyDescent="0.45">
      <c r="A53" s="3">
        <v>52</v>
      </c>
      <c r="B53" s="15" t="s">
        <v>67</v>
      </c>
      <c r="C53" s="4" t="s">
        <v>32</v>
      </c>
      <c r="D53" s="11">
        <f>SUM(1261+1230+1487+1434+1097+1454+1478+1232)</f>
        <v>10673</v>
      </c>
      <c r="E53" s="11">
        <f>SUM(102+96+177+137+99+162+142+105)</f>
        <v>1020</v>
      </c>
      <c r="F53" s="12">
        <f>SUM(D53/E53)</f>
        <v>10.463725490196078</v>
      </c>
      <c r="G53" s="11">
        <v>7</v>
      </c>
      <c r="H53" s="11">
        <v>2</v>
      </c>
      <c r="I53" s="11"/>
      <c r="J53" s="11"/>
      <c r="K53" s="11"/>
      <c r="L53" s="11">
        <v>7</v>
      </c>
      <c r="M53" s="13"/>
    </row>
    <row r="54" spans="1:18" ht="18.5" x14ac:dyDescent="0.45">
      <c r="A54" s="3">
        <v>53</v>
      </c>
      <c r="B54" s="4" t="s">
        <v>74</v>
      </c>
      <c r="C54" s="4" t="s">
        <v>66</v>
      </c>
      <c r="D54" s="11">
        <f>SUM(1266+1399)</f>
        <v>2665</v>
      </c>
      <c r="E54" s="11">
        <f>SUM(141+119)</f>
        <v>260</v>
      </c>
      <c r="F54" s="12">
        <f>SUM(D54/E54)</f>
        <v>10.25</v>
      </c>
      <c r="G54" s="11">
        <v>2</v>
      </c>
      <c r="H54" s="11"/>
      <c r="I54" s="11"/>
      <c r="J54" s="11"/>
      <c r="K54" s="11"/>
      <c r="L54" s="11">
        <v>6.5</v>
      </c>
      <c r="M54" s="13"/>
    </row>
    <row r="55" spans="1:18" ht="17.25" customHeight="1" thickBot="1" x14ac:dyDescent="0.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8" ht="19.5" customHeight="1" thickBot="1" x14ac:dyDescent="0.5">
      <c r="A56" s="5"/>
      <c r="B56" s="66" t="s">
        <v>162</v>
      </c>
      <c r="C56" s="57" t="s">
        <v>44</v>
      </c>
      <c r="D56" s="28" t="s">
        <v>45</v>
      </c>
      <c r="E56" s="29" t="s">
        <v>46</v>
      </c>
      <c r="F56" s="20" t="s">
        <v>62</v>
      </c>
      <c r="G56" s="30" t="s">
        <v>47</v>
      </c>
      <c r="I56" s="61" t="s">
        <v>48</v>
      </c>
      <c r="J56" s="62"/>
      <c r="K56" s="62"/>
      <c r="L56" s="62"/>
      <c r="M56" s="62"/>
      <c r="N56" s="62"/>
      <c r="O56" s="62"/>
      <c r="P56" s="62"/>
      <c r="Q56" s="62"/>
      <c r="R56" s="63"/>
    </row>
    <row r="57" spans="1:18" ht="18.5" x14ac:dyDescent="0.45">
      <c r="A57" s="5"/>
      <c r="B57" s="67"/>
      <c r="C57" s="17" t="s">
        <v>59</v>
      </c>
      <c r="D57" s="7">
        <v>10</v>
      </c>
      <c r="E57" s="22">
        <v>1</v>
      </c>
      <c r="F57" s="15"/>
      <c r="G57" s="23">
        <v>181</v>
      </c>
      <c r="I57" s="69" t="s">
        <v>49</v>
      </c>
      <c r="J57" s="70"/>
      <c r="K57" s="70"/>
      <c r="L57" s="70"/>
      <c r="M57" s="70"/>
      <c r="N57" s="64" t="s">
        <v>88</v>
      </c>
      <c r="O57" s="64"/>
      <c r="P57" s="64"/>
      <c r="Q57" s="64"/>
      <c r="R57" s="65"/>
    </row>
    <row r="58" spans="1:18" ht="18.5" x14ac:dyDescent="0.45">
      <c r="A58" s="5"/>
      <c r="B58" s="67"/>
      <c r="C58" s="17" t="s">
        <v>55</v>
      </c>
      <c r="D58" s="7">
        <v>9</v>
      </c>
      <c r="E58" s="22">
        <v>2</v>
      </c>
      <c r="F58" s="15"/>
      <c r="G58" s="23">
        <v>156</v>
      </c>
      <c r="I58" s="71" t="s">
        <v>51</v>
      </c>
      <c r="J58" s="72"/>
      <c r="K58" s="72"/>
      <c r="L58" s="72"/>
      <c r="M58" s="72"/>
      <c r="N58" s="59" t="s">
        <v>161</v>
      </c>
      <c r="O58" s="59"/>
      <c r="P58" s="59"/>
      <c r="Q58" s="59"/>
      <c r="R58" s="60"/>
    </row>
    <row r="59" spans="1:18" ht="18.5" x14ac:dyDescent="0.45">
      <c r="A59" s="5"/>
      <c r="B59" s="67"/>
      <c r="C59" s="17" t="s">
        <v>58</v>
      </c>
      <c r="D59" s="7">
        <v>8</v>
      </c>
      <c r="E59" s="16">
        <v>3</v>
      </c>
      <c r="F59" s="15"/>
      <c r="G59" s="17">
        <v>143</v>
      </c>
      <c r="I59" s="71" t="s">
        <v>53</v>
      </c>
      <c r="J59" s="72"/>
      <c r="K59" s="72"/>
      <c r="L59" s="72"/>
      <c r="M59" s="72"/>
      <c r="N59" s="59" t="s">
        <v>160</v>
      </c>
      <c r="O59" s="59"/>
      <c r="P59" s="59"/>
      <c r="Q59" s="59"/>
      <c r="R59" s="60"/>
    </row>
    <row r="60" spans="1:18" ht="18.5" x14ac:dyDescent="0.45">
      <c r="A60" s="6"/>
      <c r="B60" s="67"/>
      <c r="C60" s="17" t="s">
        <v>60</v>
      </c>
      <c r="D60" s="7">
        <v>7</v>
      </c>
      <c r="E60" s="22">
        <v>4</v>
      </c>
      <c r="F60" s="15"/>
      <c r="G60" s="23">
        <v>150</v>
      </c>
      <c r="I60" s="71" t="s">
        <v>54</v>
      </c>
      <c r="J60" s="72"/>
      <c r="K60" s="72"/>
      <c r="L60" s="72"/>
      <c r="M60" s="72"/>
      <c r="N60" s="59" t="s">
        <v>159</v>
      </c>
      <c r="O60" s="59"/>
      <c r="P60" s="59"/>
      <c r="Q60" s="59"/>
      <c r="R60" s="60"/>
    </row>
    <row r="61" spans="1:18" ht="18" customHeight="1" x14ac:dyDescent="0.45">
      <c r="A61" s="6"/>
      <c r="B61" s="67"/>
      <c r="C61" s="17" t="s">
        <v>50</v>
      </c>
      <c r="D61" s="7">
        <v>7</v>
      </c>
      <c r="E61" s="16">
        <v>4</v>
      </c>
      <c r="F61" s="15"/>
      <c r="G61" s="17">
        <v>139</v>
      </c>
      <c r="I61" s="71" t="s">
        <v>56</v>
      </c>
      <c r="J61" s="72"/>
      <c r="K61" s="72"/>
      <c r="L61" s="72"/>
      <c r="M61" s="72"/>
      <c r="N61" s="59" t="s">
        <v>108</v>
      </c>
      <c r="O61" s="59"/>
      <c r="P61" s="59"/>
      <c r="Q61" s="59"/>
      <c r="R61" s="60"/>
    </row>
    <row r="62" spans="1:18" ht="18" customHeight="1" thickBot="1" x14ac:dyDescent="0.5">
      <c r="A62" s="6"/>
      <c r="B62" s="67"/>
      <c r="C62" s="18" t="s">
        <v>61</v>
      </c>
      <c r="D62" s="9">
        <v>4</v>
      </c>
      <c r="E62" s="10">
        <v>7</v>
      </c>
      <c r="F62" s="15"/>
      <c r="G62" s="18">
        <v>119</v>
      </c>
      <c r="I62" s="73" t="s">
        <v>57</v>
      </c>
      <c r="J62" s="74"/>
      <c r="K62" s="74"/>
      <c r="L62" s="74"/>
      <c r="M62" s="74"/>
      <c r="N62" s="59" t="s">
        <v>139</v>
      </c>
      <c r="O62" s="59"/>
      <c r="P62" s="59"/>
      <c r="Q62" s="59"/>
      <c r="R62" s="60"/>
    </row>
    <row r="63" spans="1:18" ht="18.5" x14ac:dyDescent="0.45">
      <c r="A63" s="6"/>
      <c r="B63" s="67"/>
      <c r="C63" s="17" t="s">
        <v>73</v>
      </c>
      <c r="D63" s="7">
        <v>4</v>
      </c>
      <c r="E63" s="22">
        <v>7</v>
      </c>
      <c r="F63" s="15"/>
      <c r="G63" s="23">
        <v>114</v>
      </c>
      <c r="H63" s="6"/>
      <c r="I63" s="6"/>
    </row>
    <row r="64" spans="1:18" ht="18.5" x14ac:dyDescent="0.45">
      <c r="A64" s="6"/>
      <c r="B64" s="67"/>
      <c r="C64" s="18" t="s">
        <v>98</v>
      </c>
      <c r="D64" s="9">
        <v>3</v>
      </c>
      <c r="E64" s="10">
        <v>8</v>
      </c>
      <c r="F64" s="15"/>
      <c r="G64" s="18">
        <v>126</v>
      </c>
      <c r="H64" s="6"/>
    </row>
    <row r="65" spans="2:7" ht="18.5" x14ac:dyDescent="0.45">
      <c r="B65" s="67"/>
      <c r="C65" s="19" t="s">
        <v>68</v>
      </c>
      <c r="D65" s="9">
        <v>2</v>
      </c>
      <c r="E65" s="10">
        <v>9</v>
      </c>
      <c r="F65" s="15"/>
      <c r="G65" s="18">
        <v>92</v>
      </c>
    </row>
    <row r="66" spans="2:7" ht="19" thickBot="1" x14ac:dyDescent="0.5">
      <c r="B66" s="68"/>
      <c r="C66" s="17" t="s">
        <v>52</v>
      </c>
      <c r="D66" s="7">
        <v>1</v>
      </c>
      <c r="E66" s="22">
        <v>10</v>
      </c>
      <c r="F66" s="15"/>
      <c r="G66" s="23">
        <v>98</v>
      </c>
    </row>
    <row r="67" spans="2:7" ht="15" thickBot="1" x14ac:dyDescent="0.4"/>
    <row r="68" spans="2:7" ht="19" thickBot="1" x14ac:dyDescent="0.5">
      <c r="C68" s="27" t="s">
        <v>76</v>
      </c>
      <c r="D68" s="28" t="s">
        <v>45</v>
      </c>
      <c r="E68" s="28" t="s">
        <v>46</v>
      </c>
      <c r="F68" s="20" t="s">
        <v>62</v>
      </c>
      <c r="G68" s="31" t="s">
        <v>47</v>
      </c>
    </row>
    <row r="69" spans="2:7" ht="18.5" x14ac:dyDescent="0.45">
      <c r="C69" s="54" t="s">
        <v>59</v>
      </c>
      <c r="D69" s="14">
        <v>10</v>
      </c>
      <c r="E69" s="24">
        <v>1</v>
      </c>
      <c r="F69" s="15"/>
      <c r="G69" s="53">
        <v>181</v>
      </c>
    </row>
    <row r="70" spans="2:7" ht="18.5" x14ac:dyDescent="0.45">
      <c r="C70" s="56" t="s">
        <v>55</v>
      </c>
      <c r="D70" s="7">
        <v>9</v>
      </c>
      <c r="E70" s="22">
        <v>2</v>
      </c>
      <c r="F70" s="15"/>
      <c r="G70" s="55">
        <v>156</v>
      </c>
    </row>
    <row r="71" spans="2:7" ht="18.5" x14ac:dyDescent="0.45">
      <c r="C71" s="56" t="s">
        <v>60</v>
      </c>
      <c r="D71" s="7">
        <v>7</v>
      </c>
      <c r="E71" s="22">
        <v>4</v>
      </c>
      <c r="F71" s="15"/>
      <c r="G71" s="55">
        <v>150</v>
      </c>
    </row>
    <row r="72" spans="2:7" ht="19" thickBot="1" x14ac:dyDescent="0.5">
      <c r="C72" s="52" t="s">
        <v>50</v>
      </c>
      <c r="D72" s="51">
        <v>7</v>
      </c>
      <c r="E72" s="50">
        <v>4</v>
      </c>
      <c r="F72" s="49"/>
      <c r="G72" s="48">
        <v>139</v>
      </c>
    </row>
    <row r="73" spans="2:7" ht="18.5" x14ac:dyDescent="0.45">
      <c r="C73" s="54" t="s">
        <v>73</v>
      </c>
      <c r="D73" s="14">
        <v>4</v>
      </c>
      <c r="E73" s="24">
        <v>7</v>
      </c>
      <c r="F73" s="26"/>
      <c r="G73" s="53">
        <v>114</v>
      </c>
    </row>
    <row r="74" spans="2:7" ht="15" thickBot="1" x14ac:dyDescent="0.4"/>
    <row r="75" spans="2:7" ht="19" thickBot="1" x14ac:dyDescent="0.5">
      <c r="C75" s="27" t="s">
        <v>77</v>
      </c>
      <c r="D75" s="28" t="s">
        <v>45</v>
      </c>
      <c r="E75" s="28" t="s">
        <v>46</v>
      </c>
      <c r="F75" s="20" t="s">
        <v>62</v>
      </c>
      <c r="G75" s="31" t="s">
        <v>47</v>
      </c>
    </row>
    <row r="76" spans="2:7" ht="18.5" x14ac:dyDescent="0.45">
      <c r="C76" s="47" t="s">
        <v>58</v>
      </c>
      <c r="D76" s="46">
        <v>8</v>
      </c>
      <c r="E76" s="46">
        <v>3</v>
      </c>
      <c r="F76" s="26"/>
      <c r="G76" s="45">
        <v>143</v>
      </c>
    </row>
    <row r="77" spans="2:7" ht="18.5" x14ac:dyDescent="0.45">
      <c r="C77" s="42" t="s">
        <v>61</v>
      </c>
      <c r="D77" s="15">
        <v>4</v>
      </c>
      <c r="E77" s="15">
        <v>7</v>
      </c>
      <c r="F77" s="15"/>
      <c r="G77" s="41">
        <v>119</v>
      </c>
    </row>
    <row r="78" spans="2:7" ht="18.5" x14ac:dyDescent="0.45">
      <c r="C78" s="42" t="s">
        <v>98</v>
      </c>
      <c r="D78" s="15">
        <v>3</v>
      </c>
      <c r="E78" s="15">
        <v>8</v>
      </c>
      <c r="F78" s="15"/>
      <c r="G78" s="41">
        <v>126</v>
      </c>
    </row>
    <row r="79" spans="2:7" ht="18.5" x14ac:dyDescent="0.45">
      <c r="C79" s="44" t="s">
        <v>68</v>
      </c>
      <c r="D79" s="4">
        <v>2</v>
      </c>
      <c r="E79" s="4">
        <v>9</v>
      </c>
      <c r="F79" s="15"/>
      <c r="G79" s="43">
        <v>92</v>
      </c>
    </row>
    <row r="80" spans="2:7" ht="19" thickBot="1" x14ac:dyDescent="0.5">
      <c r="C80" s="40" t="s">
        <v>52</v>
      </c>
      <c r="D80" s="39">
        <v>1</v>
      </c>
      <c r="E80" s="38">
        <v>10</v>
      </c>
      <c r="F80" s="37"/>
      <c r="G80" s="36">
        <v>98</v>
      </c>
    </row>
  </sheetData>
  <mergeCells count="14">
    <mergeCell ref="B56:B66"/>
    <mergeCell ref="I57:M57"/>
    <mergeCell ref="I58:M58"/>
    <mergeCell ref="I59:M59"/>
    <mergeCell ref="I60:M60"/>
    <mergeCell ref="I61:M61"/>
    <mergeCell ref="I62:M62"/>
    <mergeCell ref="N62:R62"/>
    <mergeCell ref="I56:R56"/>
    <mergeCell ref="N57:R57"/>
    <mergeCell ref="N58:R58"/>
    <mergeCell ref="N59:R59"/>
    <mergeCell ref="N60:R60"/>
    <mergeCell ref="N61:R6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AD786-66AA-40EA-87FA-C962B43CB172}">
  <sheetPr codeName="Sheet1"/>
  <dimension ref="A1:R82"/>
  <sheetViews>
    <sheetView workbookViewId="0">
      <pane ySplit="1" topLeftCell="A2" activePane="bottomLeft" state="frozen"/>
      <selection pane="bottomLeft" activeCell="B12" sqref="B12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8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18.8164062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138</v>
      </c>
      <c r="C2" s="4" t="s">
        <v>22</v>
      </c>
      <c r="D2" s="11">
        <f>SUM(1503)</f>
        <v>1503</v>
      </c>
      <c r="E2" s="11">
        <f>SUM(83)</f>
        <v>83</v>
      </c>
      <c r="F2" s="12">
        <f>SUM(D2/E2)</f>
        <v>18.108433734939759</v>
      </c>
      <c r="G2" s="11">
        <v>1</v>
      </c>
      <c r="H2" s="11">
        <v>1</v>
      </c>
      <c r="I2" s="11"/>
      <c r="J2" s="11"/>
      <c r="K2" s="11"/>
      <c r="L2" s="11">
        <v>6</v>
      </c>
      <c r="M2" s="13"/>
    </row>
    <row r="3" spans="1:13" ht="18.5" x14ac:dyDescent="0.45">
      <c r="A3" s="3">
        <v>2</v>
      </c>
      <c r="B3" s="4" t="s">
        <v>19</v>
      </c>
      <c r="C3" s="4" t="s">
        <v>14</v>
      </c>
      <c r="D3" s="11">
        <f>SUM(1503+1501+1499+1401+1471+1481+1487+1503+1471+1467)</f>
        <v>14784</v>
      </c>
      <c r="E3" s="11">
        <f>SUM(88+78+80+76+97+122+74+97+91+81)</f>
        <v>884</v>
      </c>
      <c r="F3" s="12">
        <f>SUM(D3/E3)</f>
        <v>16.72398190045249</v>
      </c>
      <c r="G3" s="11">
        <v>10</v>
      </c>
      <c r="H3" s="11">
        <v>8</v>
      </c>
      <c r="I3" s="11"/>
      <c r="J3" s="11"/>
      <c r="K3" s="11"/>
      <c r="L3" s="11">
        <v>45.5</v>
      </c>
      <c r="M3" s="13">
        <v>20</v>
      </c>
    </row>
    <row r="4" spans="1:13" ht="18.5" x14ac:dyDescent="0.45">
      <c r="A4" s="3">
        <v>3</v>
      </c>
      <c r="B4" s="4" t="s">
        <v>23</v>
      </c>
      <c r="C4" s="4" t="s">
        <v>14</v>
      </c>
      <c r="D4" s="11">
        <f>SUM(1503+1503+1503+1479+1498+1336+1503+1501+1479+1495+1503+1431)</f>
        <v>17734</v>
      </c>
      <c r="E4" s="11">
        <f>SUM(93+102+87+75+85+80+94+92+94+98+86+91)</f>
        <v>1077</v>
      </c>
      <c r="F4" s="12">
        <f>SUM(D4/E4)</f>
        <v>16.4661095636026</v>
      </c>
      <c r="G4" s="11">
        <v>12</v>
      </c>
      <c r="H4" s="11">
        <v>8</v>
      </c>
      <c r="I4" s="11">
        <v>1</v>
      </c>
      <c r="J4" s="11"/>
      <c r="K4" s="11">
        <v>1</v>
      </c>
      <c r="L4" s="11">
        <v>51</v>
      </c>
      <c r="M4" s="13">
        <v>5</v>
      </c>
    </row>
    <row r="5" spans="1:13" ht="18.5" x14ac:dyDescent="0.45">
      <c r="A5" s="3">
        <v>4</v>
      </c>
      <c r="B5" s="4" t="s">
        <v>13</v>
      </c>
      <c r="C5" s="4" t="s">
        <v>14</v>
      </c>
      <c r="D5" s="11">
        <f>SUM(1503+1493+1483+1503+1347+1503+1471+1503+1428+1415+1503)</f>
        <v>16152</v>
      </c>
      <c r="E5" s="11">
        <f>SUM(87+94+89+105+89+91+89+89+89+84+94)</f>
        <v>1000</v>
      </c>
      <c r="F5" s="12">
        <f>SUM(D5/E5)</f>
        <v>16.152000000000001</v>
      </c>
      <c r="G5" s="11">
        <v>11</v>
      </c>
      <c r="H5" s="11">
        <v>9</v>
      </c>
      <c r="I5" s="11"/>
      <c r="J5" s="11"/>
      <c r="K5" s="11"/>
      <c r="L5" s="11">
        <v>47.5</v>
      </c>
      <c r="M5" s="13">
        <v>5</v>
      </c>
    </row>
    <row r="6" spans="1:13" ht="18.5" x14ac:dyDescent="0.45">
      <c r="A6" s="3">
        <v>5</v>
      </c>
      <c r="B6" s="4" t="s">
        <v>11</v>
      </c>
      <c r="C6" s="4" t="s">
        <v>12</v>
      </c>
      <c r="D6" s="11">
        <f>SUM(1434+1499+1503+1463+1490+1467+1348+1437+1503+1503+1483)</f>
        <v>16130</v>
      </c>
      <c r="E6" s="11">
        <f>SUM(78+102+87+91+93+109+93+93+84+76+100)</f>
        <v>1006</v>
      </c>
      <c r="F6" s="12">
        <f>SUM(D6/E6)</f>
        <v>16.033797216699803</v>
      </c>
      <c r="G6" s="11">
        <v>11</v>
      </c>
      <c r="H6" s="11">
        <v>7</v>
      </c>
      <c r="I6" s="11">
        <v>1</v>
      </c>
      <c r="J6" s="11"/>
      <c r="K6" s="11"/>
      <c r="L6" s="11">
        <v>40.5</v>
      </c>
      <c r="M6" s="13">
        <v>25</v>
      </c>
    </row>
    <row r="7" spans="1:13" ht="18.5" x14ac:dyDescent="0.45">
      <c r="A7" s="3">
        <v>6</v>
      </c>
      <c r="B7" s="4" t="s">
        <v>15</v>
      </c>
      <c r="C7" s="4" t="s">
        <v>16</v>
      </c>
      <c r="D7" s="11">
        <f>SUM(1439+1494+1469+1433+1433+1403+1360+1481+1457+1473+1373+1503)</f>
        <v>17318</v>
      </c>
      <c r="E7" s="11">
        <f>SUM(83+92+88+91+92+75+104+114+90+111+84+87)</f>
        <v>1111</v>
      </c>
      <c r="F7" s="12">
        <f>SUM(D7/E7)</f>
        <v>15.587758775877587</v>
      </c>
      <c r="G7" s="11">
        <v>12</v>
      </c>
      <c r="H7" s="11">
        <v>4</v>
      </c>
      <c r="I7" s="11"/>
      <c r="J7" s="11"/>
      <c r="K7" s="11"/>
      <c r="L7" s="11">
        <v>34</v>
      </c>
      <c r="M7" s="13">
        <v>10</v>
      </c>
    </row>
    <row r="8" spans="1:13" ht="18.5" x14ac:dyDescent="0.45">
      <c r="A8" s="3">
        <v>7</v>
      </c>
      <c r="B8" s="4" t="s">
        <v>26</v>
      </c>
      <c r="C8" s="4" t="s">
        <v>18</v>
      </c>
      <c r="D8" s="11">
        <f>SUM(1501+1503+1503+1491+1412+1503+1462+1503+1373+1501+1463)</f>
        <v>16215</v>
      </c>
      <c r="E8" s="11">
        <f>SUM(125+90+100+97+76+91+89+98+102+95+79)</f>
        <v>1042</v>
      </c>
      <c r="F8" s="12">
        <f>SUM(D8/E8)</f>
        <v>15.561420345489443</v>
      </c>
      <c r="G8" s="11">
        <v>11</v>
      </c>
      <c r="H8" s="11">
        <v>8</v>
      </c>
      <c r="I8" s="11"/>
      <c r="J8" s="11"/>
      <c r="K8" s="11">
        <v>1</v>
      </c>
      <c r="L8" s="11">
        <v>41</v>
      </c>
      <c r="M8" s="13">
        <v>20</v>
      </c>
    </row>
    <row r="9" spans="1:13" ht="18.5" x14ac:dyDescent="0.45">
      <c r="A9" s="3">
        <v>8</v>
      </c>
      <c r="B9" s="4" t="s">
        <v>41</v>
      </c>
      <c r="C9" s="4" t="s">
        <v>16</v>
      </c>
      <c r="D9" s="11">
        <f>SUM(1305+1155+1497+1433+1488+1439+1495+1503+1503+1473+1462+1412)</f>
        <v>17165</v>
      </c>
      <c r="E9" s="11">
        <f>SUM(82+73+109+98+104+100+102+79+98+85+87+106)</f>
        <v>1123</v>
      </c>
      <c r="F9" s="12">
        <f>SUM(D9/E9)</f>
        <v>15.284951024042742</v>
      </c>
      <c r="G9" s="11">
        <v>12</v>
      </c>
      <c r="H9" s="11">
        <v>9</v>
      </c>
      <c r="I9" s="11"/>
      <c r="J9" s="11"/>
      <c r="K9" s="11"/>
      <c r="L9" s="11">
        <v>46.5</v>
      </c>
      <c r="M9" s="13">
        <v>10</v>
      </c>
    </row>
    <row r="10" spans="1:13" ht="18.5" x14ac:dyDescent="0.45">
      <c r="A10" s="3">
        <v>9</v>
      </c>
      <c r="B10" s="4" t="s">
        <v>115</v>
      </c>
      <c r="C10" s="4" t="s">
        <v>103</v>
      </c>
      <c r="D10" s="11">
        <f>SUM(1503+1473+1444+1426+1498+1392+1474+1503+1471)</f>
        <v>13184</v>
      </c>
      <c r="E10" s="11">
        <f>SUM(115+100+87+93+103+86+98+101+107)</f>
        <v>890</v>
      </c>
      <c r="F10" s="12">
        <f>SUM(D10/E10)</f>
        <v>14.813483146067416</v>
      </c>
      <c r="G10" s="11">
        <v>9</v>
      </c>
      <c r="H10" s="11">
        <v>7</v>
      </c>
      <c r="I10" s="11"/>
      <c r="J10" s="11"/>
      <c r="K10" s="11"/>
      <c r="L10" s="11">
        <v>29.5</v>
      </c>
      <c r="M10" s="13"/>
    </row>
    <row r="11" spans="1:13" ht="18.5" x14ac:dyDescent="0.45">
      <c r="A11" s="3">
        <v>10</v>
      </c>
      <c r="B11" s="15" t="s">
        <v>81</v>
      </c>
      <c r="C11" s="4" t="s">
        <v>89</v>
      </c>
      <c r="D11" s="11">
        <f>SUM(1431+1330+1465+1356+1495+1483+1453+1410+1431+1352+1271)</f>
        <v>15477</v>
      </c>
      <c r="E11" s="11">
        <f>SUM(111+103+105+76+116+100+108+82+93+78+87)</f>
        <v>1059</v>
      </c>
      <c r="F11" s="12">
        <f>SUM(D11/E11)</f>
        <v>14.614730878186968</v>
      </c>
      <c r="G11" s="11">
        <v>11</v>
      </c>
      <c r="H11" s="11">
        <v>6</v>
      </c>
      <c r="I11" s="11"/>
      <c r="J11" s="11"/>
      <c r="K11" s="11"/>
      <c r="L11" s="11">
        <v>30</v>
      </c>
      <c r="M11" s="13"/>
    </row>
    <row r="12" spans="1:13" ht="18.5" x14ac:dyDescent="0.45">
      <c r="A12" s="3">
        <v>11</v>
      </c>
      <c r="B12" s="15" t="s">
        <v>31</v>
      </c>
      <c r="C12" s="4" t="s">
        <v>32</v>
      </c>
      <c r="D12" s="11">
        <f>SUM(1463+1440+1348+1483+1155+1501+1486+1449+1503+1503+1338+1447)</f>
        <v>17116</v>
      </c>
      <c r="E12" s="11">
        <f>SUM(87+90+90+101+80+109+137+80+104+115+91+107)</f>
        <v>1191</v>
      </c>
      <c r="F12" s="12">
        <f>SUM(D12/E12)</f>
        <v>14.371116708648195</v>
      </c>
      <c r="G12" s="11">
        <v>12</v>
      </c>
      <c r="H12" s="11">
        <v>6</v>
      </c>
      <c r="I12" s="11"/>
      <c r="J12" s="11"/>
      <c r="K12" s="11">
        <v>1</v>
      </c>
      <c r="L12" s="11">
        <v>34.5</v>
      </c>
      <c r="M12" s="13">
        <v>20</v>
      </c>
    </row>
    <row r="13" spans="1:13" ht="18.5" x14ac:dyDescent="0.45">
      <c r="A13" s="3">
        <v>12</v>
      </c>
      <c r="B13" s="3" t="s">
        <v>17</v>
      </c>
      <c r="C13" s="4" t="s">
        <v>18</v>
      </c>
      <c r="D13" s="11">
        <f>SUM(1503+1238+1475+1503+1447+1455+1297+1438+1503+1503+1363+1495)</f>
        <v>17220</v>
      </c>
      <c r="E13" s="11">
        <f>SUM(101+96+104+93+109+100+96+98+117+101+96+93)</f>
        <v>1204</v>
      </c>
      <c r="F13" s="12">
        <f>SUM(D13/E13)</f>
        <v>14.302325581395349</v>
      </c>
      <c r="G13" s="11">
        <v>12</v>
      </c>
      <c r="H13" s="11">
        <v>6</v>
      </c>
      <c r="I13" s="11"/>
      <c r="J13" s="11"/>
      <c r="K13" s="11"/>
      <c r="L13" s="11">
        <v>36.5</v>
      </c>
      <c r="M13" s="13"/>
    </row>
    <row r="14" spans="1:13" ht="18.5" x14ac:dyDescent="0.45">
      <c r="A14" s="3">
        <v>13</v>
      </c>
      <c r="B14" s="15" t="s">
        <v>85</v>
      </c>
      <c r="C14" s="4" t="s">
        <v>103</v>
      </c>
      <c r="D14" s="11">
        <f>SUM(1503+1503+1471+1501+1469+1503+1499+1503+1453+1503+1334)</f>
        <v>16242</v>
      </c>
      <c r="E14" s="11">
        <f>SUM(97+85+93+158+100+121+119+98+103+99+81)</f>
        <v>1154</v>
      </c>
      <c r="F14" s="12">
        <f>SUM(D14/E14)</f>
        <v>14.074523396880416</v>
      </c>
      <c r="G14" s="11">
        <v>11</v>
      </c>
      <c r="H14" s="11">
        <v>9</v>
      </c>
      <c r="I14" s="11">
        <v>1</v>
      </c>
      <c r="J14" s="11"/>
      <c r="K14" s="11"/>
      <c r="L14" s="11">
        <v>44</v>
      </c>
      <c r="M14" s="13"/>
    </row>
    <row r="15" spans="1:13" ht="18.5" x14ac:dyDescent="0.45">
      <c r="A15" s="3">
        <v>14</v>
      </c>
      <c r="B15" s="15" t="s">
        <v>64</v>
      </c>
      <c r="C15" s="7" t="s">
        <v>27</v>
      </c>
      <c r="D15" s="11">
        <f>SUM(1501+1463+1503+1285+1296+1461+1463+1403+1462+1503)</f>
        <v>14340</v>
      </c>
      <c r="E15" s="11">
        <f>SUM(113+99+115+86+72+103+96+102+99+135)</f>
        <v>1020</v>
      </c>
      <c r="F15" s="12">
        <f>SUM(D15/E15)</f>
        <v>14.058823529411764</v>
      </c>
      <c r="G15" s="11">
        <v>10</v>
      </c>
      <c r="H15" s="11">
        <v>5</v>
      </c>
      <c r="I15" s="11"/>
      <c r="J15" s="11"/>
      <c r="K15" s="11"/>
      <c r="L15" s="11">
        <v>30</v>
      </c>
      <c r="M15" s="13">
        <v>10</v>
      </c>
    </row>
    <row r="16" spans="1:13" ht="18.5" x14ac:dyDescent="0.45">
      <c r="A16" s="3">
        <v>15</v>
      </c>
      <c r="B16" s="4" t="s">
        <v>25</v>
      </c>
      <c r="C16" s="4" t="s">
        <v>12</v>
      </c>
      <c r="D16" s="11">
        <f>SUM(1124+1503+1455+1463+1431+1419+1263+1357+1495+1381)</f>
        <v>13891</v>
      </c>
      <c r="E16" s="11">
        <f>SUM(81+82+115+97+102+100+96+80+135+101)</f>
        <v>989</v>
      </c>
      <c r="F16" s="12">
        <f>SUM(D16/E16)</f>
        <v>14.045500505561172</v>
      </c>
      <c r="G16" s="11">
        <v>10</v>
      </c>
      <c r="H16" s="11">
        <v>4</v>
      </c>
      <c r="I16" s="11"/>
      <c r="J16" s="11">
        <v>1</v>
      </c>
      <c r="K16" s="11"/>
      <c r="L16" s="11">
        <v>30.5</v>
      </c>
      <c r="M16" s="13">
        <v>5</v>
      </c>
    </row>
    <row r="17" spans="1:13" ht="18.5" x14ac:dyDescent="0.45">
      <c r="A17" s="3">
        <v>16</v>
      </c>
      <c r="B17" s="4" t="s">
        <v>40</v>
      </c>
      <c r="C17" s="4" t="s">
        <v>32</v>
      </c>
      <c r="D17" s="11">
        <f>SUM(1263+1432+1503+1311+1403+1503+1326+1463+1503+1366+1503+1497)</f>
        <v>17073</v>
      </c>
      <c r="E17" s="11">
        <f>SUM(96+111+111+126+84+109+114+94+101+87+100+85)</f>
        <v>1218</v>
      </c>
      <c r="F17" s="12">
        <f>SUM(D17/E17)</f>
        <v>14.017241379310345</v>
      </c>
      <c r="G17" s="11">
        <v>12</v>
      </c>
      <c r="H17" s="11">
        <v>7</v>
      </c>
      <c r="I17" s="11"/>
      <c r="J17" s="11"/>
      <c r="K17" s="11"/>
      <c r="L17" s="11">
        <v>32.5</v>
      </c>
      <c r="M17" s="13">
        <v>5</v>
      </c>
    </row>
    <row r="18" spans="1:13" ht="18.5" x14ac:dyDescent="0.45">
      <c r="A18" s="3">
        <v>17</v>
      </c>
      <c r="B18" s="3" t="s">
        <v>21</v>
      </c>
      <c r="C18" s="4" t="s">
        <v>22</v>
      </c>
      <c r="D18" s="11">
        <f>SUM(1399+1503+1274+1463+1443+1165+1500+1475+1335+1231+1503)</f>
        <v>15291</v>
      </c>
      <c r="E18" s="11">
        <f>SUM(82+109+87+114+103+86+141+97+93+90+91)</f>
        <v>1093</v>
      </c>
      <c r="F18" s="12">
        <f>SUM(D18/E18)</f>
        <v>13.989935956084173</v>
      </c>
      <c r="G18" s="11">
        <v>11</v>
      </c>
      <c r="H18" s="11">
        <v>4</v>
      </c>
      <c r="I18" s="11"/>
      <c r="J18" s="11"/>
      <c r="K18" s="11"/>
      <c r="L18" s="11">
        <v>34.5</v>
      </c>
      <c r="M18" s="13"/>
    </row>
    <row r="19" spans="1:13" ht="18.5" x14ac:dyDescent="0.45">
      <c r="A19" s="3">
        <v>18</v>
      </c>
      <c r="B19" s="3" t="s">
        <v>33</v>
      </c>
      <c r="C19" s="4" t="s">
        <v>22</v>
      </c>
      <c r="D19" s="11">
        <f>SUM(1385+1499+1356+1205+1499+1449+1503+1259+1262+1306+1464+1471)</f>
        <v>16658</v>
      </c>
      <c r="E19" s="11">
        <f>SUM(79+109+82+81+141+120+114+89+93+95+87+103)</f>
        <v>1193</v>
      </c>
      <c r="F19" s="12">
        <f>SUM(D19/E19)</f>
        <v>13.96311818943839</v>
      </c>
      <c r="G19" s="11">
        <v>12</v>
      </c>
      <c r="H19" s="11">
        <v>8</v>
      </c>
      <c r="I19" s="11"/>
      <c r="J19" s="11"/>
      <c r="K19" s="11">
        <v>1</v>
      </c>
      <c r="L19" s="11">
        <v>41.5</v>
      </c>
      <c r="M19" s="13">
        <v>5</v>
      </c>
    </row>
    <row r="20" spans="1:13" ht="18.5" x14ac:dyDescent="0.45">
      <c r="A20" s="3">
        <v>19</v>
      </c>
      <c r="B20" s="15" t="s">
        <v>148</v>
      </c>
      <c r="C20" s="4" t="s">
        <v>22</v>
      </c>
      <c r="D20" s="11">
        <f>SUM(1455)</f>
        <v>1455</v>
      </c>
      <c r="E20" s="11">
        <f>SUM(105)</f>
        <v>105</v>
      </c>
      <c r="F20" s="12">
        <f>SUM(D20/E20)</f>
        <v>13.857142857142858</v>
      </c>
      <c r="G20" s="11">
        <v>1</v>
      </c>
      <c r="H20" s="11"/>
      <c r="I20" s="11"/>
      <c r="J20" s="11"/>
      <c r="K20" s="11"/>
      <c r="L20" s="11">
        <v>2.5</v>
      </c>
      <c r="M20" s="13"/>
    </row>
    <row r="21" spans="1:13" ht="18.5" x14ac:dyDescent="0.45">
      <c r="A21" s="3">
        <v>20</v>
      </c>
      <c r="B21" s="15" t="s">
        <v>30</v>
      </c>
      <c r="C21" s="4" t="s">
        <v>22</v>
      </c>
      <c r="D21" s="11">
        <f>SUM(1503+1285+1503+1425+1495+1503+1494+1331+1503+1503+1449)</f>
        <v>15994</v>
      </c>
      <c r="E21" s="11">
        <f>SUM(109+111+88+114+109+111+122+96+89+106+104)</f>
        <v>1159</v>
      </c>
      <c r="F21" s="12">
        <f>SUM(D21/E21)</f>
        <v>13.799827437446075</v>
      </c>
      <c r="G21" s="11">
        <v>11</v>
      </c>
      <c r="H21" s="11">
        <v>7</v>
      </c>
      <c r="I21" s="11">
        <v>1</v>
      </c>
      <c r="J21" s="11"/>
      <c r="K21" s="11"/>
      <c r="L21" s="11">
        <v>37.5</v>
      </c>
      <c r="M21" s="13">
        <v>5</v>
      </c>
    </row>
    <row r="22" spans="1:13" ht="18.5" x14ac:dyDescent="0.45">
      <c r="A22" s="3">
        <v>21</v>
      </c>
      <c r="B22" s="4" t="s">
        <v>106</v>
      </c>
      <c r="C22" s="4" t="s">
        <v>12</v>
      </c>
      <c r="D22" s="11">
        <f>SUM(1503+1484+1456+1503+1447+1225+1487+1433+1368+1487+1439)</f>
        <v>15832</v>
      </c>
      <c r="E22" s="11">
        <f>SUM(116+103+94+129+108+88+131+86+86+104+123)</f>
        <v>1168</v>
      </c>
      <c r="F22" s="12">
        <f>SUM(D22/E22)</f>
        <v>13.554794520547945</v>
      </c>
      <c r="G22" s="11">
        <v>11</v>
      </c>
      <c r="H22" s="11">
        <v>4</v>
      </c>
      <c r="I22" s="11"/>
      <c r="J22" s="11"/>
      <c r="K22" s="11"/>
      <c r="L22" s="11">
        <v>38</v>
      </c>
      <c r="M22" s="13">
        <v>5</v>
      </c>
    </row>
    <row r="23" spans="1:13" ht="18.5" x14ac:dyDescent="0.45">
      <c r="A23" s="3">
        <v>22</v>
      </c>
      <c r="B23" s="15" t="s">
        <v>71</v>
      </c>
      <c r="C23" s="4" t="s">
        <v>16</v>
      </c>
      <c r="D23" s="11">
        <f>SUM(1373+1159+1501+1471+1503+1503+1258+1503+1292+1467)</f>
        <v>14030</v>
      </c>
      <c r="E23" s="11">
        <f>SUM(111+99+117+102+95+133+96+95+93+106)</f>
        <v>1047</v>
      </c>
      <c r="F23" s="12">
        <f>SUM(D23/E23)</f>
        <v>13.400191021967526</v>
      </c>
      <c r="G23" s="11">
        <v>10</v>
      </c>
      <c r="H23" s="11">
        <v>5</v>
      </c>
      <c r="I23" s="11"/>
      <c r="J23" s="11"/>
      <c r="K23" s="11"/>
      <c r="L23" s="11">
        <v>28.5</v>
      </c>
      <c r="M23" s="13"/>
    </row>
    <row r="24" spans="1:13" ht="18.5" x14ac:dyDescent="0.45">
      <c r="A24" s="3">
        <v>23</v>
      </c>
      <c r="B24" s="15" t="s">
        <v>82</v>
      </c>
      <c r="C24" s="7" t="s">
        <v>89</v>
      </c>
      <c r="D24" s="11">
        <f>SUM(1451+1138+1313+1427+1430+1357+1305+1159+1368+1467)</f>
        <v>13415</v>
      </c>
      <c r="E24" s="11">
        <f>SUM(115+81+108+114+112+96+90+90+108+100)</f>
        <v>1014</v>
      </c>
      <c r="F24" s="12">
        <f>SUM(D24/E24)</f>
        <v>13.229783037475345</v>
      </c>
      <c r="G24" s="11">
        <v>10</v>
      </c>
      <c r="H24" s="11">
        <v>3</v>
      </c>
      <c r="I24" s="11"/>
      <c r="J24" s="11"/>
      <c r="K24" s="11"/>
      <c r="L24" s="11">
        <v>22.5</v>
      </c>
      <c r="M24" s="13"/>
    </row>
    <row r="25" spans="1:13" ht="18.5" x14ac:dyDescent="0.45">
      <c r="A25" s="3">
        <v>24</v>
      </c>
      <c r="B25" s="4" t="s">
        <v>24</v>
      </c>
      <c r="C25" s="4" t="s">
        <v>22</v>
      </c>
      <c r="D25" s="11">
        <f>SUM(1465+1469+1456+1497+1481+1470+1495+1478+1463+1483+1493+1480)</f>
        <v>17730</v>
      </c>
      <c r="E25" s="11">
        <f>SUM(109+117+124+101+127+93+115+98+107+115+120+121)</f>
        <v>1347</v>
      </c>
      <c r="F25" s="12">
        <f>SUM(D25/E25)</f>
        <v>13.162583518930958</v>
      </c>
      <c r="G25" s="11">
        <v>12</v>
      </c>
      <c r="H25" s="11">
        <v>7</v>
      </c>
      <c r="I25" s="11"/>
      <c r="J25" s="11"/>
      <c r="K25" s="11"/>
      <c r="L25" s="11">
        <v>39</v>
      </c>
      <c r="M25" s="13"/>
    </row>
    <row r="26" spans="1:13" ht="18.5" x14ac:dyDescent="0.45">
      <c r="A26" s="3">
        <v>25</v>
      </c>
      <c r="B26" s="7" t="s">
        <v>29</v>
      </c>
      <c r="C26" s="4" t="s">
        <v>66</v>
      </c>
      <c r="D26" s="11">
        <f>SUM(1467+1499+1403+1499+1276+1487+1439+1503+1305+1318+1276+1456)</f>
        <v>16928</v>
      </c>
      <c r="E26" s="11">
        <f>SUM(129+121+106+120+102+101+99+117+93+102+72+132)</f>
        <v>1294</v>
      </c>
      <c r="F26" s="12">
        <f>SUM(D26/E26)</f>
        <v>13.081916537867079</v>
      </c>
      <c r="G26" s="11">
        <v>12</v>
      </c>
      <c r="H26" s="11">
        <v>5</v>
      </c>
      <c r="I26" s="11"/>
      <c r="J26" s="11"/>
      <c r="K26" s="11"/>
      <c r="L26" s="11">
        <v>27</v>
      </c>
      <c r="M26" s="13">
        <v>5</v>
      </c>
    </row>
    <row r="27" spans="1:13" ht="18.5" x14ac:dyDescent="0.45">
      <c r="A27" s="3">
        <v>26</v>
      </c>
      <c r="B27" s="9" t="s">
        <v>65</v>
      </c>
      <c r="C27" s="4" t="s">
        <v>27</v>
      </c>
      <c r="D27" s="11">
        <f>SUM(1423+1499+1489+1368+1469+1306+1295+1430+1434+1268+1491)</f>
        <v>15472</v>
      </c>
      <c r="E27" s="11">
        <f>SUM(103+114+104+113+102+86+125+99+102+102+145)</f>
        <v>1195</v>
      </c>
      <c r="F27" s="12">
        <f>SUM(D27/E27)</f>
        <v>12.947280334728033</v>
      </c>
      <c r="G27" s="11">
        <v>11</v>
      </c>
      <c r="H27" s="11">
        <v>8</v>
      </c>
      <c r="I27" s="11"/>
      <c r="J27" s="11"/>
      <c r="K27" s="11">
        <v>1</v>
      </c>
      <c r="L27" s="11">
        <v>30.5</v>
      </c>
      <c r="M27" s="13">
        <v>5</v>
      </c>
    </row>
    <row r="28" spans="1:13" ht="18.5" x14ac:dyDescent="0.45">
      <c r="A28" s="3">
        <v>27</v>
      </c>
      <c r="B28" s="7" t="s">
        <v>79</v>
      </c>
      <c r="C28" s="4" t="s">
        <v>89</v>
      </c>
      <c r="D28" s="11">
        <f>SUM(1393+1406+1309+1237+1494+1503+1495+1501+1305+1365+1454+1171)</f>
        <v>16633</v>
      </c>
      <c r="E28" s="11">
        <f>SUM(111+98+89+99+156+103+139+117+120+86+84+84)</f>
        <v>1286</v>
      </c>
      <c r="F28" s="12">
        <f>SUM(D28/E28)</f>
        <v>12.933903576982893</v>
      </c>
      <c r="G28" s="11">
        <v>12</v>
      </c>
      <c r="H28" s="11">
        <v>6</v>
      </c>
      <c r="I28" s="11"/>
      <c r="J28" s="11"/>
      <c r="K28" s="11"/>
      <c r="L28" s="11">
        <v>30.5</v>
      </c>
      <c r="M28" s="13">
        <v>5</v>
      </c>
    </row>
    <row r="29" spans="1:13" ht="18.5" x14ac:dyDescent="0.45">
      <c r="A29" s="3">
        <v>28</v>
      </c>
      <c r="B29" s="9" t="s">
        <v>69</v>
      </c>
      <c r="C29" s="4" t="s">
        <v>14</v>
      </c>
      <c r="D29" s="11">
        <f>SUM(1497+1503+1455+1503+1487+1463+1503+1439+1453+1493+1499)</f>
        <v>16295</v>
      </c>
      <c r="E29" s="11">
        <f>SUM(119+89+126+118+133+86+148+105+111+101+128)</f>
        <v>1264</v>
      </c>
      <c r="F29" s="12">
        <f>SUM(D29/E29)</f>
        <v>12.891613924050633</v>
      </c>
      <c r="G29" s="11">
        <v>11</v>
      </c>
      <c r="H29" s="11">
        <v>7</v>
      </c>
      <c r="I29" s="11"/>
      <c r="J29" s="11"/>
      <c r="K29" s="11"/>
      <c r="L29" s="11">
        <v>43.5</v>
      </c>
      <c r="M29" s="13"/>
    </row>
    <row r="30" spans="1:13" ht="18.5" x14ac:dyDescent="0.45">
      <c r="A30" s="3">
        <v>29</v>
      </c>
      <c r="B30" s="7" t="s">
        <v>84</v>
      </c>
      <c r="C30" s="4" t="s">
        <v>103</v>
      </c>
      <c r="D30" s="11">
        <f>SUM(1385+1489+1228+1410+1447+1440+1360+1503+1467+1421+1503)</f>
        <v>15653</v>
      </c>
      <c r="E30" s="11">
        <f>SUM(107+126+87+126+108+106+96+113+107+128+119)</f>
        <v>1223</v>
      </c>
      <c r="F30" s="12">
        <f>SUM(D30/E30)</f>
        <v>12.798855273916599</v>
      </c>
      <c r="G30" s="11">
        <v>11</v>
      </c>
      <c r="H30" s="11">
        <v>4</v>
      </c>
      <c r="I30" s="11"/>
      <c r="J30" s="11"/>
      <c r="K30" s="11"/>
      <c r="L30" s="11">
        <v>26</v>
      </c>
      <c r="M30" s="13"/>
    </row>
    <row r="31" spans="1:13" ht="18.5" x14ac:dyDescent="0.45">
      <c r="A31" s="3">
        <v>30</v>
      </c>
      <c r="B31" s="7" t="s">
        <v>78</v>
      </c>
      <c r="C31" s="4" t="s">
        <v>18</v>
      </c>
      <c r="D31" s="11">
        <f>SUM(1503+1488+1478+1211+1473+1495+1492+1500+1447)</f>
        <v>13087</v>
      </c>
      <c r="E31" s="11">
        <f>SUM(102+160+117+90+93+96+94+146+125)</f>
        <v>1023</v>
      </c>
      <c r="F31" s="12">
        <f>SUM(D31/E31)</f>
        <v>12.792766373411535</v>
      </c>
      <c r="G31" s="11">
        <v>9</v>
      </c>
      <c r="H31" s="11">
        <v>5</v>
      </c>
      <c r="I31" s="11"/>
      <c r="J31" s="11"/>
      <c r="K31" s="11"/>
      <c r="L31" s="11">
        <v>21</v>
      </c>
      <c r="M31" s="13"/>
    </row>
    <row r="32" spans="1:13" ht="18.5" x14ac:dyDescent="0.45">
      <c r="A32" s="3">
        <v>31</v>
      </c>
      <c r="B32" s="58" t="s">
        <v>28</v>
      </c>
      <c r="C32" s="8" t="s">
        <v>12</v>
      </c>
      <c r="D32" s="11">
        <f>SUM(1228+1398+1503+1422+1503+1501+1252+1503+1503+1503+1497+1485)</f>
        <v>17298</v>
      </c>
      <c r="E32" s="11">
        <f>SUM(90+96+119+100+121+136+110+130+110+124+117+105)</f>
        <v>1358</v>
      </c>
      <c r="F32" s="12">
        <f>SUM(D32/E32)</f>
        <v>12.737849779086892</v>
      </c>
      <c r="G32" s="11">
        <v>12</v>
      </c>
      <c r="H32" s="11">
        <v>8</v>
      </c>
      <c r="I32" s="11"/>
      <c r="J32" s="11"/>
      <c r="K32" s="11"/>
      <c r="L32" s="11">
        <v>37</v>
      </c>
      <c r="M32" s="13">
        <v>5</v>
      </c>
    </row>
    <row r="33" spans="1:13" ht="18.5" x14ac:dyDescent="0.45">
      <c r="A33" s="3">
        <v>32</v>
      </c>
      <c r="B33" s="7" t="s">
        <v>20</v>
      </c>
      <c r="C33" s="7" t="s">
        <v>16</v>
      </c>
      <c r="D33" s="11">
        <f>SUM(1316+1259+1404+1356+1498+1491+1503+1483+1503)</f>
        <v>12813</v>
      </c>
      <c r="E33" s="11">
        <f>SUM(107+90+101+97+152+107+134+97+122)</f>
        <v>1007</v>
      </c>
      <c r="F33" s="12">
        <f>SUM(D33/E33)</f>
        <v>12.723932472691162</v>
      </c>
      <c r="G33" s="11">
        <v>9</v>
      </c>
      <c r="H33" s="11">
        <v>4</v>
      </c>
      <c r="I33" s="11"/>
      <c r="J33" s="11"/>
      <c r="K33" s="11"/>
      <c r="L33" s="11">
        <v>33</v>
      </c>
      <c r="M33" s="13"/>
    </row>
    <row r="34" spans="1:13" ht="18.5" x14ac:dyDescent="0.45">
      <c r="A34" s="3">
        <v>33</v>
      </c>
      <c r="B34" s="10" t="s">
        <v>34</v>
      </c>
      <c r="C34" s="7" t="s">
        <v>27</v>
      </c>
      <c r="D34" s="11">
        <f>SUM(1315+1435+1406+1490+1393+1184+1448+1481+1479+1335)</f>
        <v>13966</v>
      </c>
      <c r="E34" s="11">
        <f>SUM(90+109+99+157+128+86+96+146+91+96)</f>
        <v>1098</v>
      </c>
      <c r="F34" s="12">
        <f>SUM(D34/E34)</f>
        <v>12.719489981785063</v>
      </c>
      <c r="G34" s="11">
        <v>10</v>
      </c>
      <c r="H34" s="11">
        <v>7</v>
      </c>
      <c r="I34" s="11"/>
      <c r="J34" s="11"/>
      <c r="K34" s="11"/>
      <c r="L34" s="11">
        <v>29</v>
      </c>
      <c r="M34" s="13"/>
    </row>
    <row r="35" spans="1:13" ht="18.5" x14ac:dyDescent="0.45">
      <c r="A35" s="3">
        <v>34</v>
      </c>
      <c r="B35" s="15" t="s">
        <v>72</v>
      </c>
      <c r="C35" s="4" t="s">
        <v>12</v>
      </c>
      <c r="D35" s="11">
        <f>SUM(1409+1503+1471+1479)</f>
        <v>5862</v>
      </c>
      <c r="E35" s="11">
        <f>SUM(119+107+121+122)</f>
        <v>469</v>
      </c>
      <c r="F35" s="12">
        <f>SUM(D35/E35)</f>
        <v>12.498933901918976</v>
      </c>
      <c r="G35" s="11">
        <v>4</v>
      </c>
      <c r="H35" s="11">
        <v>2</v>
      </c>
      <c r="I35" s="11"/>
      <c r="J35" s="11"/>
      <c r="K35" s="11"/>
      <c r="L35" s="11">
        <v>13</v>
      </c>
      <c r="M35" s="13"/>
    </row>
    <row r="36" spans="1:13" ht="18.5" x14ac:dyDescent="0.45">
      <c r="A36" s="3">
        <v>35</v>
      </c>
      <c r="B36" s="16" t="s">
        <v>37</v>
      </c>
      <c r="C36" s="4" t="s">
        <v>66</v>
      </c>
      <c r="D36" s="11">
        <f>SUM(1218+1106+1372+1315+1297+1210+1169+832+1252+1471+1501)</f>
        <v>13743</v>
      </c>
      <c r="E36" s="11">
        <f>SUM(96+84+120+102+141+96+93+72+96+108+103)</f>
        <v>1111</v>
      </c>
      <c r="F36" s="12">
        <f>SUM(D36/E36)</f>
        <v>12.369936993699369</v>
      </c>
      <c r="G36" s="11">
        <v>11</v>
      </c>
      <c r="H36" s="11">
        <v>1</v>
      </c>
      <c r="I36" s="11"/>
      <c r="J36" s="11"/>
      <c r="K36" s="11"/>
      <c r="L36" s="11">
        <v>16</v>
      </c>
      <c r="M36" s="13"/>
    </row>
    <row r="37" spans="1:13" ht="18.5" x14ac:dyDescent="0.45">
      <c r="A37" s="3">
        <v>36</v>
      </c>
      <c r="B37" s="10" t="s">
        <v>63</v>
      </c>
      <c r="C37" s="7" t="s">
        <v>27</v>
      </c>
      <c r="D37" s="11">
        <f>SUM(1424+1501+1501+1473+1429+1406+1479+1503+1503+1401+1503)</f>
        <v>16123</v>
      </c>
      <c r="E37" s="11">
        <f>SUM(90+147+123+91+148+90+118+133+130+130+116)</f>
        <v>1316</v>
      </c>
      <c r="F37" s="12">
        <f>SUM(D37/E37)</f>
        <v>12.251519756838906</v>
      </c>
      <c r="G37" s="11">
        <v>11</v>
      </c>
      <c r="H37" s="11">
        <v>8</v>
      </c>
      <c r="I37" s="11"/>
      <c r="J37" s="11"/>
      <c r="K37" s="11"/>
      <c r="L37" s="11">
        <v>36</v>
      </c>
      <c r="M37" s="13"/>
    </row>
    <row r="38" spans="1:13" ht="18.5" x14ac:dyDescent="0.45">
      <c r="A38" s="3">
        <v>37</v>
      </c>
      <c r="B38" s="10" t="s">
        <v>43</v>
      </c>
      <c r="C38" s="7" t="s">
        <v>66</v>
      </c>
      <c r="D38" s="11">
        <f>SUM(1252+1503+1201+1498+1182+1482+1183+1503+1393+1484+1489+1495)</f>
        <v>16665</v>
      </c>
      <c r="E38" s="11">
        <f>SUM(120+142+91+137+104+119+89+94+117+102+129+144)</f>
        <v>1388</v>
      </c>
      <c r="F38" s="12">
        <f>SUM(D38/E38)</f>
        <v>12.006484149855908</v>
      </c>
      <c r="G38" s="11">
        <v>12</v>
      </c>
      <c r="H38" s="11">
        <v>4</v>
      </c>
      <c r="I38" s="11"/>
      <c r="J38" s="11"/>
      <c r="K38" s="11"/>
      <c r="L38" s="11">
        <v>29</v>
      </c>
      <c r="M38" s="13">
        <v>10</v>
      </c>
    </row>
    <row r="39" spans="1:13" ht="18.5" x14ac:dyDescent="0.45">
      <c r="A39" s="3">
        <v>38</v>
      </c>
      <c r="B39" s="16" t="s">
        <v>107</v>
      </c>
      <c r="C39" s="7" t="s">
        <v>14</v>
      </c>
      <c r="D39" s="11">
        <f>SUM(1081+1364+1494+1501)</f>
        <v>5440</v>
      </c>
      <c r="E39" s="11">
        <f>SUM(81+113+137+126)</f>
        <v>457</v>
      </c>
      <c r="F39" s="12">
        <f>SUM(D39/E39)</f>
        <v>11.903719912472647</v>
      </c>
      <c r="G39" s="11">
        <v>4</v>
      </c>
      <c r="H39" s="11">
        <v>1</v>
      </c>
      <c r="I39" s="11"/>
      <c r="J39" s="11"/>
      <c r="K39" s="11"/>
      <c r="L39" s="11">
        <v>10.5</v>
      </c>
      <c r="M39" s="13"/>
    </row>
    <row r="40" spans="1:13" ht="18.5" x14ac:dyDescent="0.45">
      <c r="A40" s="3">
        <v>39</v>
      </c>
      <c r="B40" s="16" t="s">
        <v>80</v>
      </c>
      <c r="C40" s="7" t="s">
        <v>89</v>
      </c>
      <c r="D40" s="11">
        <f>SUM(1219+1493+1395+1489+1374)</f>
        <v>6970</v>
      </c>
      <c r="E40" s="11">
        <f>SUM(108+144+107+121+108)</f>
        <v>588</v>
      </c>
      <c r="F40" s="12">
        <f>SUM(D40/E40)</f>
        <v>11.853741496598639</v>
      </c>
      <c r="G40" s="11">
        <v>5</v>
      </c>
      <c r="H40" s="11">
        <v>2</v>
      </c>
      <c r="I40" s="11"/>
      <c r="J40" s="11"/>
      <c r="K40" s="11"/>
      <c r="L40" s="11">
        <v>12.5</v>
      </c>
      <c r="M40" s="13">
        <v>10</v>
      </c>
    </row>
    <row r="41" spans="1:13" ht="18.5" x14ac:dyDescent="0.45">
      <c r="A41" s="3">
        <v>40</v>
      </c>
      <c r="B41" s="16" t="s">
        <v>83</v>
      </c>
      <c r="C41" s="7" t="s">
        <v>103</v>
      </c>
      <c r="D41" s="11">
        <f>SUM(1448+1487+1481+1487+1483+1498+1497+1499+1491)</f>
        <v>13371</v>
      </c>
      <c r="E41" s="11">
        <f>SUM(144+138+128+104+138+107+104+126+142)</f>
        <v>1131</v>
      </c>
      <c r="F41" s="12">
        <f>SUM(D41/E41)</f>
        <v>11.822281167108754</v>
      </c>
      <c r="G41" s="11">
        <v>9</v>
      </c>
      <c r="H41" s="11">
        <v>7</v>
      </c>
      <c r="I41" s="11"/>
      <c r="J41" s="11"/>
      <c r="K41" s="11"/>
      <c r="L41" s="11">
        <v>25.5</v>
      </c>
      <c r="M41" s="13"/>
    </row>
    <row r="42" spans="1:13" ht="18.5" x14ac:dyDescent="0.45">
      <c r="A42" s="3">
        <v>41</v>
      </c>
      <c r="B42" s="10" t="s">
        <v>42</v>
      </c>
      <c r="C42" s="7" t="s">
        <v>18</v>
      </c>
      <c r="D42" s="11">
        <f>SUM(1503+1503+1497+1499+1503+1419+1503+1378)</f>
        <v>11805</v>
      </c>
      <c r="E42" s="11">
        <f>SUM(133+134+132+103+137+124+111+126)</f>
        <v>1000</v>
      </c>
      <c r="F42" s="12">
        <f>SUM(D42/E42)</f>
        <v>11.805</v>
      </c>
      <c r="G42" s="11">
        <v>8</v>
      </c>
      <c r="H42" s="11">
        <v>6</v>
      </c>
      <c r="I42" s="11"/>
      <c r="J42" s="11"/>
      <c r="K42" s="11"/>
      <c r="L42" s="11">
        <v>30</v>
      </c>
      <c r="M42" s="13"/>
    </row>
    <row r="43" spans="1:13" ht="18.5" x14ac:dyDescent="0.45">
      <c r="A43" s="3">
        <v>42</v>
      </c>
      <c r="B43" s="35" t="s">
        <v>70</v>
      </c>
      <c r="C43" s="7" t="s">
        <v>18</v>
      </c>
      <c r="D43" s="11">
        <f>SUM(1487+1277+1280+1499+1476+1485+1074+1373)</f>
        <v>10951</v>
      </c>
      <c r="E43" s="11">
        <f>SUM(122+115+117+128+151+113+84+99)</f>
        <v>929</v>
      </c>
      <c r="F43" s="12">
        <f>SUM(D43/E43)</f>
        <v>11.78794402583423</v>
      </c>
      <c r="G43" s="11">
        <v>8</v>
      </c>
      <c r="H43" s="11">
        <v>3</v>
      </c>
      <c r="I43" s="11"/>
      <c r="J43" s="11"/>
      <c r="K43" s="11"/>
      <c r="L43" s="11">
        <v>23.5</v>
      </c>
      <c r="M43" s="13"/>
    </row>
    <row r="44" spans="1:13" ht="18.5" x14ac:dyDescent="0.45">
      <c r="A44" s="3">
        <v>43</v>
      </c>
      <c r="B44" s="15" t="s">
        <v>113</v>
      </c>
      <c r="C44" s="7" t="s">
        <v>16</v>
      </c>
      <c r="D44" s="11">
        <f>SUM(1499)</f>
        <v>1499</v>
      </c>
      <c r="E44" s="11">
        <f>SUM(128)</f>
        <v>128</v>
      </c>
      <c r="F44" s="12">
        <f>SUM(D44/E44)</f>
        <v>11.7109375</v>
      </c>
      <c r="G44" s="11">
        <v>1</v>
      </c>
      <c r="H44" s="11"/>
      <c r="I44" s="11"/>
      <c r="J44" s="11"/>
      <c r="K44" s="11"/>
      <c r="L44" s="11">
        <v>3.5</v>
      </c>
      <c r="M44" s="13"/>
    </row>
    <row r="45" spans="1:13" ht="18.5" x14ac:dyDescent="0.45">
      <c r="A45" s="3">
        <v>44</v>
      </c>
      <c r="B45" s="15" t="s">
        <v>38</v>
      </c>
      <c r="C45" s="4" t="s">
        <v>103</v>
      </c>
      <c r="D45" s="11">
        <f>SUM(1214+1381+1209+1331+1260+1475+1467+1004)</f>
        <v>10341</v>
      </c>
      <c r="E45" s="11">
        <f>SUM(116+115+105+126+116+93+129+84)</f>
        <v>884</v>
      </c>
      <c r="F45" s="12">
        <f>SUM(D45/E45)</f>
        <v>11.697963800904978</v>
      </c>
      <c r="G45" s="11">
        <v>8</v>
      </c>
      <c r="H45" s="11"/>
      <c r="I45" s="11"/>
      <c r="J45" s="11"/>
      <c r="K45" s="11"/>
      <c r="L45" s="11">
        <v>15</v>
      </c>
      <c r="M45" s="13"/>
    </row>
    <row r="46" spans="1:13" ht="18.5" x14ac:dyDescent="0.45">
      <c r="A46" s="3">
        <v>45</v>
      </c>
      <c r="B46" s="4" t="s">
        <v>105</v>
      </c>
      <c r="C46" s="4" t="s">
        <v>89</v>
      </c>
      <c r="D46" s="11">
        <f>SUM(1344+1443+1351+1475+1447+1496+1499+1324+1473+1481)</f>
        <v>14333</v>
      </c>
      <c r="E46" s="11">
        <f>SUM(108+114+117+134+119+115+166+117+122+123)</f>
        <v>1235</v>
      </c>
      <c r="F46" s="12">
        <f>SUM(D46/E46)</f>
        <v>11.605668016194333</v>
      </c>
      <c r="G46" s="11">
        <v>10</v>
      </c>
      <c r="H46" s="11">
        <v>3</v>
      </c>
      <c r="I46" s="11"/>
      <c r="J46" s="11"/>
      <c r="K46" s="11"/>
      <c r="L46" s="11">
        <v>23.5</v>
      </c>
      <c r="M46" s="13"/>
    </row>
    <row r="47" spans="1:13" ht="18.5" x14ac:dyDescent="0.45">
      <c r="A47" s="3">
        <v>46</v>
      </c>
      <c r="B47" s="15" t="s">
        <v>39</v>
      </c>
      <c r="C47" s="8" t="s">
        <v>32</v>
      </c>
      <c r="D47" s="11">
        <f>SUM(1397+971+1477+1493+1123+1483+1497+1425+1454+1479+1497+1184)</f>
        <v>16480</v>
      </c>
      <c r="E47" s="11">
        <f>SUM(109+84+128+136+89+135+128+120+126+126+145+111)</f>
        <v>1437</v>
      </c>
      <c r="F47" s="12">
        <f>SUM(D47/E47)</f>
        <v>11.468336812804454</v>
      </c>
      <c r="G47" s="11">
        <v>12</v>
      </c>
      <c r="H47" s="11"/>
      <c r="I47" s="11"/>
      <c r="J47" s="11"/>
      <c r="K47" s="11"/>
      <c r="L47" s="11">
        <v>20.5</v>
      </c>
      <c r="M47" s="13"/>
    </row>
    <row r="48" spans="1:13" ht="18.5" x14ac:dyDescent="0.45">
      <c r="A48" s="3">
        <v>47</v>
      </c>
      <c r="B48" s="4" t="s">
        <v>114</v>
      </c>
      <c r="C48" s="4" t="s">
        <v>16</v>
      </c>
      <c r="D48" s="11">
        <f>SUM(1286+1395+1503+1501)</f>
        <v>5685</v>
      </c>
      <c r="E48" s="11">
        <f>SUM(104+105+148+146)</f>
        <v>503</v>
      </c>
      <c r="F48" s="12">
        <f>SUM(D48/E48)</f>
        <v>11.302186878727634</v>
      </c>
      <c r="G48" s="11">
        <v>4</v>
      </c>
      <c r="H48" s="11">
        <v>2</v>
      </c>
      <c r="I48" s="11"/>
      <c r="J48" s="11"/>
      <c r="K48" s="11"/>
      <c r="L48" s="11">
        <v>12.5</v>
      </c>
      <c r="M48" s="13"/>
    </row>
    <row r="49" spans="1:18" ht="18.5" x14ac:dyDescent="0.45">
      <c r="A49" s="3">
        <v>48</v>
      </c>
      <c r="B49" s="4" t="s">
        <v>35</v>
      </c>
      <c r="C49" s="4" t="s">
        <v>32</v>
      </c>
      <c r="D49" s="11">
        <f>SUM(1232+1259+1463)</f>
        <v>3954</v>
      </c>
      <c r="E49" s="11">
        <f>SUM(111+114+139)</f>
        <v>364</v>
      </c>
      <c r="F49" s="12">
        <f>SUM(D49/E49)</f>
        <v>10.862637362637363</v>
      </c>
      <c r="G49" s="11">
        <v>3</v>
      </c>
      <c r="H49" s="11"/>
      <c r="I49" s="11"/>
      <c r="J49" s="11"/>
      <c r="K49" s="11"/>
      <c r="L49" s="11">
        <v>11.5</v>
      </c>
      <c r="M49" s="13"/>
    </row>
    <row r="50" spans="1:18" ht="18.5" x14ac:dyDescent="0.45">
      <c r="A50" s="3">
        <v>49</v>
      </c>
      <c r="B50" s="4" t="s">
        <v>74</v>
      </c>
      <c r="C50" s="4" t="s">
        <v>66</v>
      </c>
      <c r="D50" s="11">
        <f>SUM(1266+1399+1407)</f>
        <v>4072</v>
      </c>
      <c r="E50" s="11">
        <f>SUM(141+119+115)</f>
        <v>375</v>
      </c>
      <c r="F50" s="12">
        <f>SUM(D50/E50)</f>
        <v>10.858666666666666</v>
      </c>
      <c r="G50" s="11">
        <v>3</v>
      </c>
      <c r="H50" s="11"/>
      <c r="I50" s="11"/>
      <c r="J50" s="11"/>
      <c r="K50" s="11"/>
      <c r="L50" s="11">
        <v>8</v>
      </c>
      <c r="M50" s="13"/>
    </row>
    <row r="51" spans="1:18" ht="18.5" x14ac:dyDescent="0.45">
      <c r="A51" s="3">
        <v>50</v>
      </c>
      <c r="B51" s="15" t="s">
        <v>104</v>
      </c>
      <c r="C51" s="7" t="s">
        <v>27</v>
      </c>
      <c r="D51" s="11">
        <f>SUM(1442+1464)</f>
        <v>2906</v>
      </c>
      <c r="E51" s="11">
        <f>SUM(129+141)</f>
        <v>270</v>
      </c>
      <c r="F51" s="12">
        <f>SUM(D51/E51)</f>
        <v>10.762962962962963</v>
      </c>
      <c r="G51" s="11">
        <v>2</v>
      </c>
      <c r="H51" s="11"/>
      <c r="I51" s="11"/>
      <c r="J51" s="11"/>
      <c r="K51" s="11"/>
      <c r="L51" s="11">
        <v>2.5</v>
      </c>
      <c r="M51" s="13"/>
    </row>
    <row r="52" spans="1:18" ht="18.5" x14ac:dyDescent="0.45">
      <c r="A52" s="3">
        <v>51</v>
      </c>
      <c r="B52" s="4" t="s">
        <v>137</v>
      </c>
      <c r="C52" s="7" t="s">
        <v>27</v>
      </c>
      <c r="D52" s="11">
        <f>SUM(1381)</f>
        <v>1381</v>
      </c>
      <c r="E52" s="11">
        <f>SUM(129)</f>
        <v>129</v>
      </c>
      <c r="F52" s="12">
        <f>SUM(D52/E52)</f>
        <v>10.705426356589147</v>
      </c>
      <c r="G52" s="11">
        <v>1</v>
      </c>
      <c r="H52" s="11"/>
      <c r="I52" s="11"/>
      <c r="J52" s="11"/>
      <c r="K52" s="11"/>
      <c r="L52" s="11">
        <v>0.5</v>
      </c>
      <c r="M52" s="13"/>
    </row>
    <row r="53" spans="1:18" ht="18.5" x14ac:dyDescent="0.45">
      <c r="A53" s="3">
        <v>52</v>
      </c>
      <c r="B53" s="4" t="s">
        <v>36</v>
      </c>
      <c r="C53" s="4" t="s">
        <v>66</v>
      </c>
      <c r="D53" s="11">
        <f>SUM(1457+1503+1489+1479+1444+1495+1429+1362+1331)</f>
        <v>12989</v>
      </c>
      <c r="E53" s="11">
        <f>SUM(116+124+152+178+127+147+153+132+105)</f>
        <v>1234</v>
      </c>
      <c r="F53" s="12">
        <f>SUM(D53/E53)</f>
        <v>10.525931928687196</v>
      </c>
      <c r="G53" s="11">
        <v>9</v>
      </c>
      <c r="H53" s="11">
        <v>2</v>
      </c>
      <c r="I53" s="11"/>
      <c r="J53" s="11"/>
      <c r="K53" s="11"/>
      <c r="L53" s="11">
        <v>17.5</v>
      </c>
      <c r="M53" s="13"/>
    </row>
    <row r="54" spans="1:18" ht="18.5" x14ac:dyDescent="0.45">
      <c r="A54" s="3">
        <v>53</v>
      </c>
      <c r="B54" s="4" t="s">
        <v>132</v>
      </c>
      <c r="C54" s="4" t="s">
        <v>27</v>
      </c>
      <c r="D54" s="11">
        <f>SUM(1343+1405+1477)</f>
        <v>4225</v>
      </c>
      <c r="E54" s="11">
        <f>SUM(110+122+171)</f>
        <v>403</v>
      </c>
      <c r="F54" s="12">
        <f>SUM(D54/E54)</f>
        <v>10.483870967741936</v>
      </c>
      <c r="G54" s="11">
        <v>3</v>
      </c>
      <c r="H54" s="11">
        <v>1</v>
      </c>
      <c r="I54" s="11"/>
      <c r="J54" s="11"/>
      <c r="K54" s="11"/>
      <c r="L54" s="11">
        <v>6.5</v>
      </c>
      <c r="M54" s="13"/>
    </row>
    <row r="55" spans="1:18" ht="18.5" x14ac:dyDescent="0.45">
      <c r="A55" s="3">
        <v>54</v>
      </c>
      <c r="B55" s="15" t="s">
        <v>67</v>
      </c>
      <c r="C55" s="4" t="s">
        <v>32</v>
      </c>
      <c r="D55" s="11">
        <f>SUM(1261+1230+1487+1434+1097+1454+1478+1232+1329)</f>
        <v>12002</v>
      </c>
      <c r="E55" s="11">
        <f>SUM(102+96+177+137+99+162+142+105+140)</f>
        <v>1160</v>
      </c>
      <c r="F55" s="12">
        <f>SUM(D55/E55)</f>
        <v>10.346551724137932</v>
      </c>
      <c r="G55" s="11">
        <v>8</v>
      </c>
      <c r="H55" s="11">
        <v>2</v>
      </c>
      <c r="I55" s="11"/>
      <c r="J55" s="11"/>
      <c r="K55" s="11"/>
      <c r="L55" s="11">
        <v>9</v>
      </c>
      <c r="M55" s="13"/>
    </row>
    <row r="56" spans="1:18" ht="18.5" x14ac:dyDescent="0.45">
      <c r="A56" s="3">
        <v>55</v>
      </c>
      <c r="B56" s="15" t="s">
        <v>147</v>
      </c>
      <c r="C56" s="4" t="s">
        <v>66</v>
      </c>
      <c r="D56" s="11">
        <f>SUM(1488)</f>
        <v>1488</v>
      </c>
      <c r="E56" s="11">
        <f>SUM(169)</f>
        <v>169</v>
      </c>
      <c r="F56" s="12">
        <f>SUM(D56/E56)</f>
        <v>8.8047337278106514</v>
      </c>
      <c r="G56" s="11">
        <v>1</v>
      </c>
      <c r="H56" s="11"/>
      <c r="I56" s="11"/>
      <c r="J56" s="11"/>
      <c r="K56" s="11"/>
      <c r="L56" s="11">
        <v>2.5</v>
      </c>
      <c r="M56" s="13"/>
    </row>
    <row r="57" spans="1:18" ht="17.25" customHeight="1" thickBot="1" x14ac:dyDescent="0.5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8" ht="19.5" customHeight="1" thickBot="1" x14ac:dyDescent="0.5">
      <c r="A58" s="5"/>
      <c r="B58" s="66" t="s">
        <v>146</v>
      </c>
      <c r="C58" s="57" t="s">
        <v>44</v>
      </c>
      <c r="D58" s="28" t="s">
        <v>45</v>
      </c>
      <c r="E58" s="29" t="s">
        <v>46</v>
      </c>
      <c r="F58" s="20" t="s">
        <v>62</v>
      </c>
      <c r="G58" s="30" t="s">
        <v>47</v>
      </c>
      <c r="I58" s="61" t="s">
        <v>48</v>
      </c>
      <c r="J58" s="62"/>
      <c r="K58" s="62"/>
      <c r="L58" s="62"/>
      <c r="M58" s="62"/>
      <c r="N58" s="62"/>
      <c r="O58" s="62"/>
      <c r="P58" s="62"/>
      <c r="Q58" s="62"/>
      <c r="R58" s="63"/>
    </row>
    <row r="59" spans="1:18" ht="18.5" x14ac:dyDescent="0.45">
      <c r="A59" s="5"/>
      <c r="B59" s="67"/>
      <c r="C59" s="17" t="s">
        <v>59</v>
      </c>
      <c r="D59" s="7">
        <v>11</v>
      </c>
      <c r="E59" s="22">
        <v>1</v>
      </c>
      <c r="F59" s="15"/>
      <c r="G59" s="23">
        <v>198</v>
      </c>
      <c r="I59" s="69" t="s">
        <v>49</v>
      </c>
      <c r="J59" s="70"/>
      <c r="K59" s="70"/>
      <c r="L59" s="70"/>
      <c r="M59" s="70"/>
      <c r="N59" s="64" t="s">
        <v>88</v>
      </c>
      <c r="O59" s="64"/>
      <c r="P59" s="64"/>
      <c r="Q59" s="64"/>
      <c r="R59" s="65"/>
    </row>
    <row r="60" spans="1:18" ht="18.5" x14ac:dyDescent="0.45">
      <c r="A60" s="5"/>
      <c r="B60" s="67"/>
      <c r="C60" s="17" t="s">
        <v>55</v>
      </c>
      <c r="D60" s="7">
        <v>10</v>
      </c>
      <c r="E60" s="22">
        <v>2</v>
      </c>
      <c r="F60" s="15"/>
      <c r="G60" s="23">
        <v>169</v>
      </c>
      <c r="I60" s="71" t="s">
        <v>51</v>
      </c>
      <c r="J60" s="72"/>
      <c r="K60" s="72"/>
      <c r="L60" s="72"/>
      <c r="M60" s="72"/>
      <c r="N60" s="59" t="s">
        <v>145</v>
      </c>
      <c r="O60" s="59"/>
      <c r="P60" s="59"/>
      <c r="Q60" s="59"/>
      <c r="R60" s="60"/>
    </row>
    <row r="61" spans="1:18" ht="18.5" x14ac:dyDescent="0.45">
      <c r="A61" s="5"/>
      <c r="B61" s="67"/>
      <c r="C61" s="17" t="s">
        <v>58</v>
      </c>
      <c r="D61" s="7">
        <v>8</v>
      </c>
      <c r="E61" s="16">
        <v>4</v>
      </c>
      <c r="F61" s="15"/>
      <c r="G61" s="17">
        <v>150</v>
      </c>
      <c r="I61" s="71" t="s">
        <v>53</v>
      </c>
      <c r="J61" s="72"/>
      <c r="K61" s="72"/>
      <c r="L61" s="72"/>
      <c r="M61" s="72"/>
      <c r="N61" s="59" t="s">
        <v>144</v>
      </c>
      <c r="O61" s="59"/>
      <c r="P61" s="59"/>
      <c r="Q61" s="59"/>
      <c r="R61" s="60"/>
    </row>
    <row r="62" spans="1:18" ht="18.5" x14ac:dyDescent="0.45">
      <c r="A62" s="6"/>
      <c r="B62" s="67"/>
      <c r="C62" s="17" t="s">
        <v>50</v>
      </c>
      <c r="D62" s="7">
        <v>8</v>
      </c>
      <c r="E62" s="16">
        <v>4</v>
      </c>
      <c r="F62" s="15"/>
      <c r="G62" s="17">
        <v>158</v>
      </c>
      <c r="I62" s="71" t="s">
        <v>54</v>
      </c>
      <c r="J62" s="72"/>
      <c r="K62" s="72"/>
      <c r="L62" s="72"/>
      <c r="M62" s="72"/>
      <c r="N62" s="59" t="s">
        <v>143</v>
      </c>
      <c r="O62" s="59"/>
      <c r="P62" s="59"/>
      <c r="Q62" s="59"/>
      <c r="R62" s="60"/>
    </row>
    <row r="63" spans="1:18" ht="18" customHeight="1" x14ac:dyDescent="0.45">
      <c r="A63" s="6"/>
      <c r="B63" s="67"/>
      <c r="C63" s="17" t="s">
        <v>60</v>
      </c>
      <c r="D63" s="7">
        <v>7</v>
      </c>
      <c r="E63" s="22">
        <v>5</v>
      </c>
      <c r="F63" s="15"/>
      <c r="G63" s="23">
        <v>161</v>
      </c>
      <c r="I63" s="71" t="s">
        <v>56</v>
      </c>
      <c r="J63" s="72"/>
      <c r="K63" s="72"/>
      <c r="L63" s="72"/>
      <c r="M63" s="72"/>
      <c r="N63" s="59" t="s">
        <v>108</v>
      </c>
      <c r="O63" s="59"/>
      <c r="P63" s="59"/>
      <c r="Q63" s="59"/>
      <c r="R63" s="60"/>
    </row>
    <row r="64" spans="1:18" ht="18" customHeight="1" thickBot="1" x14ac:dyDescent="0.5">
      <c r="A64" s="6"/>
      <c r="B64" s="67"/>
      <c r="C64" s="18" t="s">
        <v>61</v>
      </c>
      <c r="D64" s="9">
        <v>5</v>
      </c>
      <c r="E64" s="10">
        <v>7</v>
      </c>
      <c r="F64" s="15"/>
      <c r="G64" s="18">
        <v>135</v>
      </c>
      <c r="I64" s="73" t="s">
        <v>57</v>
      </c>
      <c r="J64" s="74"/>
      <c r="K64" s="74"/>
      <c r="L64" s="74"/>
      <c r="M64" s="74"/>
      <c r="N64" s="59" t="s">
        <v>139</v>
      </c>
      <c r="O64" s="59"/>
      <c r="P64" s="59"/>
      <c r="Q64" s="59"/>
      <c r="R64" s="60"/>
    </row>
    <row r="65" spans="1:9" ht="18.5" x14ac:dyDescent="0.45">
      <c r="A65" s="6"/>
      <c r="B65" s="67"/>
      <c r="C65" s="18" t="s">
        <v>98</v>
      </c>
      <c r="D65" s="9">
        <v>4</v>
      </c>
      <c r="E65" s="10">
        <v>8</v>
      </c>
      <c r="F65" s="15"/>
      <c r="G65" s="18">
        <v>140</v>
      </c>
      <c r="H65" s="6"/>
      <c r="I65" s="6"/>
    </row>
    <row r="66" spans="1:9" ht="18.5" x14ac:dyDescent="0.45">
      <c r="A66" s="6"/>
      <c r="B66" s="67"/>
      <c r="C66" s="17" t="s">
        <v>73</v>
      </c>
      <c r="D66" s="7">
        <v>4</v>
      </c>
      <c r="E66" s="22">
        <v>8</v>
      </c>
      <c r="F66" s="15"/>
      <c r="G66" s="23">
        <v>119</v>
      </c>
      <c r="H66" s="6"/>
    </row>
    <row r="67" spans="1:9" ht="18.5" x14ac:dyDescent="0.45">
      <c r="B67" s="67"/>
      <c r="C67" s="19" t="s">
        <v>68</v>
      </c>
      <c r="D67" s="9">
        <v>2</v>
      </c>
      <c r="E67" s="10">
        <v>10</v>
      </c>
      <c r="F67" s="15"/>
      <c r="G67" s="18">
        <v>100</v>
      </c>
    </row>
    <row r="68" spans="1:9" ht="19" thickBot="1" x14ac:dyDescent="0.5">
      <c r="B68" s="68"/>
      <c r="C68" s="17" t="s">
        <v>52</v>
      </c>
      <c r="D68" s="7">
        <v>1</v>
      </c>
      <c r="E68" s="22">
        <v>11</v>
      </c>
      <c r="F68" s="15"/>
      <c r="G68" s="23">
        <v>108</v>
      </c>
    </row>
    <row r="69" spans="1:9" ht="15" thickBot="1" x14ac:dyDescent="0.4"/>
    <row r="70" spans="1:9" ht="19" thickBot="1" x14ac:dyDescent="0.5">
      <c r="C70" s="27" t="s">
        <v>76</v>
      </c>
      <c r="D70" s="28" t="s">
        <v>45</v>
      </c>
      <c r="E70" s="28" t="s">
        <v>46</v>
      </c>
      <c r="F70" s="20" t="s">
        <v>62</v>
      </c>
      <c r="G70" s="31" t="s">
        <v>47</v>
      </c>
    </row>
    <row r="71" spans="1:9" ht="18.5" x14ac:dyDescent="0.45">
      <c r="C71" s="54" t="s">
        <v>59</v>
      </c>
      <c r="D71" s="14">
        <v>11</v>
      </c>
      <c r="E71" s="24">
        <v>1</v>
      </c>
      <c r="F71" s="15"/>
      <c r="G71" s="53">
        <v>198</v>
      </c>
    </row>
    <row r="72" spans="1:9" ht="18.5" x14ac:dyDescent="0.45">
      <c r="C72" s="56" t="s">
        <v>55</v>
      </c>
      <c r="D72" s="7">
        <v>10</v>
      </c>
      <c r="E72" s="22">
        <v>2</v>
      </c>
      <c r="F72" s="15"/>
      <c r="G72" s="55">
        <v>169</v>
      </c>
    </row>
    <row r="73" spans="1:9" ht="19" thickBot="1" x14ac:dyDescent="0.5">
      <c r="C73" s="52" t="s">
        <v>50</v>
      </c>
      <c r="D73" s="51">
        <v>8</v>
      </c>
      <c r="E73" s="50">
        <v>4</v>
      </c>
      <c r="F73" s="49"/>
      <c r="G73" s="48">
        <v>158</v>
      </c>
    </row>
    <row r="74" spans="1:9" ht="18.5" x14ac:dyDescent="0.45">
      <c r="C74" s="56" t="s">
        <v>60</v>
      </c>
      <c r="D74" s="7">
        <v>7</v>
      </c>
      <c r="E74" s="22">
        <v>5</v>
      </c>
      <c r="F74" s="15"/>
      <c r="G74" s="55">
        <v>161</v>
      </c>
    </row>
    <row r="75" spans="1:9" ht="18.5" x14ac:dyDescent="0.45">
      <c r="C75" s="54" t="s">
        <v>73</v>
      </c>
      <c r="D75" s="14">
        <v>4</v>
      </c>
      <c r="E75" s="24">
        <v>8</v>
      </c>
      <c r="F75" s="26"/>
      <c r="G75" s="53">
        <v>119</v>
      </c>
    </row>
    <row r="76" spans="1:9" ht="15" thickBot="1" x14ac:dyDescent="0.4"/>
    <row r="77" spans="1:9" ht="19" thickBot="1" x14ac:dyDescent="0.5">
      <c r="C77" s="27" t="s">
        <v>77</v>
      </c>
      <c r="D77" s="28" t="s">
        <v>45</v>
      </c>
      <c r="E77" s="28" t="s">
        <v>46</v>
      </c>
      <c r="F77" s="20" t="s">
        <v>62</v>
      </c>
      <c r="G77" s="31" t="s">
        <v>47</v>
      </c>
    </row>
    <row r="78" spans="1:9" ht="18.5" x14ac:dyDescent="0.45">
      <c r="C78" s="47" t="s">
        <v>58</v>
      </c>
      <c r="D78" s="46">
        <v>8</v>
      </c>
      <c r="E78" s="46">
        <v>4</v>
      </c>
      <c r="F78" s="26"/>
      <c r="G78" s="45">
        <v>150</v>
      </c>
    </row>
    <row r="79" spans="1:9" ht="18.5" x14ac:dyDescent="0.45">
      <c r="C79" s="42" t="s">
        <v>61</v>
      </c>
      <c r="D79" s="15">
        <v>5</v>
      </c>
      <c r="E79" s="15">
        <v>7</v>
      </c>
      <c r="F79" s="15"/>
      <c r="G79" s="41">
        <v>135</v>
      </c>
    </row>
    <row r="80" spans="1:9" ht="18.5" x14ac:dyDescent="0.45">
      <c r="C80" s="42" t="s">
        <v>98</v>
      </c>
      <c r="D80" s="15">
        <v>4</v>
      </c>
      <c r="E80" s="15">
        <v>8</v>
      </c>
      <c r="F80" s="15"/>
      <c r="G80" s="41">
        <v>140</v>
      </c>
    </row>
    <row r="81" spans="3:7" ht="18.5" x14ac:dyDescent="0.45">
      <c r="C81" s="44" t="s">
        <v>68</v>
      </c>
      <c r="D81" s="4">
        <v>2</v>
      </c>
      <c r="E81" s="4">
        <v>10</v>
      </c>
      <c r="F81" s="15"/>
      <c r="G81" s="43">
        <v>100</v>
      </c>
    </row>
    <row r="82" spans="3:7" ht="19" thickBot="1" x14ac:dyDescent="0.5">
      <c r="C82" s="40" t="s">
        <v>52</v>
      </c>
      <c r="D82" s="39">
        <v>1</v>
      </c>
      <c r="E82" s="38">
        <v>11</v>
      </c>
      <c r="F82" s="37"/>
      <c r="G82" s="36">
        <v>108</v>
      </c>
    </row>
  </sheetData>
  <mergeCells count="14">
    <mergeCell ref="N64:R64"/>
    <mergeCell ref="I58:R58"/>
    <mergeCell ref="N59:R59"/>
    <mergeCell ref="N60:R60"/>
    <mergeCell ref="N61:R61"/>
    <mergeCell ref="N62:R62"/>
    <mergeCell ref="N63:R63"/>
    <mergeCell ref="B58:B68"/>
    <mergeCell ref="I59:M59"/>
    <mergeCell ref="I60:M60"/>
    <mergeCell ref="I61:M61"/>
    <mergeCell ref="I62:M62"/>
    <mergeCell ref="I63:M63"/>
    <mergeCell ref="I64:M6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3DF97-775C-4962-B6B7-2242B88E365F}">
  <sheetPr codeName="Sheet12"/>
  <dimension ref="A1:R83"/>
  <sheetViews>
    <sheetView tabSelected="1" workbookViewId="0">
      <pane ySplit="1" topLeftCell="A56" activePane="bottomLeft" state="frozen"/>
      <selection pane="bottomLeft" activeCell="B59" sqref="B59:B69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8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18.8164062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138</v>
      </c>
      <c r="C2" s="4" t="s">
        <v>22</v>
      </c>
      <c r="D2" s="11">
        <f>SUM(1503)</f>
        <v>1503</v>
      </c>
      <c r="E2" s="11">
        <f>SUM(83)</f>
        <v>83</v>
      </c>
      <c r="F2" s="12">
        <f>SUM(D2/E2)</f>
        <v>18.108433734939759</v>
      </c>
      <c r="G2" s="11">
        <v>1</v>
      </c>
      <c r="H2" s="11">
        <v>1</v>
      </c>
      <c r="I2" s="11"/>
      <c r="J2" s="11"/>
      <c r="K2" s="11"/>
      <c r="L2" s="11">
        <v>6</v>
      </c>
      <c r="M2" s="13"/>
    </row>
    <row r="3" spans="1:13" ht="18.5" x14ac:dyDescent="0.45">
      <c r="A3" s="3">
        <v>2</v>
      </c>
      <c r="B3" s="4" t="s">
        <v>19</v>
      </c>
      <c r="C3" s="4" t="s">
        <v>14</v>
      </c>
      <c r="D3" s="11">
        <f>SUM(1503+1501+1499+1401+1471+1481+1487+1503+1471+1467+1501)</f>
        <v>16285</v>
      </c>
      <c r="E3" s="11">
        <f>SUM(88+78+80+76+97+122+74+97+91+81+103)</f>
        <v>987</v>
      </c>
      <c r="F3" s="12">
        <f>SUM(D3/E3)</f>
        <v>16.499493414387032</v>
      </c>
      <c r="G3" s="11">
        <v>11</v>
      </c>
      <c r="H3" s="11">
        <v>9</v>
      </c>
      <c r="I3" s="11"/>
      <c r="J3" s="11"/>
      <c r="K3" s="11"/>
      <c r="L3" s="11">
        <v>49.5</v>
      </c>
      <c r="M3" s="13">
        <v>20</v>
      </c>
    </row>
    <row r="4" spans="1:13" ht="18.5" x14ac:dyDescent="0.45">
      <c r="A4" s="3">
        <v>3</v>
      </c>
      <c r="B4" s="4" t="s">
        <v>23</v>
      </c>
      <c r="C4" s="4" t="s">
        <v>14</v>
      </c>
      <c r="D4" s="11">
        <f>SUM(1503+1503+1503+1479+1498+1336+1503+1501+1479+1495+1503+1431+1503)</f>
        <v>19237</v>
      </c>
      <c r="E4" s="11">
        <f>SUM(93+102+87+75+85+80+94+92+94+98+86+91+90)</f>
        <v>1167</v>
      </c>
      <c r="F4" s="12">
        <f>SUM(D4/E4)</f>
        <v>16.484147386461011</v>
      </c>
      <c r="G4" s="11">
        <v>13</v>
      </c>
      <c r="H4" s="11">
        <v>9</v>
      </c>
      <c r="I4" s="11">
        <v>1</v>
      </c>
      <c r="J4" s="11"/>
      <c r="K4" s="11">
        <v>1</v>
      </c>
      <c r="L4" s="11">
        <v>56.5</v>
      </c>
      <c r="M4" s="13">
        <v>5</v>
      </c>
    </row>
    <row r="5" spans="1:13" ht="18.5" x14ac:dyDescent="0.45">
      <c r="A5" s="3">
        <v>4</v>
      </c>
      <c r="B5" s="4" t="s">
        <v>13</v>
      </c>
      <c r="C5" s="4" t="s">
        <v>14</v>
      </c>
      <c r="D5" s="11">
        <f>SUM(1503+1493+1483+1503+1347+1503+1471+1503+1428+1415+1503+1471)</f>
        <v>17623</v>
      </c>
      <c r="E5" s="11">
        <f>SUM(87+94+89+105+89+91+89+89+89+84+94+86)</f>
        <v>1086</v>
      </c>
      <c r="F5" s="12">
        <f>SUM(D5/E5)</f>
        <v>16.227440147329649</v>
      </c>
      <c r="G5" s="11">
        <v>12</v>
      </c>
      <c r="H5" s="11">
        <v>10</v>
      </c>
      <c r="I5" s="11"/>
      <c r="J5" s="11"/>
      <c r="K5" s="11"/>
      <c r="L5" s="11">
        <v>51</v>
      </c>
      <c r="M5" s="13">
        <v>5</v>
      </c>
    </row>
    <row r="6" spans="1:13" ht="18.5" x14ac:dyDescent="0.45">
      <c r="A6" s="3">
        <v>5</v>
      </c>
      <c r="B6" s="4" t="s">
        <v>11</v>
      </c>
      <c r="C6" s="4" t="s">
        <v>12</v>
      </c>
      <c r="D6" s="11">
        <f>SUM(1434+1499+1503+1463+1490+1467+1348+1437+1503+1503+1483)</f>
        <v>16130</v>
      </c>
      <c r="E6" s="11">
        <f>SUM(78+102+87+91+93+109+93+93+84+76+100)</f>
        <v>1006</v>
      </c>
      <c r="F6" s="12">
        <f>SUM(D6/E6)</f>
        <v>16.033797216699803</v>
      </c>
      <c r="G6" s="11">
        <v>11</v>
      </c>
      <c r="H6" s="11">
        <v>7</v>
      </c>
      <c r="I6" s="11">
        <v>1</v>
      </c>
      <c r="J6" s="11"/>
      <c r="K6" s="11"/>
      <c r="L6" s="11">
        <v>40.5</v>
      </c>
      <c r="M6" s="13">
        <v>25</v>
      </c>
    </row>
    <row r="7" spans="1:13" ht="18.5" x14ac:dyDescent="0.45">
      <c r="A7" s="3">
        <v>6</v>
      </c>
      <c r="B7" s="4" t="s">
        <v>26</v>
      </c>
      <c r="C7" s="4" t="s">
        <v>18</v>
      </c>
      <c r="D7" s="11">
        <f>SUM(1501+1503+1503+1491+1412+1503+1462+1503+1373+1501+1463+1503)</f>
        <v>17718</v>
      </c>
      <c r="E7" s="11">
        <f>SUM(125+90+100+97+76+91+89+98+102+95+79+73)</f>
        <v>1115</v>
      </c>
      <c r="F7" s="12">
        <f>SUM(D7/E7)</f>
        <v>15.890582959641256</v>
      </c>
      <c r="G7" s="11">
        <v>12</v>
      </c>
      <c r="H7" s="11">
        <v>9</v>
      </c>
      <c r="I7" s="11"/>
      <c r="J7" s="11"/>
      <c r="K7" s="11">
        <v>1</v>
      </c>
      <c r="L7" s="11">
        <v>45.5</v>
      </c>
      <c r="M7" s="13">
        <v>25</v>
      </c>
    </row>
    <row r="8" spans="1:13" ht="18.5" x14ac:dyDescent="0.45">
      <c r="A8" s="3">
        <v>7</v>
      </c>
      <c r="B8" s="4" t="s">
        <v>15</v>
      </c>
      <c r="C8" s="4" t="s">
        <v>16</v>
      </c>
      <c r="D8" s="11">
        <f>SUM(1439+1494+1469+1433+1433+1403+1360+1481+1457+1473+1373+1503+1483)</f>
        <v>18801</v>
      </c>
      <c r="E8" s="11">
        <f>SUM(83+92+88+91+92+75+104+114+90+111+84+87+84)</f>
        <v>1195</v>
      </c>
      <c r="F8" s="12">
        <f>SUM(D8/E8)</f>
        <v>15.733054393305439</v>
      </c>
      <c r="G8" s="11">
        <v>13</v>
      </c>
      <c r="H8" s="11">
        <v>4</v>
      </c>
      <c r="I8" s="11"/>
      <c r="J8" s="11"/>
      <c r="K8" s="11"/>
      <c r="L8" s="11">
        <v>37</v>
      </c>
      <c r="M8" s="13">
        <v>10</v>
      </c>
    </row>
    <row r="9" spans="1:13" ht="18.5" x14ac:dyDescent="0.45">
      <c r="A9" s="3">
        <v>8</v>
      </c>
      <c r="B9" s="4" t="s">
        <v>41</v>
      </c>
      <c r="C9" s="4" t="s">
        <v>16</v>
      </c>
      <c r="D9" s="11">
        <f>SUM(1305+1155+1497+1433+1488+1439+1495+1503+1503+1473+1462+1412+1503)</f>
        <v>18668</v>
      </c>
      <c r="E9" s="11">
        <f>SUM(82+73+109+98+104+100+102+79+98+85+87+106+89)</f>
        <v>1212</v>
      </c>
      <c r="F9" s="12">
        <f>SUM(D9/E9)</f>
        <v>15.402640264026402</v>
      </c>
      <c r="G9" s="11">
        <v>13</v>
      </c>
      <c r="H9" s="11">
        <v>10</v>
      </c>
      <c r="I9" s="11"/>
      <c r="J9" s="11"/>
      <c r="K9" s="11"/>
      <c r="L9" s="11">
        <v>50.5</v>
      </c>
      <c r="M9" s="13">
        <v>10</v>
      </c>
    </row>
    <row r="10" spans="1:13" ht="18.5" x14ac:dyDescent="0.45">
      <c r="A10" s="3">
        <v>9</v>
      </c>
      <c r="B10" s="4" t="s">
        <v>115</v>
      </c>
      <c r="C10" s="4" t="s">
        <v>103</v>
      </c>
      <c r="D10" s="11">
        <f>SUM(1503+1473+1444+1426+1498+1392+1474+1503+1471+1276)</f>
        <v>14460</v>
      </c>
      <c r="E10" s="11">
        <f>SUM(115+100+87+93+103+86+98+101+107+69)</f>
        <v>959</v>
      </c>
      <c r="F10" s="12">
        <f>SUM(D10/E10)</f>
        <v>15.07820646506778</v>
      </c>
      <c r="G10" s="11">
        <v>10</v>
      </c>
      <c r="H10" s="11">
        <v>7</v>
      </c>
      <c r="I10" s="11"/>
      <c r="J10" s="11"/>
      <c r="K10" s="11"/>
      <c r="L10" s="11">
        <v>32</v>
      </c>
      <c r="M10" s="13"/>
    </row>
    <row r="11" spans="1:13" ht="18.5" x14ac:dyDescent="0.45">
      <c r="A11" s="3">
        <v>10</v>
      </c>
      <c r="B11" s="15" t="s">
        <v>31</v>
      </c>
      <c r="C11" s="4" t="s">
        <v>32</v>
      </c>
      <c r="D11" s="11">
        <f>SUM(1463+1440+1348+1483+1155+1501+1486+1449+1503+1503+1338+1447+1501)</f>
        <v>18617</v>
      </c>
      <c r="E11" s="11">
        <f>SUM(87+90+90+101+80+109+137+80+104+115+91+107+82)</f>
        <v>1273</v>
      </c>
      <c r="F11" s="12">
        <f>SUM(D11/E11)</f>
        <v>14.624509033778477</v>
      </c>
      <c r="G11" s="11">
        <v>13</v>
      </c>
      <c r="H11" s="11">
        <v>7</v>
      </c>
      <c r="I11" s="11"/>
      <c r="J11" s="11"/>
      <c r="K11" s="11">
        <v>1</v>
      </c>
      <c r="L11" s="11">
        <v>37.5</v>
      </c>
      <c r="M11" s="13">
        <v>25</v>
      </c>
    </row>
    <row r="12" spans="1:13" ht="18.5" x14ac:dyDescent="0.45">
      <c r="A12" s="3">
        <v>11</v>
      </c>
      <c r="B12" s="15" t="s">
        <v>81</v>
      </c>
      <c r="C12" s="4" t="s">
        <v>89</v>
      </c>
      <c r="D12" s="11">
        <f>SUM(1431+1330+1465+1356+1495+1483+1453+1410+1431+1352+1271+1307)</f>
        <v>16784</v>
      </c>
      <c r="E12" s="11">
        <f>SUM(111+103+105+76+116+100+108+82+93+78+87+100)</f>
        <v>1159</v>
      </c>
      <c r="F12" s="12">
        <f>SUM(D12/E12)</f>
        <v>14.481449525452977</v>
      </c>
      <c r="G12" s="11">
        <v>12</v>
      </c>
      <c r="H12" s="11">
        <v>6</v>
      </c>
      <c r="I12" s="11"/>
      <c r="J12" s="11"/>
      <c r="K12" s="11"/>
      <c r="L12" s="11">
        <v>31.5</v>
      </c>
      <c r="M12" s="13">
        <v>5</v>
      </c>
    </row>
    <row r="13" spans="1:13" ht="18.5" x14ac:dyDescent="0.45">
      <c r="A13" s="3">
        <v>12</v>
      </c>
      <c r="B13" s="4" t="s">
        <v>25</v>
      </c>
      <c r="C13" s="4" t="s">
        <v>12</v>
      </c>
      <c r="D13" s="11">
        <f>SUM(1124+1503+1455+1463+1431+1419+1263+1357+1495+1381+1337)</f>
        <v>15228</v>
      </c>
      <c r="E13" s="11">
        <f>SUM(81+82+115+97+102+100+96+80+135+101+83)</f>
        <v>1072</v>
      </c>
      <c r="F13" s="12">
        <f>SUM(D13/E13)</f>
        <v>14.205223880597014</v>
      </c>
      <c r="G13" s="11">
        <v>11</v>
      </c>
      <c r="H13" s="11">
        <v>5</v>
      </c>
      <c r="I13" s="11"/>
      <c r="J13" s="11">
        <v>1</v>
      </c>
      <c r="K13" s="11"/>
      <c r="L13" s="11">
        <v>34.5</v>
      </c>
      <c r="M13" s="13">
        <v>5</v>
      </c>
    </row>
    <row r="14" spans="1:13" ht="18.5" x14ac:dyDescent="0.45">
      <c r="A14" s="3">
        <v>13</v>
      </c>
      <c r="B14" s="3" t="s">
        <v>33</v>
      </c>
      <c r="C14" s="4" t="s">
        <v>22</v>
      </c>
      <c r="D14" s="11">
        <f>SUM(1385+1499+1356+1205+1499+1449+1503+1259+1262+1306+1464+1471+1453)</f>
        <v>18111</v>
      </c>
      <c r="E14" s="11">
        <f>SUM(79+109+82+81+141+120+114+89+93+95+87+103+89)</f>
        <v>1282</v>
      </c>
      <c r="F14" s="12">
        <f>SUM(D14/E14)</f>
        <v>14.127145085803432</v>
      </c>
      <c r="G14" s="11">
        <v>13</v>
      </c>
      <c r="H14" s="11">
        <v>9</v>
      </c>
      <c r="I14" s="11"/>
      <c r="J14" s="11"/>
      <c r="K14" s="11">
        <v>1</v>
      </c>
      <c r="L14" s="11">
        <v>45</v>
      </c>
      <c r="M14" s="13">
        <v>5</v>
      </c>
    </row>
    <row r="15" spans="1:13" ht="18.5" x14ac:dyDescent="0.45">
      <c r="A15" s="3">
        <v>14</v>
      </c>
      <c r="B15" s="15" t="s">
        <v>64</v>
      </c>
      <c r="C15" s="7" t="s">
        <v>27</v>
      </c>
      <c r="D15" s="11">
        <f>SUM(1501+1463+1503+1285+1296+1461+1463+1403+1462+1503+1501)</f>
        <v>15841</v>
      </c>
      <c r="E15" s="11">
        <f>SUM(113+99+115+86+72+103+96+102+99+135+106)</f>
        <v>1126</v>
      </c>
      <c r="F15" s="12">
        <f>SUM(D15/E15)</f>
        <v>14.068383658969804</v>
      </c>
      <c r="G15" s="11">
        <v>11</v>
      </c>
      <c r="H15" s="11">
        <v>6</v>
      </c>
      <c r="I15" s="11"/>
      <c r="J15" s="11"/>
      <c r="K15" s="11"/>
      <c r="L15" s="11">
        <v>33.5</v>
      </c>
      <c r="M15" s="13">
        <v>10</v>
      </c>
    </row>
    <row r="16" spans="1:13" ht="18.5" x14ac:dyDescent="0.45">
      <c r="A16" s="3">
        <v>15</v>
      </c>
      <c r="B16" s="3" t="s">
        <v>21</v>
      </c>
      <c r="C16" s="4" t="s">
        <v>22</v>
      </c>
      <c r="D16" s="11">
        <f>SUM(1399+1503+1274+1463+1443+1165+1500+1475+1335+1231+1503+1459)</f>
        <v>16750</v>
      </c>
      <c r="E16" s="11">
        <f>SUM(82+109+87+114+103+86+141+97+93+90+91+100)</f>
        <v>1193</v>
      </c>
      <c r="F16" s="12">
        <f>SUM(D16/E16)</f>
        <v>14.040234702430846</v>
      </c>
      <c r="G16" s="11">
        <v>12</v>
      </c>
      <c r="H16" s="11">
        <v>4</v>
      </c>
      <c r="I16" s="11"/>
      <c r="J16" s="11"/>
      <c r="K16" s="11"/>
      <c r="L16" s="11">
        <v>38</v>
      </c>
      <c r="M16" s="13"/>
    </row>
    <row r="17" spans="1:13" ht="18.5" x14ac:dyDescent="0.45">
      <c r="A17" s="3">
        <v>16</v>
      </c>
      <c r="B17" s="3" t="s">
        <v>17</v>
      </c>
      <c r="C17" s="4" t="s">
        <v>18</v>
      </c>
      <c r="D17" s="11">
        <f>SUM(1503+1238+1475+1503+1447+1455+1297+1438+1503+1503+1363+1495+1434)</f>
        <v>18654</v>
      </c>
      <c r="E17" s="11">
        <f>SUM(101+96+104+93+109+100+96+98+117+101+96+93+129)</f>
        <v>1333</v>
      </c>
      <c r="F17" s="12">
        <f>SUM(D17/E17)</f>
        <v>13.993998499624906</v>
      </c>
      <c r="G17" s="11">
        <v>13</v>
      </c>
      <c r="H17" s="11">
        <v>6</v>
      </c>
      <c r="I17" s="11"/>
      <c r="J17" s="11"/>
      <c r="K17" s="11"/>
      <c r="L17" s="11">
        <v>37.5</v>
      </c>
      <c r="M17" s="13"/>
    </row>
    <row r="18" spans="1:13" ht="18.5" x14ac:dyDescent="0.45">
      <c r="A18" s="3">
        <v>17</v>
      </c>
      <c r="B18" s="15" t="s">
        <v>30</v>
      </c>
      <c r="C18" s="4" t="s">
        <v>22</v>
      </c>
      <c r="D18" s="11">
        <f>SUM(1503+1285+1503+1425+1495+1503+1494+1331+1503+1503+1449+1495)</f>
        <v>17489</v>
      </c>
      <c r="E18" s="11">
        <f>SUM(109+111+88+114+109+111+122+96+89+106+104+96)</f>
        <v>1255</v>
      </c>
      <c r="F18" s="12">
        <f>SUM(D18/E18)</f>
        <v>13.935458167330678</v>
      </c>
      <c r="G18" s="11">
        <v>12</v>
      </c>
      <c r="H18" s="11">
        <v>8</v>
      </c>
      <c r="I18" s="11">
        <v>1</v>
      </c>
      <c r="J18" s="11"/>
      <c r="K18" s="11"/>
      <c r="L18" s="11">
        <v>41</v>
      </c>
      <c r="M18" s="13">
        <v>5</v>
      </c>
    </row>
    <row r="19" spans="1:13" ht="18.5" x14ac:dyDescent="0.45">
      <c r="A19" s="3">
        <v>18</v>
      </c>
      <c r="B19" s="15" t="s">
        <v>148</v>
      </c>
      <c r="C19" s="4" t="s">
        <v>22</v>
      </c>
      <c r="D19" s="11">
        <f>SUM(1455)</f>
        <v>1455</v>
      </c>
      <c r="E19" s="11">
        <f>SUM(105)</f>
        <v>105</v>
      </c>
      <c r="F19" s="12">
        <f>SUM(D19/E19)</f>
        <v>13.857142857142858</v>
      </c>
      <c r="G19" s="11">
        <v>1</v>
      </c>
      <c r="H19" s="11"/>
      <c r="I19" s="11"/>
      <c r="J19" s="11"/>
      <c r="K19" s="11"/>
      <c r="L19" s="11">
        <v>2.5</v>
      </c>
      <c r="M19" s="13"/>
    </row>
    <row r="20" spans="1:13" ht="18.5" x14ac:dyDescent="0.45">
      <c r="A20" s="3">
        <v>19</v>
      </c>
      <c r="B20" s="4" t="s">
        <v>40</v>
      </c>
      <c r="C20" s="4" t="s">
        <v>32</v>
      </c>
      <c r="D20" s="11">
        <f>SUM(1263+1432+1503+1311+1403+1503+1326+1463+1503+1366+1503+1497+1493)</f>
        <v>18566</v>
      </c>
      <c r="E20" s="11">
        <f>SUM(96+111+111+126+84+109+114+94+101+87+100+85+125)</f>
        <v>1343</v>
      </c>
      <c r="F20" s="12">
        <f>SUM(D20/E20)</f>
        <v>13.82427401340283</v>
      </c>
      <c r="G20" s="11">
        <v>13</v>
      </c>
      <c r="H20" s="11">
        <v>8</v>
      </c>
      <c r="I20" s="11"/>
      <c r="J20" s="11"/>
      <c r="K20" s="11"/>
      <c r="L20" s="11">
        <v>35</v>
      </c>
      <c r="M20" s="13">
        <v>5</v>
      </c>
    </row>
    <row r="21" spans="1:13" ht="18.5" x14ac:dyDescent="0.45">
      <c r="A21" s="3">
        <v>20</v>
      </c>
      <c r="B21" s="15" t="s">
        <v>85</v>
      </c>
      <c r="C21" s="4" t="s">
        <v>103</v>
      </c>
      <c r="D21" s="11">
        <f>SUM(1503+1503+1471+1501+1469+1503+1499+1503+1453+1503+1334+1501)</f>
        <v>17743</v>
      </c>
      <c r="E21" s="11">
        <f>SUM(97+85+93+158+100+121+119+98+103+99+81+130)</f>
        <v>1284</v>
      </c>
      <c r="F21" s="12">
        <f>SUM(D21/E21)</f>
        <v>13.818535825545171</v>
      </c>
      <c r="G21" s="11">
        <v>12</v>
      </c>
      <c r="H21" s="11">
        <v>10</v>
      </c>
      <c r="I21" s="11">
        <v>1</v>
      </c>
      <c r="J21" s="11"/>
      <c r="K21" s="11"/>
      <c r="L21" s="11">
        <v>48</v>
      </c>
      <c r="M21" s="13"/>
    </row>
    <row r="22" spans="1:13" ht="18.5" x14ac:dyDescent="0.45">
      <c r="A22" s="3">
        <v>21</v>
      </c>
      <c r="B22" s="4" t="s">
        <v>106</v>
      </c>
      <c r="C22" s="4" t="s">
        <v>12</v>
      </c>
      <c r="D22" s="11">
        <f>SUM(1503+1484+1456+1503+1447+1225+1487+1433+1368+1487+1439+1326)</f>
        <v>17158</v>
      </c>
      <c r="E22" s="11">
        <f>SUM(116+103+94+129+108+88+131+86+86+104+123+87)</f>
        <v>1255</v>
      </c>
      <c r="F22" s="12">
        <f>SUM(D22/E22)</f>
        <v>13.671713147410358</v>
      </c>
      <c r="G22" s="11">
        <v>12</v>
      </c>
      <c r="H22" s="11">
        <v>4</v>
      </c>
      <c r="I22" s="11"/>
      <c r="J22" s="11"/>
      <c r="K22" s="11"/>
      <c r="L22" s="11">
        <v>40</v>
      </c>
      <c r="M22" s="13">
        <v>5</v>
      </c>
    </row>
    <row r="23" spans="1:13" ht="18.5" x14ac:dyDescent="0.45">
      <c r="A23" s="3">
        <v>22</v>
      </c>
      <c r="B23" s="15" t="s">
        <v>71</v>
      </c>
      <c r="C23" s="4" t="s">
        <v>16</v>
      </c>
      <c r="D23" s="11">
        <f>SUM(1373+1159+1501+1471+1503+1503+1258+1503+1292+1467+1409)</f>
        <v>15439</v>
      </c>
      <c r="E23" s="11">
        <f>SUM(111+99+117+102+95+133+96+95+93+106+100)</f>
        <v>1147</v>
      </c>
      <c r="F23" s="12">
        <f>SUM(D23/E23)</f>
        <v>13.460331299040977</v>
      </c>
      <c r="G23" s="11">
        <v>11</v>
      </c>
      <c r="H23" s="11">
        <v>5</v>
      </c>
      <c r="I23" s="11"/>
      <c r="J23" s="11"/>
      <c r="K23" s="11"/>
      <c r="L23" s="11">
        <v>30</v>
      </c>
      <c r="M23" s="13"/>
    </row>
    <row r="24" spans="1:13" ht="18.5" x14ac:dyDescent="0.45">
      <c r="A24" s="3">
        <v>23</v>
      </c>
      <c r="B24" s="15" t="s">
        <v>82</v>
      </c>
      <c r="C24" s="7" t="s">
        <v>89</v>
      </c>
      <c r="D24" s="11">
        <f>SUM(1451+1138+1313+1427+1430+1357+1305+1159+1368+1467+1387)</f>
        <v>14802</v>
      </c>
      <c r="E24" s="11">
        <f>SUM(115+81+108+114+112+96+90+90+108+100+90)</f>
        <v>1104</v>
      </c>
      <c r="F24" s="12">
        <f>SUM(D24/E24)</f>
        <v>13.407608695652174</v>
      </c>
      <c r="G24" s="11">
        <v>11</v>
      </c>
      <c r="H24" s="11">
        <v>3</v>
      </c>
      <c r="I24" s="11"/>
      <c r="J24" s="11"/>
      <c r="K24" s="11"/>
      <c r="L24" s="11">
        <v>23</v>
      </c>
      <c r="M24" s="13"/>
    </row>
    <row r="25" spans="1:13" ht="18.5" x14ac:dyDescent="0.45">
      <c r="A25" s="3">
        <v>24</v>
      </c>
      <c r="B25" s="4" t="s">
        <v>29</v>
      </c>
      <c r="C25" s="4" t="s">
        <v>66</v>
      </c>
      <c r="D25" s="11">
        <f>SUM(1467+1499+1403+1499+1276+1487+1439+1503+1305+1318+1276+1456+1427)</f>
        <v>18355</v>
      </c>
      <c r="E25" s="11">
        <f>SUM(129+121+106+120+102+101+99+117+93+102+72+132+86)</f>
        <v>1380</v>
      </c>
      <c r="F25" s="12">
        <f>SUM(D25/E25)</f>
        <v>13.30072463768116</v>
      </c>
      <c r="G25" s="11">
        <v>13</v>
      </c>
      <c r="H25" s="11">
        <v>5</v>
      </c>
      <c r="I25" s="11"/>
      <c r="J25" s="11"/>
      <c r="K25" s="11"/>
      <c r="L25" s="11">
        <v>30</v>
      </c>
      <c r="M25" s="13">
        <v>5</v>
      </c>
    </row>
    <row r="26" spans="1:13" ht="18.5" x14ac:dyDescent="0.45">
      <c r="A26" s="3">
        <v>25</v>
      </c>
      <c r="B26" s="7" t="s">
        <v>24</v>
      </c>
      <c r="C26" s="4" t="s">
        <v>22</v>
      </c>
      <c r="D26" s="11">
        <f>SUM(1465+1469+1456+1497+1481+1470+1495+1478+1463+1483+1493+1480+1278)</f>
        <v>19008</v>
      </c>
      <c r="E26" s="11">
        <f>SUM(109+117+124+101+127+93+115+98+107+115+120+121+86)</f>
        <v>1433</v>
      </c>
      <c r="F26" s="12">
        <f>SUM(D26/E26)</f>
        <v>13.264480111653873</v>
      </c>
      <c r="G26" s="11">
        <v>13</v>
      </c>
      <c r="H26" s="11">
        <v>7</v>
      </c>
      <c r="I26" s="11"/>
      <c r="J26" s="11"/>
      <c r="K26" s="11"/>
      <c r="L26" s="11">
        <v>42.5</v>
      </c>
      <c r="M26" s="13"/>
    </row>
    <row r="27" spans="1:13" ht="18.5" x14ac:dyDescent="0.45">
      <c r="A27" s="3">
        <v>26</v>
      </c>
      <c r="B27" s="7" t="s">
        <v>79</v>
      </c>
      <c r="C27" s="4" t="s">
        <v>89</v>
      </c>
      <c r="D27" s="11">
        <f>SUM(1393+1406+1309+1237+1494+1503+1495+1501+1305+1365+1454+1171+1264)</f>
        <v>17897</v>
      </c>
      <c r="E27" s="11">
        <f>SUM(111+98+89+99+156+103+139+117+120+86+84+84+83)</f>
        <v>1369</v>
      </c>
      <c r="F27" s="12">
        <f>SUM(D27/E27)</f>
        <v>13.073046018991965</v>
      </c>
      <c r="G27" s="11">
        <v>13</v>
      </c>
      <c r="H27" s="11">
        <v>6</v>
      </c>
      <c r="I27" s="11"/>
      <c r="J27" s="11"/>
      <c r="K27" s="11"/>
      <c r="L27" s="11">
        <v>33.5</v>
      </c>
      <c r="M27" s="13">
        <v>10</v>
      </c>
    </row>
    <row r="28" spans="1:13" ht="18.5" x14ac:dyDescent="0.45">
      <c r="A28" s="3">
        <v>27</v>
      </c>
      <c r="B28" s="9" t="s">
        <v>69</v>
      </c>
      <c r="C28" s="4" t="s">
        <v>14</v>
      </c>
      <c r="D28" s="11">
        <f>SUM(1497+1503+1455+1503+1487+1463+1503+1439+1453+1493+1499+1499)</f>
        <v>17794</v>
      </c>
      <c r="E28" s="11">
        <f>SUM(119+89+126+118+133+86+148+105+111+101+128+99)</f>
        <v>1363</v>
      </c>
      <c r="F28" s="12">
        <f>SUM(D28/E28)</f>
        <v>13.055025678650036</v>
      </c>
      <c r="G28" s="11">
        <v>12</v>
      </c>
      <c r="H28" s="11">
        <v>8</v>
      </c>
      <c r="I28" s="11"/>
      <c r="J28" s="11"/>
      <c r="K28" s="11"/>
      <c r="L28" s="11">
        <v>46.5</v>
      </c>
      <c r="M28" s="13"/>
    </row>
    <row r="29" spans="1:13" ht="18.5" x14ac:dyDescent="0.45">
      <c r="A29" s="3">
        <v>28</v>
      </c>
      <c r="B29" s="9" t="s">
        <v>65</v>
      </c>
      <c r="C29" s="4" t="s">
        <v>27</v>
      </c>
      <c r="D29" s="11">
        <f>SUM(1423+1499+1489+1368+1469+1306+1295+1430+1434+1268+1491+1374)</f>
        <v>16846</v>
      </c>
      <c r="E29" s="11">
        <f>SUM(103+114+104+113+102+86+125+99+102+102+145+96)</f>
        <v>1291</v>
      </c>
      <c r="F29" s="12">
        <f>SUM(D29/E29)</f>
        <v>13.048799380325329</v>
      </c>
      <c r="G29" s="11">
        <v>12</v>
      </c>
      <c r="H29" s="11">
        <v>8</v>
      </c>
      <c r="I29" s="11"/>
      <c r="J29" s="11"/>
      <c r="K29" s="11">
        <v>1</v>
      </c>
      <c r="L29" s="11">
        <v>32</v>
      </c>
      <c r="M29" s="13">
        <v>5</v>
      </c>
    </row>
    <row r="30" spans="1:13" ht="18.5" x14ac:dyDescent="0.45">
      <c r="A30" s="3">
        <v>29</v>
      </c>
      <c r="B30" s="7" t="s">
        <v>28</v>
      </c>
      <c r="C30" s="4" t="s">
        <v>12</v>
      </c>
      <c r="D30" s="11">
        <f>SUM(1228+1398+1503+1422+1503+1501+1252+1503+1503+1503+1497+1485+1499)</f>
        <v>18797</v>
      </c>
      <c r="E30" s="11">
        <f>SUM(90+96+119+100+121+136+110+130+110+124+117+105+100)</f>
        <v>1458</v>
      </c>
      <c r="F30" s="12">
        <f>SUM(D30/E30)</f>
        <v>12.892318244170095</v>
      </c>
      <c r="G30" s="11">
        <v>13</v>
      </c>
      <c r="H30" s="11">
        <v>9</v>
      </c>
      <c r="I30" s="11"/>
      <c r="J30" s="11"/>
      <c r="K30" s="11"/>
      <c r="L30" s="11">
        <v>40</v>
      </c>
      <c r="M30" s="13">
        <v>5</v>
      </c>
    </row>
    <row r="31" spans="1:13" ht="18.5" x14ac:dyDescent="0.45">
      <c r="A31" s="3">
        <v>30</v>
      </c>
      <c r="B31" s="9" t="s">
        <v>34</v>
      </c>
      <c r="C31" s="4" t="s">
        <v>27</v>
      </c>
      <c r="D31" s="11">
        <f>SUM(1315+1435+1406+1490+1393+1184+1448+1481+1479+1335+1436)</f>
        <v>15402</v>
      </c>
      <c r="E31" s="11">
        <f>SUM(90+109+99+157+128+86+96+146+91+96+101)</f>
        <v>1199</v>
      </c>
      <c r="F31" s="12">
        <f>SUM(D31/E31)</f>
        <v>12.845704753961634</v>
      </c>
      <c r="G31" s="11">
        <v>11</v>
      </c>
      <c r="H31" s="11">
        <v>7</v>
      </c>
      <c r="I31" s="11"/>
      <c r="J31" s="11"/>
      <c r="K31" s="11"/>
      <c r="L31" s="11">
        <v>30.5</v>
      </c>
      <c r="M31" s="13"/>
    </row>
    <row r="32" spans="1:13" ht="18.5" x14ac:dyDescent="0.45">
      <c r="A32" s="3">
        <v>31</v>
      </c>
      <c r="B32" s="58" t="s">
        <v>78</v>
      </c>
      <c r="C32" s="8" t="s">
        <v>18</v>
      </c>
      <c r="D32" s="11">
        <f>SUM(1503+1488+1478+1211+1473+1495+1492+1500+1447+1497)</f>
        <v>14584</v>
      </c>
      <c r="E32" s="11">
        <f>SUM(102+160+117+90+93+96+94+146+125+118)</f>
        <v>1141</v>
      </c>
      <c r="F32" s="12">
        <f>SUM(D32/E32)</f>
        <v>12.781770376862401</v>
      </c>
      <c r="G32" s="11">
        <v>10</v>
      </c>
      <c r="H32" s="11">
        <v>6</v>
      </c>
      <c r="I32" s="11"/>
      <c r="J32" s="11"/>
      <c r="K32" s="11"/>
      <c r="L32" s="11">
        <v>24</v>
      </c>
      <c r="M32" s="13"/>
    </row>
    <row r="33" spans="1:13" ht="18.5" x14ac:dyDescent="0.45">
      <c r="A33" s="3">
        <v>32</v>
      </c>
      <c r="B33" s="7" t="s">
        <v>84</v>
      </c>
      <c r="C33" s="7" t="s">
        <v>103</v>
      </c>
      <c r="D33" s="11">
        <f>SUM(1385+1489+1228+1410+1447+1440+1360+1503+1467+1421+1503+1354)</f>
        <v>17007</v>
      </c>
      <c r="E33" s="11">
        <f>SUM(107+126+87+126+108+106+96+113+107+128+119+114)</f>
        <v>1337</v>
      </c>
      <c r="F33" s="12">
        <f>SUM(D33/E33)</f>
        <v>12.720269259536275</v>
      </c>
      <c r="G33" s="11">
        <v>12</v>
      </c>
      <c r="H33" s="11">
        <v>4</v>
      </c>
      <c r="I33" s="11"/>
      <c r="J33" s="11"/>
      <c r="K33" s="11"/>
      <c r="L33" s="11">
        <v>28</v>
      </c>
      <c r="M33" s="13"/>
    </row>
    <row r="34" spans="1:13" ht="18.5" x14ac:dyDescent="0.45">
      <c r="A34" s="3">
        <v>33</v>
      </c>
      <c r="B34" s="16" t="s">
        <v>20</v>
      </c>
      <c r="C34" s="7" t="s">
        <v>16</v>
      </c>
      <c r="D34" s="11">
        <f>SUM(1316+1259+1404+1356+1498+1491+1503+1483+1503+1500)</f>
        <v>14313</v>
      </c>
      <c r="E34" s="11">
        <f>SUM(107+90+101+97+152+107+134+97+122+122)</f>
        <v>1129</v>
      </c>
      <c r="F34" s="12">
        <f>SUM(D34/E34)</f>
        <v>12.677590788308237</v>
      </c>
      <c r="G34" s="11">
        <v>10</v>
      </c>
      <c r="H34" s="11">
        <v>5</v>
      </c>
      <c r="I34" s="11"/>
      <c r="J34" s="11"/>
      <c r="K34" s="11"/>
      <c r="L34" s="11">
        <v>37</v>
      </c>
      <c r="M34" s="13"/>
    </row>
    <row r="35" spans="1:13" ht="18.5" x14ac:dyDescent="0.45">
      <c r="A35" s="3">
        <v>34</v>
      </c>
      <c r="B35" s="15" t="s">
        <v>63</v>
      </c>
      <c r="C35" s="4" t="s">
        <v>27</v>
      </c>
      <c r="D35" s="11">
        <f>SUM(1424+1501+1501+1473+1429+1406+1479+1503+1503+1401+1503+1498)</f>
        <v>17621</v>
      </c>
      <c r="E35" s="11">
        <f>SUM(90+147+123+91+148+90+118+133+130+130+116+89)</f>
        <v>1405</v>
      </c>
      <c r="F35" s="12">
        <f>SUM(D35/E35)</f>
        <v>12.541637010676157</v>
      </c>
      <c r="G35" s="11">
        <v>12</v>
      </c>
      <c r="H35" s="11">
        <v>9</v>
      </c>
      <c r="I35" s="11"/>
      <c r="J35" s="11"/>
      <c r="K35" s="11"/>
      <c r="L35" s="11">
        <v>39.5</v>
      </c>
      <c r="M35" s="13"/>
    </row>
    <row r="36" spans="1:13" ht="18.5" x14ac:dyDescent="0.45">
      <c r="A36" s="3">
        <v>35</v>
      </c>
      <c r="B36" s="16" t="s">
        <v>37</v>
      </c>
      <c r="C36" s="4" t="s">
        <v>66</v>
      </c>
      <c r="D36" s="11">
        <f>SUM(1218+1106+1372+1315+1297+1210+1169+832+1252+1471+1501)</f>
        <v>13743</v>
      </c>
      <c r="E36" s="11">
        <f>SUM(96+84+120+102+141+96+93+72+96+108+103)</f>
        <v>1111</v>
      </c>
      <c r="F36" s="12">
        <f>SUM(D36/E36)</f>
        <v>12.369936993699369</v>
      </c>
      <c r="G36" s="11">
        <v>11</v>
      </c>
      <c r="H36" s="11">
        <v>1</v>
      </c>
      <c r="I36" s="11"/>
      <c r="J36" s="11"/>
      <c r="K36" s="11"/>
      <c r="L36" s="11">
        <v>16</v>
      </c>
      <c r="M36" s="13"/>
    </row>
    <row r="37" spans="1:13" ht="18.5" x14ac:dyDescent="0.45">
      <c r="A37" s="3">
        <v>36</v>
      </c>
      <c r="B37" s="10" t="s">
        <v>72</v>
      </c>
      <c r="C37" s="7" t="s">
        <v>12</v>
      </c>
      <c r="D37" s="11">
        <f>SUM(1409+1503+1471+1479+1418)</f>
        <v>7280</v>
      </c>
      <c r="E37" s="11">
        <f>SUM(119+107+121+122+126)</f>
        <v>595</v>
      </c>
      <c r="F37" s="12">
        <f>SUM(D37/E37)</f>
        <v>12.235294117647058</v>
      </c>
      <c r="G37" s="11">
        <v>5</v>
      </c>
      <c r="H37" s="11">
        <v>2</v>
      </c>
      <c r="I37" s="11"/>
      <c r="J37" s="11"/>
      <c r="K37" s="11"/>
      <c r="L37" s="11">
        <v>15</v>
      </c>
      <c r="M37" s="13"/>
    </row>
    <row r="38" spans="1:13" ht="18.5" x14ac:dyDescent="0.45">
      <c r="A38" s="3">
        <v>37</v>
      </c>
      <c r="B38" s="16" t="s">
        <v>107</v>
      </c>
      <c r="C38" s="7" t="s">
        <v>14</v>
      </c>
      <c r="D38" s="11">
        <f>SUM(1081+1364+1494+1501)</f>
        <v>5440</v>
      </c>
      <c r="E38" s="11">
        <f>SUM(81+113+137+126)</f>
        <v>457</v>
      </c>
      <c r="F38" s="12">
        <f>SUM(D38/E38)</f>
        <v>11.903719912472647</v>
      </c>
      <c r="G38" s="11">
        <v>4</v>
      </c>
      <c r="H38" s="11">
        <v>1</v>
      </c>
      <c r="I38" s="11"/>
      <c r="J38" s="11"/>
      <c r="K38" s="11"/>
      <c r="L38" s="11">
        <v>10.5</v>
      </c>
      <c r="M38" s="13">
        <v>5</v>
      </c>
    </row>
    <row r="39" spans="1:13" ht="18.5" x14ac:dyDescent="0.45">
      <c r="A39" s="3">
        <v>38</v>
      </c>
      <c r="B39" s="10" t="s">
        <v>43</v>
      </c>
      <c r="C39" s="7" t="s">
        <v>66</v>
      </c>
      <c r="D39" s="11">
        <f>SUM(1252+1503+1201+1498+1182+1482+1183+1503+1393+1484+1489+1495+1331)</f>
        <v>17996</v>
      </c>
      <c r="E39" s="11">
        <f>SUM(120+142+91+137+104+119+89+94+117+102+129+144+126)</f>
        <v>1514</v>
      </c>
      <c r="F39" s="12">
        <f>SUM(D39/E39)</f>
        <v>11.886393659180978</v>
      </c>
      <c r="G39" s="11">
        <v>13</v>
      </c>
      <c r="H39" s="11">
        <v>4</v>
      </c>
      <c r="I39" s="11"/>
      <c r="J39" s="11"/>
      <c r="K39" s="11"/>
      <c r="L39" s="11">
        <v>32</v>
      </c>
      <c r="M39" s="13">
        <v>10</v>
      </c>
    </row>
    <row r="40" spans="1:13" ht="18.5" x14ac:dyDescent="0.45">
      <c r="A40" s="3">
        <v>39</v>
      </c>
      <c r="B40" s="16" t="s">
        <v>80</v>
      </c>
      <c r="C40" s="7" t="s">
        <v>89</v>
      </c>
      <c r="D40" s="11">
        <f>SUM(1219+1493+1395+1489+1374)</f>
        <v>6970</v>
      </c>
      <c r="E40" s="11">
        <f>SUM(108+144+107+121+108)</f>
        <v>588</v>
      </c>
      <c r="F40" s="12">
        <f>SUM(D40/E40)</f>
        <v>11.853741496598639</v>
      </c>
      <c r="G40" s="11">
        <v>5</v>
      </c>
      <c r="H40" s="11">
        <v>2</v>
      </c>
      <c r="I40" s="11"/>
      <c r="J40" s="11"/>
      <c r="K40" s="11"/>
      <c r="L40" s="11">
        <v>12.5</v>
      </c>
      <c r="M40" s="13">
        <v>10</v>
      </c>
    </row>
    <row r="41" spans="1:13" ht="18.5" x14ac:dyDescent="0.45">
      <c r="A41" s="3">
        <v>40</v>
      </c>
      <c r="B41" s="16" t="s">
        <v>105</v>
      </c>
      <c r="C41" s="7" t="s">
        <v>89</v>
      </c>
      <c r="D41" s="11">
        <f>SUM(1344+1443+1351+1475+1447+1496+1499+1324+1473+1481+1347)</f>
        <v>15680</v>
      </c>
      <c r="E41" s="11">
        <f>SUM(108+114+117+134+119+115+166+117+122+123+92)</f>
        <v>1327</v>
      </c>
      <c r="F41" s="12">
        <f>SUM(D41/E41)</f>
        <v>11.816126601356443</v>
      </c>
      <c r="G41" s="11">
        <v>11</v>
      </c>
      <c r="H41" s="11">
        <v>3</v>
      </c>
      <c r="I41" s="11"/>
      <c r="J41" s="11"/>
      <c r="K41" s="11"/>
      <c r="L41" s="11">
        <v>26.5</v>
      </c>
      <c r="M41" s="13"/>
    </row>
    <row r="42" spans="1:13" ht="18.5" x14ac:dyDescent="0.45">
      <c r="A42" s="3">
        <v>41</v>
      </c>
      <c r="B42" s="10" t="s">
        <v>42</v>
      </c>
      <c r="C42" s="7" t="s">
        <v>18</v>
      </c>
      <c r="D42" s="11">
        <f>SUM(1503+1503+1497+1499+1503+1419+1503+1378)</f>
        <v>11805</v>
      </c>
      <c r="E42" s="11">
        <f>SUM(133+134+132+103+137+124+111+126)</f>
        <v>1000</v>
      </c>
      <c r="F42" s="12">
        <f>SUM(D42/E42)</f>
        <v>11.805</v>
      </c>
      <c r="G42" s="11">
        <v>8</v>
      </c>
      <c r="H42" s="11">
        <v>6</v>
      </c>
      <c r="I42" s="11"/>
      <c r="J42" s="11"/>
      <c r="K42" s="11"/>
      <c r="L42" s="11">
        <v>31.5</v>
      </c>
      <c r="M42" s="13"/>
    </row>
    <row r="43" spans="1:13" ht="18.5" x14ac:dyDescent="0.45">
      <c r="A43" s="3">
        <v>42</v>
      </c>
      <c r="B43" s="33" t="s">
        <v>83</v>
      </c>
      <c r="C43" s="7" t="s">
        <v>103</v>
      </c>
      <c r="D43" s="11">
        <f>SUM(1448+1487+1481+1487+1483+1498+1497+1499+1491+1503)</f>
        <v>14874</v>
      </c>
      <c r="E43" s="11">
        <f>SUM(144+138+128+104+138+107+104+126+142+129)</f>
        <v>1260</v>
      </c>
      <c r="F43" s="12">
        <f>SUM(D43/E43)</f>
        <v>11.804761904761905</v>
      </c>
      <c r="G43" s="11">
        <v>10</v>
      </c>
      <c r="H43" s="11">
        <v>8</v>
      </c>
      <c r="I43" s="11"/>
      <c r="J43" s="11"/>
      <c r="K43" s="11"/>
      <c r="L43" s="11">
        <v>28.5</v>
      </c>
      <c r="M43" s="13"/>
    </row>
    <row r="44" spans="1:13" ht="18.5" x14ac:dyDescent="0.45">
      <c r="A44" s="3">
        <v>43</v>
      </c>
      <c r="B44" s="15" t="s">
        <v>113</v>
      </c>
      <c r="C44" s="7" t="s">
        <v>16</v>
      </c>
      <c r="D44" s="11">
        <f>SUM(1499)</f>
        <v>1499</v>
      </c>
      <c r="E44" s="11">
        <f>SUM(128)</f>
        <v>128</v>
      </c>
      <c r="F44" s="12">
        <f>SUM(D44/E44)</f>
        <v>11.7109375</v>
      </c>
      <c r="G44" s="11">
        <v>1</v>
      </c>
      <c r="H44" s="11"/>
      <c r="I44" s="11"/>
      <c r="J44" s="11"/>
      <c r="K44" s="11"/>
      <c r="L44" s="11">
        <v>3.5</v>
      </c>
      <c r="M44" s="13"/>
    </row>
    <row r="45" spans="1:13" ht="18.5" x14ac:dyDescent="0.45">
      <c r="A45" s="3">
        <v>44</v>
      </c>
      <c r="B45" s="15" t="s">
        <v>38</v>
      </c>
      <c r="C45" s="4" t="s">
        <v>103</v>
      </c>
      <c r="D45" s="11">
        <f>SUM(1214+1381+1209+1331+1260+1475+1467+1004)</f>
        <v>10341</v>
      </c>
      <c r="E45" s="11">
        <f>SUM(116+115+105+126+116+93+129+84)</f>
        <v>884</v>
      </c>
      <c r="F45" s="12">
        <f>SUM(D45/E45)</f>
        <v>11.697963800904978</v>
      </c>
      <c r="G45" s="11">
        <v>8</v>
      </c>
      <c r="H45" s="11"/>
      <c r="I45" s="11"/>
      <c r="J45" s="11"/>
      <c r="K45" s="11"/>
      <c r="L45" s="11">
        <v>16.5</v>
      </c>
      <c r="M45" s="13"/>
    </row>
    <row r="46" spans="1:13" ht="18.5" x14ac:dyDescent="0.45">
      <c r="A46" s="3">
        <v>45</v>
      </c>
      <c r="B46" s="15" t="s">
        <v>70</v>
      </c>
      <c r="C46" s="4" t="s">
        <v>18</v>
      </c>
      <c r="D46" s="11">
        <f>SUM(1487+1277+1280+1499+1476+1485+1074+1373+1399)</f>
        <v>12350</v>
      </c>
      <c r="E46" s="11">
        <f>SUM(122+115+117+128+151+113+84+99+132)</f>
        <v>1061</v>
      </c>
      <c r="F46" s="12">
        <f>SUM(D46/E46)</f>
        <v>11.639962299717247</v>
      </c>
      <c r="G46" s="11">
        <v>9</v>
      </c>
      <c r="H46" s="11">
        <v>3</v>
      </c>
      <c r="I46" s="11"/>
      <c r="J46" s="11"/>
      <c r="K46" s="11"/>
      <c r="L46" s="11">
        <v>24.5</v>
      </c>
      <c r="M46" s="13"/>
    </row>
    <row r="47" spans="1:13" ht="18.5" x14ac:dyDescent="0.45">
      <c r="A47" s="3">
        <v>46</v>
      </c>
      <c r="B47" s="15" t="s">
        <v>39</v>
      </c>
      <c r="C47" s="8" t="s">
        <v>32</v>
      </c>
      <c r="D47" s="11">
        <f>SUM(1397+971+1477+1493+1123+1483+1497+1425+1454+1479+1497+1184+1487)</f>
        <v>17967</v>
      </c>
      <c r="E47" s="11">
        <f>SUM(109+84+128+136+89+135+128+120+126+126+145+111+143)</f>
        <v>1580</v>
      </c>
      <c r="F47" s="12">
        <f>SUM(D47/E47)</f>
        <v>11.371518987341773</v>
      </c>
      <c r="G47" s="11">
        <v>13</v>
      </c>
      <c r="H47" s="11">
        <v>1</v>
      </c>
      <c r="I47" s="11"/>
      <c r="J47" s="11"/>
      <c r="K47" s="11"/>
      <c r="L47" s="11">
        <v>23.5</v>
      </c>
      <c r="M47" s="13"/>
    </row>
    <row r="48" spans="1:13" ht="18.5" x14ac:dyDescent="0.45">
      <c r="A48" s="3">
        <v>47</v>
      </c>
      <c r="B48" s="4" t="s">
        <v>114</v>
      </c>
      <c r="C48" s="4" t="s">
        <v>16</v>
      </c>
      <c r="D48" s="11">
        <f>SUM(1286+1395+1503+1501)</f>
        <v>5685</v>
      </c>
      <c r="E48" s="11">
        <f>SUM(104+105+148+146)</f>
        <v>503</v>
      </c>
      <c r="F48" s="12">
        <f>SUM(D48/E48)</f>
        <v>11.302186878727634</v>
      </c>
      <c r="G48" s="11">
        <v>4</v>
      </c>
      <c r="H48" s="11">
        <v>2</v>
      </c>
      <c r="I48" s="11"/>
      <c r="J48" s="11"/>
      <c r="K48" s="11"/>
      <c r="L48" s="11">
        <v>13</v>
      </c>
      <c r="M48" s="13"/>
    </row>
    <row r="49" spans="1:18" ht="18.5" x14ac:dyDescent="0.45">
      <c r="A49" s="3">
        <v>48</v>
      </c>
      <c r="B49" s="4" t="s">
        <v>35</v>
      </c>
      <c r="C49" s="4" t="s">
        <v>32</v>
      </c>
      <c r="D49" s="11">
        <f>SUM(1232+1259+1463)</f>
        <v>3954</v>
      </c>
      <c r="E49" s="11">
        <f>SUM(111+114+139)</f>
        <v>364</v>
      </c>
      <c r="F49" s="12">
        <f>SUM(D49/E49)</f>
        <v>10.862637362637363</v>
      </c>
      <c r="G49" s="11">
        <v>3</v>
      </c>
      <c r="H49" s="11"/>
      <c r="I49" s="11"/>
      <c r="J49" s="11"/>
      <c r="K49" s="11"/>
      <c r="L49" s="11">
        <v>11.5</v>
      </c>
      <c r="M49" s="13"/>
    </row>
    <row r="50" spans="1:18" ht="18.5" x14ac:dyDescent="0.45">
      <c r="A50" s="3">
        <v>49</v>
      </c>
      <c r="B50" s="4" t="s">
        <v>74</v>
      </c>
      <c r="C50" s="4" t="s">
        <v>66</v>
      </c>
      <c r="D50" s="11">
        <f>SUM(1266+1399+1407+1477)</f>
        <v>5549</v>
      </c>
      <c r="E50" s="11">
        <f>SUM(141+119+115+138)</f>
        <v>513</v>
      </c>
      <c r="F50" s="12">
        <f>SUM(D50/E50)</f>
        <v>10.816764132553606</v>
      </c>
      <c r="G50" s="11">
        <v>4</v>
      </c>
      <c r="H50" s="11"/>
      <c r="I50" s="11"/>
      <c r="J50" s="11"/>
      <c r="K50" s="11"/>
      <c r="L50" s="11">
        <v>11</v>
      </c>
      <c r="M50" s="13"/>
    </row>
    <row r="51" spans="1:18" ht="18.5" x14ac:dyDescent="0.45">
      <c r="A51" s="3">
        <v>50</v>
      </c>
      <c r="B51" s="15" t="s">
        <v>104</v>
      </c>
      <c r="C51" s="4" t="s">
        <v>27</v>
      </c>
      <c r="D51" s="11">
        <f>SUM(1442+1464)</f>
        <v>2906</v>
      </c>
      <c r="E51" s="11">
        <f>SUM(129+141)</f>
        <v>270</v>
      </c>
      <c r="F51" s="12">
        <f>SUM(D51/E51)</f>
        <v>10.762962962962963</v>
      </c>
      <c r="G51" s="11">
        <v>2</v>
      </c>
      <c r="H51" s="11"/>
      <c r="I51" s="11"/>
      <c r="J51" s="11"/>
      <c r="K51" s="11"/>
      <c r="L51" s="11">
        <v>2.5</v>
      </c>
      <c r="M51" s="13"/>
    </row>
    <row r="52" spans="1:18" ht="18.5" x14ac:dyDescent="0.45">
      <c r="A52" s="3">
        <v>51</v>
      </c>
      <c r="B52" s="4" t="s">
        <v>137</v>
      </c>
      <c r="C52" s="7" t="s">
        <v>27</v>
      </c>
      <c r="D52" s="11">
        <f>SUM(1381)</f>
        <v>1381</v>
      </c>
      <c r="E52" s="11">
        <f>SUM(129)</f>
        <v>129</v>
      </c>
      <c r="F52" s="12">
        <f>SUM(D52/E52)</f>
        <v>10.705426356589147</v>
      </c>
      <c r="G52" s="11">
        <v>1</v>
      </c>
      <c r="H52" s="11"/>
      <c r="I52" s="11"/>
      <c r="J52" s="11"/>
      <c r="K52" s="11"/>
      <c r="L52" s="11">
        <v>0.5</v>
      </c>
      <c r="M52" s="13"/>
    </row>
    <row r="53" spans="1:18" ht="18.5" x14ac:dyDescent="0.45">
      <c r="A53" s="3">
        <v>52</v>
      </c>
      <c r="B53" s="4" t="s">
        <v>36</v>
      </c>
      <c r="C53" s="7" t="s">
        <v>66</v>
      </c>
      <c r="D53" s="11">
        <f>SUM(1457+1503+1489+1479+1444+1495+1429+1362+1331)</f>
        <v>12989</v>
      </c>
      <c r="E53" s="11">
        <f>SUM(116+124+152+178+127+147+153+132+105)</f>
        <v>1234</v>
      </c>
      <c r="F53" s="12">
        <f>SUM(D53/E53)</f>
        <v>10.525931928687196</v>
      </c>
      <c r="G53" s="11">
        <v>9</v>
      </c>
      <c r="H53" s="11">
        <v>2</v>
      </c>
      <c r="I53" s="11"/>
      <c r="J53" s="11"/>
      <c r="K53" s="11"/>
      <c r="L53" s="11">
        <v>17.5</v>
      </c>
      <c r="M53" s="13"/>
    </row>
    <row r="54" spans="1:18" ht="18.5" x14ac:dyDescent="0.45">
      <c r="A54" s="3">
        <v>53</v>
      </c>
      <c r="B54" s="4" t="s">
        <v>132</v>
      </c>
      <c r="C54" s="4" t="s">
        <v>27</v>
      </c>
      <c r="D54" s="11">
        <f>SUM(1343+1405+1477)</f>
        <v>4225</v>
      </c>
      <c r="E54" s="11">
        <f>SUM(110+122+171)</f>
        <v>403</v>
      </c>
      <c r="F54" s="12">
        <f>SUM(D54/E54)</f>
        <v>10.483870967741936</v>
      </c>
      <c r="G54" s="11">
        <v>3</v>
      </c>
      <c r="H54" s="11">
        <v>1</v>
      </c>
      <c r="I54" s="11"/>
      <c r="J54" s="11"/>
      <c r="K54" s="11"/>
      <c r="L54" s="11">
        <v>6.5</v>
      </c>
      <c r="M54" s="13"/>
    </row>
    <row r="55" spans="1:18" ht="18.5" x14ac:dyDescent="0.45">
      <c r="A55" s="3">
        <v>54</v>
      </c>
      <c r="B55" s="15" t="s">
        <v>67</v>
      </c>
      <c r="C55" s="4" t="s">
        <v>32</v>
      </c>
      <c r="D55" s="11">
        <f>SUM(1261+1230+1487+1434+1097+1454+1478+1232+1329+1431)</f>
        <v>13433</v>
      </c>
      <c r="E55" s="11">
        <f>SUM(102+96+177+137+99+162+142+105+140+159)</f>
        <v>1319</v>
      </c>
      <c r="F55" s="12">
        <f>SUM(D55/E55)</f>
        <v>10.184230477634571</v>
      </c>
      <c r="G55" s="11">
        <v>9</v>
      </c>
      <c r="H55" s="11">
        <v>2</v>
      </c>
      <c r="I55" s="11"/>
      <c r="J55" s="11"/>
      <c r="K55" s="11"/>
      <c r="L55" s="11">
        <v>10.5</v>
      </c>
      <c r="M55" s="13"/>
    </row>
    <row r="56" spans="1:18" ht="18.5" x14ac:dyDescent="0.45">
      <c r="A56" s="3">
        <v>55</v>
      </c>
      <c r="B56" s="4" t="s">
        <v>154</v>
      </c>
      <c r="C56" s="4" t="s">
        <v>66</v>
      </c>
      <c r="D56" s="11">
        <f>SUM(1483)</f>
        <v>1483</v>
      </c>
      <c r="E56" s="11">
        <f>SUM(162)</f>
        <v>162</v>
      </c>
      <c r="F56" s="12">
        <f>SUM(D56/E56)</f>
        <v>9.1543209876543212</v>
      </c>
      <c r="G56" s="11">
        <v>1</v>
      </c>
      <c r="H56" s="11">
        <v>1</v>
      </c>
      <c r="I56" s="11"/>
      <c r="J56" s="11"/>
      <c r="K56" s="11"/>
      <c r="L56" s="11">
        <v>4</v>
      </c>
      <c r="M56" s="13"/>
    </row>
    <row r="57" spans="1:18" ht="18.5" x14ac:dyDescent="0.45">
      <c r="A57" s="3">
        <v>56</v>
      </c>
      <c r="B57" s="15" t="s">
        <v>147</v>
      </c>
      <c r="C57" s="4" t="s">
        <v>66</v>
      </c>
      <c r="D57" s="11">
        <f>SUM(1488)</f>
        <v>1488</v>
      </c>
      <c r="E57" s="11">
        <f>SUM(169)</f>
        <v>169</v>
      </c>
      <c r="F57" s="12">
        <f>SUM(D57/E57)</f>
        <v>8.8047337278106514</v>
      </c>
      <c r="G57" s="11">
        <v>1</v>
      </c>
      <c r="H57" s="11"/>
      <c r="I57" s="11"/>
      <c r="J57" s="11"/>
      <c r="K57" s="11"/>
      <c r="L57" s="11">
        <v>2.5</v>
      </c>
      <c r="M57" s="13"/>
    </row>
    <row r="58" spans="1:18" ht="17.25" customHeight="1" thickBot="1" x14ac:dyDescent="0.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8" ht="19.5" customHeight="1" thickBot="1" x14ac:dyDescent="0.5">
      <c r="A59" s="5"/>
      <c r="B59" s="66" t="s">
        <v>153</v>
      </c>
      <c r="C59" s="57" t="s">
        <v>44</v>
      </c>
      <c r="D59" s="28" t="s">
        <v>45</v>
      </c>
      <c r="E59" s="29" t="s">
        <v>46</v>
      </c>
      <c r="F59" s="20" t="s">
        <v>62</v>
      </c>
      <c r="G59" s="30" t="s">
        <v>47</v>
      </c>
      <c r="I59" s="61" t="s">
        <v>48</v>
      </c>
      <c r="J59" s="62"/>
      <c r="K59" s="62"/>
      <c r="L59" s="62"/>
      <c r="M59" s="62"/>
      <c r="N59" s="62"/>
      <c r="O59" s="62"/>
      <c r="P59" s="62"/>
      <c r="Q59" s="62"/>
      <c r="R59" s="63"/>
    </row>
    <row r="60" spans="1:18" ht="18.5" x14ac:dyDescent="0.45">
      <c r="A60" s="5"/>
      <c r="B60" s="67"/>
      <c r="C60" s="17" t="s">
        <v>59</v>
      </c>
      <c r="D60" s="7">
        <v>12</v>
      </c>
      <c r="E60" s="22">
        <v>1</v>
      </c>
      <c r="F60" s="15"/>
      <c r="G60" s="23">
        <v>214</v>
      </c>
      <c r="I60" s="69" t="s">
        <v>49</v>
      </c>
      <c r="J60" s="70"/>
      <c r="K60" s="70"/>
      <c r="L60" s="70"/>
      <c r="M60" s="70"/>
      <c r="N60" s="64" t="s">
        <v>152</v>
      </c>
      <c r="O60" s="64"/>
      <c r="P60" s="64"/>
      <c r="Q60" s="64"/>
      <c r="R60" s="65"/>
    </row>
    <row r="61" spans="1:18" ht="18.5" x14ac:dyDescent="0.45">
      <c r="A61" s="5"/>
      <c r="B61" s="67"/>
      <c r="C61" s="17" t="s">
        <v>55</v>
      </c>
      <c r="D61" s="7">
        <v>10</v>
      </c>
      <c r="E61" s="22">
        <v>3</v>
      </c>
      <c r="F61" s="15"/>
      <c r="G61" s="23">
        <v>180</v>
      </c>
      <c r="I61" s="71" t="s">
        <v>51</v>
      </c>
      <c r="J61" s="72"/>
      <c r="K61" s="72"/>
      <c r="L61" s="72"/>
      <c r="M61" s="72"/>
      <c r="N61" s="59" t="s">
        <v>151</v>
      </c>
      <c r="O61" s="59"/>
      <c r="P61" s="59"/>
      <c r="Q61" s="59"/>
      <c r="R61" s="60"/>
    </row>
    <row r="62" spans="1:18" ht="18.5" x14ac:dyDescent="0.45">
      <c r="A62" s="5"/>
      <c r="B62" s="67"/>
      <c r="C62" s="17" t="s">
        <v>50</v>
      </c>
      <c r="D62" s="7">
        <v>9</v>
      </c>
      <c r="E62" s="16">
        <v>4</v>
      </c>
      <c r="F62" s="15"/>
      <c r="G62" s="17">
        <v>171</v>
      </c>
      <c r="I62" s="71" t="s">
        <v>53</v>
      </c>
      <c r="J62" s="72"/>
      <c r="K62" s="72"/>
      <c r="L62" s="72"/>
      <c r="M62" s="72"/>
      <c r="N62" s="59" t="s">
        <v>150</v>
      </c>
      <c r="O62" s="59"/>
      <c r="P62" s="59"/>
      <c r="Q62" s="59"/>
      <c r="R62" s="60"/>
    </row>
    <row r="63" spans="1:18" ht="18.5" x14ac:dyDescent="0.45">
      <c r="A63" s="6"/>
      <c r="B63" s="67"/>
      <c r="C63" s="17" t="s">
        <v>60</v>
      </c>
      <c r="D63" s="7">
        <v>8</v>
      </c>
      <c r="E63" s="22">
        <v>5</v>
      </c>
      <c r="F63" s="15"/>
      <c r="G63" s="23">
        <v>175</v>
      </c>
      <c r="I63" s="71" t="s">
        <v>54</v>
      </c>
      <c r="J63" s="72"/>
      <c r="K63" s="72"/>
      <c r="L63" s="72"/>
      <c r="M63" s="72"/>
      <c r="N63" s="59" t="s">
        <v>149</v>
      </c>
      <c r="O63" s="59"/>
      <c r="P63" s="59"/>
      <c r="Q63" s="59"/>
      <c r="R63" s="60"/>
    </row>
    <row r="64" spans="1:18" ht="18" customHeight="1" x14ac:dyDescent="0.45">
      <c r="A64" s="6"/>
      <c r="B64" s="67"/>
      <c r="C64" s="17" t="s">
        <v>58</v>
      </c>
      <c r="D64" s="7">
        <v>8</v>
      </c>
      <c r="E64" s="16">
        <v>5</v>
      </c>
      <c r="F64" s="15"/>
      <c r="G64" s="17">
        <v>161</v>
      </c>
      <c r="I64" s="71" t="s">
        <v>56</v>
      </c>
      <c r="J64" s="72"/>
      <c r="K64" s="72"/>
      <c r="L64" s="72"/>
      <c r="M64" s="72"/>
      <c r="N64" s="59" t="s">
        <v>108</v>
      </c>
      <c r="O64" s="59"/>
      <c r="P64" s="59"/>
      <c r="Q64" s="59"/>
      <c r="R64" s="60"/>
    </row>
    <row r="65" spans="1:18" ht="18" customHeight="1" thickBot="1" x14ac:dyDescent="0.5">
      <c r="A65" s="6"/>
      <c r="B65" s="67"/>
      <c r="C65" s="18" t="s">
        <v>98</v>
      </c>
      <c r="D65" s="9">
        <v>5</v>
      </c>
      <c r="E65" s="10">
        <v>8</v>
      </c>
      <c r="F65" s="15"/>
      <c r="G65" s="18">
        <v>153</v>
      </c>
      <c r="I65" s="73" t="s">
        <v>57</v>
      </c>
      <c r="J65" s="74"/>
      <c r="K65" s="74"/>
      <c r="L65" s="74"/>
      <c r="M65" s="74"/>
      <c r="N65" s="59" t="s">
        <v>139</v>
      </c>
      <c r="O65" s="59"/>
      <c r="P65" s="59"/>
      <c r="Q65" s="59"/>
      <c r="R65" s="60"/>
    </row>
    <row r="66" spans="1:18" ht="18.5" x14ac:dyDescent="0.45">
      <c r="A66" s="6"/>
      <c r="B66" s="67"/>
      <c r="C66" s="18" t="s">
        <v>61</v>
      </c>
      <c r="D66" s="9">
        <v>5</v>
      </c>
      <c r="E66" s="10">
        <v>8</v>
      </c>
      <c r="F66" s="15"/>
      <c r="G66" s="18">
        <v>145</v>
      </c>
      <c r="H66" s="6"/>
      <c r="I66" s="6"/>
    </row>
    <row r="67" spans="1:18" ht="18.5" x14ac:dyDescent="0.45">
      <c r="A67" s="6"/>
      <c r="B67" s="67"/>
      <c r="C67" s="17" t="s">
        <v>73</v>
      </c>
      <c r="D67" s="7">
        <v>4</v>
      </c>
      <c r="E67" s="22">
        <v>9</v>
      </c>
      <c r="F67" s="15"/>
      <c r="G67" s="23">
        <v>127</v>
      </c>
      <c r="H67" s="6"/>
    </row>
    <row r="68" spans="1:18" ht="18.5" x14ac:dyDescent="0.45">
      <c r="B68" s="67"/>
      <c r="C68" s="19" t="s">
        <v>68</v>
      </c>
      <c r="D68" s="9">
        <v>3</v>
      </c>
      <c r="E68" s="10">
        <v>10</v>
      </c>
      <c r="F68" s="15"/>
      <c r="G68" s="18">
        <v>113</v>
      </c>
    </row>
    <row r="69" spans="1:18" ht="19" thickBot="1" x14ac:dyDescent="0.5">
      <c r="B69" s="68"/>
      <c r="C69" s="17" t="s">
        <v>52</v>
      </c>
      <c r="D69" s="7">
        <v>1</v>
      </c>
      <c r="E69" s="22">
        <v>12</v>
      </c>
      <c r="F69" s="15"/>
      <c r="G69" s="23">
        <v>119</v>
      </c>
    </row>
    <row r="70" spans="1:18" ht="15" thickBot="1" x14ac:dyDescent="0.4"/>
    <row r="71" spans="1:18" ht="19" thickBot="1" x14ac:dyDescent="0.5">
      <c r="C71" s="27" t="s">
        <v>76</v>
      </c>
      <c r="D71" s="28" t="s">
        <v>45</v>
      </c>
      <c r="E71" s="28" t="s">
        <v>46</v>
      </c>
      <c r="F71" s="20" t="s">
        <v>62</v>
      </c>
      <c r="G71" s="31" t="s">
        <v>47</v>
      </c>
    </row>
    <row r="72" spans="1:18" ht="18.5" x14ac:dyDescent="0.45">
      <c r="C72" s="54" t="s">
        <v>59</v>
      </c>
      <c r="D72" s="14">
        <v>12</v>
      </c>
      <c r="E72" s="24">
        <v>1</v>
      </c>
      <c r="F72" s="15"/>
      <c r="G72" s="53">
        <v>214</v>
      </c>
    </row>
    <row r="73" spans="1:18" ht="18.5" x14ac:dyDescent="0.45">
      <c r="C73" s="56" t="s">
        <v>55</v>
      </c>
      <c r="D73" s="7">
        <v>10</v>
      </c>
      <c r="E73" s="22">
        <v>3</v>
      </c>
      <c r="F73" s="15"/>
      <c r="G73" s="55">
        <v>180</v>
      </c>
    </row>
    <row r="74" spans="1:18" ht="19" thickBot="1" x14ac:dyDescent="0.5">
      <c r="C74" s="52" t="s">
        <v>50</v>
      </c>
      <c r="D74" s="51">
        <v>9</v>
      </c>
      <c r="E74" s="50">
        <v>4</v>
      </c>
      <c r="F74" s="49"/>
      <c r="G74" s="48">
        <v>171</v>
      </c>
    </row>
    <row r="75" spans="1:18" ht="18.5" x14ac:dyDescent="0.45">
      <c r="C75" s="56" t="s">
        <v>60</v>
      </c>
      <c r="D75" s="7">
        <v>8</v>
      </c>
      <c r="E75" s="22">
        <v>5</v>
      </c>
      <c r="F75" s="15"/>
      <c r="G75" s="55">
        <v>175</v>
      </c>
    </row>
    <row r="76" spans="1:18" ht="18.5" x14ac:dyDescent="0.45">
      <c r="C76" s="54" t="s">
        <v>73</v>
      </c>
      <c r="D76" s="14">
        <v>4</v>
      </c>
      <c r="E76" s="24">
        <v>9</v>
      </c>
      <c r="F76" s="26"/>
      <c r="G76" s="53">
        <v>127</v>
      </c>
    </row>
    <row r="77" spans="1:18" ht="15" thickBot="1" x14ac:dyDescent="0.4"/>
    <row r="78" spans="1:18" ht="19" thickBot="1" x14ac:dyDescent="0.5">
      <c r="C78" s="27" t="s">
        <v>77</v>
      </c>
      <c r="D78" s="28" t="s">
        <v>45</v>
      </c>
      <c r="E78" s="28" t="s">
        <v>46</v>
      </c>
      <c r="F78" s="20" t="s">
        <v>62</v>
      </c>
      <c r="G78" s="31" t="s">
        <v>47</v>
      </c>
    </row>
    <row r="79" spans="1:18" ht="18.5" x14ac:dyDescent="0.45">
      <c r="C79" s="47" t="s">
        <v>58</v>
      </c>
      <c r="D79" s="46">
        <v>8</v>
      </c>
      <c r="E79" s="46">
        <v>5</v>
      </c>
      <c r="F79" s="26"/>
      <c r="G79" s="45">
        <v>161</v>
      </c>
    </row>
    <row r="80" spans="1:18" ht="18.5" x14ac:dyDescent="0.45">
      <c r="C80" s="42" t="s">
        <v>98</v>
      </c>
      <c r="D80" s="15">
        <v>5</v>
      </c>
      <c r="E80" s="15">
        <v>8</v>
      </c>
      <c r="F80" s="15"/>
      <c r="G80" s="41">
        <v>153</v>
      </c>
    </row>
    <row r="81" spans="3:7" ht="18.5" x14ac:dyDescent="0.45">
      <c r="C81" s="42" t="s">
        <v>61</v>
      </c>
      <c r="D81" s="15">
        <v>5</v>
      </c>
      <c r="E81" s="15">
        <v>8</v>
      </c>
      <c r="F81" s="15"/>
      <c r="G81" s="41">
        <v>145</v>
      </c>
    </row>
    <row r="82" spans="3:7" ht="18.5" x14ac:dyDescent="0.45">
      <c r="C82" s="44" t="s">
        <v>68</v>
      </c>
      <c r="D82" s="4">
        <v>3</v>
      </c>
      <c r="E82" s="4">
        <v>10</v>
      </c>
      <c r="F82" s="15"/>
      <c r="G82" s="43">
        <v>113</v>
      </c>
    </row>
    <row r="83" spans="3:7" ht="19" thickBot="1" x14ac:dyDescent="0.5">
      <c r="C83" s="40" t="s">
        <v>52</v>
      </c>
      <c r="D83" s="39">
        <v>1</v>
      </c>
      <c r="E83" s="38">
        <v>12</v>
      </c>
      <c r="F83" s="37"/>
      <c r="G83" s="36">
        <v>119</v>
      </c>
    </row>
  </sheetData>
  <mergeCells count="14">
    <mergeCell ref="B59:B69"/>
    <mergeCell ref="I60:M60"/>
    <mergeCell ref="I61:M61"/>
    <mergeCell ref="I62:M62"/>
    <mergeCell ref="I63:M63"/>
    <mergeCell ref="I64:M64"/>
    <mergeCell ref="I65:M65"/>
    <mergeCell ref="N65:R65"/>
    <mergeCell ref="I59:R59"/>
    <mergeCell ref="N60:R60"/>
    <mergeCell ref="N61:R61"/>
    <mergeCell ref="N62:R62"/>
    <mergeCell ref="N63:R63"/>
    <mergeCell ref="N64:R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72"/>
  <sheetViews>
    <sheetView workbookViewId="0">
      <pane ySplit="1" topLeftCell="A2" activePane="bottomLeft" state="frozen"/>
      <selection pane="bottomLeft" activeCell="C9" sqref="C9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8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18.8164062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11</v>
      </c>
      <c r="C2" s="4" t="s">
        <v>12</v>
      </c>
      <c r="D2" s="11">
        <f>SUM(1434)</f>
        <v>1434</v>
      </c>
      <c r="E2" s="11">
        <f>SUM(78)</f>
        <v>78</v>
      </c>
      <c r="F2" s="12">
        <f t="shared" ref="F2:F42" si="0">SUM(D2/E2)</f>
        <v>18.384615384615383</v>
      </c>
      <c r="G2" s="11">
        <v>1</v>
      </c>
      <c r="H2" s="11"/>
      <c r="I2" s="11"/>
      <c r="J2" s="11"/>
      <c r="K2" s="11"/>
      <c r="L2" s="11">
        <v>0.5</v>
      </c>
      <c r="M2" s="13">
        <v>5</v>
      </c>
    </row>
    <row r="3" spans="1:13" ht="18.5" x14ac:dyDescent="0.45">
      <c r="A3" s="3">
        <v>2</v>
      </c>
      <c r="B3" s="4" t="s">
        <v>19</v>
      </c>
      <c r="C3" s="4" t="s">
        <v>14</v>
      </c>
      <c r="D3" s="11">
        <f>SUM(1503+1501)</f>
        <v>3004</v>
      </c>
      <c r="E3" s="11">
        <f>SUM(88+78)</f>
        <v>166</v>
      </c>
      <c r="F3" s="12">
        <f t="shared" si="0"/>
        <v>18.096385542168676</v>
      </c>
      <c r="G3" s="11">
        <v>2</v>
      </c>
      <c r="H3" s="11">
        <v>2</v>
      </c>
      <c r="I3" s="11"/>
      <c r="J3" s="11"/>
      <c r="K3" s="11"/>
      <c r="L3" s="11">
        <v>10</v>
      </c>
      <c r="M3" s="13">
        <v>5</v>
      </c>
    </row>
    <row r="4" spans="1:13" ht="18.5" x14ac:dyDescent="0.45">
      <c r="A4" s="3">
        <v>3</v>
      </c>
      <c r="B4" s="4" t="s">
        <v>15</v>
      </c>
      <c r="C4" s="4" t="s">
        <v>16</v>
      </c>
      <c r="D4" s="11">
        <f>SUM(1439+1494)</f>
        <v>2933</v>
      </c>
      <c r="E4" s="11">
        <f>SUM(83+92)</f>
        <v>175</v>
      </c>
      <c r="F4" s="12">
        <f t="shared" si="0"/>
        <v>16.760000000000002</v>
      </c>
      <c r="G4" s="11">
        <v>2</v>
      </c>
      <c r="H4" s="11"/>
      <c r="I4" s="11"/>
      <c r="J4" s="11"/>
      <c r="K4" s="11"/>
      <c r="L4" s="11">
        <v>3.5</v>
      </c>
      <c r="M4" s="13"/>
    </row>
    <row r="5" spans="1:13" ht="18.5" x14ac:dyDescent="0.45">
      <c r="A5" s="3">
        <v>4</v>
      </c>
      <c r="B5" s="4" t="s">
        <v>13</v>
      </c>
      <c r="C5" s="4" t="s">
        <v>14</v>
      </c>
      <c r="D5" s="11">
        <f>SUM(1503+1493)</f>
        <v>2996</v>
      </c>
      <c r="E5" s="11">
        <f>SUM(87+94)</f>
        <v>181</v>
      </c>
      <c r="F5" s="12">
        <f t="shared" si="0"/>
        <v>16.552486187845304</v>
      </c>
      <c r="G5" s="11">
        <v>2</v>
      </c>
      <c r="H5" s="11">
        <v>2</v>
      </c>
      <c r="I5" s="11"/>
      <c r="J5" s="11"/>
      <c r="K5" s="11"/>
      <c r="L5" s="11">
        <v>10</v>
      </c>
      <c r="M5" s="13"/>
    </row>
    <row r="6" spans="1:13" ht="18.5" x14ac:dyDescent="0.45">
      <c r="A6" s="3">
        <v>5</v>
      </c>
      <c r="B6" s="15" t="s">
        <v>31</v>
      </c>
      <c r="C6" s="4" t="s">
        <v>32</v>
      </c>
      <c r="D6" s="11">
        <f>SUM(1463+1440)</f>
        <v>2903</v>
      </c>
      <c r="E6" s="11">
        <f>SUM(87+90)</f>
        <v>177</v>
      </c>
      <c r="F6" s="12">
        <f t="shared" si="0"/>
        <v>16.401129943502823</v>
      </c>
      <c r="G6" s="11">
        <v>2</v>
      </c>
      <c r="H6" s="11">
        <v>2</v>
      </c>
      <c r="I6" s="11"/>
      <c r="J6" s="11"/>
      <c r="K6" s="11"/>
      <c r="L6" s="11">
        <v>6.5</v>
      </c>
      <c r="M6" s="13">
        <v>10</v>
      </c>
    </row>
    <row r="7" spans="1:13" ht="18.5" x14ac:dyDescent="0.45">
      <c r="A7" s="3">
        <v>6</v>
      </c>
      <c r="B7" s="4" t="s">
        <v>41</v>
      </c>
      <c r="C7" s="4" t="s">
        <v>16</v>
      </c>
      <c r="D7" s="11">
        <f>SUM(1305+1155)</f>
        <v>2460</v>
      </c>
      <c r="E7" s="11">
        <f>SUM(82+73)</f>
        <v>155</v>
      </c>
      <c r="F7" s="12">
        <f t="shared" si="0"/>
        <v>15.870967741935484</v>
      </c>
      <c r="G7" s="11">
        <v>2</v>
      </c>
      <c r="H7" s="11">
        <v>1</v>
      </c>
      <c r="I7" s="11"/>
      <c r="J7" s="11"/>
      <c r="K7" s="11"/>
      <c r="L7" s="11">
        <v>6</v>
      </c>
      <c r="M7" s="13"/>
    </row>
    <row r="8" spans="1:13" ht="18.5" x14ac:dyDescent="0.45">
      <c r="A8" s="3">
        <v>7</v>
      </c>
      <c r="B8" s="15" t="s">
        <v>85</v>
      </c>
      <c r="C8" s="4" t="s">
        <v>91</v>
      </c>
      <c r="D8" s="11">
        <f>SUM(1503)</f>
        <v>1503</v>
      </c>
      <c r="E8" s="11">
        <f>SUM(97)</f>
        <v>97</v>
      </c>
      <c r="F8" s="12">
        <f t="shared" si="0"/>
        <v>15.494845360824742</v>
      </c>
      <c r="G8" s="11">
        <v>1</v>
      </c>
      <c r="H8" s="11">
        <v>1</v>
      </c>
      <c r="I8" s="11"/>
      <c r="J8" s="11"/>
      <c r="K8" s="11"/>
      <c r="L8" s="11">
        <v>5</v>
      </c>
      <c r="M8" s="13"/>
    </row>
    <row r="9" spans="1:13" ht="18.5" x14ac:dyDescent="0.45">
      <c r="A9" s="3">
        <v>8</v>
      </c>
      <c r="B9" s="4" t="s">
        <v>23</v>
      </c>
      <c r="C9" s="4" t="s">
        <v>14</v>
      </c>
      <c r="D9" s="11">
        <f>SUM(1503+1503)</f>
        <v>3006</v>
      </c>
      <c r="E9" s="11">
        <f>SUM(93+102)</f>
        <v>195</v>
      </c>
      <c r="F9" s="12">
        <f t="shared" si="0"/>
        <v>15.415384615384616</v>
      </c>
      <c r="G9" s="11">
        <v>2</v>
      </c>
      <c r="H9" s="11">
        <v>2</v>
      </c>
      <c r="I9" s="11">
        <v>1</v>
      </c>
      <c r="J9" s="11"/>
      <c r="K9" s="11">
        <v>1</v>
      </c>
      <c r="L9" s="11">
        <v>10</v>
      </c>
      <c r="M9" s="13"/>
    </row>
    <row r="10" spans="1:13" ht="18.5" x14ac:dyDescent="0.45">
      <c r="A10" s="3">
        <v>9</v>
      </c>
      <c r="B10" s="3" t="s">
        <v>33</v>
      </c>
      <c r="C10" s="4" t="s">
        <v>22</v>
      </c>
      <c r="D10" s="11">
        <f>SUM(1385+1499)</f>
        <v>2884</v>
      </c>
      <c r="E10" s="11">
        <f>SUM(79+109)</f>
        <v>188</v>
      </c>
      <c r="F10" s="12">
        <f t="shared" si="0"/>
        <v>15.340425531914894</v>
      </c>
      <c r="G10" s="11">
        <v>2</v>
      </c>
      <c r="H10" s="11">
        <v>2</v>
      </c>
      <c r="I10" s="11"/>
      <c r="J10" s="11"/>
      <c r="K10" s="11"/>
      <c r="L10" s="11">
        <v>9.5</v>
      </c>
      <c r="M10" s="13"/>
    </row>
    <row r="11" spans="1:13" ht="18.5" x14ac:dyDescent="0.45">
      <c r="A11" s="3">
        <v>10</v>
      </c>
      <c r="B11" s="3" t="s">
        <v>21</v>
      </c>
      <c r="C11" s="4" t="s">
        <v>22</v>
      </c>
      <c r="D11" s="11">
        <f>SUM(1399+1503)</f>
        <v>2902</v>
      </c>
      <c r="E11" s="11">
        <f>SUM(82+109)</f>
        <v>191</v>
      </c>
      <c r="F11" s="12">
        <f t="shared" si="0"/>
        <v>15.193717277486911</v>
      </c>
      <c r="G11" s="11">
        <v>2</v>
      </c>
      <c r="H11" s="11">
        <v>1</v>
      </c>
      <c r="I11" s="11"/>
      <c r="J11" s="11"/>
      <c r="K11" s="11"/>
      <c r="L11" s="11">
        <v>7</v>
      </c>
      <c r="M11" s="13"/>
    </row>
    <row r="12" spans="1:13" ht="18.5" x14ac:dyDescent="0.45">
      <c r="A12" s="3">
        <v>11</v>
      </c>
      <c r="B12" s="4" t="s">
        <v>78</v>
      </c>
      <c r="C12" s="4" t="s">
        <v>18</v>
      </c>
      <c r="D12" s="11">
        <f>SUM(1503)</f>
        <v>1503</v>
      </c>
      <c r="E12" s="11">
        <f>SUM(102)</f>
        <v>102</v>
      </c>
      <c r="F12" s="12">
        <f t="shared" si="0"/>
        <v>14.735294117647058</v>
      </c>
      <c r="G12" s="11">
        <v>1</v>
      </c>
      <c r="H12" s="11">
        <v>1</v>
      </c>
      <c r="I12" s="11"/>
      <c r="J12" s="11"/>
      <c r="K12" s="11"/>
      <c r="L12" s="11">
        <v>5</v>
      </c>
      <c r="M12" s="13"/>
    </row>
    <row r="13" spans="1:13" ht="18.5" x14ac:dyDescent="0.45">
      <c r="A13" s="3">
        <v>12</v>
      </c>
      <c r="B13" s="15" t="s">
        <v>69</v>
      </c>
      <c r="C13" s="4" t="s">
        <v>14</v>
      </c>
      <c r="D13" s="11">
        <f>SUM(1497+1503)</f>
        <v>3000</v>
      </c>
      <c r="E13" s="11">
        <f>SUM(119+89)</f>
        <v>208</v>
      </c>
      <c r="F13" s="12">
        <f t="shared" si="0"/>
        <v>14.423076923076923</v>
      </c>
      <c r="G13" s="11">
        <v>2</v>
      </c>
      <c r="H13" s="11">
        <v>2</v>
      </c>
      <c r="I13" s="11"/>
      <c r="J13" s="11"/>
      <c r="K13" s="11"/>
      <c r="L13" s="11">
        <v>9</v>
      </c>
      <c r="M13" s="13"/>
    </row>
    <row r="14" spans="1:13" ht="18.5" x14ac:dyDescent="0.45">
      <c r="A14" s="3">
        <v>13</v>
      </c>
      <c r="B14" s="15" t="s">
        <v>64</v>
      </c>
      <c r="C14" s="4" t="s">
        <v>27</v>
      </c>
      <c r="D14" s="11">
        <f>SUM(1501+1463)</f>
        <v>2964</v>
      </c>
      <c r="E14" s="11">
        <f>SUM(113+99)</f>
        <v>212</v>
      </c>
      <c r="F14" s="12">
        <f t="shared" si="0"/>
        <v>13.981132075471699</v>
      </c>
      <c r="G14" s="11">
        <v>2</v>
      </c>
      <c r="H14" s="11">
        <v>1</v>
      </c>
      <c r="I14" s="11"/>
      <c r="J14" s="11"/>
      <c r="K14" s="11"/>
      <c r="L14" s="11">
        <v>6</v>
      </c>
      <c r="M14" s="13">
        <v>5</v>
      </c>
    </row>
    <row r="15" spans="1:13" ht="18.5" x14ac:dyDescent="0.45">
      <c r="A15" s="3">
        <v>14</v>
      </c>
      <c r="B15" s="4" t="s">
        <v>26</v>
      </c>
      <c r="C15" s="7" t="s">
        <v>18</v>
      </c>
      <c r="D15" s="11">
        <f>SUM(1501+1503)</f>
        <v>3004</v>
      </c>
      <c r="E15" s="11">
        <f>SUM(125+90)</f>
        <v>215</v>
      </c>
      <c r="F15" s="12">
        <f t="shared" si="0"/>
        <v>13.972093023255814</v>
      </c>
      <c r="G15" s="11">
        <v>2</v>
      </c>
      <c r="H15" s="11">
        <v>2</v>
      </c>
      <c r="I15" s="11"/>
      <c r="J15" s="11"/>
      <c r="K15" s="11">
        <v>1</v>
      </c>
      <c r="L15" s="11">
        <v>9.5</v>
      </c>
      <c r="M15" s="13">
        <v>5</v>
      </c>
    </row>
    <row r="16" spans="1:13" ht="18.5" x14ac:dyDescent="0.45">
      <c r="A16" s="3">
        <v>15</v>
      </c>
      <c r="B16" s="3" t="s">
        <v>17</v>
      </c>
      <c r="C16" s="4" t="s">
        <v>18</v>
      </c>
      <c r="D16" s="11">
        <f>SUM(1503+1238)</f>
        <v>2741</v>
      </c>
      <c r="E16" s="11">
        <f>SUM(101+96)</f>
        <v>197</v>
      </c>
      <c r="F16" s="12">
        <f t="shared" si="0"/>
        <v>13.913705583756345</v>
      </c>
      <c r="G16" s="11">
        <v>2</v>
      </c>
      <c r="H16" s="11">
        <v>1</v>
      </c>
      <c r="I16" s="11"/>
      <c r="J16" s="11"/>
      <c r="K16" s="11"/>
      <c r="L16" s="11">
        <v>7</v>
      </c>
      <c r="M16" s="13"/>
    </row>
    <row r="17" spans="1:13" ht="18.5" x14ac:dyDescent="0.45">
      <c r="A17" s="3">
        <v>16</v>
      </c>
      <c r="B17" s="4" t="s">
        <v>25</v>
      </c>
      <c r="C17" s="4" t="s">
        <v>12</v>
      </c>
      <c r="D17" s="11">
        <f>SUM(1124)</f>
        <v>1124</v>
      </c>
      <c r="E17" s="11">
        <f>SUM(81)</f>
        <v>81</v>
      </c>
      <c r="F17" s="12">
        <f t="shared" si="0"/>
        <v>13.876543209876543</v>
      </c>
      <c r="G17" s="11">
        <v>1</v>
      </c>
      <c r="H17" s="11"/>
      <c r="I17" s="11"/>
      <c r="J17" s="11"/>
      <c r="K17" s="11"/>
      <c r="L17" s="11">
        <v>1</v>
      </c>
      <c r="M17" s="13"/>
    </row>
    <row r="18" spans="1:13" ht="18.5" x14ac:dyDescent="0.45">
      <c r="A18" s="3">
        <v>17</v>
      </c>
      <c r="B18" s="15" t="s">
        <v>34</v>
      </c>
      <c r="C18" s="4" t="s">
        <v>27</v>
      </c>
      <c r="D18" s="11">
        <f>SUM(1315+1435)</f>
        <v>2750</v>
      </c>
      <c r="E18" s="11">
        <f>SUM(90+109)</f>
        <v>199</v>
      </c>
      <c r="F18" s="12">
        <f t="shared" si="0"/>
        <v>13.819095477386934</v>
      </c>
      <c r="G18" s="11">
        <v>2</v>
      </c>
      <c r="H18" s="11">
        <v>2</v>
      </c>
      <c r="I18" s="11"/>
      <c r="J18" s="11"/>
      <c r="K18" s="11"/>
      <c r="L18" s="11">
        <v>8</v>
      </c>
      <c r="M18" s="13"/>
    </row>
    <row r="19" spans="1:13" ht="18.5" x14ac:dyDescent="0.45">
      <c r="A19" s="3">
        <v>18</v>
      </c>
      <c r="B19" s="4" t="s">
        <v>28</v>
      </c>
      <c r="C19" s="4" t="s">
        <v>12</v>
      </c>
      <c r="D19" s="11">
        <f>SUM(1228)</f>
        <v>1228</v>
      </c>
      <c r="E19" s="11">
        <f>SUM(90)</f>
        <v>90</v>
      </c>
      <c r="F19" s="12">
        <f t="shared" si="0"/>
        <v>13.644444444444444</v>
      </c>
      <c r="G19" s="11">
        <v>1</v>
      </c>
      <c r="H19" s="11"/>
      <c r="I19" s="11"/>
      <c r="J19" s="11"/>
      <c r="K19" s="11"/>
      <c r="L19" s="11">
        <v>1</v>
      </c>
      <c r="M19" s="13"/>
    </row>
    <row r="20" spans="1:13" ht="18.5" x14ac:dyDescent="0.45">
      <c r="A20" s="3">
        <v>19</v>
      </c>
      <c r="B20" s="15" t="s">
        <v>65</v>
      </c>
      <c r="C20" s="4" t="s">
        <v>27</v>
      </c>
      <c r="D20" s="11">
        <f>SUM(1423+1499)</f>
        <v>2922</v>
      </c>
      <c r="E20" s="11">
        <f>SUM(103+114)</f>
        <v>217</v>
      </c>
      <c r="F20" s="12">
        <f t="shared" si="0"/>
        <v>13.465437788018432</v>
      </c>
      <c r="G20" s="11">
        <v>2</v>
      </c>
      <c r="H20" s="11">
        <v>2</v>
      </c>
      <c r="I20" s="11"/>
      <c r="J20" s="11"/>
      <c r="K20" s="11">
        <v>1</v>
      </c>
      <c r="L20" s="11">
        <v>7.5</v>
      </c>
      <c r="M20" s="13"/>
    </row>
    <row r="21" spans="1:13" ht="18.5" x14ac:dyDescent="0.45">
      <c r="A21" s="3">
        <v>20</v>
      </c>
      <c r="B21" s="4" t="s">
        <v>20</v>
      </c>
      <c r="C21" s="4" t="s">
        <v>16</v>
      </c>
      <c r="D21" s="11">
        <f>SUM(1316+1259)</f>
        <v>2575</v>
      </c>
      <c r="E21" s="11">
        <f>SUM(107+90)</f>
        <v>197</v>
      </c>
      <c r="F21" s="12">
        <f t="shared" si="0"/>
        <v>13.071065989847716</v>
      </c>
      <c r="G21" s="11">
        <v>2</v>
      </c>
      <c r="H21" s="11">
        <v>1</v>
      </c>
      <c r="I21" s="11"/>
      <c r="J21" s="11"/>
      <c r="K21" s="11"/>
      <c r="L21" s="11">
        <v>3.5</v>
      </c>
      <c r="M21" s="13"/>
    </row>
    <row r="22" spans="1:13" ht="18.5" x14ac:dyDescent="0.45">
      <c r="A22" s="3">
        <v>21</v>
      </c>
      <c r="B22" s="4" t="s">
        <v>40</v>
      </c>
      <c r="C22" s="4" t="s">
        <v>32</v>
      </c>
      <c r="D22" s="11">
        <f>SUM(1263+1432)</f>
        <v>2695</v>
      </c>
      <c r="E22" s="11">
        <f>SUM(96+111)</f>
        <v>207</v>
      </c>
      <c r="F22" s="12">
        <f t="shared" si="0"/>
        <v>13.019323671497585</v>
      </c>
      <c r="G22" s="11">
        <v>2</v>
      </c>
      <c r="H22" s="11">
        <v>1</v>
      </c>
      <c r="I22" s="11"/>
      <c r="J22" s="11"/>
      <c r="K22" s="11"/>
      <c r="L22" s="11">
        <v>4</v>
      </c>
      <c r="M22" s="13"/>
    </row>
    <row r="23" spans="1:13" ht="18.5" x14ac:dyDescent="0.45">
      <c r="A23" s="3">
        <v>22</v>
      </c>
      <c r="B23" s="4" t="s">
        <v>24</v>
      </c>
      <c r="C23" s="4" t="s">
        <v>22</v>
      </c>
      <c r="D23" s="11">
        <f>SUM(1465+1469)</f>
        <v>2934</v>
      </c>
      <c r="E23" s="11">
        <f>SUM(109+117)</f>
        <v>226</v>
      </c>
      <c r="F23" s="12">
        <f t="shared" si="0"/>
        <v>12.982300884955752</v>
      </c>
      <c r="G23" s="11">
        <v>2</v>
      </c>
      <c r="H23" s="11"/>
      <c r="I23" s="11"/>
      <c r="J23" s="11"/>
      <c r="K23" s="11"/>
      <c r="L23" s="11">
        <v>7</v>
      </c>
      <c r="M23" s="13"/>
    </row>
    <row r="24" spans="1:13" ht="18.5" x14ac:dyDescent="0.45">
      <c r="A24" s="3">
        <v>23</v>
      </c>
      <c r="B24" s="4" t="s">
        <v>84</v>
      </c>
      <c r="C24" s="7" t="s">
        <v>91</v>
      </c>
      <c r="D24" s="11">
        <f>SUM(1385)</f>
        <v>1385</v>
      </c>
      <c r="E24" s="11">
        <f>SUM(107)</f>
        <v>107</v>
      </c>
      <c r="F24" s="12">
        <f t="shared" si="0"/>
        <v>12.94392523364486</v>
      </c>
      <c r="G24" s="11">
        <v>1</v>
      </c>
      <c r="H24" s="11"/>
      <c r="I24" s="11"/>
      <c r="J24" s="11"/>
      <c r="K24" s="11"/>
      <c r="L24" s="11">
        <v>2.5</v>
      </c>
      <c r="M24" s="13"/>
    </row>
    <row r="25" spans="1:13" ht="18.5" x14ac:dyDescent="0.45">
      <c r="A25" s="3">
        <v>24</v>
      </c>
      <c r="B25" s="15" t="s">
        <v>81</v>
      </c>
      <c r="C25" s="4" t="s">
        <v>89</v>
      </c>
      <c r="D25" s="11">
        <f>SUM(1431)</f>
        <v>1431</v>
      </c>
      <c r="E25" s="11">
        <f>SUM(111)</f>
        <v>111</v>
      </c>
      <c r="F25" s="12">
        <f t="shared" si="0"/>
        <v>12.891891891891891</v>
      </c>
      <c r="G25" s="11">
        <v>1</v>
      </c>
      <c r="H25" s="11">
        <v>1</v>
      </c>
      <c r="I25" s="11"/>
      <c r="J25" s="11"/>
      <c r="K25" s="11"/>
      <c r="L25" s="11">
        <v>3.5</v>
      </c>
      <c r="M25" s="13"/>
    </row>
    <row r="26" spans="1:13" ht="18.5" x14ac:dyDescent="0.45">
      <c r="A26" s="3">
        <v>25</v>
      </c>
      <c r="B26" s="7" t="s">
        <v>37</v>
      </c>
      <c r="C26" s="4" t="s">
        <v>66</v>
      </c>
      <c r="D26" s="11">
        <f>SUM(1218)</f>
        <v>1218</v>
      </c>
      <c r="E26" s="11">
        <f>SUM(96)</f>
        <v>96</v>
      </c>
      <c r="F26" s="12">
        <f t="shared" si="0"/>
        <v>12.6875</v>
      </c>
      <c r="G26" s="11">
        <v>1</v>
      </c>
      <c r="H26" s="11"/>
      <c r="I26" s="11"/>
      <c r="J26" s="11"/>
      <c r="K26" s="11"/>
      <c r="L26" s="11">
        <v>1.5</v>
      </c>
      <c r="M26" s="13"/>
    </row>
    <row r="27" spans="1:13" ht="18.5" x14ac:dyDescent="0.45">
      <c r="A27" s="3">
        <v>26</v>
      </c>
      <c r="B27" s="9" t="s">
        <v>30</v>
      </c>
      <c r="C27" s="4" t="s">
        <v>22</v>
      </c>
      <c r="D27" s="11">
        <f>SUM(1503+1285)</f>
        <v>2788</v>
      </c>
      <c r="E27" s="11">
        <f>SUM(109+111)</f>
        <v>220</v>
      </c>
      <c r="F27" s="12">
        <f t="shared" si="0"/>
        <v>12.672727272727272</v>
      </c>
      <c r="G27" s="11">
        <v>2</v>
      </c>
      <c r="H27" s="11">
        <v>1</v>
      </c>
      <c r="I27" s="11"/>
      <c r="J27" s="11"/>
      <c r="K27" s="11"/>
      <c r="L27" s="11">
        <v>7.5</v>
      </c>
      <c r="M27" s="13"/>
    </row>
    <row r="28" spans="1:13" ht="18.5" x14ac:dyDescent="0.45">
      <c r="A28" s="3">
        <v>27</v>
      </c>
      <c r="B28" s="9" t="s">
        <v>82</v>
      </c>
      <c r="C28" s="4" t="s">
        <v>89</v>
      </c>
      <c r="D28" s="11">
        <f>SUM(1451)</f>
        <v>1451</v>
      </c>
      <c r="E28" s="11">
        <f>SUM(115)</f>
        <v>115</v>
      </c>
      <c r="F28" s="12">
        <f t="shared" si="0"/>
        <v>12.617391304347827</v>
      </c>
      <c r="G28" s="11">
        <v>1</v>
      </c>
      <c r="H28" s="11">
        <v>1</v>
      </c>
      <c r="I28" s="11"/>
      <c r="J28" s="11"/>
      <c r="K28" s="11"/>
      <c r="L28" s="11">
        <v>3.5</v>
      </c>
      <c r="M28" s="13"/>
    </row>
    <row r="29" spans="1:13" ht="18.5" x14ac:dyDescent="0.45">
      <c r="A29" s="3">
        <v>28</v>
      </c>
      <c r="B29" s="9" t="s">
        <v>67</v>
      </c>
      <c r="C29" s="4" t="s">
        <v>32</v>
      </c>
      <c r="D29" s="11">
        <f>SUM(1261+1230)</f>
        <v>2491</v>
      </c>
      <c r="E29" s="11">
        <f>SUM(102+96)</f>
        <v>198</v>
      </c>
      <c r="F29" s="12">
        <f t="shared" si="0"/>
        <v>12.580808080808081</v>
      </c>
      <c r="G29" s="11">
        <v>2</v>
      </c>
      <c r="H29" s="11"/>
      <c r="I29" s="11"/>
      <c r="J29" s="11"/>
      <c r="K29" s="11"/>
      <c r="L29" s="11">
        <v>1</v>
      </c>
      <c r="M29" s="13"/>
    </row>
    <row r="30" spans="1:13" ht="18.5" x14ac:dyDescent="0.45">
      <c r="A30" s="3">
        <v>29</v>
      </c>
      <c r="B30" s="7" t="s">
        <v>36</v>
      </c>
      <c r="C30" s="4" t="s">
        <v>66</v>
      </c>
      <c r="D30" s="11">
        <f>SUM(1457)</f>
        <v>1457</v>
      </c>
      <c r="E30" s="11">
        <f>SUM(116)</f>
        <v>116</v>
      </c>
      <c r="F30" s="12">
        <f t="shared" si="0"/>
        <v>12.560344827586206</v>
      </c>
      <c r="G30" s="11">
        <v>1</v>
      </c>
      <c r="H30" s="11"/>
      <c r="I30" s="11"/>
      <c r="J30" s="11"/>
      <c r="K30" s="11"/>
      <c r="L30" s="11">
        <v>2.5</v>
      </c>
      <c r="M30" s="13"/>
    </row>
    <row r="31" spans="1:13" ht="18.5" x14ac:dyDescent="0.45">
      <c r="A31" s="3">
        <v>30</v>
      </c>
      <c r="B31" s="7" t="s">
        <v>79</v>
      </c>
      <c r="C31" s="4" t="s">
        <v>89</v>
      </c>
      <c r="D31" s="11">
        <f>SUM(1393)</f>
        <v>1393</v>
      </c>
      <c r="E31" s="11">
        <f>SUM(111)</f>
        <v>111</v>
      </c>
      <c r="F31" s="12">
        <f t="shared" si="0"/>
        <v>12.54954954954955</v>
      </c>
      <c r="G31" s="11">
        <v>1</v>
      </c>
      <c r="H31" s="11"/>
      <c r="I31" s="11"/>
      <c r="J31" s="11"/>
      <c r="K31" s="11"/>
      <c r="L31" s="11">
        <v>1</v>
      </c>
      <c r="M31" s="13">
        <v>5</v>
      </c>
    </row>
    <row r="32" spans="1:13" ht="18.5" x14ac:dyDescent="0.45">
      <c r="A32" s="3">
        <v>31</v>
      </c>
      <c r="B32" s="34" t="s">
        <v>63</v>
      </c>
      <c r="C32" s="8" t="s">
        <v>27</v>
      </c>
      <c r="D32" s="11">
        <f>SUM(1424+1501)</f>
        <v>2925</v>
      </c>
      <c r="E32" s="11">
        <f>SUM(90+147)</f>
        <v>237</v>
      </c>
      <c r="F32" s="12">
        <f t="shared" si="0"/>
        <v>12.341772151898734</v>
      </c>
      <c r="G32" s="11">
        <v>2</v>
      </c>
      <c r="H32" s="11">
        <v>1</v>
      </c>
      <c r="I32" s="11"/>
      <c r="J32" s="11"/>
      <c r="K32" s="11"/>
      <c r="L32" s="11">
        <v>7.5</v>
      </c>
      <c r="M32" s="13"/>
    </row>
    <row r="33" spans="1:18" ht="18.5" x14ac:dyDescent="0.45">
      <c r="A33" s="3">
        <v>32</v>
      </c>
      <c r="B33" s="9" t="s">
        <v>39</v>
      </c>
      <c r="C33" s="7" t="s">
        <v>32</v>
      </c>
      <c r="D33" s="11">
        <f>SUM(1397+971)</f>
        <v>2368</v>
      </c>
      <c r="E33" s="11">
        <f>SUM(109+84)</f>
        <v>193</v>
      </c>
      <c r="F33" s="12">
        <f t="shared" si="0"/>
        <v>12.269430051813471</v>
      </c>
      <c r="G33" s="11">
        <v>2</v>
      </c>
      <c r="H33" s="11"/>
      <c r="I33" s="11"/>
      <c r="J33" s="11"/>
      <c r="K33" s="11"/>
      <c r="L33" s="11">
        <v>3.5</v>
      </c>
      <c r="M33" s="13"/>
    </row>
    <row r="34" spans="1:18" ht="18.5" x14ac:dyDescent="0.45">
      <c r="A34" s="3">
        <v>33</v>
      </c>
      <c r="B34" s="10" t="s">
        <v>71</v>
      </c>
      <c r="C34" s="7" t="s">
        <v>16</v>
      </c>
      <c r="D34" s="11">
        <f>SUM(1373+1159)</f>
        <v>2532</v>
      </c>
      <c r="E34" s="11">
        <f>SUM(111+99)</f>
        <v>210</v>
      </c>
      <c r="F34" s="12">
        <f t="shared" si="0"/>
        <v>12.057142857142857</v>
      </c>
      <c r="G34" s="11">
        <v>2</v>
      </c>
      <c r="H34" s="11"/>
      <c r="I34" s="11"/>
      <c r="J34" s="11"/>
      <c r="K34" s="11"/>
      <c r="L34" s="11">
        <v>1</v>
      </c>
      <c r="M34" s="13"/>
    </row>
    <row r="35" spans="1:18" ht="18.5" x14ac:dyDescent="0.45">
      <c r="A35" s="3">
        <v>34</v>
      </c>
      <c r="B35" s="15" t="s">
        <v>72</v>
      </c>
      <c r="C35" s="4" t="s">
        <v>12</v>
      </c>
      <c r="D35" s="11">
        <f>SUM(1409)</f>
        <v>1409</v>
      </c>
      <c r="E35" s="11">
        <f>SUM(119)</f>
        <v>119</v>
      </c>
      <c r="F35" s="12">
        <f t="shared" si="0"/>
        <v>11.840336134453782</v>
      </c>
      <c r="G35" s="11">
        <v>1</v>
      </c>
      <c r="H35" s="11"/>
      <c r="I35" s="11"/>
      <c r="J35" s="11"/>
      <c r="K35" s="11"/>
      <c r="L35" s="11">
        <v>1.5</v>
      </c>
      <c r="M35" s="13"/>
    </row>
    <row r="36" spans="1:18" ht="18.5" x14ac:dyDescent="0.45">
      <c r="A36" s="3">
        <v>35</v>
      </c>
      <c r="B36" s="10" t="s">
        <v>70</v>
      </c>
      <c r="C36" s="4" t="s">
        <v>18</v>
      </c>
      <c r="D36" s="11">
        <f>SUM(1487+1277)</f>
        <v>2764</v>
      </c>
      <c r="E36" s="11">
        <f>SUM(122+115)</f>
        <v>237</v>
      </c>
      <c r="F36" s="12">
        <f t="shared" si="0"/>
        <v>11.662447257383967</v>
      </c>
      <c r="G36" s="11">
        <v>2</v>
      </c>
      <c r="H36" s="11">
        <v>1</v>
      </c>
      <c r="I36" s="11"/>
      <c r="J36" s="11"/>
      <c r="K36" s="11"/>
      <c r="L36" s="11">
        <v>6</v>
      </c>
      <c r="M36" s="13"/>
    </row>
    <row r="37" spans="1:18" ht="18.5" x14ac:dyDescent="0.45">
      <c r="A37" s="3">
        <v>36</v>
      </c>
      <c r="B37" s="16" t="s">
        <v>29</v>
      </c>
      <c r="C37" s="7" t="s">
        <v>66</v>
      </c>
      <c r="D37" s="11">
        <f>SUM(1467)</f>
        <v>1467</v>
      </c>
      <c r="E37" s="11">
        <f>SUM(129)</f>
        <v>129</v>
      </c>
      <c r="F37" s="12">
        <f t="shared" si="0"/>
        <v>11.372093023255815</v>
      </c>
      <c r="G37" s="11">
        <v>1</v>
      </c>
      <c r="H37" s="11"/>
      <c r="I37" s="11"/>
      <c r="J37" s="11"/>
      <c r="K37" s="11"/>
      <c r="L37" s="11">
        <v>0.5</v>
      </c>
      <c r="M37" s="13"/>
    </row>
    <row r="38" spans="1:18" ht="18.5" x14ac:dyDescent="0.45">
      <c r="A38" s="3">
        <v>37</v>
      </c>
      <c r="B38" s="10" t="s">
        <v>42</v>
      </c>
      <c r="C38" s="7" t="s">
        <v>18</v>
      </c>
      <c r="D38" s="11">
        <f>SUM(1503)</f>
        <v>1503</v>
      </c>
      <c r="E38" s="11">
        <f>SUM(133)</f>
        <v>133</v>
      </c>
      <c r="F38" s="12">
        <f t="shared" si="0"/>
        <v>11.300751879699249</v>
      </c>
      <c r="G38" s="11">
        <v>1</v>
      </c>
      <c r="H38" s="11">
        <v>1</v>
      </c>
      <c r="I38" s="11"/>
      <c r="J38" s="11"/>
      <c r="K38" s="11"/>
      <c r="L38" s="11">
        <v>7.5</v>
      </c>
      <c r="M38" s="13"/>
    </row>
    <row r="39" spans="1:18" ht="18.5" x14ac:dyDescent="0.45">
      <c r="A39" s="3">
        <v>38</v>
      </c>
      <c r="B39" s="16" t="s">
        <v>80</v>
      </c>
      <c r="C39" s="7" t="s">
        <v>89</v>
      </c>
      <c r="D39" s="11">
        <f>SUM(1219)</f>
        <v>1219</v>
      </c>
      <c r="E39" s="11">
        <f>SUM(108)</f>
        <v>108</v>
      </c>
      <c r="F39" s="12">
        <f t="shared" si="0"/>
        <v>11.287037037037036</v>
      </c>
      <c r="G39" s="11">
        <v>1</v>
      </c>
      <c r="H39" s="11"/>
      <c r="I39" s="11"/>
      <c r="J39" s="11"/>
      <c r="K39" s="11"/>
      <c r="L39" s="11">
        <v>0</v>
      </c>
      <c r="M39" s="13"/>
    </row>
    <row r="40" spans="1:18" ht="18.5" x14ac:dyDescent="0.45">
      <c r="A40" s="3">
        <v>39</v>
      </c>
      <c r="B40" s="10" t="s">
        <v>38</v>
      </c>
      <c r="C40" s="7" t="s">
        <v>91</v>
      </c>
      <c r="D40" s="11">
        <f>SUM(1214)</f>
        <v>1214</v>
      </c>
      <c r="E40" s="11">
        <f>SUM(116)</f>
        <v>116</v>
      </c>
      <c r="F40" s="12">
        <f t="shared" si="0"/>
        <v>10.46551724137931</v>
      </c>
      <c r="G40" s="11">
        <v>1</v>
      </c>
      <c r="H40" s="11"/>
      <c r="I40" s="11"/>
      <c r="J40" s="11"/>
      <c r="K40" s="11"/>
      <c r="L40" s="11">
        <v>1.5</v>
      </c>
      <c r="M40" s="13"/>
    </row>
    <row r="41" spans="1:18" ht="18.5" x14ac:dyDescent="0.45">
      <c r="A41" s="3">
        <v>40</v>
      </c>
      <c r="B41" s="10" t="s">
        <v>43</v>
      </c>
      <c r="C41" s="7" t="s">
        <v>66</v>
      </c>
      <c r="D41" s="11">
        <f>SUM(1252)</f>
        <v>1252</v>
      </c>
      <c r="E41" s="11">
        <f>SUM(120)</f>
        <v>120</v>
      </c>
      <c r="F41" s="12">
        <f t="shared" si="0"/>
        <v>10.433333333333334</v>
      </c>
      <c r="G41" s="11">
        <v>1</v>
      </c>
      <c r="H41" s="11"/>
      <c r="I41" s="11"/>
      <c r="J41" s="11"/>
      <c r="K41" s="11"/>
      <c r="L41" s="11">
        <v>1</v>
      </c>
      <c r="M41" s="13"/>
    </row>
    <row r="42" spans="1:18" ht="18.5" x14ac:dyDescent="0.45">
      <c r="A42" s="3">
        <v>41</v>
      </c>
      <c r="B42" s="16" t="s">
        <v>83</v>
      </c>
      <c r="C42" s="7" t="s">
        <v>91</v>
      </c>
      <c r="D42" s="11">
        <f>SUM(1448)</f>
        <v>1448</v>
      </c>
      <c r="E42" s="11">
        <f>SUM(144)</f>
        <v>144</v>
      </c>
      <c r="F42" s="12">
        <f t="shared" si="0"/>
        <v>10.055555555555555</v>
      </c>
      <c r="G42" s="11">
        <v>1</v>
      </c>
      <c r="H42" s="11"/>
      <c r="I42" s="11"/>
      <c r="J42" s="11"/>
      <c r="K42" s="11"/>
      <c r="L42" s="11">
        <v>1</v>
      </c>
      <c r="M42" s="13"/>
    </row>
    <row r="43" spans="1:18" ht="18.5" x14ac:dyDescent="0.45">
      <c r="A43" s="3">
        <v>42</v>
      </c>
      <c r="B43" s="33" t="s">
        <v>35</v>
      </c>
      <c r="C43" s="7" t="s">
        <v>32</v>
      </c>
      <c r="D43" s="11"/>
      <c r="E43" s="11"/>
      <c r="F43" s="12"/>
      <c r="G43" s="11"/>
      <c r="H43" s="11"/>
      <c r="I43" s="11"/>
      <c r="J43" s="11"/>
      <c r="K43" s="11"/>
      <c r="L43" s="11">
        <v>1</v>
      </c>
      <c r="M43" s="13"/>
    </row>
    <row r="44" spans="1:18" ht="18.5" x14ac:dyDescent="0.45">
      <c r="A44" s="3">
        <v>43</v>
      </c>
      <c r="B44" s="4" t="s">
        <v>74</v>
      </c>
      <c r="C44" s="7" t="s">
        <v>66</v>
      </c>
      <c r="D44" s="11"/>
      <c r="E44" s="11"/>
      <c r="F44" s="12"/>
      <c r="G44" s="11"/>
      <c r="H44" s="11"/>
      <c r="I44" s="11"/>
      <c r="J44" s="11"/>
      <c r="K44" s="11"/>
      <c r="L44" s="11">
        <v>0.5</v>
      </c>
      <c r="M44" s="13"/>
    </row>
    <row r="45" spans="1:18" ht="18.5" x14ac:dyDescent="0.45">
      <c r="A45" s="3"/>
      <c r="B45" s="15"/>
      <c r="C45" s="17"/>
      <c r="D45" s="11"/>
      <c r="E45" s="11"/>
      <c r="F45" s="12"/>
      <c r="G45" s="11"/>
      <c r="H45" s="11"/>
      <c r="I45" s="11"/>
      <c r="J45" s="11"/>
      <c r="K45" s="11"/>
      <c r="L45" s="11"/>
      <c r="M45" s="13"/>
    </row>
    <row r="46" spans="1:18" ht="18.5" x14ac:dyDescent="0.45">
      <c r="A46" s="3"/>
      <c r="B46" s="4"/>
      <c r="C46" s="4"/>
      <c r="D46" s="11"/>
      <c r="E46" s="11"/>
      <c r="F46" s="12"/>
      <c r="G46" s="11"/>
      <c r="H46" s="11"/>
      <c r="I46" s="11"/>
      <c r="J46" s="11"/>
      <c r="K46" s="11"/>
      <c r="L46" s="11"/>
      <c r="M46" s="13"/>
    </row>
    <row r="47" spans="1:18" ht="17.25" customHeight="1" thickBot="1" x14ac:dyDescent="0.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8" ht="19.5" customHeight="1" thickBot="1" x14ac:dyDescent="0.5">
      <c r="A48" s="5"/>
      <c r="B48" s="82" t="s">
        <v>92</v>
      </c>
      <c r="C48" s="27" t="s">
        <v>44</v>
      </c>
      <c r="D48" s="28" t="s">
        <v>45</v>
      </c>
      <c r="E48" s="29" t="s">
        <v>46</v>
      </c>
      <c r="F48" s="20" t="s">
        <v>62</v>
      </c>
      <c r="G48" s="30" t="s">
        <v>47</v>
      </c>
      <c r="I48" s="78" t="s">
        <v>48</v>
      </c>
      <c r="J48" s="79"/>
      <c r="K48" s="79"/>
      <c r="L48" s="79"/>
      <c r="M48" s="79"/>
      <c r="N48" s="79"/>
      <c r="O48" s="79"/>
      <c r="P48" s="79"/>
      <c r="Q48" s="79"/>
      <c r="R48" s="80"/>
    </row>
    <row r="49" spans="1:18" ht="18.5" x14ac:dyDescent="0.45">
      <c r="A49" s="5"/>
      <c r="B49" s="83"/>
      <c r="C49" s="17" t="s">
        <v>59</v>
      </c>
      <c r="D49" s="7">
        <v>2</v>
      </c>
      <c r="E49" s="22">
        <v>0</v>
      </c>
      <c r="F49" s="15"/>
      <c r="G49" s="23">
        <v>39</v>
      </c>
      <c r="I49" s="84" t="s">
        <v>49</v>
      </c>
      <c r="J49" s="70"/>
      <c r="K49" s="70"/>
      <c r="L49" s="70"/>
      <c r="M49" s="70"/>
      <c r="N49" s="64" t="s">
        <v>88</v>
      </c>
      <c r="O49" s="64"/>
      <c r="P49" s="64"/>
      <c r="Q49" s="64"/>
      <c r="R49" s="81"/>
    </row>
    <row r="50" spans="1:18" ht="18.5" x14ac:dyDescent="0.45">
      <c r="A50" s="5"/>
      <c r="B50" s="83"/>
      <c r="C50" s="17" t="s">
        <v>58</v>
      </c>
      <c r="D50" s="7">
        <v>2</v>
      </c>
      <c r="E50" s="16">
        <v>0</v>
      </c>
      <c r="F50" s="15"/>
      <c r="G50" s="17">
        <v>35</v>
      </c>
      <c r="I50" s="85" t="s">
        <v>51</v>
      </c>
      <c r="J50" s="72"/>
      <c r="K50" s="72"/>
      <c r="L50" s="72"/>
      <c r="M50" s="72"/>
      <c r="N50" s="59" t="s">
        <v>87</v>
      </c>
      <c r="O50" s="59"/>
      <c r="P50" s="59"/>
      <c r="Q50" s="59"/>
      <c r="R50" s="77"/>
    </row>
    <row r="51" spans="1:18" ht="18.5" x14ac:dyDescent="0.45">
      <c r="A51" s="5"/>
      <c r="B51" s="83"/>
      <c r="C51" s="17" t="s">
        <v>60</v>
      </c>
      <c r="D51" s="7">
        <v>2</v>
      </c>
      <c r="E51" s="22">
        <v>0</v>
      </c>
      <c r="F51" s="15"/>
      <c r="G51" s="23">
        <v>31</v>
      </c>
      <c r="I51" s="85" t="s">
        <v>53</v>
      </c>
      <c r="J51" s="72"/>
      <c r="K51" s="72"/>
      <c r="L51" s="72"/>
      <c r="M51" s="72"/>
      <c r="N51" s="59" t="s">
        <v>90</v>
      </c>
      <c r="O51" s="59"/>
      <c r="P51" s="59"/>
      <c r="Q51" s="59"/>
      <c r="R51" s="77"/>
    </row>
    <row r="52" spans="1:18" ht="18.5" x14ac:dyDescent="0.45">
      <c r="A52" s="6"/>
      <c r="B52" s="83"/>
      <c r="C52" s="18" t="s">
        <v>61</v>
      </c>
      <c r="D52" s="9">
        <v>2</v>
      </c>
      <c r="E52" s="10">
        <v>0</v>
      </c>
      <c r="F52" s="15"/>
      <c r="G52" s="18">
        <v>29</v>
      </c>
      <c r="I52" s="85" t="s">
        <v>54</v>
      </c>
      <c r="J52" s="72"/>
      <c r="K52" s="72"/>
      <c r="L52" s="72"/>
      <c r="M52" s="72"/>
      <c r="N52" s="59" t="s">
        <v>86</v>
      </c>
      <c r="O52" s="59"/>
      <c r="P52" s="59"/>
      <c r="Q52" s="59"/>
      <c r="R52" s="77"/>
    </row>
    <row r="53" spans="1:18" ht="18" customHeight="1" x14ac:dyDescent="0.45">
      <c r="A53" s="6"/>
      <c r="B53" s="83"/>
      <c r="C53" s="17" t="s">
        <v>52</v>
      </c>
      <c r="D53" s="7">
        <v>0</v>
      </c>
      <c r="E53" s="22">
        <v>2</v>
      </c>
      <c r="F53" s="15"/>
      <c r="G53" s="23">
        <v>16</v>
      </c>
      <c r="I53" s="85" t="s">
        <v>56</v>
      </c>
      <c r="J53" s="72"/>
      <c r="K53" s="72"/>
      <c r="L53" s="72"/>
      <c r="M53" s="72"/>
      <c r="N53" s="59" t="s">
        <v>90</v>
      </c>
      <c r="O53" s="59"/>
      <c r="P53" s="59"/>
      <c r="Q53" s="59"/>
      <c r="R53" s="77"/>
    </row>
    <row r="54" spans="1:18" ht="18" customHeight="1" thickBot="1" x14ac:dyDescent="0.5">
      <c r="A54" s="6"/>
      <c r="B54" s="83"/>
      <c r="C54" s="17" t="s">
        <v>50</v>
      </c>
      <c r="D54" s="7">
        <v>0</v>
      </c>
      <c r="E54" s="16">
        <v>2</v>
      </c>
      <c r="F54" s="15"/>
      <c r="G54" s="17">
        <v>14</v>
      </c>
      <c r="I54" s="86" t="s">
        <v>57</v>
      </c>
      <c r="J54" s="87"/>
      <c r="K54" s="87"/>
      <c r="L54" s="87"/>
      <c r="M54" s="87"/>
      <c r="N54" s="59" t="s">
        <v>86</v>
      </c>
      <c r="O54" s="59"/>
      <c r="P54" s="59"/>
      <c r="Q54" s="59"/>
      <c r="R54" s="77"/>
    </row>
    <row r="55" spans="1:18" ht="18.5" x14ac:dyDescent="0.45">
      <c r="A55" s="6"/>
      <c r="B55" s="83"/>
      <c r="C55" s="18" t="s">
        <v>75</v>
      </c>
      <c r="D55" s="9">
        <v>0</v>
      </c>
      <c r="E55" s="10">
        <v>1</v>
      </c>
      <c r="F55" s="15"/>
      <c r="G55" s="18">
        <v>10</v>
      </c>
      <c r="H55" s="6"/>
      <c r="I55" s="6"/>
    </row>
    <row r="56" spans="1:18" ht="18.5" x14ac:dyDescent="0.45">
      <c r="A56" s="6"/>
      <c r="B56" s="83"/>
      <c r="C56" s="17" t="s">
        <v>73</v>
      </c>
      <c r="D56" s="7">
        <v>0</v>
      </c>
      <c r="E56" s="22">
        <v>1</v>
      </c>
      <c r="F56" s="15"/>
      <c r="G56" s="23">
        <v>8</v>
      </c>
      <c r="H56" s="6"/>
    </row>
    <row r="57" spans="1:18" ht="18.5" x14ac:dyDescent="0.45">
      <c r="B57" s="83"/>
      <c r="C57" s="19" t="s">
        <v>68</v>
      </c>
      <c r="D57" s="9">
        <v>0</v>
      </c>
      <c r="E57" s="10">
        <v>1</v>
      </c>
      <c r="F57" s="15"/>
      <c r="G57" s="18">
        <v>6</v>
      </c>
    </row>
    <row r="58" spans="1:18" ht="18.5" x14ac:dyDescent="0.45">
      <c r="B58" s="83"/>
      <c r="C58" s="17" t="s">
        <v>55</v>
      </c>
      <c r="D58" s="7">
        <v>0</v>
      </c>
      <c r="E58" s="22">
        <v>1</v>
      </c>
      <c r="F58" s="15"/>
      <c r="G58" s="23">
        <v>4</v>
      </c>
    </row>
    <row r="59" spans="1:18" ht="15" thickBot="1" x14ac:dyDescent="0.4"/>
    <row r="60" spans="1:18" ht="19" thickBot="1" x14ac:dyDescent="0.5">
      <c r="C60" s="27" t="s">
        <v>76</v>
      </c>
      <c r="D60" s="28" t="s">
        <v>45</v>
      </c>
      <c r="E60" s="28" t="s">
        <v>46</v>
      </c>
      <c r="F60" s="20" t="s">
        <v>62</v>
      </c>
      <c r="G60" s="31" t="s">
        <v>47</v>
      </c>
    </row>
    <row r="61" spans="1:18" ht="18.5" x14ac:dyDescent="0.45">
      <c r="C61" s="14" t="s">
        <v>59</v>
      </c>
      <c r="D61" s="14">
        <v>2</v>
      </c>
      <c r="E61" s="24">
        <v>0</v>
      </c>
      <c r="F61" s="15"/>
      <c r="G61" s="25">
        <v>39</v>
      </c>
    </row>
    <row r="62" spans="1:18" ht="18.5" x14ac:dyDescent="0.45">
      <c r="C62" s="7" t="s">
        <v>60</v>
      </c>
      <c r="D62" s="7">
        <v>2</v>
      </c>
      <c r="E62" s="22">
        <v>0</v>
      </c>
      <c r="F62" s="15"/>
      <c r="G62" s="23">
        <v>31</v>
      </c>
    </row>
    <row r="63" spans="1:18" ht="18.5" x14ac:dyDescent="0.45">
      <c r="C63" s="14" t="s">
        <v>50</v>
      </c>
      <c r="D63" s="14">
        <v>0</v>
      </c>
      <c r="E63" s="21">
        <v>2</v>
      </c>
      <c r="F63" s="26"/>
      <c r="G63" s="19">
        <v>14</v>
      </c>
    </row>
    <row r="64" spans="1:18" ht="18.5" x14ac:dyDescent="0.45">
      <c r="C64" s="14" t="s">
        <v>73</v>
      </c>
      <c r="D64" s="14">
        <v>0</v>
      </c>
      <c r="E64" s="24">
        <v>1</v>
      </c>
      <c r="F64" s="26"/>
      <c r="G64" s="25">
        <v>8</v>
      </c>
    </row>
    <row r="65" spans="3:7" ht="18.5" x14ac:dyDescent="0.45">
      <c r="C65" s="7" t="s">
        <v>55</v>
      </c>
      <c r="D65" s="7">
        <v>0</v>
      </c>
      <c r="E65" s="22">
        <v>1</v>
      </c>
      <c r="F65" s="15"/>
      <c r="G65" s="23">
        <v>4</v>
      </c>
    </row>
    <row r="66" spans="3:7" ht="15" thickBot="1" x14ac:dyDescent="0.4"/>
    <row r="67" spans="3:7" ht="19" thickBot="1" x14ac:dyDescent="0.5">
      <c r="C67" s="27" t="s">
        <v>77</v>
      </c>
      <c r="D67" s="28" t="s">
        <v>45</v>
      </c>
      <c r="E67" s="28" t="s">
        <v>46</v>
      </c>
      <c r="F67" s="20" t="s">
        <v>62</v>
      </c>
      <c r="G67" s="31" t="s">
        <v>47</v>
      </c>
    </row>
    <row r="68" spans="3:7" ht="18.5" x14ac:dyDescent="0.45">
      <c r="C68" s="7" t="s">
        <v>58</v>
      </c>
      <c r="D68" s="7">
        <v>2</v>
      </c>
      <c r="E68" s="16">
        <v>0</v>
      </c>
      <c r="F68" s="15"/>
      <c r="G68" s="17">
        <v>35</v>
      </c>
    </row>
    <row r="69" spans="3:7" ht="18.5" x14ac:dyDescent="0.45">
      <c r="C69" s="9" t="s">
        <v>61</v>
      </c>
      <c r="D69" s="9">
        <v>2</v>
      </c>
      <c r="E69" s="10">
        <v>0</v>
      </c>
      <c r="F69" s="15"/>
      <c r="G69" s="18">
        <v>29</v>
      </c>
    </row>
    <row r="70" spans="3:7" ht="18.5" x14ac:dyDescent="0.45">
      <c r="C70" s="32" t="s">
        <v>52</v>
      </c>
      <c r="D70" s="14">
        <v>0</v>
      </c>
      <c r="E70" s="24">
        <v>2</v>
      </c>
      <c r="F70" s="15"/>
      <c r="G70" s="25">
        <v>16</v>
      </c>
    </row>
    <row r="71" spans="3:7" ht="18.5" x14ac:dyDescent="0.45">
      <c r="C71" s="15" t="s">
        <v>75</v>
      </c>
      <c r="D71" s="18">
        <v>0</v>
      </c>
      <c r="E71" s="10">
        <v>1</v>
      </c>
      <c r="F71" s="15"/>
      <c r="G71" s="18">
        <v>10</v>
      </c>
    </row>
    <row r="72" spans="3:7" ht="18.5" x14ac:dyDescent="0.45">
      <c r="C72" s="14" t="s">
        <v>68</v>
      </c>
      <c r="D72" s="14">
        <v>0</v>
      </c>
      <c r="E72" s="21">
        <v>1</v>
      </c>
      <c r="F72" s="26"/>
      <c r="G72" s="19">
        <v>6</v>
      </c>
    </row>
  </sheetData>
  <sortState ref="A2:M44">
    <sortCondition descending="1" ref="F2:F44"/>
  </sortState>
  <mergeCells count="14">
    <mergeCell ref="N54:R54"/>
    <mergeCell ref="I48:R48"/>
    <mergeCell ref="N49:R49"/>
    <mergeCell ref="N50:R50"/>
    <mergeCell ref="N51:R51"/>
    <mergeCell ref="N52:R52"/>
    <mergeCell ref="N53:R53"/>
    <mergeCell ref="B48:B58"/>
    <mergeCell ref="I49:M49"/>
    <mergeCell ref="I50:M50"/>
    <mergeCell ref="I51:M51"/>
    <mergeCell ref="I52:M52"/>
    <mergeCell ref="I53:M53"/>
    <mergeCell ref="I54:M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B066C-D16A-4D16-884F-4F6DABB499DA}">
  <sheetPr codeName="Sheet4"/>
  <dimension ref="A1:R74"/>
  <sheetViews>
    <sheetView workbookViewId="0">
      <pane ySplit="1" topLeftCell="A2" activePane="bottomLeft" state="frozen"/>
      <selection pane="bottomLeft" activeCell="N65" sqref="N65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8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18.8164062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19</v>
      </c>
      <c r="C2" s="4" t="s">
        <v>14</v>
      </c>
      <c r="D2" s="11">
        <f>SUM(1503+1501)</f>
        <v>3004</v>
      </c>
      <c r="E2" s="11">
        <f>SUM(88+78)</f>
        <v>166</v>
      </c>
      <c r="F2" s="12">
        <f t="shared" ref="F2:F46" si="0">SUM(D2/E2)</f>
        <v>18.096385542168676</v>
      </c>
      <c r="G2" s="11">
        <v>2</v>
      </c>
      <c r="H2" s="11">
        <v>2</v>
      </c>
      <c r="I2" s="11"/>
      <c r="J2" s="11"/>
      <c r="K2" s="11"/>
      <c r="L2" s="11">
        <v>11.5</v>
      </c>
      <c r="M2" s="13">
        <v>5</v>
      </c>
    </row>
    <row r="3" spans="1:13" ht="18.5" x14ac:dyDescent="0.45">
      <c r="A3" s="3">
        <v>2</v>
      </c>
      <c r="B3" s="4" t="s">
        <v>15</v>
      </c>
      <c r="C3" s="4" t="s">
        <v>16</v>
      </c>
      <c r="D3" s="11">
        <f>SUM(1439+1494)</f>
        <v>2933</v>
      </c>
      <c r="E3" s="11">
        <f>SUM(83+92)</f>
        <v>175</v>
      </c>
      <c r="F3" s="12">
        <f t="shared" si="0"/>
        <v>16.760000000000002</v>
      </c>
      <c r="G3" s="11">
        <v>2</v>
      </c>
      <c r="H3" s="11"/>
      <c r="I3" s="11"/>
      <c r="J3" s="11"/>
      <c r="K3" s="11"/>
      <c r="L3" s="11">
        <v>3.5</v>
      </c>
      <c r="M3" s="13"/>
    </row>
    <row r="4" spans="1:13" ht="18.5" x14ac:dyDescent="0.45">
      <c r="A4" s="3">
        <v>3</v>
      </c>
      <c r="B4" s="4" t="s">
        <v>13</v>
      </c>
      <c r="C4" s="4" t="s">
        <v>14</v>
      </c>
      <c r="D4" s="11">
        <f>SUM(1503+1493+1483)</f>
        <v>4479</v>
      </c>
      <c r="E4" s="11">
        <f>SUM(87+94+89)</f>
        <v>270</v>
      </c>
      <c r="F4" s="12">
        <f t="shared" si="0"/>
        <v>16.588888888888889</v>
      </c>
      <c r="G4" s="11">
        <v>3</v>
      </c>
      <c r="H4" s="11">
        <v>3</v>
      </c>
      <c r="I4" s="11"/>
      <c r="J4" s="11"/>
      <c r="K4" s="11"/>
      <c r="L4" s="11">
        <v>13.5</v>
      </c>
      <c r="M4" s="13"/>
    </row>
    <row r="5" spans="1:13" ht="18.5" x14ac:dyDescent="0.45">
      <c r="A5" s="3">
        <v>4</v>
      </c>
      <c r="B5" s="15" t="s">
        <v>85</v>
      </c>
      <c r="C5" s="4" t="s">
        <v>103</v>
      </c>
      <c r="D5" s="11">
        <f>SUM(1503+1503)</f>
        <v>3006</v>
      </c>
      <c r="E5" s="11">
        <f>SUM(97+85)</f>
        <v>182</v>
      </c>
      <c r="F5" s="12">
        <f t="shared" si="0"/>
        <v>16.516483516483518</v>
      </c>
      <c r="G5" s="11">
        <v>2</v>
      </c>
      <c r="H5" s="11">
        <v>2</v>
      </c>
      <c r="I5" s="11"/>
      <c r="J5" s="11"/>
      <c r="K5" s="11"/>
      <c r="L5" s="11">
        <v>10.5</v>
      </c>
      <c r="M5" s="13"/>
    </row>
    <row r="6" spans="1:13" ht="18.5" x14ac:dyDescent="0.45">
      <c r="A6" s="3">
        <v>5</v>
      </c>
      <c r="B6" s="15" t="s">
        <v>31</v>
      </c>
      <c r="C6" s="4" t="s">
        <v>32</v>
      </c>
      <c r="D6" s="11">
        <f>SUM(1463+1440)</f>
        <v>2903</v>
      </c>
      <c r="E6" s="11">
        <f>SUM(87+90)</f>
        <v>177</v>
      </c>
      <c r="F6" s="12">
        <f t="shared" si="0"/>
        <v>16.401129943502823</v>
      </c>
      <c r="G6" s="11">
        <v>2</v>
      </c>
      <c r="H6" s="11">
        <v>2</v>
      </c>
      <c r="I6" s="11"/>
      <c r="J6" s="11"/>
      <c r="K6" s="11"/>
      <c r="L6" s="11">
        <v>6.5</v>
      </c>
      <c r="M6" s="13">
        <v>10</v>
      </c>
    </row>
    <row r="7" spans="1:13" ht="18.5" x14ac:dyDescent="0.45">
      <c r="A7" s="3">
        <v>6</v>
      </c>
      <c r="B7" s="4" t="s">
        <v>11</v>
      </c>
      <c r="C7" s="4" t="s">
        <v>12</v>
      </c>
      <c r="D7" s="11">
        <f>SUM(1434+1499)</f>
        <v>2933</v>
      </c>
      <c r="E7" s="11">
        <f>SUM(78+102)</f>
        <v>180</v>
      </c>
      <c r="F7" s="12">
        <f t="shared" si="0"/>
        <v>16.294444444444444</v>
      </c>
      <c r="G7" s="11">
        <v>2</v>
      </c>
      <c r="H7" s="11">
        <v>1</v>
      </c>
      <c r="I7" s="11"/>
      <c r="J7" s="11"/>
      <c r="K7" s="11"/>
      <c r="L7" s="11">
        <v>4</v>
      </c>
      <c r="M7" s="13">
        <v>5</v>
      </c>
    </row>
    <row r="8" spans="1:13" ht="18.5" x14ac:dyDescent="0.45">
      <c r="A8" s="3">
        <v>7</v>
      </c>
      <c r="B8" s="4" t="s">
        <v>25</v>
      </c>
      <c r="C8" s="4" t="s">
        <v>12</v>
      </c>
      <c r="D8" s="11">
        <f>SUM(1124+1503)</f>
        <v>2627</v>
      </c>
      <c r="E8" s="11">
        <f>SUM(81+82)</f>
        <v>163</v>
      </c>
      <c r="F8" s="12">
        <f t="shared" si="0"/>
        <v>16.116564417177916</v>
      </c>
      <c r="G8" s="11">
        <v>2</v>
      </c>
      <c r="H8" s="11">
        <v>1</v>
      </c>
      <c r="I8" s="11"/>
      <c r="J8" s="11">
        <v>1</v>
      </c>
      <c r="K8" s="11"/>
      <c r="L8" s="11">
        <v>5.5</v>
      </c>
      <c r="M8" s="13">
        <v>5</v>
      </c>
    </row>
    <row r="9" spans="1:13" ht="18.5" x14ac:dyDescent="0.45">
      <c r="A9" s="3">
        <v>8</v>
      </c>
      <c r="B9" s="4" t="s">
        <v>23</v>
      </c>
      <c r="C9" s="4" t="s">
        <v>14</v>
      </c>
      <c r="D9" s="11">
        <f>SUM(1503+1503+1503)</f>
        <v>4509</v>
      </c>
      <c r="E9" s="11">
        <f>SUM(93+102+87)</f>
        <v>282</v>
      </c>
      <c r="F9" s="12">
        <f t="shared" si="0"/>
        <v>15.98936170212766</v>
      </c>
      <c r="G9" s="11">
        <v>3</v>
      </c>
      <c r="H9" s="11">
        <v>3</v>
      </c>
      <c r="I9" s="11">
        <v>1</v>
      </c>
      <c r="J9" s="11"/>
      <c r="K9" s="11">
        <v>1</v>
      </c>
      <c r="L9" s="11">
        <v>15</v>
      </c>
      <c r="M9" s="13"/>
    </row>
    <row r="10" spans="1:13" ht="18.5" x14ac:dyDescent="0.45">
      <c r="A10" s="3">
        <v>9</v>
      </c>
      <c r="B10" s="4" t="s">
        <v>41</v>
      </c>
      <c r="C10" s="4" t="s">
        <v>16</v>
      </c>
      <c r="D10" s="11">
        <f>SUM(1305+1155)</f>
        <v>2460</v>
      </c>
      <c r="E10" s="11">
        <f>SUM(82+73)</f>
        <v>155</v>
      </c>
      <c r="F10" s="12">
        <f t="shared" si="0"/>
        <v>15.870967741935484</v>
      </c>
      <c r="G10" s="11">
        <v>2</v>
      </c>
      <c r="H10" s="11">
        <v>1</v>
      </c>
      <c r="I10" s="11"/>
      <c r="J10" s="11"/>
      <c r="K10" s="11"/>
      <c r="L10" s="11">
        <v>6</v>
      </c>
      <c r="M10" s="13"/>
    </row>
    <row r="11" spans="1:13" ht="18.5" x14ac:dyDescent="0.45">
      <c r="A11" s="3">
        <v>10</v>
      </c>
      <c r="B11" s="3" t="s">
        <v>33</v>
      </c>
      <c r="C11" s="4" t="s">
        <v>22</v>
      </c>
      <c r="D11" s="11">
        <f>SUM(1385+1499+1356)</f>
        <v>4240</v>
      </c>
      <c r="E11" s="11">
        <f>SUM(79+109+82)</f>
        <v>270</v>
      </c>
      <c r="F11" s="12">
        <f t="shared" si="0"/>
        <v>15.703703703703704</v>
      </c>
      <c r="G11" s="11">
        <v>3</v>
      </c>
      <c r="H11" s="11">
        <v>2</v>
      </c>
      <c r="I11" s="11"/>
      <c r="J11" s="11"/>
      <c r="K11" s="11"/>
      <c r="L11" s="11">
        <v>12</v>
      </c>
      <c r="M11" s="13"/>
    </row>
    <row r="12" spans="1:13" ht="18.5" x14ac:dyDescent="0.45">
      <c r="A12" s="3">
        <v>11</v>
      </c>
      <c r="B12" s="3" t="s">
        <v>21</v>
      </c>
      <c r="C12" s="4" t="s">
        <v>22</v>
      </c>
      <c r="D12" s="11">
        <f>SUM(1399+1503+1274)</f>
        <v>4176</v>
      </c>
      <c r="E12" s="11">
        <f>SUM(82+109+87)</f>
        <v>278</v>
      </c>
      <c r="F12" s="12">
        <f t="shared" si="0"/>
        <v>15.02158273381295</v>
      </c>
      <c r="G12" s="11">
        <v>3</v>
      </c>
      <c r="H12" s="11">
        <v>1</v>
      </c>
      <c r="I12" s="11"/>
      <c r="J12" s="11"/>
      <c r="K12" s="11"/>
      <c r="L12" s="11">
        <v>8.5</v>
      </c>
      <c r="M12" s="13"/>
    </row>
    <row r="13" spans="1:13" ht="18.5" x14ac:dyDescent="0.45">
      <c r="A13" s="3">
        <v>12</v>
      </c>
      <c r="B13" s="4" t="s">
        <v>78</v>
      </c>
      <c r="C13" s="4" t="s">
        <v>18</v>
      </c>
      <c r="D13" s="11">
        <f>SUM(1503)</f>
        <v>1503</v>
      </c>
      <c r="E13" s="11">
        <f>SUM(102)</f>
        <v>102</v>
      </c>
      <c r="F13" s="12">
        <f t="shared" si="0"/>
        <v>14.735294117647058</v>
      </c>
      <c r="G13" s="11">
        <v>1</v>
      </c>
      <c r="H13" s="11">
        <v>1</v>
      </c>
      <c r="I13" s="11"/>
      <c r="J13" s="11"/>
      <c r="K13" s="11"/>
      <c r="L13" s="11">
        <v>5</v>
      </c>
      <c r="M13" s="13"/>
    </row>
    <row r="14" spans="1:13" ht="18.5" x14ac:dyDescent="0.45">
      <c r="A14" s="3">
        <v>13</v>
      </c>
      <c r="B14" s="4" t="s">
        <v>26</v>
      </c>
      <c r="C14" s="4" t="s">
        <v>18</v>
      </c>
      <c r="D14" s="11">
        <f>SUM(1501+1503+1503)</f>
        <v>4507</v>
      </c>
      <c r="E14" s="11">
        <f>SUM(125+90+100)</f>
        <v>315</v>
      </c>
      <c r="F14" s="12">
        <f t="shared" si="0"/>
        <v>14.307936507936509</v>
      </c>
      <c r="G14" s="11">
        <v>3</v>
      </c>
      <c r="H14" s="11">
        <v>3</v>
      </c>
      <c r="I14" s="11"/>
      <c r="J14" s="11"/>
      <c r="K14" s="11">
        <v>1</v>
      </c>
      <c r="L14" s="11">
        <v>14.5</v>
      </c>
      <c r="M14" s="13">
        <v>5</v>
      </c>
    </row>
    <row r="15" spans="1:13" ht="18.5" x14ac:dyDescent="0.45">
      <c r="A15" s="3">
        <v>14</v>
      </c>
      <c r="B15" s="4" t="s">
        <v>28</v>
      </c>
      <c r="C15" s="7" t="s">
        <v>12</v>
      </c>
      <c r="D15" s="11">
        <f>SUM(1228+1398)</f>
        <v>2626</v>
      </c>
      <c r="E15" s="11">
        <f>SUM(90+96)</f>
        <v>186</v>
      </c>
      <c r="F15" s="12">
        <f t="shared" si="0"/>
        <v>14.118279569892474</v>
      </c>
      <c r="G15" s="11">
        <v>2</v>
      </c>
      <c r="H15" s="11"/>
      <c r="I15" s="11"/>
      <c r="J15" s="11"/>
      <c r="K15" s="11"/>
      <c r="L15" s="11">
        <v>3</v>
      </c>
      <c r="M15" s="13"/>
    </row>
    <row r="16" spans="1:13" ht="18.5" x14ac:dyDescent="0.45">
      <c r="A16" s="3">
        <v>15</v>
      </c>
      <c r="B16" s="3" t="s">
        <v>17</v>
      </c>
      <c r="C16" s="4" t="s">
        <v>18</v>
      </c>
      <c r="D16" s="11">
        <f>SUM(1503+1238+1475)</f>
        <v>4216</v>
      </c>
      <c r="E16" s="11">
        <f>SUM(101+96+104)</f>
        <v>301</v>
      </c>
      <c r="F16" s="12">
        <f t="shared" si="0"/>
        <v>14.006644518272426</v>
      </c>
      <c r="G16" s="11">
        <v>3</v>
      </c>
      <c r="H16" s="11">
        <v>1</v>
      </c>
      <c r="I16" s="11"/>
      <c r="J16" s="11"/>
      <c r="K16" s="11"/>
      <c r="L16" s="11">
        <v>9</v>
      </c>
      <c r="M16" s="13"/>
    </row>
    <row r="17" spans="1:13" ht="18.5" x14ac:dyDescent="0.45">
      <c r="A17" s="3">
        <v>16</v>
      </c>
      <c r="B17" s="15" t="s">
        <v>64</v>
      </c>
      <c r="C17" s="4" t="s">
        <v>27</v>
      </c>
      <c r="D17" s="11">
        <f>SUM(1501+1463)</f>
        <v>2964</v>
      </c>
      <c r="E17" s="11">
        <f>SUM(113+99)</f>
        <v>212</v>
      </c>
      <c r="F17" s="12">
        <f t="shared" si="0"/>
        <v>13.981132075471699</v>
      </c>
      <c r="G17" s="11">
        <v>2</v>
      </c>
      <c r="H17" s="11">
        <v>1</v>
      </c>
      <c r="I17" s="11"/>
      <c r="J17" s="11"/>
      <c r="K17" s="11"/>
      <c r="L17" s="11">
        <v>6</v>
      </c>
      <c r="M17" s="13">
        <v>5</v>
      </c>
    </row>
    <row r="18" spans="1:13" ht="18.5" x14ac:dyDescent="0.45">
      <c r="A18" s="3">
        <v>17</v>
      </c>
      <c r="B18" s="15" t="s">
        <v>34</v>
      </c>
      <c r="C18" s="4" t="s">
        <v>27</v>
      </c>
      <c r="D18" s="11">
        <f>SUM(1315+1435+1406)</f>
        <v>4156</v>
      </c>
      <c r="E18" s="11">
        <f>SUM(90+109+99)</f>
        <v>298</v>
      </c>
      <c r="F18" s="12">
        <f t="shared" si="0"/>
        <v>13.946308724832214</v>
      </c>
      <c r="G18" s="11">
        <v>3</v>
      </c>
      <c r="H18" s="11">
        <v>2</v>
      </c>
      <c r="I18" s="11"/>
      <c r="J18" s="11"/>
      <c r="K18" s="11"/>
      <c r="L18" s="11">
        <v>9</v>
      </c>
      <c r="M18" s="13"/>
    </row>
    <row r="19" spans="1:13" ht="18.5" x14ac:dyDescent="0.45">
      <c r="A19" s="3">
        <v>18</v>
      </c>
      <c r="B19" s="15" t="s">
        <v>30</v>
      </c>
      <c r="C19" s="4" t="s">
        <v>22</v>
      </c>
      <c r="D19" s="11">
        <f>SUM(1503+1285+1503)</f>
        <v>4291</v>
      </c>
      <c r="E19" s="11">
        <f>SUM(109+111+88)</f>
        <v>308</v>
      </c>
      <c r="F19" s="12">
        <f t="shared" si="0"/>
        <v>13.931818181818182</v>
      </c>
      <c r="G19" s="11">
        <v>3</v>
      </c>
      <c r="H19" s="11">
        <v>2</v>
      </c>
      <c r="I19" s="11"/>
      <c r="J19" s="11"/>
      <c r="K19" s="11"/>
      <c r="L19" s="11">
        <v>11.5</v>
      </c>
      <c r="M19" s="13">
        <v>5</v>
      </c>
    </row>
    <row r="20" spans="1:13" ht="18.5" x14ac:dyDescent="0.45">
      <c r="A20" s="3">
        <v>19</v>
      </c>
      <c r="B20" s="15" t="s">
        <v>65</v>
      </c>
      <c r="C20" s="4" t="s">
        <v>27</v>
      </c>
      <c r="D20" s="11">
        <f>SUM(1423+1499+1489)</f>
        <v>4411</v>
      </c>
      <c r="E20" s="11">
        <f>SUM(103+114+104)</f>
        <v>321</v>
      </c>
      <c r="F20" s="12">
        <f t="shared" si="0"/>
        <v>13.741433021806854</v>
      </c>
      <c r="G20" s="11">
        <v>3</v>
      </c>
      <c r="H20" s="11">
        <v>3</v>
      </c>
      <c r="I20" s="11"/>
      <c r="J20" s="11"/>
      <c r="K20" s="11">
        <v>1</v>
      </c>
      <c r="L20" s="11">
        <v>11.5</v>
      </c>
      <c r="M20" s="13"/>
    </row>
    <row r="21" spans="1:13" ht="18.5" x14ac:dyDescent="0.45">
      <c r="A21" s="3">
        <v>20</v>
      </c>
      <c r="B21" s="4" t="s">
        <v>79</v>
      </c>
      <c r="C21" s="4" t="s">
        <v>89</v>
      </c>
      <c r="D21" s="11">
        <f>SUM(1393+1406)</f>
        <v>2799</v>
      </c>
      <c r="E21" s="11">
        <f>SUM(111+98)</f>
        <v>209</v>
      </c>
      <c r="F21" s="12">
        <f t="shared" si="0"/>
        <v>13.392344497607656</v>
      </c>
      <c r="G21" s="11">
        <v>2</v>
      </c>
      <c r="H21" s="11">
        <v>1</v>
      </c>
      <c r="I21" s="11"/>
      <c r="J21" s="11"/>
      <c r="K21" s="11"/>
      <c r="L21" s="11">
        <v>4.5</v>
      </c>
      <c r="M21" s="13">
        <v>5</v>
      </c>
    </row>
    <row r="22" spans="1:13" ht="18.5" x14ac:dyDescent="0.45">
      <c r="A22" s="3">
        <v>21</v>
      </c>
      <c r="B22" s="4" t="s">
        <v>107</v>
      </c>
      <c r="C22" s="4" t="s">
        <v>14</v>
      </c>
      <c r="D22" s="11">
        <f>SUM(1081)</f>
        <v>1081</v>
      </c>
      <c r="E22" s="11">
        <f>SUM(81)</f>
        <v>81</v>
      </c>
      <c r="F22" s="12">
        <f t="shared" si="0"/>
        <v>13.345679012345679</v>
      </c>
      <c r="G22" s="11">
        <v>1</v>
      </c>
      <c r="H22" s="11"/>
      <c r="I22" s="11"/>
      <c r="J22" s="11"/>
      <c r="K22" s="11"/>
      <c r="L22" s="11">
        <v>0</v>
      </c>
      <c r="M22" s="13"/>
    </row>
    <row r="23" spans="1:13" ht="18.5" x14ac:dyDescent="0.45">
      <c r="A23" s="3">
        <v>22</v>
      </c>
      <c r="B23" s="15" t="s">
        <v>69</v>
      </c>
      <c r="C23" s="4" t="s">
        <v>14</v>
      </c>
      <c r="D23" s="11">
        <f>SUM(1497+1503+1455)</f>
        <v>4455</v>
      </c>
      <c r="E23" s="11">
        <f>SUM(119+89+126)</f>
        <v>334</v>
      </c>
      <c r="F23" s="12">
        <f t="shared" si="0"/>
        <v>13.338323353293413</v>
      </c>
      <c r="G23" s="11">
        <v>3</v>
      </c>
      <c r="H23" s="11">
        <v>3</v>
      </c>
      <c r="I23" s="11"/>
      <c r="J23" s="11"/>
      <c r="K23" s="11"/>
      <c r="L23" s="11">
        <v>13</v>
      </c>
      <c r="M23" s="13"/>
    </row>
    <row r="24" spans="1:13" ht="18.5" x14ac:dyDescent="0.45">
      <c r="A24" s="3">
        <v>23</v>
      </c>
      <c r="B24" s="15" t="s">
        <v>82</v>
      </c>
      <c r="C24" s="7" t="s">
        <v>89</v>
      </c>
      <c r="D24" s="11">
        <f>SUM(1451+1138)</f>
        <v>2589</v>
      </c>
      <c r="E24" s="11">
        <f>SUM(115+81)</f>
        <v>196</v>
      </c>
      <c r="F24" s="12">
        <f t="shared" si="0"/>
        <v>13.209183673469388</v>
      </c>
      <c r="G24" s="11">
        <v>2</v>
      </c>
      <c r="H24" s="11">
        <v>1</v>
      </c>
      <c r="I24" s="11"/>
      <c r="J24" s="11"/>
      <c r="K24" s="11"/>
      <c r="L24" s="11">
        <v>5.5</v>
      </c>
      <c r="M24" s="13"/>
    </row>
    <row r="25" spans="1:13" ht="18.5" x14ac:dyDescent="0.45">
      <c r="A25" s="3">
        <v>24</v>
      </c>
      <c r="B25" s="4" t="s">
        <v>20</v>
      </c>
      <c r="C25" s="4" t="s">
        <v>16</v>
      </c>
      <c r="D25" s="11">
        <f>SUM(1316+1259)</f>
        <v>2575</v>
      </c>
      <c r="E25" s="11">
        <f>SUM(107+90)</f>
        <v>197</v>
      </c>
      <c r="F25" s="12">
        <f t="shared" si="0"/>
        <v>13.071065989847716</v>
      </c>
      <c r="G25" s="11">
        <v>2</v>
      </c>
      <c r="H25" s="11">
        <v>1</v>
      </c>
      <c r="I25" s="11"/>
      <c r="J25" s="11"/>
      <c r="K25" s="11"/>
      <c r="L25" s="11">
        <v>3.5</v>
      </c>
      <c r="M25" s="13"/>
    </row>
    <row r="26" spans="1:13" ht="18.5" x14ac:dyDescent="0.45">
      <c r="A26" s="3">
        <v>25</v>
      </c>
      <c r="B26" s="7" t="s">
        <v>40</v>
      </c>
      <c r="C26" s="4" t="s">
        <v>32</v>
      </c>
      <c r="D26" s="11">
        <f>SUM(1263+1432)</f>
        <v>2695</v>
      </c>
      <c r="E26" s="11">
        <f>SUM(96+111)</f>
        <v>207</v>
      </c>
      <c r="F26" s="12">
        <f t="shared" si="0"/>
        <v>13.019323671497585</v>
      </c>
      <c r="G26" s="11">
        <v>2</v>
      </c>
      <c r="H26" s="11">
        <v>1</v>
      </c>
      <c r="I26" s="11"/>
      <c r="J26" s="11"/>
      <c r="K26" s="11"/>
      <c r="L26" s="11">
        <v>4</v>
      </c>
      <c r="M26" s="13"/>
    </row>
    <row r="27" spans="1:13" ht="18.5" x14ac:dyDescent="0.45">
      <c r="A27" s="3">
        <v>26</v>
      </c>
      <c r="B27" s="7" t="s">
        <v>106</v>
      </c>
      <c r="C27" s="4" t="s">
        <v>12</v>
      </c>
      <c r="D27" s="11">
        <f>SUM(1503)</f>
        <v>1503</v>
      </c>
      <c r="E27" s="11">
        <f>SUM(116)</f>
        <v>116</v>
      </c>
      <c r="F27" s="12">
        <f t="shared" si="0"/>
        <v>12.956896551724139</v>
      </c>
      <c r="G27" s="11">
        <v>1</v>
      </c>
      <c r="H27" s="11">
        <v>1</v>
      </c>
      <c r="I27" s="11"/>
      <c r="J27" s="11"/>
      <c r="K27" s="11"/>
      <c r="L27" s="11">
        <v>4</v>
      </c>
      <c r="M27" s="13"/>
    </row>
    <row r="28" spans="1:13" ht="18.5" x14ac:dyDescent="0.45">
      <c r="A28" s="3">
        <v>27</v>
      </c>
      <c r="B28" s="7" t="s">
        <v>37</v>
      </c>
      <c r="C28" s="4" t="s">
        <v>66</v>
      </c>
      <c r="D28" s="11">
        <f>SUM(1218+1106)</f>
        <v>2324</v>
      </c>
      <c r="E28" s="11">
        <f>SUM(96+84)</f>
        <v>180</v>
      </c>
      <c r="F28" s="12">
        <f t="shared" si="0"/>
        <v>12.911111111111111</v>
      </c>
      <c r="G28" s="11">
        <v>2</v>
      </c>
      <c r="H28" s="11"/>
      <c r="I28" s="11"/>
      <c r="J28" s="11"/>
      <c r="K28" s="11"/>
      <c r="L28" s="11">
        <v>3</v>
      </c>
      <c r="M28" s="13"/>
    </row>
    <row r="29" spans="1:13" ht="18.5" x14ac:dyDescent="0.45">
      <c r="A29" s="3">
        <v>28</v>
      </c>
      <c r="B29" s="9" t="s">
        <v>81</v>
      </c>
      <c r="C29" s="4" t="s">
        <v>89</v>
      </c>
      <c r="D29" s="11">
        <f>SUM(1431+1330)</f>
        <v>2761</v>
      </c>
      <c r="E29" s="11">
        <f>SUM(111+103)</f>
        <v>214</v>
      </c>
      <c r="F29" s="12">
        <f t="shared" si="0"/>
        <v>12.901869158878505</v>
      </c>
      <c r="G29" s="11">
        <v>2</v>
      </c>
      <c r="H29" s="11">
        <v>1</v>
      </c>
      <c r="I29" s="11"/>
      <c r="J29" s="11"/>
      <c r="K29" s="11"/>
      <c r="L29" s="11">
        <v>6.5</v>
      </c>
      <c r="M29" s="13"/>
    </row>
    <row r="30" spans="1:13" ht="18.5" x14ac:dyDescent="0.45">
      <c r="A30" s="3">
        <v>29</v>
      </c>
      <c r="B30" s="9" t="s">
        <v>67</v>
      </c>
      <c r="C30" s="4" t="s">
        <v>32</v>
      </c>
      <c r="D30" s="11">
        <f>SUM(1261+1230)</f>
        <v>2491</v>
      </c>
      <c r="E30" s="11">
        <f>SUM(102+96)</f>
        <v>198</v>
      </c>
      <c r="F30" s="12">
        <f t="shared" si="0"/>
        <v>12.580808080808081</v>
      </c>
      <c r="G30" s="11">
        <v>2</v>
      </c>
      <c r="H30" s="11"/>
      <c r="I30" s="11"/>
      <c r="J30" s="11"/>
      <c r="K30" s="11"/>
      <c r="L30" s="11">
        <v>1</v>
      </c>
      <c r="M30" s="13"/>
    </row>
    <row r="31" spans="1:13" ht="18.5" x14ac:dyDescent="0.45">
      <c r="A31" s="3">
        <v>30</v>
      </c>
      <c r="B31" s="7" t="s">
        <v>24</v>
      </c>
      <c r="C31" s="4" t="s">
        <v>22</v>
      </c>
      <c r="D31" s="11">
        <f>SUM(1465+1469+1456)</f>
        <v>4390</v>
      </c>
      <c r="E31" s="11">
        <f>SUM(109+117+124)</f>
        <v>350</v>
      </c>
      <c r="F31" s="12">
        <f t="shared" si="0"/>
        <v>12.542857142857143</v>
      </c>
      <c r="G31" s="11">
        <v>3</v>
      </c>
      <c r="H31" s="11"/>
      <c r="I31" s="11"/>
      <c r="J31" s="11"/>
      <c r="K31" s="11"/>
      <c r="L31" s="11">
        <v>9</v>
      </c>
      <c r="M31" s="13"/>
    </row>
    <row r="32" spans="1:13" ht="18.5" x14ac:dyDescent="0.45">
      <c r="A32" s="3">
        <v>31</v>
      </c>
      <c r="B32" s="58" t="s">
        <v>105</v>
      </c>
      <c r="C32" s="8" t="s">
        <v>89</v>
      </c>
      <c r="D32" s="11">
        <f>SUM(1344)</f>
        <v>1344</v>
      </c>
      <c r="E32" s="11">
        <f>SUM(108)</f>
        <v>108</v>
      </c>
      <c r="F32" s="12">
        <f t="shared" si="0"/>
        <v>12.444444444444445</v>
      </c>
      <c r="G32" s="11">
        <v>1</v>
      </c>
      <c r="H32" s="11"/>
      <c r="I32" s="11"/>
      <c r="J32" s="11"/>
      <c r="K32" s="11"/>
      <c r="L32" s="11">
        <v>1.5</v>
      </c>
      <c r="M32" s="13"/>
    </row>
    <row r="33" spans="1:13" ht="18.5" x14ac:dyDescent="0.45">
      <c r="A33" s="3">
        <v>32</v>
      </c>
      <c r="B33" s="7" t="s">
        <v>84</v>
      </c>
      <c r="C33" s="7" t="s">
        <v>103</v>
      </c>
      <c r="D33" s="11">
        <f>SUM(1385+1489)</f>
        <v>2874</v>
      </c>
      <c r="E33" s="11">
        <f>SUM(107+126)</f>
        <v>233</v>
      </c>
      <c r="F33" s="12">
        <f t="shared" si="0"/>
        <v>12.334763948497853</v>
      </c>
      <c r="G33" s="11">
        <v>2</v>
      </c>
      <c r="H33" s="11"/>
      <c r="I33" s="11"/>
      <c r="J33" s="11"/>
      <c r="K33" s="11"/>
      <c r="L33" s="11">
        <v>3</v>
      </c>
      <c r="M33" s="13"/>
    </row>
    <row r="34" spans="1:13" ht="18.5" x14ac:dyDescent="0.45">
      <c r="A34" s="3">
        <v>33</v>
      </c>
      <c r="B34" s="16" t="s">
        <v>36</v>
      </c>
      <c r="C34" s="7" t="s">
        <v>66</v>
      </c>
      <c r="D34" s="11">
        <f>SUM(1457+1503)</f>
        <v>2960</v>
      </c>
      <c r="E34" s="11">
        <f>SUM(116+124)</f>
        <v>240</v>
      </c>
      <c r="F34" s="12">
        <f t="shared" si="0"/>
        <v>12.333333333333334</v>
      </c>
      <c r="G34" s="11">
        <v>2</v>
      </c>
      <c r="H34" s="11">
        <v>1</v>
      </c>
      <c r="I34" s="11"/>
      <c r="J34" s="11"/>
      <c r="K34" s="11"/>
      <c r="L34" s="11">
        <v>7</v>
      </c>
      <c r="M34" s="13"/>
    </row>
    <row r="35" spans="1:13" ht="18.5" x14ac:dyDescent="0.45">
      <c r="A35" s="3">
        <v>34</v>
      </c>
      <c r="B35" s="15" t="s">
        <v>63</v>
      </c>
      <c r="C35" s="4" t="s">
        <v>27</v>
      </c>
      <c r="D35" s="11">
        <f>SUM(1424+1501+1501)</f>
        <v>4426</v>
      </c>
      <c r="E35" s="11">
        <f>SUM(90+147+123)</f>
        <v>360</v>
      </c>
      <c r="F35" s="12">
        <f t="shared" si="0"/>
        <v>12.294444444444444</v>
      </c>
      <c r="G35" s="11">
        <v>3</v>
      </c>
      <c r="H35" s="11">
        <v>2</v>
      </c>
      <c r="I35" s="11"/>
      <c r="J35" s="11"/>
      <c r="K35" s="11"/>
      <c r="L35" s="11">
        <v>11.5</v>
      </c>
      <c r="M35" s="13"/>
    </row>
    <row r="36" spans="1:13" ht="18.5" x14ac:dyDescent="0.45">
      <c r="A36" s="3">
        <v>35</v>
      </c>
      <c r="B36" s="10" t="s">
        <v>39</v>
      </c>
      <c r="C36" s="4" t="s">
        <v>32</v>
      </c>
      <c r="D36" s="11">
        <f>SUM(1397+971)</f>
        <v>2368</v>
      </c>
      <c r="E36" s="11">
        <f>SUM(109+84)</f>
        <v>193</v>
      </c>
      <c r="F36" s="12">
        <f t="shared" si="0"/>
        <v>12.269430051813471</v>
      </c>
      <c r="G36" s="11">
        <v>2</v>
      </c>
      <c r="H36" s="11"/>
      <c r="I36" s="11"/>
      <c r="J36" s="11"/>
      <c r="K36" s="11"/>
      <c r="L36" s="11">
        <v>3.5</v>
      </c>
      <c r="M36" s="13"/>
    </row>
    <row r="37" spans="1:13" ht="18.5" x14ac:dyDescent="0.45">
      <c r="A37" s="3">
        <v>36</v>
      </c>
      <c r="B37" s="10" t="s">
        <v>71</v>
      </c>
      <c r="C37" s="7" t="s">
        <v>16</v>
      </c>
      <c r="D37" s="11">
        <f>SUM(1373+1159)</f>
        <v>2532</v>
      </c>
      <c r="E37" s="11">
        <f>SUM(111+99)</f>
        <v>210</v>
      </c>
      <c r="F37" s="12">
        <f t="shared" si="0"/>
        <v>12.057142857142857</v>
      </c>
      <c r="G37" s="11">
        <v>2</v>
      </c>
      <c r="H37" s="11"/>
      <c r="I37" s="11"/>
      <c r="J37" s="11"/>
      <c r="K37" s="11"/>
      <c r="L37" s="11">
        <v>1</v>
      </c>
      <c r="M37" s="13"/>
    </row>
    <row r="38" spans="1:13" ht="18.5" x14ac:dyDescent="0.45">
      <c r="A38" s="3">
        <v>37</v>
      </c>
      <c r="B38" s="16" t="s">
        <v>29</v>
      </c>
      <c r="C38" s="7" t="s">
        <v>66</v>
      </c>
      <c r="D38" s="11">
        <f>SUM(1467+1499)</f>
        <v>2966</v>
      </c>
      <c r="E38" s="11">
        <f>SUM(129+121)</f>
        <v>250</v>
      </c>
      <c r="F38" s="12">
        <f t="shared" si="0"/>
        <v>11.864000000000001</v>
      </c>
      <c r="G38" s="11">
        <v>2</v>
      </c>
      <c r="H38" s="11">
        <v>1</v>
      </c>
      <c r="I38" s="11"/>
      <c r="J38" s="11"/>
      <c r="K38" s="11"/>
      <c r="L38" s="11">
        <v>4</v>
      </c>
      <c r="M38" s="13">
        <v>5</v>
      </c>
    </row>
    <row r="39" spans="1:13" ht="18.5" x14ac:dyDescent="0.45">
      <c r="A39" s="3">
        <v>38</v>
      </c>
      <c r="B39" s="10" t="s">
        <v>72</v>
      </c>
      <c r="C39" s="7" t="s">
        <v>12</v>
      </c>
      <c r="D39" s="11">
        <f>SUM(1409)</f>
        <v>1409</v>
      </c>
      <c r="E39" s="11">
        <f>SUM(119)</f>
        <v>119</v>
      </c>
      <c r="F39" s="12">
        <f t="shared" si="0"/>
        <v>11.840336134453782</v>
      </c>
      <c r="G39" s="11">
        <v>1</v>
      </c>
      <c r="H39" s="11"/>
      <c r="I39" s="11"/>
      <c r="J39" s="11"/>
      <c r="K39" s="11"/>
      <c r="L39" s="11">
        <v>1.5</v>
      </c>
      <c r="M39" s="13"/>
    </row>
    <row r="40" spans="1:13" ht="18.5" x14ac:dyDescent="0.45">
      <c r="A40" s="3">
        <v>39</v>
      </c>
      <c r="B40" s="10" t="s">
        <v>70</v>
      </c>
      <c r="C40" s="7" t="s">
        <v>18</v>
      </c>
      <c r="D40" s="11">
        <f>SUM(1487+1277+1280)</f>
        <v>4044</v>
      </c>
      <c r="E40" s="11">
        <f>SUM(122+115+117)</f>
        <v>354</v>
      </c>
      <c r="F40" s="12">
        <f t="shared" si="0"/>
        <v>11.423728813559322</v>
      </c>
      <c r="G40" s="11">
        <v>3</v>
      </c>
      <c r="H40" s="11">
        <v>1</v>
      </c>
      <c r="I40" s="11"/>
      <c r="J40" s="11"/>
      <c r="K40" s="11"/>
      <c r="L40" s="11">
        <v>9</v>
      </c>
      <c r="M40" s="13"/>
    </row>
    <row r="41" spans="1:13" ht="18.5" x14ac:dyDescent="0.45">
      <c r="A41" s="3">
        <v>40</v>
      </c>
      <c r="B41" s="16" t="s">
        <v>80</v>
      </c>
      <c r="C41" s="7" t="s">
        <v>89</v>
      </c>
      <c r="D41" s="11">
        <f>SUM(1219)</f>
        <v>1219</v>
      </c>
      <c r="E41" s="11">
        <f>SUM(108)</f>
        <v>108</v>
      </c>
      <c r="F41" s="12">
        <f t="shared" si="0"/>
        <v>11.287037037037036</v>
      </c>
      <c r="G41" s="11">
        <v>1</v>
      </c>
      <c r="H41" s="11"/>
      <c r="I41" s="11"/>
      <c r="J41" s="11"/>
      <c r="K41" s="11"/>
      <c r="L41" s="11">
        <v>0</v>
      </c>
      <c r="M41" s="13"/>
    </row>
    <row r="42" spans="1:13" ht="18.5" x14ac:dyDescent="0.45">
      <c r="A42" s="3">
        <v>41</v>
      </c>
      <c r="B42" s="10" t="s">
        <v>42</v>
      </c>
      <c r="C42" s="7" t="s">
        <v>18</v>
      </c>
      <c r="D42" s="11">
        <f>SUM(1503+1503)</f>
        <v>3006</v>
      </c>
      <c r="E42" s="11">
        <f>SUM(133+134)</f>
        <v>267</v>
      </c>
      <c r="F42" s="12">
        <f t="shared" si="0"/>
        <v>11.258426966292134</v>
      </c>
      <c r="G42" s="11">
        <v>2</v>
      </c>
      <c r="H42" s="11">
        <v>2</v>
      </c>
      <c r="I42" s="11"/>
      <c r="J42" s="11"/>
      <c r="K42" s="11"/>
      <c r="L42" s="11">
        <v>11.5</v>
      </c>
      <c r="M42" s="13"/>
    </row>
    <row r="43" spans="1:13" ht="18.5" x14ac:dyDescent="0.45">
      <c r="A43" s="3">
        <v>42</v>
      </c>
      <c r="B43" s="35" t="s">
        <v>38</v>
      </c>
      <c r="C43" s="7" t="s">
        <v>103</v>
      </c>
      <c r="D43" s="11">
        <f>SUM(1214+1381)</f>
        <v>2595</v>
      </c>
      <c r="E43" s="11">
        <f>SUM(116+115)</f>
        <v>231</v>
      </c>
      <c r="F43" s="12">
        <f t="shared" si="0"/>
        <v>11.233766233766234</v>
      </c>
      <c r="G43" s="11">
        <v>2</v>
      </c>
      <c r="H43" s="11"/>
      <c r="I43" s="11"/>
      <c r="J43" s="11"/>
      <c r="K43" s="11"/>
      <c r="L43" s="11">
        <v>4</v>
      </c>
      <c r="M43" s="13"/>
    </row>
    <row r="44" spans="1:13" ht="18.5" x14ac:dyDescent="0.45">
      <c r="A44" s="3">
        <v>43</v>
      </c>
      <c r="B44" s="15" t="s">
        <v>104</v>
      </c>
      <c r="C44" s="7" t="s">
        <v>27</v>
      </c>
      <c r="D44" s="11">
        <f>SUM(1442)</f>
        <v>1442</v>
      </c>
      <c r="E44" s="11">
        <f>SUM(129)</f>
        <v>129</v>
      </c>
      <c r="F44" s="12">
        <f t="shared" si="0"/>
        <v>11.178294573643411</v>
      </c>
      <c r="G44" s="11">
        <v>1</v>
      </c>
      <c r="H44" s="11"/>
      <c r="I44" s="11"/>
      <c r="J44" s="11"/>
      <c r="K44" s="11"/>
      <c r="L44" s="11">
        <v>1</v>
      </c>
      <c r="M44" s="13"/>
    </row>
    <row r="45" spans="1:13" ht="18.5" x14ac:dyDescent="0.45">
      <c r="A45" s="3">
        <v>44</v>
      </c>
      <c r="B45" s="15" t="s">
        <v>43</v>
      </c>
      <c r="C45" s="4" t="s">
        <v>66</v>
      </c>
      <c r="D45" s="11">
        <f>SUM(1252+1503)</f>
        <v>2755</v>
      </c>
      <c r="E45" s="11">
        <f>SUM(120+142)</f>
        <v>262</v>
      </c>
      <c r="F45" s="12">
        <f t="shared" si="0"/>
        <v>10.51526717557252</v>
      </c>
      <c r="G45" s="11">
        <v>2</v>
      </c>
      <c r="H45" s="11">
        <v>1</v>
      </c>
      <c r="I45" s="11"/>
      <c r="J45" s="11"/>
      <c r="K45" s="11"/>
      <c r="L45" s="11">
        <v>4</v>
      </c>
      <c r="M45" s="13"/>
    </row>
    <row r="46" spans="1:13" ht="18.5" x14ac:dyDescent="0.45">
      <c r="A46" s="3">
        <v>45</v>
      </c>
      <c r="B46" s="4" t="s">
        <v>83</v>
      </c>
      <c r="C46" s="4" t="s">
        <v>103</v>
      </c>
      <c r="D46" s="11">
        <f>SUM(1448+1487)</f>
        <v>2935</v>
      </c>
      <c r="E46" s="11">
        <f>SUM(144+138)</f>
        <v>282</v>
      </c>
      <c r="F46" s="12">
        <f t="shared" si="0"/>
        <v>10.407801418439716</v>
      </c>
      <c r="G46" s="11">
        <v>2</v>
      </c>
      <c r="H46" s="11"/>
      <c r="I46" s="11"/>
      <c r="J46" s="11"/>
      <c r="K46" s="11"/>
      <c r="L46" s="11">
        <v>2.5</v>
      </c>
      <c r="M46" s="13"/>
    </row>
    <row r="47" spans="1:13" ht="18.5" x14ac:dyDescent="0.45">
      <c r="A47" s="3">
        <v>46</v>
      </c>
      <c r="B47" s="4" t="s">
        <v>35</v>
      </c>
      <c r="C47" s="8" t="s">
        <v>32</v>
      </c>
      <c r="D47" s="11"/>
      <c r="E47" s="11"/>
      <c r="F47" s="12"/>
      <c r="G47" s="11"/>
      <c r="H47" s="11"/>
      <c r="I47" s="11"/>
      <c r="J47" s="11"/>
      <c r="K47" s="11"/>
      <c r="L47" s="11">
        <v>1</v>
      </c>
      <c r="M47" s="13"/>
    </row>
    <row r="48" spans="1:13" ht="18.5" x14ac:dyDescent="0.45">
      <c r="A48" s="3">
        <v>47</v>
      </c>
      <c r="B48" s="4" t="s">
        <v>74</v>
      </c>
      <c r="C48" s="4" t="s">
        <v>66</v>
      </c>
      <c r="D48" s="11"/>
      <c r="E48" s="11"/>
      <c r="F48" s="12"/>
      <c r="G48" s="11"/>
      <c r="H48" s="11"/>
      <c r="I48" s="11"/>
      <c r="J48" s="11"/>
      <c r="K48" s="11"/>
      <c r="L48" s="11">
        <v>2</v>
      </c>
      <c r="M48" s="13"/>
    </row>
    <row r="49" spans="1:18" ht="17.25" customHeight="1" thickBot="1" x14ac:dyDescent="0.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8" ht="19.5" customHeight="1" thickBot="1" x14ac:dyDescent="0.5">
      <c r="A50" s="5"/>
      <c r="B50" s="66" t="s">
        <v>102</v>
      </c>
      <c r="C50" s="57" t="s">
        <v>44</v>
      </c>
      <c r="D50" s="28" t="s">
        <v>45</v>
      </c>
      <c r="E50" s="29" t="s">
        <v>46</v>
      </c>
      <c r="F50" s="20" t="s">
        <v>62</v>
      </c>
      <c r="G50" s="30" t="s">
        <v>47</v>
      </c>
      <c r="I50" s="61" t="s">
        <v>48</v>
      </c>
      <c r="J50" s="62"/>
      <c r="K50" s="62"/>
      <c r="L50" s="62"/>
      <c r="M50" s="62"/>
      <c r="N50" s="62"/>
      <c r="O50" s="62"/>
      <c r="P50" s="62"/>
      <c r="Q50" s="62"/>
      <c r="R50" s="63"/>
    </row>
    <row r="51" spans="1:18" ht="18.5" x14ac:dyDescent="0.45">
      <c r="A51" s="5"/>
      <c r="B51" s="67"/>
      <c r="C51" s="17" t="s">
        <v>59</v>
      </c>
      <c r="D51" s="7">
        <v>3</v>
      </c>
      <c r="E51" s="22">
        <v>0</v>
      </c>
      <c r="F51" s="15"/>
      <c r="G51" s="23">
        <v>53</v>
      </c>
      <c r="I51" s="69" t="s">
        <v>49</v>
      </c>
      <c r="J51" s="70"/>
      <c r="K51" s="70"/>
      <c r="L51" s="70"/>
      <c r="M51" s="70"/>
      <c r="N51" s="64" t="s">
        <v>88</v>
      </c>
      <c r="O51" s="64"/>
      <c r="P51" s="64"/>
      <c r="Q51" s="64"/>
      <c r="R51" s="65"/>
    </row>
    <row r="52" spans="1:18" ht="18.5" x14ac:dyDescent="0.45">
      <c r="A52" s="5"/>
      <c r="B52" s="67"/>
      <c r="C52" s="17" t="s">
        <v>58</v>
      </c>
      <c r="D52" s="7">
        <v>3</v>
      </c>
      <c r="E52" s="16">
        <v>0</v>
      </c>
      <c r="F52" s="15"/>
      <c r="G52" s="17">
        <v>49</v>
      </c>
      <c r="I52" s="71" t="s">
        <v>51</v>
      </c>
      <c r="J52" s="72"/>
      <c r="K52" s="72"/>
      <c r="L52" s="72"/>
      <c r="M52" s="72"/>
      <c r="N52" s="59" t="s">
        <v>101</v>
      </c>
      <c r="O52" s="59"/>
      <c r="P52" s="59"/>
      <c r="Q52" s="59"/>
      <c r="R52" s="60"/>
    </row>
    <row r="53" spans="1:18" ht="18.5" x14ac:dyDescent="0.45">
      <c r="A53" s="5"/>
      <c r="B53" s="67"/>
      <c r="C53" s="17" t="s">
        <v>60</v>
      </c>
      <c r="D53" s="7">
        <v>2</v>
      </c>
      <c r="E53" s="22">
        <v>1</v>
      </c>
      <c r="F53" s="15"/>
      <c r="G53" s="23">
        <v>41</v>
      </c>
      <c r="I53" s="71" t="s">
        <v>53</v>
      </c>
      <c r="J53" s="72"/>
      <c r="K53" s="72"/>
      <c r="L53" s="72"/>
      <c r="M53" s="72"/>
      <c r="N53" s="59" t="s">
        <v>100</v>
      </c>
      <c r="O53" s="59"/>
      <c r="P53" s="59"/>
      <c r="Q53" s="59"/>
      <c r="R53" s="60"/>
    </row>
    <row r="54" spans="1:18" ht="18.5" x14ac:dyDescent="0.45">
      <c r="A54" s="6"/>
      <c r="B54" s="67"/>
      <c r="C54" s="18" t="s">
        <v>61</v>
      </c>
      <c r="D54" s="9">
        <v>2</v>
      </c>
      <c r="E54" s="10">
        <v>1</v>
      </c>
      <c r="F54" s="15"/>
      <c r="G54" s="18">
        <v>39</v>
      </c>
      <c r="I54" s="71" t="s">
        <v>54</v>
      </c>
      <c r="J54" s="72"/>
      <c r="K54" s="72"/>
      <c r="L54" s="72"/>
      <c r="M54" s="72"/>
      <c r="N54" s="59" t="s">
        <v>99</v>
      </c>
      <c r="O54" s="59"/>
      <c r="P54" s="59"/>
      <c r="Q54" s="59"/>
      <c r="R54" s="60"/>
    </row>
    <row r="55" spans="1:18" ht="18" customHeight="1" x14ac:dyDescent="0.45">
      <c r="A55" s="6"/>
      <c r="B55" s="67"/>
      <c r="C55" s="19" t="s">
        <v>68</v>
      </c>
      <c r="D55" s="9">
        <v>1</v>
      </c>
      <c r="E55" s="10">
        <v>1</v>
      </c>
      <c r="F55" s="15"/>
      <c r="G55" s="18">
        <v>20</v>
      </c>
      <c r="I55" s="71" t="s">
        <v>56</v>
      </c>
      <c r="J55" s="72"/>
      <c r="K55" s="72"/>
      <c r="L55" s="72"/>
      <c r="M55" s="72"/>
      <c r="N55" s="59" t="s">
        <v>94</v>
      </c>
      <c r="O55" s="59"/>
      <c r="P55" s="59"/>
      <c r="Q55" s="59"/>
      <c r="R55" s="60"/>
    </row>
    <row r="56" spans="1:18" ht="18" customHeight="1" thickBot="1" x14ac:dyDescent="0.5">
      <c r="A56" s="6"/>
      <c r="B56" s="67"/>
      <c r="C56" s="17" t="s">
        <v>55</v>
      </c>
      <c r="D56" s="7">
        <v>1</v>
      </c>
      <c r="E56" s="22">
        <v>1</v>
      </c>
      <c r="F56" s="15"/>
      <c r="G56" s="23">
        <v>18</v>
      </c>
      <c r="I56" s="73" t="s">
        <v>57</v>
      </c>
      <c r="J56" s="74"/>
      <c r="K56" s="74"/>
      <c r="L56" s="74"/>
      <c r="M56" s="74"/>
      <c r="N56" s="75" t="s">
        <v>86</v>
      </c>
      <c r="O56" s="75"/>
      <c r="P56" s="75"/>
      <c r="Q56" s="75"/>
      <c r="R56" s="76"/>
    </row>
    <row r="57" spans="1:18" ht="18.5" x14ac:dyDescent="0.45">
      <c r="A57" s="6"/>
      <c r="B57" s="67"/>
      <c r="C57" s="18" t="s">
        <v>98</v>
      </c>
      <c r="D57" s="9">
        <v>0</v>
      </c>
      <c r="E57" s="10">
        <v>2</v>
      </c>
      <c r="F57" s="15"/>
      <c r="G57" s="18">
        <v>20</v>
      </c>
      <c r="H57" s="6"/>
      <c r="I57" s="6"/>
    </row>
    <row r="58" spans="1:18" ht="18.5" x14ac:dyDescent="0.45">
      <c r="A58" s="6"/>
      <c r="B58" s="67"/>
      <c r="C58" s="17" t="s">
        <v>73</v>
      </c>
      <c r="D58" s="7">
        <v>0</v>
      </c>
      <c r="E58" s="22">
        <v>2</v>
      </c>
      <c r="F58" s="15"/>
      <c r="G58" s="23">
        <v>18</v>
      </c>
      <c r="H58" s="6"/>
    </row>
    <row r="59" spans="1:18" ht="18.5" x14ac:dyDescent="0.45">
      <c r="B59" s="67"/>
      <c r="C59" s="17" t="s">
        <v>52</v>
      </c>
      <c r="D59" s="7">
        <v>0</v>
      </c>
      <c r="E59" s="22">
        <v>2</v>
      </c>
      <c r="F59" s="15"/>
      <c r="G59" s="23">
        <v>16</v>
      </c>
    </row>
    <row r="60" spans="1:18" ht="19" thickBot="1" x14ac:dyDescent="0.5">
      <c r="B60" s="68"/>
      <c r="C60" s="17" t="s">
        <v>50</v>
      </c>
      <c r="D60" s="7">
        <v>0</v>
      </c>
      <c r="E60" s="16">
        <v>2</v>
      </c>
      <c r="F60" s="15"/>
      <c r="G60" s="17">
        <v>14</v>
      </c>
    </row>
    <row r="61" spans="1:18" ht="15" thickBot="1" x14ac:dyDescent="0.4"/>
    <row r="62" spans="1:18" ht="19" thickBot="1" x14ac:dyDescent="0.5">
      <c r="C62" s="27" t="s">
        <v>76</v>
      </c>
      <c r="D62" s="28" t="s">
        <v>45</v>
      </c>
      <c r="E62" s="28" t="s">
        <v>46</v>
      </c>
      <c r="F62" s="20" t="s">
        <v>62</v>
      </c>
      <c r="G62" s="31" t="s">
        <v>47</v>
      </c>
    </row>
    <row r="63" spans="1:18" ht="18.5" x14ac:dyDescent="0.45">
      <c r="C63" s="54" t="s">
        <v>59</v>
      </c>
      <c r="D63" s="14">
        <v>3</v>
      </c>
      <c r="E63" s="24">
        <v>0</v>
      </c>
      <c r="F63" s="15"/>
      <c r="G63" s="53">
        <v>53</v>
      </c>
    </row>
    <row r="64" spans="1:18" ht="18.5" x14ac:dyDescent="0.45">
      <c r="C64" s="56" t="s">
        <v>60</v>
      </c>
      <c r="D64" s="7">
        <v>2</v>
      </c>
      <c r="E64" s="22">
        <v>1</v>
      </c>
      <c r="F64" s="15"/>
      <c r="G64" s="55">
        <v>41</v>
      </c>
    </row>
    <row r="65" spans="3:7" ht="18.5" x14ac:dyDescent="0.45">
      <c r="C65" s="56" t="s">
        <v>55</v>
      </c>
      <c r="D65" s="7">
        <v>1</v>
      </c>
      <c r="E65" s="22">
        <v>1</v>
      </c>
      <c r="F65" s="15"/>
      <c r="G65" s="55">
        <v>18</v>
      </c>
    </row>
    <row r="66" spans="3:7" ht="18.5" x14ac:dyDescent="0.45">
      <c r="C66" s="54" t="s">
        <v>73</v>
      </c>
      <c r="D66" s="14">
        <v>0</v>
      </c>
      <c r="E66" s="24">
        <v>2</v>
      </c>
      <c r="F66" s="26"/>
      <c r="G66" s="53">
        <v>18</v>
      </c>
    </row>
    <row r="67" spans="3:7" ht="19" thickBot="1" x14ac:dyDescent="0.5">
      <c r="C67" s="52" t="s">
        <v>50</v>
      </c>
      <c r="D67" s="51">
        <v>0</v>
      </c>
      <c r="E67" s="50">
        <v>2</v>
      </c>
      <c r="F67" s="49"/>
      <c r="G67" s="48">
        <v>14</v>
      </c>
    </row>
    <row r="68" spans="3:7" ht="15" thickBot="1" x14ac:dyDescent="0.4"/>
    <row r="69" spans="3:7" ht="19" thickBot="1" x14ac:dyDescent="0.5">
      <c r="C69" s="27" t="s">
        <v>77</v>
      </c>
      <c r="D69" s="28" t="s">
        <v>45</v>
      </c>
      <c r="E69" s="28" t="s">
        <v>46</v>
      </c>
      <c r="F69" s="20" t="s">
        <v>62</v>
      </c>
      <c r="G69" s="31" t="s">
        <v>47</v>
      </c>
    </row>
    <row r="70" spans="3:7" ht="18.5" x14ac:dyDescent="0.45">
      <c r="C70" s="47" t="s">
        <v>58</v>
      </c>
      <c r="D70" s="46">
        <v>3</v>
      </c>
      <c r="E70" s="46">
        <v>0</v>
      </c>
      <c r="F70" s="26"/>
      <c r="G70" s="45">
        <v>49</v>
      </c>
    </row>
    <row r="71" spans="3:7" ht="18.5" x14ac:dyDescent="0.45">
      <c r="C71" s="42" t="s">
        <v>61</v>
      </c>
      <c r="D71" s="15">
        <v>2</v>
      </c>
      <c r="E71" s="15">
        <v>1</v>
      </c>
      <c r="F71" s="15"/>
      <c r="G71" s="41">
        <v>39</v>
      </c>
    </row>
    <row r="72" spans="3:7" ht="18.5" x14ac:dyDescent="0.45">
      <c r="C72" s="44" t="s">
        <v>68</v>
      </c>
      <c r="D72" s="4">
        <v>1</v>
      </c>
      <c r="E72" s="4">
        <v>1</v>
      </c>
      <c r="F72" s="15"/>
      <c r="G72" s="43">
        <v>20</v>
      </c>
    </row>
    <row r="73" spans="3:7" ht="18.5" x14ac:dyDescent="0.45">
      <c r="C73" s="42" t="s">
        <v>98</v>
      </c>
      <c r="D73" s="15">
        <v>0</v>
      </c>
      <c r="E73" s="15">
        <v>2</v>
      </c>
      <c r="F73" s="15"/>
      <c r="G73" s="41">
        <v>20</v>
      </c>
    </row>
    <row r="74" spans="3:7" ht="19" thickBot="1" x14ac:dyDescent="0.5">
      <c r="C74" s="40" t="s">
        <v>52</v>
      </c>
      <c r="D74" s="39">
        <v>0</v>
      </c>
      <c r="E74" s="38">
        <v>2</v>
      </c>
      <c r="F74" s="37"/>
      <c r="G74" s="36">
        <v>16</v>
      </c>
    </row>
  </sheetData>
  <mergeCells count="14">
    <mergeCell ref="N56:R56"/>
    <mergeCell ref="I50:R50"/>
    <mergeCell ref="N51:R51"/>
    <mergeCell ref="N52:R52"/>
    <mergeCell ref="N53:R53"/>
    <mergeCell ref="N54:R54"/>
    <mergeCell ref="N55:R55"/>
    <mergeCell ref="B50:B60"/>
    <mergeCell ref="I51:M51"/>
    <mergeCell ref="I52:M52"/>
    <mergeCell ref="I53:M53"/>
    <mergeCell ref="I54:M54"/>
    <mergeCell ref="I55:M55"/>
    <mergeCell ref="I56:M5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8C85-89B4-47A3-8D03-FC5631D23D8B}">
  <sheetPr codeName="Sheet5"/>
  <dimension ref="A1:R75"/>
  <sheetViews>
    <sheetView workbookViewId="0">
      <pane ySplit="1" topLeftCell="A49" activePane="bottomLeft" state="frozen"/>
      <selection pane="bottomLeft" activeCell="I52" sqref="I52:R57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8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18.8164062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19</v>
      </c>
      <c r="C2" s="4" t="s">
        <v>14</v>
      </c>
      <c r="D2" s="11">
        <f>SUM(1503+1501)</f>
        <v>3004</v>
      </c>
      <c r="E2" s="11">
        <f>SUM(88+78)</f>
        <v>166</v>
      </c>
      <c r="F2" s="12">
        <f t="shared" ref="F2:F48" si="0">SUM(D2/E2)</f>
        <v>18.096385542168676</v>
      </c>
      <c r="G2" s="11">
        <v>2</v>
      </c>
      <c r="H2" s="11">
        <v>2</v>
      </c>
      <c r="I2" s="11"/>
      <c r="J2" s="11"/>
      <c r="K2" s="11"/>
      <c r="L2" s="11">
        <v>11.5</v>
      </c>
      <c r="M2" s="13">
        <v>5</v>
      </c>
    </row>
    <row r="3" spans="1:13" ht="18.5" x14ac:dyDescent="0.45">
      <c r="A3" s="3">
        <v>2</v>
      </c>
      <c r="B3" s="4" t="s">
        <v>15</v>
      </c>
      <c r="C3" s="4" t="s">
        <v>16</v>
      </c>
      <c r="D3" s="11">
        <f>SUM(1439+1494+1469)</f>
        <v>4402</v>
      </c>
      <c r="E3" s="11">
        <f>SUM(83+92+88)</f>
        <v>263</v>
      </c>
      <c r="F3" s="12">
        <f t="shared" si="0"/>
        <v>16.737642585551331</v>
      </c>
      <c r="G3" s="11">
        <v>3</v>
      </c>
      <c r="H3" s="11">
        <v>1</v>
      </c>
      <c r="I3" s="11"/>
      <c r="J3" s="11"/>
      <c r="K3" s="11"/>
      <c r="L3" s="11">
        <v>7</v>
      </c>
      <c r="M3" s="13"/>
    </row>
    <row r="4" spans="1:13" ht="18.5" x14ac:dyDescent="0.45">
      <c r="A4" s="3">
        <v>3</v>
      </c>
      <c r="B4" s="4" t="s">
        <v>11</v>
      </c>
      <c r="C4" s="4" t="s">
        <v>12</v>
      </c>
      <c r="D4" s="11">
        <f>SUM(1434+1499+1503)</f>
        <v>4436</v>
      </c>
      <c r="E4" s="11">
        <f>SUM(78+102+87)</f>
        <v>267</v>
      </c>
      <c r="F4" s="12">
        <f t="shared" si="0"/>
        <v>16.614232209737828</v>
      </c>
      <c r="G4" s="11">
        <v>3</v>
      </c>
      <c r="H4" s="11">
        <v>2</v>
      </c>
      <c r="I4" s="11">
        <v>1</v>
      </c>
      <c r="J4" s="11"/>
      <c r="K4" s="11"/>
      <c r="L4" s="11">
        <v>9.5</v>
      </c>
      <c r="M4" s="13">
        <v>10</v>
      </c>
    </row>
    <row r="5" spans="1:13" ht="18.5" x14ac:dyDescent="0.45">
      <c r="A5" s="3">
        <v>4</v>
      </c>
      <c r="B5" s="4" t="s">
        <v>13</v>
      </c>
      <c r="C5" s="4" t="s">
        <v>14</v>
      </c>
      <c r="D5" s="11">
        <f>SUM(1503+1493+1483)</f>
        <v>4479</v>
      </c>
      <c r="E5" s="11">
        <f>SUM(87+94+89)</f>
        <v>270</v>
      </c>
      <c r="F5" s="12">
        <f t="shared" si="0"/>
        <v>16.588888888888889</v>
      </c>
      <c r="G5" s="11">
        <v>3</v>
      </c>
      <c r="H5" s="11">
        <v>3</v>
      </c>
      <c r="I5" s="11"/>
      <c r="J5" s="11"/>
      <c r="K5" s="11"/>
      <c r="L5" s="11">
        <v>13.5</v>
      </c>
      <c r="M5" s="13"/>
    </row>
    <row r="6" spans="1:13" ht="18.5" x14ac:dyDescent="0.45">
      <c r="A6" s="3">
        <v>5</v>
      </c>
      <c r="B6" s="15" t="s">
        <v>85</v>
      </c>
      <c r="C6" s="4" t="s">
        <v>103</v>
      </c>
      <c r="D6" s="11">
        <f>SUM(1503+1503+1471)</f>
        <v>4477</v>
      </c>
      <c r="E6" s="11">
        <f>SUM(97+85+93)</f>
        <v>275</v>
      </c>
      <c r="F6" s="12">
        <f t="shared" si="0"/>
        <v>16.28</v>
      </c>
      <c r="G6" s="11">
        <v>3</v>
      </c>
      <c r="H6" s="11">
        <v>3</v>
      </c>
      <c r="I6" s="11">
        <v>1</v>
      </c>
      <c r="J6" s="11"/>
      <c r="K6" s="11"/>
      <c r="L6" s="11">
        <v>13.5</v>
      </c>
      <c r="M6" s="13"/>
    </row>
    <row r="7" spans="1:13" ht="18.5" x14ac:dyDescent="0.45">
      <c r="A7" s="3">
        <v>6</v>
      </c>
      <c r="B7" s="4" t="s">
        <v>23</v>
      </c>
      <c r="C7" s="4" t="s">
        <v>14</v>
      </c>
      <c r="D7" s="11">
        <f>SUM(1503+1503+1503)</f>
        <v>4509</v>
      </c>
      <c r="E7" s="11">
        <f>SUM(93+102+87)</f>
        <v>282</v>
      </c>
      <c r="F7" s="12">
        <f t="shared" si="0"/>
        <v>15.98936170212766</v>
      </c>
      <c r="G7" s="11">
        <v>3</v>
      </c>
      <c r="H7" s="11">
        <v>3</v>
      </c>
      <c r="I7" s="11">
        <v>1</v>
      </c>
      <c r="J7" s="11"/>
      <c r="K7" s="11">
        <v>1</v>
      </c>
      <c r="L7" s="11">
        <v>15</v>
      </c>
      <c r="M7" s="13"/>
    </row>
    <row r="8" spans="1:13" ht="18.5" x14ac:dyDescent="0.45">
      <c r="A8" s="3">
        <v>7</v>
      </c>
      <c r="B8" s="15" t="s">
        <v>31</v>
      </c>
      <c r="C8" s="4" t="s">
        <v>32</v>
      </c>
      <c r="D8" s="11">
        <f>SUM(1463+1440+1348)</f>
        <v>4251</v>
      </c>
      <c r="E8" s="11">
        <f>SUM(87+90+90)</f>
        <v>267</v>
      </c>
      <c r="F8" s="12">
        <f t="shared" si="0"/>
        <v>15.921348314606741</v>
      </c>
      <c r="G8" s="11">
        <v>3</v>
      </c>
      <c r="H8" s="11">
        <v>2</v>
      </c>
      <c r="I8" s="11"/>
      <c r="J8" s="11"/>
      <c r="K8" s="11"/>
      <c r="L8" s="11">
        <v>9.5</v>
      </c>
      <c r="M8" s="13">
        <v>15</v>
      </c>
    </row>
    <row r="9" spans="1:13" ht="18.5" x14ac:dyDescent="0.45">
      <c r="A9" s="3">
        <v>8</v>
      </c>
      <c r="B9" s="3" t="s">
        <v>33</v>
      </c>
      <c r="C9" s="4" t="s">
        <v>22</v>
      </c>
      <c r="D9" s="11">
        <f>SUM(1385+1499+1356+1205)</f>
        <v>5445</v>
      </c>
      <c r="E9" s="11">
        <f>SUM(79+109+82+81)</f>
        <v>351</v>
      </c>
      <c r="F9" s="12">
        <f t="shared" si="0"/>
        <v>15.512820512820513</v>
      </c>
      <c r="G9" s="11">
        <v>4</v>
      </c>
      <c r="H9" s="11">
        <v>2</v>
      </c>
      <c r="I9" s="11"/>
      <c r="J9" s="11"/>
      <c r="K9" s="11"/>
      <c r="L9" s="11">
        <v>12.5</v>
      </c>
      <c r="M9" s="13"/>
    </row>
    <row r="10" spans="1:13" ht="18.5" x14ac:dyDescent="0.45">
      <c r="A10" s="3">
        <v>9</v>
      </c>
      <c r="B10" s="4" t="s">
        <v>41</v>
      </c>
      <c r="C10" s="4" t="s">
        <v>16</v>
      </c>
      <c r="D10" s="11">
        <f>SUM(1305+1155+1497)</f>
        <v>3957</v>
      </c>
      <c r="E10" s="11">
        <f>SUM(82+73+109)</f>
        <v>264</v>
      </c>
      <c r="F10" s="12">
        <f t="shared" si="0"/>
        <v>14.988636363636363</v>
      </c>
      <c r="G10" s="11">
        <v>3</v>
      </c>
      <c r="H10" s="11">
        <v>2</v>
      </c>
      <c r="I10" s="11"/>
      <c r="J10" s="11"/>
      <c r="K10" s="11"/>
      <c r="L10" s="11">
        <v>9.5</v>
      </c>
      <c r="M10" s="13"/>
    </row>
    <row r="11" spans="1:13" ht="18.5" x14ac:dyDescent="0.45">
      <c r="A11" s="3">
        <v>10</v>
      </c>
      <c r="B11" s="4" t="s">
        <v>78</v>
      </c>
      <c r="C11" s="4" t="s">
        <v>18</v>
      </c>
      <c r="D11" s="11">
        <f>SUM(1503)</f>
        <v>1503</v>
      </c>
      <c r="E11" s="11">
        <f>SUM(102)</f>
        <v>102</v>
      </c>
      <c r="F11" s="12">
        <f t="shared" si="0"/>
        <v>14.735294117647058</v>
      </c>
      <c r="G11" s="11">
        <v>1</v>
      </c>
      <c r="H11" s="11">
        <v>1</v>
      </c>
      <c r="I11" s="11"/>
      <c r="J11" s="11"/>
      <c r="K11" s="11"/>
      <c r="L11" s="11">
        <v>5</v>
      </c>
      <c r="M11" s="13"/>
    </row>
    <row r="12" spans="1:13" ht="18.5" x14ac:dyDescent="0.45">
      <c r="A12" s="3">
        <v>11</v>
      </c>
      <c r="B12" s="4" t="s">
        <v>25</v>
      </c>
      <c r="C12" s="4" t="s">
        <v>12</v>
      </c>
      <c r="D12" s="11">
        <f>SUM(1124+1503+1455)</f>
        <v>4082</v>
      </c>
      <c r="E12" s="11">
        <f>SUM(81+82+115)</f>
        <v>278</v>
      </c>
      <c r="F12" s="12">
        <f t="shared" si="0"/>
        <v>14.683453237410072</v>
      </c>
      <c r="G12" s="11">
        <v>3</v>
      </c>
      <c r="H12" s="11">
        <v>1</v>
      </c>
      <c r="I12" s="11"/>
      <c r="J12" s="11">
        <v>1</v>
      </c>
      <c r="K12" s="11"/>
      <c r="L12" s="11">
        <v>8</v>
      </c>
      <c r="M12" s="13">
        <v>5</v>
      </c>
    </row>
    <row r="13" spans="1:13" ht="18.5" x14ac:dyDescent="0.45">
      <c r="A13" s="3">
        <v>12</v>
      </c>
      <c r="B13" s="3" t="s">
        <v>21</v>
      </c>
      <c r="C13" s="4" t="s">
        <v>22</v>
      </c>
      <c r="D13" s="11">
        <f>SUM(1399+1503+1274+1463)</f>
        <v>5639</v>
      </c>
      <c r="E13" s="11">
        <f>SUM(82+109+87+114)</f>
        <v>392</v>
      </c>
      <c r="F13" s="12">
        <f t="shared" si="0"/>
        <v>14.385204081632653</v>
      </c>
      <c r="G13" s="11">
        <v>4</v>
      </c>
      <c r="H13" s="11">
        <v>2</v>
      </c>
      <c r="I13" s="11"/>
      <c r="J13" s="11"/>
      <c r="K13" s="11"/>
      <c r="L13" s="11">
        <v>12</v>
      </c>
      <c r="M13" s="13"/>
    </row>
    <row r="14" spans="1:13" ht="18.5" x14ac:dyDescent="0.45">
      <c r="A14" s="3">
        <v>13</v>
      </c>
      <c r="B14" s="4" t="s">
        <v>26</v>
      </c>
      <c r="C14" s="4" t="s">
        <v>18</v>
      </c>
      <c r="D14" s="11">
        <f>SUM(1501+1503+1503)</f>
        <v>4507</v>
      </c>
      <c r="E14" s="11">
        <f>SUM(125+90+100)</f>
        <v>315</v>
      </c>
      <c r="F14" s="12">
        <f t="shared" si="0"/>
        <v>14.307936507936509</v>
      </c>
      <c r="G14" s="11">
        <v>3</v>
      </c>
      <c r="H14" s="11">
        <v>3</v>
      </c>
      <c r="I14" s="11"/>
      <c r="J14" s="11"/>
      <c r="K14" s="11">
        <v>1</v>
      </c>
      <c r="L14" s="11">
        <v>14.5</v>
      </c>
      <c r="M14" s="13">
        <v>5</v>
      </c>
    </row>
    <row r="15" spans="1:13" ht="18.5" x14ac:dyDescent="0.45">
      <c r="A15" s="3">
        <v>14</v>
      </c>
      <c r="B15" s="3" t="s">
        <v>17</v>
      </c>
      <c r="C15" s="7" t="s">
        <v>18</v>
      </c>
      <c r="D15" s="11">
        <f>SUM(1503+1238+1475)</f>
        <v>4216</v>
      </c>
      <c r="E15" s="11">
        <f>SUM(101+96+104)</f>
        <v>301</v>
      </c>
      <c r="F15" s="12">
        <f t="shared" si="0"/>
        <v>14.006644518272426</v>
      </c>
      <c r="G15" s="11">
        <v>3</v>
      </c>
      <c r="H15" s="11">
        <v>1</v>
      </c>
      <c r="I15" s="11"/>
      <c r="J15" s="11"/>
      <c r="K15" s="11"/>
      <c r="L15" s="11">
        <v>9</v>
      </c>
      <c r="M15" s="13"/>
    </row>
    <row r="16" spans="1:13" ht="18.5" x14ac:dyDescent="0.45">
      <c r="A16" s="3">
        <v>15</v>
      </c>
      <c r="B16" s="4" t="s">
        <v>79</v>
      </c>
      <c r="C16" s="4" t="s">
        <v>89</v>
      </c>
      <c r="D16" s="11">
        <f>SUM(1393+1406+1309)</f>
        <v>4108</v>
      </c>
      <c r="E16" s="11">
        <f>SUM(111+98+89)</f>
        <v>298</v>
      </c>
      <c r="F16" s="12">
        <f t="shared" si="0"/>
        <v>13.785234899328859</v>
      </c>
      <c r="G16" s="11">
        <v>3</v>
      </c>
      <c r="H16" s="11">
        <v>1</v>
      </c>
      <c r="I16" s="11"/>
      <c r="J16" s="11"/>
      <c r="K16" s="11"/>
      <c r="L16" s="11">
        <v>7</v>
      </c>
      <c r="M16" s="13">
        <v>5</v>
      </c>
    </row>
    <row r="17" spans="1:13" ht="18.5" x14ac:dyDescent="0.45">
      <c r="A17" s="3">
        <v>16</v>
      </c>
      <c r="B17" s="15" t="s">
        <v>64</v>
      </c>
      <c r="C17" s="4" t="s">
        <v>27</v>
      </c>
      <c r="D17" s="11">
        <f>SUM(1501+1463+1503)</f>
        <v>4467</v>
      </c>
      <c r="E17" s="11">
        <f>SUM(113+99+115)</f>
        <v>327</v>
      </c>
      <c r="F17" s="12">
        <f t="shared" si="0"/>
        <v>13.660550458715596</v>
      </c>
      <c r="G17" s="11">
        <v>3</v>
      </c>
      <c r="H17" s="11">
        <v>2</v>
      </c>
      <c r="I17" s="11"/>
      <c r="J17" s="11"/>
      <c r="K17" s="11"/>
      <c r="L17" s="11">
        <v>11.5</v>
      </c>
      <c r="M17" s="13">
        <v>5</v>
      </c>
    </row>
    <row r="18" spans="1:13" ht="18.5" x14ac:dyDescent="0.45">
      <c r="A18" s="3">
        <v>17</v>
      </c>
      <c r="B18" s="4" t="s">
        <v>106</v>
      </c>
      <c r="C18" s="4" t="s">
        <v>12</v>
      </c>
      <c r="D18" s="11">
        <f>SUM(1503+1484)</f>
        <v>2987</v>
      </c>
      <c r="E18" s="11">
        <f>SUM(116+103)</f>
        <v>219</v>
      </c>
      <c r="F18" s="12">
        <f t="shared" si="0"/>
        <v>13.639269406392694</v>
      </c>
      <c r="G18" s="11">
        <v>2</v>
      </c>
      <c r="H18" s="11">
        <v>1</v>
      </c>
      <c r="I18" s="11"/>
      <c r="J18" s="11"/>
      <c r="K18" s="11"/>
      <c r="L18" s="11">
        <v>6.5</v>
      </c>
      <c r="M18" s="13"/>
    </row>
    <row r="19" spans="1:13" ht="18.5" x14ac:dyDescent="0.45">
      <c r="A19" s="3">
        <v>18</v>
      </c>
      <c r="B19" s="15" t="s">
        <v>30</v>
      </c>
      <c r="C19" s="4" t="s">
        <v>22</v>
      </c>
      <c r="D19" s="11">
        <f>SUM(1503+1285+1503+1425)</f>
        <v>5716</v>
      </c>
      <c r="E19" s="11">
        <f>SUM(109+111+88+114)</f>
        <v>422</v>
      </c>
      <c r="F19" s="12">
        <f t="shared" si="0"/>
        <v>13.545023696682465</v>
      </c>
      <c r="G19" s="11">
        <v>4</v>
      </c>
      <c r="H19" s="11">
        <v>2</v>
      </c>
      <c r="I19" s="11"/>
      <c r="J19" s="11"/>
      <c r="K19" s="11"/>
      <c r="L19" s="11">
        <v>12</v>
      </c>
      <c r="M19" s="13">
        <v>5</v>
      </c>
    </row>
    <row r="20" spans="1:13" ht="18.5" x14ac:dyDescent="0.45">
      <c r="A20" s="3">
        <v>19</v>
      </c>
      <c r="B20" s="4" t="s">
        <v>28</v>
      </c>
      <c r="C20" s="4" t="s">
        <v>12</v>
      </c>
      <c r="D20" s="11">
        <f>SUM(1228+1398+1503)</f>
        <v>4129</v>
      </c>
      <c r="E20" s="11">
        <f>SUM(90+96+119)</f>
        <v>305</v>
      </c>
      <c r="F20" s="12">
        <f t="shared" si="0"/>
        <v>13.537704918032787</v>
      </c>
      <c r="G20" s="11">
        <v>3</v>
      </c>
      <c r="H20" s="11">
        <v>1</v>
      </c>
      <c r="I20" s="11"/>
      <c r="J20" s="11"/>
      <c r="K20" s="11"/>
      <c r="L20" s="11">
        <v>8.5</v>
      </c>
      <c r="M20" s="13"/>
    </row>
    <row r="21" spans="1:13" ht="18.5" x14ac:dyDescent="0.45">
      <c r="A21" s="3">
        <v>20</v>
      </c>
      <c r="B21" s="4" t="s">
        <v>20</v>
      </c>
      <c r="C21" s="4" t="s">
        <v>16</v>
      </c>
      <c r="D21" s="11">
        <f>SUM(1316+1259+1404)</f>
        <v>3979</v>
      </c>
      <c r="E21" s="11">
        <f>SUM(107+90+101)</f>
        <v>298</v>
      </c>
      <c r="F21" s="12">
        <f t="shared" si="0"/>
        <v>13.35234899328859</v>
      </c>
      <c r="G21" s="11">
        <v>3</v>
      </c>
      <c r="H21" s="11">
        <v>1</v>
      </c>
      <c r="I21" s="11"/>
      <c r="J21" s="11"/>
      <c r="K21" s="11"/>
      <c r="L21" s="11">
        <v>6</v>
      </c>
      <c r="M21" s="13"/>
    </row>
    <row r="22" spans="1:13" ht="18.5" x14ac:dyDescent="0.45">
      <c r="A22" s="3">
        <v>21</v>
      </c>
      <c r="B22" s="4" t="s">
        <v>107</v>
      </c>
      <c r="C22" s="4" t="s">
        <v>14</v>
      </c>
      <c r="D22" s="11">
        <f>SUM(1081)</f>
        <v>1081</v>
      </c>
      <c r="E22" s="11">
        <f>SUM(81)</f>
        <v>81</v>
      </c>
      <c r="F22" s="12">
        <f t="shared" si="0"/>
        <v>13.345679012345679</v>
      </c>
      <c r="G22" s="11">
        <v>1</v>
      </c>
      <c r="H22" s="11"/>
      <c r="I22" s="11"/>
      <c r="J22" s="11"/>
      <c r="K22" s="11"/>
      <c r="L22" s="11">
        <v>0</v>
      </c>
      <c r="M22" s="13"/>
    </row>
    <row r="23" spans="1:13" ht="18.5" x14ac:dyDescent="0.45">
      <c r="A23" s="3">
        <v>22</v>
      </c>
      <c r="B23" s="15" t="s">
        <v>69</v>
      </c>
      <c r="C23" s="4" t="s">
        <v>14</v>
      </c>
      <c r="D23" s="11">
        <f>SUM(1497+1503+1455)</f>
        <v>4455</v>
      </c>
      <c r="E23" s="11">
        <f>SUM(119+89+126)</f>
        <v>334</v>
      </c>
      <c r="F23" s="12">
        <f t="shared" si="0"/>
        <v>13.338323353293413</v>
      </c>
      <c r="G23" s="11">
        <v>3</v>
      </c>
      <c r="H23" s="11">
        <v>3</v>
      </c>
      <c r="I23" s="11"/>
      <c r="J23" s="11"/>
      <c r="K23" s="11"/>
      <c r="L23" s="11">
        <v>13</v>
      </c>
      <c r="M23" s="13"/>
    </row>
    <row r="24" spans="1:13" ht="18.5" x14ac:dyDescent="0.45">
      <c r="A24" s="3">
        <v>23</v>
      </c>
      <c r="B24" s="15" t="s">
        <v>65</v>
      </c>
      <c r="C24" s="7" t="s">
        <v>27</v>
      </c>
      <c r="D24" s="11">
        <f>SUM(1423+1499+1489+1368)</f>
        <v>5779</v>
      </c>
      <c r="E24" s="11">
        <f>SUM(103+114+104+113)</f>
        <v>434</v>
      </c>
      <c r="F24" s="12">
        <f t="shared" si="0"/>
        <v>13.315668202764977</v>
      </c>
      <c r="G24" s="11">
        <v>4</v>
      </c>
      <c r="H24" s="11">
        <v>4</v>
      </c>
      <c r="I24" s="11"/>
      <c r="J24" s="11"/>
      <c r="K24" s="11">
        <v>1</v>
      </c>
      <c r="L24" s="11">
        <v>16</v>
      </c>
      <c r="M24" s="13"/>
    </row>
    <row r="25" spans="1:13" ht="18.5" x14ac:dyDescent="0.45">
      <c r="A25" s="3">
        <v>24</v>
      </c>
      <c r="B25" s="15" t="s">
        <v>81</v>
      </c>
      <c r="C25" s="4" t="s">
        <v>89</v>
      </c>
      <c r="D25" s="11">
        <f>SUM(1431+1330+1465)</f>
        <v>4226</v>
      </c>
      <c r="E25" s="11">
        <f>SUM(111+103+105)</f>
        <v>319</v>
      </c>
      <c r="F25" s="12">
        <f t="shared" si="0"/>
        <v>13.247648902821316</v>
      </c>
      <c r="G25" s="11">
        <v>3</v>
      </c>
      <c r="H25" s="11">
        <v>2</v>
      </c>
      <c r="I25" s="11"/>
      <c r="J25" s="11"/>
      <c r="K25" s="11"/>
      <c r="L25" s="11">
        <v>10</v>
      </c>
      <c r="M25" s="13"/>
    </row>
    <row r="26" spans="1:13" ht="18.5" x14ac:dyDescent="0.45">
      <c r="A26" s="3">
        <v>25</v>
      </c>
      <c r="B26" s="7" t="s">
        <v>40</v>
      </c>
      <c r="C26" s="4" t="s">
        <v>32</v>
      </c>
      <c r="D26" s="11">
        <f>SUM(1263+1432+1503)</f>
        <v>4198</v>
      </c>
      <c r="E26" s="11">
        <f>SUM(96+111+111)</f>
        <v>318</v>
      </c>
      <c r="F26" s="12">
        <f t="shared" si="0"/>
        <v>13.20125786163522</v>
      </c>
      <c r="G26" s="11">
        <v>3</v>
      </c>
      <c r="H26" s="11">
        <v>2</v>
      </c>
      <c r="I26" s="11"/>
      <c r="J26" s="11"/>
      <c r="K26" s="11"/>
      <c r="L26" s="11">
        <v>9</v>
      </c>
      <c r="M26" s="13"/>
    </row>
    <row r="27" spans="1:13" ht="18.5" x14ac:dyDescent="0.45">
      <c r="A27" s="3">
        <v>26</v>
      </c>
      <c r="B27" s="9" t="s">
        <v>63</v>
      </c>
      <c r="C27" s="4" t="s">
        <v>27</v>
      </c>
      <c r="D27" s="11">
        <f>SUM(1424+1501+1501+1473)</f>
        <v>5899</v>
      </c>
      <c r="E27" s="11">
        <f>SUM(90+147+123+91)</f>
        <v>451</v>
      </c>
      <c r="F27" s="12">
        <f t="shared" si="0"/>
        <v>13.079822616407982</v>
      </c>
      <c r="G27" s="11">
        <v>4</v>
      </c>
      <c r="H27" s="11">
        <v>3</v>
      </c>
      <c r="I27" s="11"/>
      <c r="J27" s="11"/>
      <c r="K27" s="11"/>
      <c r="L27" s="11">
        <v>16.5</v>
      </c>
      <c r="M27" s="13"/>
    </row>
    <row r="28" spans="1:13" ht="18.5" x14ac:dyDescent="0.45">
      <c r="A28" s="3">
        <v>27</v>
      </c>
      <c r="B28" s="7" t="s">
        <v>115</v>
      </c>
      <c r="C28" s="4" t="s">
        <v>103</v>
      </c>
      <c r="D28" s="11">
        <f>SUM(1503)</f>
        <v>1503</v>
      </c>
      <c r="E28" s="11">
        <f>SUM(115)</f>
        <v>115</v>
      </c>
      <c r="F28" s="12">
        <f t="shared" si="0"/>
        <v>13.069565217391304</v>
      </c>
      <c r="G28" s="11">
        <v>1</v>
      </c>
      <c r="H28" s="11">
        <v>1</v>
      </c>
      <c r="I28" s="11"/>
      <c r="J28" s="11"/>
      <c r="K28" s="11"/>
      <c r="L28" s="11">
        <v>4</v>
      </c>
      <c r="M28" s="13"/>
    </row>
    <row r="29" spans="1:13" ht="18.5" x14ac:dyDescent="0.45">
      <c r="A29" s="3">
        <v>28</v>
      </c>
      <c r="B29" s="7" t="s">
        <v>24</v>
      </c>
      <c r="C29" s="4" t="s">
        <v>22</v>
      </c>
      <c r="D29" s="11">
        <f>SUM(1465+1469+1456+1497)</f>
        <v>5887</v>
      </c>
      <c r="E29" s="11">
        <f>SUM(109+117+124+101)</f>
        <v>451</v>
      </c>
      <c r="F29" s="12">
        <f t="shared" si="0"/>
        <v>13.053215077605321</v>
      </c>
      <c r="G29" s="11">
        <v>4</v>
      </c>
      <c r="H29" s="11">
        <v>1</v>
      </c>
      <c r="I29" s="11"/>
      <c r="J29" s="11"/>
      <c r="K29" s="11"/>
      <c r="L29" s="11">
        <v>12.5</v>
      </c>
      <c r="M29" s="13"/>
    </row>
    <row r="30" spans="1:13" ht="18.5" x14ac:dyDescent="0.45">
      <c r="A30" s="3">
        <v>29</v>
      </c>
      <c r="B30" s="9" t="s">
        <v>82</v>
      </c>
      <c r="C30" s="4" t="s">
        <v>89</v>
      </c>
      <c r="D30" s="11">
        <f>SUM(1451+1138+1313)</f>
        <v>3902</v>
      </c>
      <c r="E30" s="11">
        <f>SUM(115+81+108)</f>
        <v>304</v>
      </c>
      <c r="F30" s="12">
        <f t="shared" si="0"/>
        <v>12.835526315789474</v>
      </c>
      <c r="G30" s="11">
        <v>3</v>
      </c>
      <c r="H30" s="11">
        <v>1</v>
      </c>
      <c r="I30" s="11"/>
      <c r="J30" s="11"/>
      <c r="K30" s="11"/>
      <c r="L30" s="11">
        <v>8</v>
      </c>
      <c r="M30" s="13"/>
    </row>
    <row r="31" spans="1:13" ht="18.5" x14ac:dyDescent="0.45">
      <c r="A31" s="3">
        <v>30</v>
      </c>
      <c r="B31" s="9" t="s">
        <v>67</v>
      </c>
      <c r="C31" s="4" t="s">
        <v>32</v>
      </c>
      <c r="D31" s="11">
        <f>SUM(1261+1230)</f>
        <v>2491</v>
      </c>
      <c r="E31" s="11">
        <f>SUM(102+96)</f>
        <v>198</v>
      </c>
      <c r="F31" s="12">
        <f t="shared" si="0"/>
        <v>12.580808080808081</v>
      </c>
      <c r="G31" s="11">
        <v>2</v>
      </c>
      <c r="H31" s="11"/>
      <c r="I31" s="11"/>
      <c r="J31" s="11"/>
      <c r="K31" s="11"/>
      <c r="L31" s="11">
        <v>1.5</v>
      </c>
      <c r="M31" s="13"/>
    </row>
    <row r="32" spans="1:13" ht="18.5" x14ac:dyDescent="0.45">
      <c r="A32" s="3">
        <v>31</v>
      </c>
      <c r="B32" s="58" t="s">
        <v>105</v>
      </c>
      <c r="C32" s="8" t="s">
        <v>89</v>
      </c>
      <c r="D32" s="11">
        <f>SUM(1344+1443)</f>
        <v>2787</v>
      </c>
      <c r="E32" s="11">
        <f>SUM(108+114)</f>
        <v>222</v>
      </c>
      <c r="F32" s="12">
        <f t="shared" si="0"/>
        <v>12.554054054054054</v>
      </c>
      <c r="G32" s="11">
        <v>2</v>
      </c>
      <c r="H32" s="11"/>
      <c r="I32" s="11"/>
      <c r="J32" s="11"/>
      <c r="K32" s="11"/>
      <c r="L32" s="11">
        <v>4</v>
      </c>
      <c r="M32" s="13"/>
    </row>
    <row r="33" spans="1:13" ht="18.5" x14ac:dyDescent="0.45">
      <c r="A33" s="3">
        <v>32</v>
      </c>
      <c r="B33" s="9" t="s">
        <v>34</v>
      </c>
      <c r="C33" s="7" t="s">
        <v>27</v>
      </c>
      <c r="D33" s="11">
        <f>SUM(1315+1435+1406+1490)</f>
        <v>5646</v>
      </c>
      <c r="E33" s="11">
        <f>SUM(90+109+99+157)</f>
        <v>455</v>
      </c>
      <c r="F33" s="12">
        <f t="shared" si="0"/>
        <v>12.408791208791209</v>
      </c>
      <c r="G33" s="11">
        <v>4</v>
      </c>
      <c r="H33" s="11">
        <v>3</v>
      </c>
      <c r="I33" s="11"/>
      <c r="J33" s="11"/>
      <c r="K33" s="11"/>
      <c r="L33" s="11">
        <v>13</v>
      </c>
      <c r="M33" s="13"/>
    </row>
    <row r="34" spans="1:13" ht="18.5" x14ac:dyDescent="0.45">
      <c r="A34" s="3">
        <v>33</v>
      </c>
      <c r="B34" s="16" t="s">
        <v>84</v>
      </c>
      <c r="C34" s="7" t="s">
        <v>103</v>
      </c>
      <c r="D34" s="11">
        <f>SUM(1385+1489)</f>
        <v>2874</v>
      </c>
      <c r="E34" s="11">
        <f>SUM(107+126)</f>
        <v>233</v>
      </c>
      <c r="F34" s="12">
        <f t="shared" si="0"/>
        <v>12.334763948497853</v>
      </c>
      <c r="G34" s="11">
        <v>2</v>
      </c>
      <c r="H34" s="11"/>
      <c r="I34" s="11"/>
      <c r="J34" s="11"/>
      <c r="K34" s="11"/>
      <c r="L34" s="11">
        <v>3</v>
      </c>
      <c r="M34" s="13"/>
    </row>
    <row r="35" spans="1:13" ht="18.5" x14ac:dyDescent="0.45">
      <c r="A35" s="3">
        <v>34</v>
      </c>
      <c r="B35" s="15" t="s">
        <v>71</v>
      </c>
      <c r="C35" s="4" t="s">
        <v>16</v>
      </c>
      <c r="D35" s="11">
        <f>SUM(1373+1159+1501)</f>
        <v>4033</v>
      </c>
      <c r="E35" s="11">
        <f>SUM(111+99+117)</f>
        <v>327</v>
      </c>
      <c r="F35" s="12">
        <f t="shared" si="0"/>
        <v>12.333333333333334</v>
      </c>
      <c r="G35" s="11">
        <v>3</v>
      </c>
      <c r="H35" s="11">
        <v>1</v>
      </c>
      <c r="I35" s="11"/>
      <c r="J35" s="11"/>
      <c r="K35" s="11"/>
      <c r="L35" s="11">
        <v>4.5</v>
      </c>
      <c r="M35" s="13"/>
    </row>
    <row r="36" spans="1:13" ht="18.5" x14ac:dyDescent="0.45">
      <c r="A36" s="3">
        <v>35</v>
      </c>
      <c r="B36" s="16" t="s">
        <v>37</v>
      </c>
      <c r="C36" s="4" t="s">
        <v>66</v>
      </c>
      <c r="D36" s="11">
        <f>SUM(1218+1106+1372)</f>
        <v>3696</v>
      </c>
      <c r="E36" s="11">
        <f>SUM(96+84+120)</f>
        <v>300</v>
      </c>
      <c r="F36" s="12">
        <f t="shared" si="0"/>
        <v>12.32</v>
      </c>
      <c r="G36" s="11">
        <v>3</v>
      </c>
      <c r="H36" s="11"/>
      <c r="I36" s="11"/>
      <c r="J36" s="11"/>
      <c r="K36" s="11"/>
      <c r="L36" s="11">
        <v>3</v>
      </c>
      <c r="M36" s="13"/>
    </row>
    <row r="37" spans="1:13" ht="18.5" x14ac:dyDescent="0.45">
      <c r="A37" s="3">
        <v>36</v>
      </c>
      <c r="B37" s="16" t="s">
        <v>29</v>
      </c>
      <c r="C37" s="7" t="s">
        <v>66</v>
      </c>
      <c r="D37" s="11">
        <f>SUM(1467+1499+1403)</f>
        <v>4369</v>
      </c>
      <c r="E37" s="11">
        <f>SUM(129+121+106)</f>
        <v>356</v>
      </c>
      <c r="F37" s="12">
        <f t="shared" si="0"/>
        <v>12.27247191011236</v>
      </c>
      <c r="G37" s="11">
        <v>3</v>
      </c>
      <c r="H37" s="11">
        <v>1</v>
      </c>
      <c r="I37" s="11"/>
      <c r="J37" s="11"/>
      <c r="K37" s="11"/>
      <c r="L37" s="11">
        <v>5.5</v>
      </c>
      <c r="M37" s="13">
        <v>5</v>
      </c>
    </row>
    <row r="38" spans="1:13" ht="18.5" x14ac:dyDescent="0.45">
      <c r="A38" s="3">
        <v>37</v>
      </c>
      <c r="B38" s="10" t="s">
        <v>72</v>
      </c>
      <c r="C38" s="7" t="s">
        <v>12</v>
      </c>
      <c r="D38" s="11">
        <f>SUM(1409)</f>
        <v>1409</v>
      </c>
      <c r="E38" s="11">
        <f>SUM(119)</f>
        <v>119</v>
      </c>
      <c r="F38" s="12">
        <f t="shared" si="0"/>
        <v>11.840336134453782</v>
      </c>
      <c r="G38" s="11">
        <v>1</v>
      </c>
      <c r="H38" s="11"/>
      <c r="I38" s="11"/>
      <c r="J38" s="11"/>
      <c r="K38" s="11"/>
      <c r="L38" s="11">
        <v>1.5</v>
      </c>
      <c r="M38" s="13"/>
    </row>
    <row r="39" spans="1:13" ht="18.5" x14ac:dyDescent="0.45">
      <c r="A39" s="3">
        <v>38</v>
      </c>
      <c r="B39" s="10" t="s">
        <v>39</v>
      </c>
      <c r="C39" s="7" t="s">
        <v>32</v>
      </c>
      <c r="D39" s="11">
        <f>SUM(1397+971+976)</f>
        <v>3344</v>
      </c>
      <c r="E39" s="11">
        <f>SUM(109+84+90)</f>
        <v>283</v>
      </c>
      <c r="F39" s="12">
        <f t="shared" si="0"/>
        <v>11.816254416961131</v>
      </c>
      <c r="G39" s="11">
        <v>3</v>
      </c>
      <c r="H39" s="11"/>
      <c r="I39" s="11"/>
      <c r="J39" s="11"/>
      <c r="K39" s="11"/>
      <c r="L39" s="11">
        <v>6.5</v>
      </c>
      <c r="M39" s="13"/>
    </row>
    <row r="40" spans="1:13" ht="18.5" x14ac:dyDescent="0.45">
      <c r="A40" s="3">
        <v>39</v>
      </c>
      <c r="B40" s="10" t="s">
        <v>70</v>
      </c>
      <c r="C40" s="7" t="s">
        <v>18</v>
      </c>
      <c r="D40" s="11">
        <f>SUM(1487+1277+1280)</f>
        <v>4044</v>
      </c>
      <c r="E40" s="11">
        <f>SUM(122+115+117)</f>
        <v>354</v>
      </c>
      <c r="F40" s="12">
        <f t="shared" si="0"/>
        <v>11.423728813559322</v>
      </c>
      <c r="G40" s="11">
        <v>3</v>
      </c>
      <c r="H40" s="11">
        <v>1</v>
      </c>
      <c r="I40" s="11"/>
      <c r="J40" s="11"/>
      <c r="K40" s="11"/>
      <c r="L40" s="11">
        <v>9</v>
      </c>
      <c r="M40" s="13"/>
    </row>
    <row r="41" spans="1:13" ht="18.5" x14ac:dyDescent="0.45">
      <c r="A41" s="3">
        <v>40</v>
      </c>
      <c r="B41" s="16" t="s">
        <v>36</v>
      </c>
      <c r="C41" s="7" t="s">
        <v>66</v>
      </c>
      <c r="D41" s="11">
        <f>SUM(1457+1503+1489)</f>
        <v>4449</v>
      </c>
      <c r="E41" s="11">
        <f>SUM(116+124+152)</f>
        <v>392</v>
      </c>
      <c r="F41" s="12">
        <f t="shared" si="0"/>
        <v>11.349489795918368</v>
      </c>
      <c r="G41" s="11">
        <v>3</v>
      </c>
      <c r="H41" s="11">
        <v>1</v>
      </c>
      <c r="I41" s="11"/>
      <c r="J41" s="11"/>
      <c r="K41" s="11"/>
      <c r="L41" s="11">
        <v>8</v>
      </c>
      <c r="M41" s="13"/>
    </row>
    <row r="42" spans="1:13" ht="18.5" x14ac:dyDescent="0.45">
      <c r="A42" s="3">
        <v>41</v>
      </c>
      <c r="B42" s="10" t="s">
        <v>38</v>
      </c>
      <c r="C42" s="7" t="s">
        <v>103</v>
      </c>
      <c r="D42" s="11">
        <f>SUM(1214+1381+1209)</f>
        <v>3804</v>
      </c>
      <c r="E42" s="11">
        <f>SUM(116+115+105)</f>
        <v>336</v>
      </c>
      <c r="F42" s="12">
        <f t="shared" si="0"/>
        <v>11.321428571428571</v>
      </c>
      <c r="G42" s="11">
        <v>3</v>
      </c>
      <c r="H42" s="11"/>
      <c r="I42" s="11"/>
      <c r="J42" s="11"/>
      <c r="K42" s="11"/>
      <c r="L42" s="11">
        <v>5</v>
      </c>
      <c r="M42" s="13"/>
    </row>
    <row r="43" spans="1:13" ht="18.5" x14ac:dyDescent="0.45">
      <c r="A43" s="3">
        <v>42</v>
      </c>
      <c r="B43" s="33" t="s">
        <v>80</v>
      </c>
      <c r="C43" s="7" t="s">
        <v>89</v>
      </c>
      <c r="D43" s="11">
        <f>SUM(1219)</f>
        <v>1219</v>
      </c>
      <c r="E43" s="11">
        <f>SUM(108)</f>
        <v>108</v>
      </c>
      <c r="F43" s="12">
        <f t="shared" si="0"/>
        <v>11.287037037037036</v>
      </c>
      <c r="G43" s="11">
        <v>1</v>
      </c>
      <c r="H43" s="11"/>
      <c r="I43" s="11"/>
      <c r="J43" s="11"/>
      <c r="K43" s="11"/>
      <c r="L43" s="11">
        <v>0</v>
      </c>
      <c r="M43" s="13"/>
    </row>
    <row r="44" spans="1:13" ht="18.5" x14ac:dyDescent="0.45">
      <c r="A44" s="3">
        <v>43</v>
      </c>
      <c r="B44" s="15" t="s">
        <v>42</v>
      </c>
      <c r="C44" s="7" t="s">
        <v>18</v>
      </c>
      <c r="D44" s="11">
        <f>SUM(1503+1503)</f>
        <v>3006</v>
      </c>
      <c r="E44" s="11">
        <f>SUM(133+134)</f>
        <v>267</v>
      </c>
      <c r="F44" s="12">
        <f t="shared" si="0"/>
        <v>11.258426966292134</v>
      </c>
      <c r="G44" s="11">
        <v>2</v>
      </c>
      <c r="H44" s="11">
        <v>2</v>
      </c>
      <c r="I44" s="11"/>
      <c r="J44" s="11"/>
      <c r="K44" s="11"/>
      <c r="L44" s="11">
        <v>11.5</v>
      </c>
      <c r="M44" s="13"/>
    </row>
    <row r="45" spans="1:13" ht="18.5" x14ac:dyDescent="0.45">
      <c r="A45" s="3">
        <v>44</v>
      </c>
      <c r="B45" s="15" t="s">
        <v>43</v>
      </c>
      <c r="C45" s="4" t="s">
        <v>66</v>
      </c>
      <c r="D45" s="11">
        <f>SUM(1252+1503+1201)</f>
        <v>3956</v>
      </c>
      <c r="E45" s="11">
        <f>SUM(120+142+91)</f>
        <v>353</v>
      </c>
      <c r="F45" s="12">
        <f t="shared" si="0"/>
        <v>11.206798866855523</v>
      </c>
      <c r="G45" s="11">
        <v>3</v>
      </c>
      <c r="H45" s="11">
        <v>1</v>
      </c>
      <c r="I45" s="11"/>
      <c r="J45" s="11"/>
      <c r="K45" s="11"/>
      <c r="L45" s="11">
        <v>6</v>
      </c>
      <c r="M45" s="13">
        <v>5</v>
      </c>
    </row>
    <row r="46" spans="1:13" ht="18.5" x14ac:dyDescent="0.45">
      <c r="A46" s="3">
        <v>45</v>
      </c>
      <c r="B46" s="15" t="s">
        <v>104</v>
      </c>
      <c r="C46" s="4" t="s">
        <v>27</v>
      </c>
      <c r="D46" s="11">
        <f>SUM(1442)</f>
        <v>1442</v>
      </c>
      <c r="E46" s="11">
        <f>SUM(129)</f>
        <v>129</v>
      </c>
      <c r="F46" s="12">
        <f t="shared" si="0"/>
        <v>11.178294573643411</v>
      </c>
      <c r="G46" s="11">
        <v>1</v>
      </c>
      <c r="H46" s="11"/>
      <c r="I46" s="11"/>
      <c r="J46" s="11"/>
      <c r="K46" s="11"/>
      <c r="L46" s="11">
        <v>1</v>
      </c>
      <c r="M46" s="13"/>
    </row>
    <row r="47" spans="1:13" ht="18.5" x14ac:dyDescent="0.45">
      <c r="A47" s="3">
        <v>46</v>
      </c>
      <c r="B47" s="4" t="s">
        <v>35</v>
      </c>
      <c r="C47" s="8" t="s">
        <v>32</v>
      </c>
      <c r="D47" s="11">
        <f>SUM(1232)</f>
        <v>1232</v>
      </c>
      <c r="E47" s="11">
        <f>SUM(111)</f>
        <v>111</v>
      </c>
      <c r="F47" s="12">
        <f t="shared" si="0"/>
        <v>11.099099099099099</v>
      </c>
      <c r="G47" s="11">
        <v>1</v>
      </c>
      <c r="H47" s="11"/>
      <c r="I47" s="11"/>
      <c r="J47" s="11"/>
      <c r="K47" s="11"/>
      <c r="L47" s="11">
        <v>2.5</v>
      </c>
      <c r="M47" s="13"/>
    </row>
    <row r="48" spans="1:13" ht="18.5" x14ac:dyDescent="0.45">
      <c r="A48" s="3">
        <v>47</v>
      </c>
      <c r="B48" s="4" t="s">
        <v>83</v>
      </c>
      <c r="C48" s="4" t="s">
        <v>103</v>
      </c>
      <c r="D48" s="11">
        <f>SUM(1448+1487+1002)</f>
        <v>3937</v>
      </c>
      <c r="E48" s="11">
        <f>SUM(144+138+92)</f>
        <v>374</v>
      </c>
      <c r="F48" s="12">
        <f t="shared" si="0"/>
        <v>10.526737967914439</v>
      </c>
      <c r="G48" s="11">
        <v>3</v>
      </c>
      <c r="H48" s="11">
        <v>1</v>
      </c>
      <c r="I48" s="11"/>
      <c r="J48" s="11"/>
      <c r="K48" s="11"/>
      <c r="L48" s="11">
        <v>5.5</v>
      </c>
      <c r="M48" s="13"/>
    </row>
    <row r="49" spans="1:18" ht="18.5" x14ac:dyDescent="0.45">
      <c r="A49" s="3">
        <v>48</v>
      </c>
      <c r="B49" s="4" t="s">
        <v>74</v>
      </c>
      <c r="C49" s="4" t="s">
        <v>66</v>
      </c>
      <c r="D49" s="11"/>
      <c r="E49" s="11"/>
      <c r="F49" s="12"/>
      <c r="G49" s="11"/>
      <c r="H49" s="11"/>
      <c r="I49" s="11"/>
      <c r="J49" s="11"/>
      <c r="K49" s="11"/>
      <c r="L49" s="11">
        <v>2.5</v>
      </c>
      <c r="M49" s="13"/>
    </row>
    <row r="50" spans="1:18" ht="17.25" customHeight="1" thickBot="1" x14ac:dyDescent="0.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8" ht="19.5" customHeight="1" thickBot="1" x14ac:dyDescent="0.5">
      <c r="A51" s="5"/>
      <c r="B51" s="66" t="s">
        <v>120</v>
      </c>
      <c r="C51" s="57" t="s">
        <v>44</v>
      </c>
      <c r="D51" s="28" t="s">
        <v>45</v>
      </c>
      <c r="E51" s="29" t="s">
        <v>46</v>
      </c>
      <c r="F51" s="20" t="s">
        <v>62</v>
      </c>
      <c r="G51" s="30" t="s">
        <v>47</v>
      </c>
      <c r="I51" s="61" t="s">
        <v>48</v>
      </c>
      <c r="J51" s="62"/>
      <c r="K51" s="62"/>
      <c r="L51" s="62"/>
      <c r="M51" s="62"/>
      <c r="N51" s="62"/>
      <c r="O51" s="62"/>
      <c r="P51" s="62"/>
      <c r="Q51" s="62"/>
      <c r="R51" s="63"/>
    </row>
    <row r="52" spans="1:18" ht="18.5" x14ac:dyDescent="0.45">
      <c r="A52" s="5"/>
      <c r="B52" s="67"/>
      <c r="C52" s="18" t="s">
        <v>61</v>
      </c>
      <c r="D52" s="9">
        <v>3</v>
      </c>
      <c r="E52" s="10">
        <v>1</v>
      </c>
      <c r="F52" s="15"/>
      <c r="G52" s="18">
        <v>58</v>
      </c>
      <c r="I52" s="69" t="s">
        <v>49</v>
      </c>
      <c r="J52" s="70"/>
      <c r="K52" s="70"/>
      <c r="L52" s="70"/>
      <c r="M52" s="70"/>
      <c r="N52" s="64" t="s">
        <v>88</v>
      </c>
      <c r="O52" s="64"/>
      <c r="P52" s="64"/>
      <c r="Q52" s="64"/>
      <c r="R52" s="65"/>
    </row>
    <row r="53" spans="1:18" ht="18.5" x14ac:dyDescent="0.45">
      <c r="A53" s="5"/>
      <c r="B53" s="67"/>
      <c r="C53" s="17" t="s">
        <v>59</v>
      </c>
      <c r="D53" s="7">
        <v>3</v>
      </c>
      <c r="E53" s="22">
        <v>0</v>
      </c>
      <c r="F53" s="15"/>
      <c r="G53" s="23">
        <v>53</v>
      </c>
      <c r="I53" s="71" t="s">
        <v>51</v>
      </c>
      <c r="J53" s="72"/>
      <c r="K53" s="72"/>
      <c r="L53" s="72"/>
      <c r="M53" s="72"/>
      <c r="N53" s="59" t="s">
        <v>119</v>
      </c>
      <c r="O53" s="59"/>
      <c r="P53" s="59"/>
      <c r="Q53" s="59"/>
      <c r="R53" s="60"/>
    </row>
    <row r="54" spans="1:18" ht="18.5" x14ac:dyDescent="0.45">
      <c r="A54" s="5"/>
      <c r="B54" s="67"/>
      <c r="C54" s="17" t="s">
        <v>58</v>
      </c>
      <c r="D54" s="7">
        <v>3</v>
      </c>
      <c r="E54" s="16">
        <v>0</v>
      </c>
      <c r="F54" s="15"/>
      <c r="G54" s="17">
        <v>49</v>
      </c>
      <c r="I54" s="71" t="s">
        <v>53</v>
      </c>
      <c r="J54" s="72"/>
      <c r="K54" s="72"/>
      <c r="L54" s="72"/>
      <c r="M54" s="72"/>
      <c r="N54" s="59" t="s">
        <v>118</v>
      </c>
      <c r="O54" s="59"/>
      <c r="P54" s="59"/>
      <c r="Q54" s="59"/>
      <c r="R54" s="60"/>
    </row>
    <row r="55" spans="1:18" ht="18.5" x14ac:dyDescent="0.45">
      <c r="A55" s="6"/>
      <c r="B55" s="67"/>
      <c r="C55" s="17" t="s">
        <v>55</v>
      </c>
      <c r="D55" s="7">
        <v>2</v>
      </c>
      <c r="E55" s="22">
        <v>1</v>
      </c>
      <c r="F55" s="15"/>
      <c r="G55" s="23">
        <v>34</v>
      </c>
      <c r="I55" s="71" t="s">
        <v>54</v>
      </c>
      <c r="J55" s="72"/>
      <c r="K55" s="72"/>
      <c r="L55" s="72"/>
      <c r="M55" s="72"/>
      <c r="N55" s="59" t="s">
        <v>117</v>
      </c>
      <c r="O55" s="59"/>
      <c r="P55" s="59"/>
      <c r="Q55" s="59"/>
      <c r="R55" s="60"/>
    </row>
    <row r="56" spans="1:18" ht="18" customHeight="1" x14ac:dyDescent="0.45">
      <c r="A56" s="6"/>
      <c r="B56" s="67"/>
      <c r="C56" s="17" t="s">
        <v>60</v>
      </c>
      <c r="D56" s="7">
        <v>2</v>
      </c>
      <c r="E56" s="22">
        <v>2</v>
      </c>
      <c r="F56" s="15"/>
      <c r="G56" s="23">
        <v>49</v>
      </c>
      <c r="I56" s="71" t="s">
        <v>56</v>
      </c>
      <c r="J56" s="72"/>
      <c r="K56" s="72"/>
      <c r="L56" s="72"/>
      <c r="M56" s="72"/>
      <c r="N56" s="59" t="s">
        <v>116</v>
      </c>
      <c r="O56" s="59"/>
      <c r="P56" s="59"/>
      <c r="Q56" s="59"/>
      <c r="R56" s="60"/>
    </row>
    <row r="57" spans="1:18" ht="18" customHeight="1" thickBot="1" x14ac:dyDescent="0.5">
      <c r="A57" s="6"/>
      <c r="B57" s="67"/>
      <c r="C57" s="17" t="s">
        <v>52</v>
      </c>
      <c r="D57" s="7">
        <v>1</v>
      </c>
      <c r="E57" s="22">
        <v>2</v>
      </c>
      <c r="F57" s="15"/>
      <c r="G57" s="23">
        <v>29</v>
      </c>
      <c r="I57" s="73" t="s">
        <v>57</v>
      </c>
      <c r="J57" s="74"/>
      <c r="K57" s="74"/>
      <c r="L57" s="74"/>
      <c r="M57" s="74"/>
      <c r="N57" s="75" t="s">
        <v>86</v>
      </c>
      <c r="O57" s="75"/>
      <c r="P57" s="75"/>
      <c r="Q57" s="75"/>
      <c r="R57" s="76"/>
    </row>
    <row r="58" spans="1:18" ht="18.5" x14ac:dyDescent="0.45">
      <c r="A58" s="6"/>
      <c r="B58" s="67"/>
      <c r="C58" s="17" t="s">
        <v>50</v>
      </c>
      <c r="D58" s="7">
        <v>1</v>
      </c>
      <c r="E58" s="16">
        <v>2</v>
      </c>
      <c r="F58" s="15"/>
      <c r="G58" s="17">
        <v>27</v>
      </c>
      <c r="H58" s="6"/>
      <c r="I58" s="6"/>
    </row>
    <row r="59" spans="1:18" ht="18.5" x14ac:dyDescent="0.45">
      <c r="A59" s="6"/>
      <c r="B59" s="67"/>
      <c r="C59" s="19" t="s">
        <v>68</v>
      </c>
      <c r="D59" s="9">
        <v>1</v>
      </c>
      <c r="E59" s="10">
        <v>2</v>
      </c>
      <c r="F59" s="15"/>
      <c r="G59" s="18">
        <v>25</v>
      </c>
      <c r="H59" s="6"/>
    </row>
    <row r="60" spans="1:18" ht="18.5" x14ac:dyDescent="0.45">
      <c r="B60" s="67"/>
      <c r="C60" s="18" t="s">
        <v>98</v>
      </c>
      <c r="D60" s="9">
        <v>0</v>
      </c>
      <c r="E60" s="10">
        <v>3</v>
      </c>
      <c r="F60" s="15"/>
      <c r="G60" s="18">
        <v>31</v>
      </c>
    </row>
    <row r="61" spans="1:18" ht="19" thickBot="1" x14ac:dyDescent="0.5">
      <c r="B61" s="68"/>
      <c r="C61" s="17" t="s">
        <v>73</v>
      </c>
      <c r="D61" s="7">
        <v>0</v>
      </c>
      <c r="E61" s="22">
        <v>3</v>
      </c>
      <c r="F61" s="15"/>
      <c r="G61" s="23">
        <v>29</v>
      </c>
    </row>
    <row r="62" spans="1:18" ht="15" thickBot="1" x14ac:dyDescent="0.4"/>
    <row r="63" spans="1:18" ht="19" thickBot="1" x14ac:dyDescent="0.5">
      <c r="C63" s="27" t="s">
        <v>76</v>
      </c>
      <c r="D63" s="28" t="s">
        <v>45</v>
      </c>
      <c r="E63" s="28" t="s">
        <v>46</v>
      </c>
      <c r="F63" s="20" t="s">
        <v>62</v>
      </c>
      <c r="G63" s="31" t="s">
        <v>47</v>
      </c>
    </row>
    <row r="64" spans="1:18" ht="18.5" x14ac:dyDescent="0.45">
      <c r="C64" s="54" t="s">
        <v>59</v>
      </c>
      <c r="D64" s="14">
        <v>3</v>
      </c>
      <c r="E64" s="24">
        <v>0</v>
      </c>
      <c r="F64" s="15"/>
      <c r="G64" s="53">
        <v>53</v>
      </c>
    </row>
    <row r="65" spans="3:7" ht="18.5" x14ac:dyDescent="0.45">
      <c r="C65" s="56" t="s">
        <v>55</v>
      </c>
      <c r="D65" s="7">
        <v>2</v>
      </c>
      <c r="E65" s="22">
        <v>1</v>
      </c>
      <c r="F65" s="15"/>
      <c r="G65" s="55">
        <v>34</v>
      </c>
    </row>
    <row r="66" spans="3:7" ht="18.5" x14ac:dyDescent="0.45">
      <c r="C66" s="56" t="s">
        <v>60</v>
      </c>
      <c r="D66" s="7">
        <v>2</v>
      </c>
      <c r="E66" s="22">
        <v>2</v>
      </c>
      <c r="F66" s="15"/>
      <c r="G66" s="55">
        <v>49</v>
      </c>
    </row>
    <row r="67" spans="3:7" ht="19" thickBot="1" x14ac:dyDescent="0.5">
      <c r="C67" s="52" t="s">
        <v>50</v>
      </c>
      <c r="D67" s="51">
        <v>1</v>
      </c>
      <c r="E67" s="50">
        <v>2</v>
      </c>
      <c r="F67" s="49"/>
      <c r="G67" s="48">
        <v>27</v>
      </c>
    </row>
    <row r="68" spans="3:7" ht="18.5" x14ac:dyDescent="0.45">
      <c r="C68" s="54" t="s">
        <v>73</v>
      </c>
      <c r="D68" s="14">
        <v>0</v>
      </c>
      <c r="E68" s="24">
        <v>3</v>
      </c>
      <c r="F68" s="26"/>
      <c r="G68" s="53">
        <v>29</v>
      </c>
    </row>
    <row r="69" spans="3:7" ht="15" thickBot="1" x14ac:dyDescent="0.4"/>
    <row r="70" spans="3:7" ht="19" thickBot="1" x14ac:dyDescent="0.5">
      <c r="C70" s="27" t="s">
        <v>77</v>
      </c>
      <c r="D70" s="28" t="s">
        <v>45</v>
      </c>
      <c r="E70" s="28" t="s">
        <v>46</v>
      </c>
      <c r="F70" s="20" t="s">
        <v>62</v>
      </c>
      <c r="G70" s="31" t="s">
        <v>47</v>
      </c>
    </row>
    <row r="71" spans="3:7" ht="18.5" x14ac:dyDescent="0.45">
      <c r="C71" s="42" t="s">
        <v>61</v>
      </c>
      <c r="D71" s="15">
        <v>3</v>
      </c>
      <c r="E71" s="15">
        <v>1</v>
      </c>
      <c r="F71" s="15"/>
      <c r="G71" s="41">
        <v>58</v>
      </c>
    </row>
    <row r="72" spans="3:7" ht="18.5" x14ac:dyDescent="0.45">
      <c r="C72" s="47" t="s">
        <v>58</v>
      </c>
      <c r="D72" s="46">
        <v>3</v>
      </c>
      <c r="E72" s="46">
        <v>0</v>
      </c>
      <c r="F72" s="26"/>
      <c r="G72" s="45">
        <v>49</v>
      </c>
    </row>
    <row r="73" spans="3:7" ht="19" thickBot="1" x14ac:dyDescent="0.5">
      <c r="C73" s="40" t="s">
        <v>52</v>
      </c>
      <c r="D73" s="39">
        <v>1</v>
      </c>
      <c r="E73" s="38">
        <v>2</v>
      </c>
      <c r="F73" s="37"/>
      <c r="G73" s="36">
        <v>29</v>
      </c>
    </row>
    <row r="74" spans="3:7" ht="18.5" x14ac:dyDescent="0.45">
      <c r="C74" s="44" t="s">
        <v>68</v>
      </c>
      <c r="D74" s="4">
        <v>1</v>
      </c>
      <c r="E74" s="4">
        <v>2</v>
      </c>
      <c r="F74" s="15"/>
      <c r="G74" s="43">
        <v>25</v>
      </c>
    </row>
    <row r="75" spans="3:7" ht="18.5" x14ac:dyDescent="0.45">
      <c r="C75" s="42" t="s">
        <v>98</v>
      </c>
      <c r="D75" s="15">
        <v>0</v>
      </c>
      <c r="E75" s="15">
        <v>3</v>
      </c>
      <c r="F75" s="15"/>
      <c r="G75" s="41">
        <v>31</v>
      </c>
    </row>
  </sheetData>
  <mergeCells count="14">
    <mergeCell ref="B51:B61"/>
    <mergeCell ref="I52:M52"/>
    <mergeCell ref="I53:M53"/>
    <mergeCell ref="I54:M54"/>
    <mergeCell ref="I55:M55"/>
    <mergeCell ref="I56:M56"/>
    <mergeCell ref="I57:M57"/>
    <mergeCell ref="N57:R57"/>
    <mergeCell ref="I51:R51"/>
    <mergeCell ref="N52:R52"/>
    <mergeCell ref="N53:R53"/>
    <mergeCell ref="N54:R54"/>
    <mergeCell ref="N55:R55"/>
    <mergeCell ref="N56:R5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B677C-AA79-4BC7-9D93-600061B89B2A}">
  <sheetPr codeName="Sheet6"/>
  <dimension ref="A1:R75"/>
  <sheetViews>
    <sheetView workbookViewId="0">
      <pane ySplit="1" topLeftCell="A2" activePane="bottomLeft" state="frozen"/>
      <selection pane="bottomLeft" activeCell="I52" sqref="I52:R57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8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18.8164062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19</v>
      </c>
      <c r="C2" s="4" t="s">
        <v>14</v>
      </c>
      <c r="D2" s="11">
        <f>SUM(1503+1501)</f>
        <v>3004</v>
      </c>
      <c r="E2" s="11">
        <f>SUM(88+78)</f>
        <v>166</v>
      </c>
      <c r="F2" s="12">
        <f t="shared" ref="F2:F48" si="0">SUM(D2/E2)</f>
        <v>18.096385542168676</v>
      </c>
      <c r="G2" s="11">
        <v>2</v>
      </c>
      <c r="H2" s="11">
        <v>2</v>
      </c>
      <c r="I2" s="11"/>
      <c r="J2" s="11"/>
      <c r="K2" s="11"/>
      <c r="L2" s="11">
        <v>13</v>
      </c>
      <c r="M2" s="13">
        <v>5</v>
      </c>
    </row>
    <row r="3" spans="1:13" ht="18.5" x14ac:dyDescent="0.45">
      <c r="A3" s="3">
        <v>2</v>
      </c>
      <c r="B3" s="4" t="s">
        <v>23</v>
      </c>
      <c r="C3" s="4" t="s">
        <v>14</v>
      </c>
      <c r="D3" s="11">
        <f>SUM(1503+1503+1503+1479)</f>
        <v>5988</v>
      </c>
      <c r="E3" s="11">
        <f>SUM(93+102+87+75)</f>
        <v>357</v>
      </c>
      <c r="F3" s="12">
        <f t="shared" si="0"/>
        <v>16.77310924369748</v>
      </c>
      <c r="G3" s="11">
        <v>4</v>
      </c>
      <c r="H3" s="11">
        <v>4</v>
      </c>
      <c r="I3" s="11">
        <v>1</v>
      </c>
      <c r="J3" s="11"/>
      <c r="K3" s="11">
        <v>1</v>
      </c>
      <c r="L3" s="11">
        <v>19.5</v>
      </c>
      <c r="M3" s="13">
        <v>5</v>
      </c>
    </row>
    <row r="4" spans="1:13" ht="18.5" x14ac:dyDescent="0.45">
      <c r="A4" s="3">
        <v>3</v>
      </c>
      <c r="B4" s="4" t="s">
        <v>15</v>
      </c>
      <c r="C4" s="4" t="s">
        <v>16</v>
      </c>
      <c r="D4" s="11">
        <f>SUM(1439+1494+1469+1433)</f>
        <v>5835</v>
      </c>
      <c r="E4" s="11">
        <f>SUM(83+92+88+91)</f>
        <v>354</v>
      </c>
      <c r="F4" s="12">
        <f t="shared" si="0"/>
        <v>16.483050847457626</v>
      </c>
      <c r="G4" s="11">
        <v>4</v>
      </c>
      <c r="H4" s="11">
        <v>1</v>
      </c>
      <c r="I4" s="11"/>
      <c r="J4" s="11"/>
      <c r="K4" s="11"/>
      <c r="L4" s="11">
        <v>9</v>
      </c>
      <c r="M4" s="13"/>
    </row>
    <row r="5" spans="1:13" ht="18.5" x14ac:dyDescent="0.45">
      <c r="A5" s="3">
        <v>4</v>
      </c>
      <c r="B5" s="4" t="s">
        <v>11</v>
      </c>
      <c r="C5" s="4" t="s">
        <v>12</v>
      </c>
      <c r="D5" s="11">
        <f>SUM(1434+1499+1503+1463)</f>
        <v>5899</v>
      </c>
      <c r="E5" s="11">
        <f>SUM(78+102+87+91)</f>
        <v>358</v>
      </c>
      <c r="F5" s="12">
        <f t="shared" si="0"/>
        <v>16.477653631284916</v>
      </c>
      <c r="G5" s="11">
        <v>4</v>
      </c>
      <c r="H5" s="11">
        <v>3</v>
      </c>
      <c r="I5" s="11">
        <v>1</v>
      </c>
      <c r="J5" s="11"/>
      <c r="K5" s="11"/>
      <c r="L5" s="11">
        <v>13.5</v>
      </c>
      <c r="M5" s="13">
        <v>10</v>
      </c>
    </row>
    <row r="6" spans="1:13" ht="18.5" x14ac:dyDescent="0.45">
      <c r="A6" s="3">
        <v>5</v>
      </c>
      <c r="B6" s="4" t="s">
        <v>13</v>
      </c>
      <c r="C6" s="4" t="s">
        <v>14</v>
      </c>
      <c r="D6" s="11">
        <f>SUM(1503+1493+1483+1503)</f>
        <v>5982</v>
      </c>
      <c r="E6" s="11">
        <f>SUM(87+94+89+105)</f>
        <v>375</v>
      </c>
      <c r="F6" s="12">
        <f t="shared" si="0"/>
        <v>15.952</v>
      </c>
      <c r="G6" s="11">
        <v>4</v>
      </c>
      <c r="H6" s="11">
        <v>4</v>
      </c>
      <c r="I6" s="11"/>
      <c r="J6" s="11"/>
      <c r="K6" s="11"/>
      <c r="L6" s="11">
        <v>19.5</v>
      </c>
      <c r="M6" s="13"/>
    </row>
    <row r="7" spans="1:13" ht="18.5" x14ac:dyDescent="0.45">
      <c r="A7" s="3">
        <v>6</v>
      </c>
      <c r="B7" s="15" t="s">
        <v>31</v>
      </c>
      <c r="C7" s="4" t="s">
        <v>32</v>
      </c>
      <c r="D7" s="11">
        <f>SUM(1463+1440+1348+1483)</f>
        <v>5734</v>
      </c>
      <c r="E7" s="11">
        <f>SUM(87+90+90+101)</f>
        <v>368</v>
      </c>
      <c r="F7" s="12">
        <f t="shared" si="0"/>
        <v>15.581521739130435</v>
      </c>
      <c r="G7" s="11">
        <v>4</v>
      </c>
      <c r="H7" s="11">
        <v>3</v>
      </c>
      <c r="I7" s="11"/>
      <c r="J7" s="11"/>
      <c r="K7" s="11"/>
      <c r="L7" s="11">
        <v>13</v>
      </c>
      <c r="M7" s="13">
        <v>20</v>
      </c>
    </row>
    <row r="8" spans="1:13" ht="18.5" x14ac:dyDescent="0.45">
      <c r="A8" s="3">
        <v>7</v>
      </c>
      <c r="B8" s="3" t="s">
        <v>33</v>
      </c>
      <c r="C8" s="4" t="s">
        <v>22</v>
      </c>
      <c r="D8" s="11">
        <f>SUM(1385+1499+1356+1205)</f>
        <v>5445</v>
      </c>
      <c r="E8" s="11">
        <f>SUM(79+109+82+81)</f>
        <v>351</v>
      </c>
      <c r="F8" s="12">
        <f t="shared" si="0"/>
        <v>15.512820512820513</v>
      </c>
      <c r="G8" s="11">
        <v>4</v>
      </c>
      <c r="H8" s="11">
        <v>2</v>
      </c>
      <c r="I8" s="11"/>
      <c r="J8" s="11"/>
      <c r="K8" s="11"/>
      <c r="L8" s="11">
        <v>12.5</v>
      </c>
      <c r="M8" s="13"/>
    </row>
    <row r="9" spans="1:13" ht="18.5" x14ac:dyDescent="0.45">
      <c r="A9" s="3">
        <v>8</v>
      </c>
      <c r="B9" s="4" t="s">
        <v>41</v>
      </c>
      <c r="C9" s="4" t="s">
        <v>16</v>
      </c>
      <c r="D9" s="11">
        <f>SUM(1305+1155+1497+1433)</f>
        <v>5390</v>
      </c>
      <c r="E9" s="11">
        <f>SUM(82+73+109+98)</f>
        <v>362</v>
      </c>
      <c r="F9" s="12">
        <f t="shared" si="0"/>
        <v>14.88950276243094</v>
      </c>
      <c r="G9" s="11">
        <v>4</v>
      </c>
      <c r="H9" s="11">
        <v>3</v>
      </c>
      <c r="I9" s="11"/>
      <c r="J9" s="11"/>
      <c r="K9" s="11"/>
      <c r="L9" s="11">
        <v>13.5</v>
      </c>
      <c r="M9" s="13"/>
    </row>
    <row r="10" spans="1:13" ht="18.5" x14ac:dyDescent="0.45">
      <c r="A10" s="3">
        <v>9</v>
      </c>
      <c r="B10" s="4" t="s">
        <v>25</v>
      </c>
      <c r="C10" s="4" t="s">
        <v>12</v>
      </c>
      <c r="D10" s="11">
        <f>SUM(1124+1503+1455+1463)</f>
        <v>5545</v>
      </c>
      <c r="E10" s="11">
        <f>SUM(81+82+115+97)</f>
        <v>375</v>
      </c>
      <c r="F10" s="12">
        <f t="shared" si="0"/>
        <v>14.786666666666667</v>
      </c>
      <c r="G10" s="11">
        <v>4</v>
      </c>
      <c r="H10" s="11">
        <v>1</v>
      </c>
      <c r="I10" s="11"/>
      <c r="J10" s="11">
        <v>1</v>
      </c>
      <c r="K10" s="11"/>
      <c r="L10" s="11">
        <v>10</v>
      </c>
      <c r="M10" s="13">
        <v>5</v>
      </c>
    </row>
    <row r="11" spans="1:13" ht="18.5" x14ac:dyDescent="0.45">
      <c r="A11" s="3">
        <v>10</v>
      </c>
      <c r="B11" s="4" t="s">
        <v>26</v>
      </c>
      <c r="C11" s="4" t="s">
        <v>18</v>
      </c>
      <c r="D11" s="11">
        <f>SUM(1501+1503+1503+1491)</f>
        <v>5998</v>
      </c>
      <c r="E11" s="11">
        <f>SUM(125+90+100+97)</f>
        <v>412</v>
      </c>
      <c r="F11" s="12">
        <f t="shared" si="0"/>
        <v>14.558252427184467</v>
      </c>
      <c r="G11" s="11">
        <v>4</v>
      </c>
      <c r="H11" s="11">
        <v>3</v>
      </c>
      <c r="I11" s="11"/>
      <c r="J11" s="11"/>
      <c r="K11" s="11">
        <v>1</v>
      </c>
      <c r="L11" s="11">
        <v>17</v>
      </c>
      <c r="M11" s="13">
        <v>5</v>
      </c>
    </row>
    <row r="12" spans="1:13" ht="18.5" x14ac:dyDescent="0.45">
      <c r="A12" s="3">
        <v>11</v>
      </c>
      <c r="B12" s="3" t="s">
        <v>17</v>
      </c>
      <c r="C12" s="4" t="s">
        <v>18</v>
      </c>
      <c r="D12" s="11">
        <f>SUM(1503+1238+1475+1503)</f>
        <v>5719</v>
      </c>
      <c r="E12" s="11">
        <f>SUM(101+96+104+93)</f>
        <v>394</v>
      </c>
      <c r="F12" s="12">
        <f t="shared" si="0"/>
        <v>14.515228426395939</v>
      </c>
      <c r="G12" s="11">
        <v>4</v>
      </c>
      <c r="H12" s="11">
        <v>2</v>
      </c>
      <c r="I12" s="11"/>
      <c r="J12" s="11"/>
      <c r="K12" s="11"/>
      <c r="L12" s="11">
        <v>13.5</v>
      </c>
      <c r="M12" s="13"/>
    </row>
    <row r="13" spans="1:13" ht="18.5" x14ac:dyDescent="0.45">
      <c r="A13" s="3">
        <v>12</v>
      </c>
      <c r="B13" s="3" t="s">
        <v>21</v>
      </c>
      <c r="C13" s="4" t="s">
        <v>22</v>
      </c>
      <c r="D13" s="11">
        <f>SUM(1399+1503+1274+1463)</f>
        <v>5639</v>
      </c>
      <c r="E13" s="11">
        <f>SUM(82+109+87+114)</f>
        <v>392</v>
      </c>
      <c r="F13" s="12">
        <f t="shared" si="0"/>
        <v>14.385204081632653</v>
      </c>
      <c r="G13" s="11">
        <v>4</v>
      </c>
      <c r="H13" s="11">
        <v>2</v>
      </c>
      <c r="I13" s="11"/>
      <c r="J13" s="11"/>
      <c r="K13" s="11"/>
      <c r="L13" s="11">
        <v>12</v>
      </c>
      <c r="M13" s="13"/>
    </row>
    <row r="14" spans="1:13" ht="18.5" x14ac:dyDescent="0.45">
      <c r="A14" s="3">
        <v>13</v>
      </c>
      <c r="B14" s="4" t="s">
        <v>106</v>
      </c>
      <c r="C14" s="4" t="s">
        <v>12</v>
      </c>
      <c r="D14" s="11">
        <f>SUM(1503+1484+1456)</f>
        <v>4443</v>
      </c>
      <c r="E14" s="11">
        <f>SUM(116+103+94)</f>
        <v>313</v>
      </c>
      <c r="F14" s="12">
        <f t="shared" si="0"/>
        <v>14.194888178913738</v>
      </c>
      <c r="G14" s="11">
        <v>3</v>
      </c>
      <c r="H14" s="11">
        <v>2</v>
      </c>
      <c r="I14" s="11"/>
      <c r="J14" s="11"/>
      <c r="K14" s="11"/>
      <c r="L14" s="11">
        <v>9.5</v>
      </c>
      <c r="M14" s="13"/>
    </row>
    <row r="15" spans="1:13" ht="18.5" x14ac:dyDescent="0.45">
      <c r="A15" s="3">
        <v>14</v>
      </c>
      <c r="B15" s="15" t="s">
        <v>81</v>
      </c>
      <c r="C15" s="7" t="s">
        <v>89</v>
      </c>
      <c r="D15" s="11">
        <f>SUM(1431+1330+1465+1356)</f>
        <v>5582</v>
      </c>
      <c r="E15" s="11">
        <f>SUM(111+103+105+76)</f>
        <v>395</v>
      </c>
      <c r="F15" s="12">
        <f t="shared" si="0"/>
        <v>14.131645569620254</v>
      </c>
      <c r="G15" s="11">
        <v>4</v>
      </c>
      <c r="H15" s="11">
        <v>2</v>
      </c>
      <c r="I15" s="11"/>
      <c r="J15" s="11"/>
      <c r="K15" s="11"/>
      <c r="L15" s="11">
        <v>11</v>
      </c>
      <c r="M15" s="13"/>
    </row>
    <row r="16" spans="1:13" ht="18.5" x14ac:dyDescent="0.45">
      <c r="A16" s="3">
        <v>15</v>
      </c>
      <c r="B16" s="4" t="s">
        <v>115</v>
      </c>
      <c r="C16" s="4" t="s">
        <v>103</v>
      </c>
      <c r="D16" s="11">
        <f>SUM(1503+1473)</f>
        <v>2976</v>
      </c>
      <c r="E16" s="11">
        <f>SUM(115+100)</f>
        <v>215</v>
      </c>
      <c r="F16" s="12">
        <f t="shared" si="0"/>
        <v>13.841860465116278</v>
      </c>
      <c r="G16" s="11">
        <v>2</v>
      </c>
      <c r="H16" s="11">
        <v>2</v>
      </c>
      <c r="I16" s="11"/>
      <c r="J16" s="11"/>
      <c r="K16" s="11"/>
      <c r="L16" s="11">
        <v>7.5</v>
      </c>
      <c r="M16" s="13"/>
    </row>
    <row r="17" spans="1:13" ht="18.5" x14ac:dyDescent="0.45">
      <c r="A17" s="3">
        <v>16</v>
      </c>
      <c r="B17" s="15" t="s">
        <v>85</v>
      </c>
      <c r="C17" s="4" t="s">
        <v>103</v>
      </c>
      <c r="D17" s="11">
        <f>SUM(1503+1503+1471+1501)</f>
        <v>5978</v>
      </c>
      <c r="E17" s="11">
        <f>SUM(97+85+93+158)</f>
        <v>433</v>
      </c>
      <c r="F17" s="12">
        <f t="shared" si="0"/>
        <v>13.806004618937644</v>
      </c>
      <c r="G17" s="11">
        <v>4</v>
      </c>
      <c r="H17" s="11">
        <v>4</v>
      </c>
      <c r="I17" s="11">
        <v>1</v>
      </c>
      <c r="J17" s="11"/>
      <c r="K17" s="11"/>
      <c r="L17" s="11">
        <v>18</v>
      </c>
      <c r="M17" s="13"/>
    </row>
    <row r="18" spans="1:13" ht="18.5" x14ac:dyDescent="0.45">
      <c r="A18" s="3">
        <v>17</v>
      </c>
      <c r="B18" s="4" t="s">
        <v>28</v>
      </c>
      <c r="C18" s="4" t="s">
        <v>12</v>
      </c>
      <c r="D18" s="11">
        <f>SUM(1228+1398+1503+1422)</f>
        <v>5551</v>
      </c>
      <c r="E18" s="11">
        <f>SUM(90+96+119+100)</f>
        <v>405</v>
      </c>
      <c r="F18" s="12">
        <f t="shared" si="0"/>
        <v>13.706172839506173</v>
      </c>
      <c r="G18" s="11">
        <v>4</v>
      </c>
      <c r="H18" s="11">
        <v>1</v>
      </c>
      <c r="I18" s="11"/>
      <c r="J18" s="11"/>
      <c r="K18" s="11"/>
      <c r="L18" s="11">
        <v>11.5</v>
      </c>
      <c r="M18" s="13"/>
    </row>
    <row r="19" spans="1:13" ht="18.5" x14ac:dyDescent="0.45">
      <c r="A19" s="3">
        <v>18</v>
      </c>
      <c r="B19" s="15" t="s">
        <v>64</v>
      </c>
      <c r="C19" s="4" t="s">
        <v>27</v>
      </c>
      <c r="D19" s="11">
        <f>SUM(1501+1463+1503)</f>
        <v>4467</v>
      </c>
      <c r="E19" s="11">
        <f>SUM(113+99+115)</f>
        <v>327</v>
      </c>
      <c r="F19" s="12">
        <f t="shared" si="0"/>
        <v>13.660550458715596</v>
      </c>
      <c r="G19" s="11">
        <v>3</v>
      </c>
      <c r="H19" s="11">
        <v>2</v>
      </c>
      <c r="I19" s="11"/>
      <c r="J19" s="11"/>
      <c r="K19" s="11"/>
      <c r="L19" s="11">
        <v>11.5</v>
      </c>
      <c r="M19" s="13">
        <v>5</v>
      </c>
    </row>
    <row r="20" spans="1:13" ht="18.5" x14ac:dyDescent="0.45">
      <c r="A20" s="3">
        <v>19</v>
      </c>
      <c r="B20" s="15" t="s">
        <v>30</v>
      </c>
      <c r="C20" s="4" t="s">
        <v>22</v>
      </c>
      <c r="D20" s="11">
        <f>SUM(1503+1285+1503+1425)</f>
        <v>5716</v>
      </c>
      <c r="E20" s="11">
        <f>SUM(109+111+88+114)</f>
        <v>422</v>
      </c>
      <c r="F20" s="12">
        <f t="shared" si="0"/>
        <v>13.545023696682465</v>
      </c>
      <c r="G20" s="11">
        <v>4</v>
      </c>
      <c r="H20" s="11">
        <v>2</v>
      </c>
      <c r="I20" s="11"/>
      <c r="J20" s="11"/>
      <c r="K20" s="11"/>
      <c r="L20" s="11">
        <v>12</v>
      </c>
      <c r="M20" s="13">
        <v>5</v>
      </c>
    </row>
    <row r="21" spans="1:13" ht="18.5" x14ac:dyDescent="0.45">
      <c r="A21" s="3">
        <v>20</v>
      </c>
      <c r="B21" s="4" t="s">
        <v>20</v>
      </c>
      <c r="C21" s="4" t="s">
        <v>16</v>
      </c>
      <c r="D21" s="11">
        <f>SUM(1316+1259+1404+1356)</f>
        <v>5335</v>
      </c>
      <c r="E21" s="11">
        <f>SUM(107+90+101+97)</f>
        <v>395</v>
      </c>
      <c r="F21" s="12">
        <f t="shared" si="0"/>
        <v>13.50632911392405</v>
      </c>
      <c r="G21" s="11">
        <v>4</v>
      </c>
      <c r="H21" s="11">
        <v>1</v>
      </c>
      <c r="I21" s="11"/>
      <c r="J21" s="11"/>
      <c r="K21" s="11"/>
      <c r="L21" s="11">
        <v>9</v>
      </c>
      <c r="M21" s="13"/>
    </row>
    <row r="22" spans="1:13" ht="18.5" x14ac:dyDescent="0.45">
      <c r="A22" s="3">
        <v>21</v>
      </c>
      <c r="B22" s="4" t="s">
        <v>79</v>
      </c>
      <c r="C22" s="4" t="s">
        <v>89</v>
      </c>
      <c r="D22" s="11">
        <f>SUM(1393+1406+1309+1237)</f>
        <v>5345</v>
      </c>
      <c r="E22" s="11">
        <f>SUM(111+98+89+99)</f>
        <v>397</v>
      </c>
      <c r="F22" s="12">
        <f t="shared" si="0"/>
        <v>13.463476070528968</v>
      </c>
      <c r="G22" s="11">
        <v>4</v>
      </c>
      <c r="H22" s="11">
        <v>1</v>
      </c>
      <c r="I22" s="11"/>
      <c r="J22" s="11"/>
      <c r="K22" s="11"/>
      <c r="L22" s="11">
        <v>7.5</v>
      </c>
      <c r="M22" s="13">
        <v>5</v>
      </c>
    </row>
    <row r="23" spans="1:13" ht="18.5" x14ac:dyDescent="0.45">
      <c r="A23" s="3">
        <v>22</v>
      </c>
      <c r="B23" s="15" t="s">
        <v>65</v>
      </c>
      <c r="C23" s="4" t="s">
        <v>27</v>
      </c>
      <c r="D23" s="11">
        <f>SUM(1423+1499+1489+1368)</f>
        <v>5779</v>
      </c>
      <c r="E23" s="11">
        <f>SUM(103+114+104+113)</f>
        <v>434</v>
      </c>
      <c r="F23" s="12">
        <f t="shared" si="0"/>
        <v>13.315668202764977</v>
      </c>
      <c r="G23" s="11">
        <v>4</v>
      </c>
      <c r="H23" s="11">
        <v>4</v>
      </c>
      <c r="I23" s="11"/>
      <c r="J23" s="11"/>
      <c r="K23" s="11">
        <v>1</v>
      </c>
      <c r="L23" s="11">
        <v>16</v>
      </c>
      <c r="M23" s="13"/>
    </row>
    <row r="24" spans="1:13" ht="18.5" x14ac:dyDescent="0.45">
      <c r="A24" s="3">
        <v>23</v>
      </c>
      <c r="B24" s="15" t="s">
        <v>69</v>
      </c>
      <c r="C24" s="7" t="s">
        <v>14</v>
      </c>
      <c r="D24" s="11">
        <f>SUM(1497+1503+1455+1503)</f>
        <v>5958</v>
      </c>
      <c r="E24" s="11">
        <f>SUM(119+89+126+118)</f>
        <v>452</v>
      </c>
      <c r="F24" s="12">
        <f t="shared" si="0"/>
        <v>13.18141592920354</v>
      </c>
      <c r="G24" s="11">
        <v>4</v>
      </c>
      <c r="H24" s="11">
        <v>4</v>
      </c>
      <c r="I24" s="11"/>
      <c r="J24" s="11"/>
      <c r="K24" s="11"/>
      <c r="L24" s="11">
        <v>19</v>
      </c>
      <c r="M24" s="13"/>
    </row>
    <row r="25" spans="1:13" ht="18.5" x14ac:dyDescent="0.45">
      <c r="A25" s="3">
        <v>24</v>
      </c>
      <c r="B25" s="15" t="s">
        <v>63</v>
      </c>
      <c r="C25" s="4" t="s">
        <v>27</v>
      </c>
      <c r="D25" s="11">
        <f>SUM(1424+1501+1501+1473)</f>
        <v>5899</v>
      </c>
      <c r="E25" s="11">
        <f>SUM(90+147+123+91)</f>
        <v>451</v>
      </c>
      <c r="F25" s="12">
        <f t="shared" si="0"/>
        <v>13.079822616407982</v>
      </c>
      <c r="G25" s="11">
        <v>4</v>
      </c>
      <c r="H25" s="11">
        <v>3</v>
      </c>
      <c r="I25" s="11"/>
      <c r="J25" s="11"/>
      <c r="K25" s="11"/>
      <c r="L25" s="11">
        <v>16.5</v>
      </c>
      <c r="M25" s="13"/>
    </row>
    <row r="26" spans="1:13" ht="18.5" x14ac:dyDescent="0.45">
      <c r="A26" s="3">
        <v>25</v>
      </c>
      <c r="B26" s="7" t="s">
        <v>24</v>
      </c>
      <c r="C26" s="4" t="s">
        <v>22</v>
      </c>
      <c r="D26" s="11">
        <f>SUM(1465+1469+1456+1497)</f>
        <v>5887</v>
      </c>
      <c r="E26" s="11">
        <f>SUM(109+117+124+101)</f>
        <v>451</v>
      </c>
      <c r="F26" s="12">
        <f t="shared" si="0"/>
        <v>13.053215077605321</v>
      </c>
      <c r="G26" s="11">
        <v>4</v>
      </c>
      <c r="H26" s="11">
        <v>1</v>
      </c>
      <c r="I26" s="11"/>
      <c r="J26" s="11"/>
      <c r="K26" s="11"/>
      <c r="L26" s="11">
        <v>12.5</v>
      </c>
      <c r="M26" s="13"/>
    </row>
    <row r="27" spans="1:13" ht="18.5" x14ac:dyDescent="0.45">
      <c r="A27" s="3">
        <v>26</v>
      </c>
      <c r="B27" s="9" t="s">
        <v>71</v>
      </c>
      <c r="C27" s="4" t="s">
        <v>16</v>
      </c>
      <c r="D27" s="11">
        <f>SUM(1373+1159+1501+1471)</f>
        <v>5504</v>
      </c>
      <c r="E27" s="11">
        <f>SUM(111+99+117+102)</f>
        <v>429</v>
      </c>
      <c r="F27" s="12">
        <f t="shared" si="0"/>
        <v>12.829836829836831</v>
      </c>
      <c r="G27" s="11">
        <v>4</v>
      </c>
      <c r="H27" s="11">
        <v>2</v>
      </c>
      <c r="I27" s="11"/>
      <c r="J27" s="11"/>
      <c r="K27" s="11"/>
      <c r="L27" s="11">
        <v>7.5</v>
      </c>
      <c r="M27" s="13"/>
    </row>
    <row r="28" spans="1:13" ht="18.5" x14ac:dyDescent="0.45">
      <c r="A28" s="3">
        <v>27</v>
      </c>
      <c r="B28" s="7" t="s">
        <v>84</v>
      </c>
      <c r="C28" s="4" t="s">
        <v>103</v>
      </c>
      <c r="D28" s="11">
        <f>SUM(1385+1489+1228)</f>
        <v>4102</v>
      </c>
      <c r="E28" s="11">
        <f>SUM(107+126+87)</f>
        <v>320</v>
      </c>
      <c r="F28" s="12">
        <f t="shared" si="0"/>
        <v>12.81875</v>
      </c>
      <c r="G28" s="11">
        <v>3</v>
      </c>
      <c r="H28" s="11"/>
      <c r="I28" s="11"/>
      <c r="J28" s="11"/>
      <c r="K28" s="11"/>
      <c r="L28" s="11">
        <v>4.5</v>
      </c>
      <c r="M28" s="13"/>
    </row>
    <row r="29" spans="1:13" ht="18.5" x14ac:dyDescent="0.45">
      <c r="A29" s="3">
        <v>28</v>
      </c>
      <c r="B29" s="9" t="s">
        <v>82</v>
      </c>
      <c r="C29" s="4" t="s">
        <v>89</v>
      </c>
      <c r="D29" s="11">
        <f>SUM(1451+1138+1313+1427)</f>
        <v>5329</v>
      </c>
      <c r="E29" s="11">
        <f>SUM(115+81+108+114)</f>
        <v>418</v>
      </c>
      <c r="F29" s="12">
        <f t="shared" si="0"/>
        <v>12.748803827751196</v>
      </c>
      <c r="G29" s="11">
        <v>4</v>
      </c>
      <c r="H29" s="11">
        <v>2</v>
      </c>
      <c r="I29" s="11"/>
      <c r="J29" s="11"/>
      <c r="K29" s="11"/>
      <c r="L29" s="11">
        <v>10</v>
      </c>
      <c r="M29" s="13"/>
    </row>
    <row r="30" spans="1:13" ht="18.5" x14ac:dyDescent="0.45">
      <c r="A30" s="3">
        <v>29</v>
      </c>
      <c r="B30" s="7" t="s">
        <v>107</v>
      </c>
      <c r="C30" s="4" t="s">
        <v>14</v>
      </c>
      <c r="D30" s="11">
        <f>SUM(1081+1364)</f>
        <v>2445</v>
      </c>
      <c r="E30" s="11">
        <f>SUM(81+113)</f>
        <v>194</v>
      </c>
      <c r="F30" s="12">
        <f t="shared" si="0"/>
        <v>12.603092783505154</v>
      </c>
      <c r="G30" s="11">
        <v>2</v>
      </c>
      <c r="H30" s="11"/>
      <c r="I30" s="11"/>
      <c r="J30" s="11"/>
      <c r="K30" s="11"/>
      <c r="L30" s="11">
        <v>2</v>
      </c>
      <c r="M30" s="13"/>
    </row>
    <row r="31" spans="1:13" ht="18.5" x14ac:dyDescent="0.45">
      <c r="A31" s="3">
        <v>30</v>
      </c>
      <c r="B31" s="7" t="s">
        <v>37</v>
      </c>
      <c r="C31" s="4" t="s">
        <v>66</v>
      </c>
      <c r="D31" s="11">
        <f>SUM(1218+1106+1372+1315)</f>
        <v>5011</v>
      </c>
      <c r="E31" s="11">
        <f>SUM(96+84+120+102)</f>
        <v>402</v>
      </c>
      <c r="F31" s="12">
        <f t="shared" si="0"/>
        <v>12.465174129353233</v>
      </c>
      <c r="G31" s="11">
        <v>4</v>
      </c>
      <c r="H31" s="11"/>
      <c r="I31" s="11"/>
      <c r="J31" s="11"/>
      <c r="K31" s="11"/>
      <c r="L31" s="11">
        <v>5.5</v>
      </c>
      <c r="M31" s="13"/>
    </row>
    <row r="32" spans="1:13" ht="18.5" x14ac:dyDescent="0.45">
      <c r="A32" s="3">
        <v>31</v>
      </c>
      <c r="B32" s="34" t="s">
        <v>34</v>
      </c>
      <c r="C32" s="8" t="s">
        <v>27</v>
      </c>
      <c r="D32" s="11">
        <f>SUM(1315+1435+1406+1490)</f>
        <v>5646</v>
      </c>
      <c r="E32" s="11">
        <f>SUM(90+109+99+157)</f>
        <v>455</v>
      </c>
      <c r="F32" s="12">
        <f t="shared" si="0"/>
        <v>12.408791208791209</v>
      </c>
      <c r="G32" s="11">
        <v>4</v>
      </c>
      <c r="H32" s="11">
        <v>3</v>
      </c>
      <c r="I32" s="11"/>
      <c r="J32" s="11"/>
      <c r="K32" s="11"/>
      <c r="L32" s="11">
        <v>13</v>
      </c>
      <c r="M32" s="13"/>
    </row>
    <row r="33" spans="1:13" ht="18.5" x14ac:dyDescent="0.45">
      <c r="A33" s="3">
        <v>32</v>
      </c>
      <c r="B33" s="7" t="s">
        <v>40</v>
      </c>
      <c r="C33" s="7" t="s">
        <v>32</v>
      </c>
      <c r="D33" s="11">
        <f>SUM(1263+1432+1503+1311)</f>
        <v>5509</v>
      </c>
      <c r="E33" s="11">
        <f>SUM(96+111+111+126)</f>
        <v>444</v>
      </c>
      <c r="F33" s="12">
        <f t="shared" si="0"/>
        <v>12.407657657657658</v>
      </c>
      <c r="G33" s="11">
        <v>4</v>
      </c>
      <c r="H33" s="11">
        <v>2</v>
      </c>
      <c r="I33" s="11"/>
      <c r="J33" s="11"/>
      <c r="K33" s="11"/>
      <c r="L33" s="11">
        <v>11</v>
      </c>
      <c r="M33" s="13"/>
    </row>
    <row r="34" spans="1:13" ht="18.5" x14ac:dyDescent="0.45">
      <c r="A34" s="3">
        <v>33</v>
      </c>
      <c r="B34" s="16" t="s">
        <v>29</v>
      </c>
      <c r="C34" s="7" t="s">
        <v>66</v>
      </c>
      <c r="D34" s="11">
        <f>SUM(1467+1499+1403+1499)</f>
        <v>5868</v>
      </c>
      <c r="E34" s="11">
        <f>SUM(129+121+106+120)</f>
        <v>476</v>
      </c>
      <c r="F34" s="12">
        <f t="shared" si="0"/>
        <v>12.327731092436975</v>
      </c>
      <c r="G34" s="11">
        <v>4</v>
      </c>
      <c r="H34" s="11">
        <v>2</v>
      </c>
      <c r="I34" s="11"/>
      <c r="J34" s="11"/>
      <c r="K34" s="11"/>
      <c r="L34" s="11">
        <v>9.5</v>
      </c>
      <c r="M34" s="13">
        <v>5</v>
      </c>
    </row>
    <row r="35" spans="1:13" ht="18.5" x14ac:dyDescent="0.45">
      <c r="A35" s="3">
        <v>34</v>
      </c>
      <c r="B35" s="4" t="s">
        <v>105</v>
      </c>
      <c r="C35" s="4" t="s">
        <v>89</v>
      </c>
      <c r="D35" s="11">
        <f>SUM(1344+1443+1351)</f>
        <v>4138</v>
      </c>
      <c r="E35" s="11">
        <f>SUM(108+114+117)</f>
        <v>339</v>
      </c>
      <c r="F35" s="12">
        <f t="shared" si="0"/>
        <v>12.206489675516224</v>
      </c>
      <c r="G35" s="11">
        <v>3</v>
      </c>
      <c r="H35" s="11"/>
      <c r="I35" s="11"/>
      <c r="J35" s="11"/>
      <c r="K35" s="11"/>
      <c r="L35" s="11">
        <v>4.5</v>
      </c>
      <c r="M35" s="13"/>
    </row>
    <row r="36" spans="1:13" ht="18.5" x14ac:dyDescent="0.45">
      <c r="A36" s="3">
        <v>35</v>
      </c>
      <c r="B36" s="10" t="s">
        <v>72</v>
      </c>
      <c r="C36" s="4" t="s">
        <v>12</v>
      </c>
      <c r="D36" s="11">
        <f>SUM(1409)</f>
        <v>1409</v>
      </c>
      <c r="E36" s="11">
        <f>SUM(119)</f>
        <v>119</v>
      </c>
      <c r="F36" s="12">
        <f t="shared" si="0"/>
        <v>11.840336134453782</v>
      </c>
      <c r="G36" s="11">
        <v>1</v>
      </c>
      <c r="H36" s="11"/>
      <c r="I36" s="11"/>
      <c r="J36" s="11"/>
      <c r="K36" s="11"/>
      <c r="L36" s="11">
        <v>1.5</v>
      </c>
      <c r="M36" s="13"/>
    </row>
    <row r="37" spans="1:13" ht="18.5" x14ac:dyDescent="0.45">
      <c r="A37" s="3">
        <v>36</v>
      </c>
      <c r="B37" s="10" t="s">
        <v>39</v>
      </c>
      <c r="C37" s="7" t="s">
        <v>32</v>
      </c>
      <c r="D37" s="11">
        <f>SUM(1397+971+1477+1493)</f>
        <v>5338</v>
      </c>
      <c r="E37" s="11">
        <f>SUM(109+84+128+136)</f>
        <v>457</v>
      </c>
      <c r="F37" s="12">
        <f t="shared" si="0"/>
        <v>11.680525164113785</v>
      </c>
      <c r="G37" s="11">
        <v>4</v>
      </c>
      <c r="H37" s="11"/>
      <c r="I37" s="11"/>
      <c r="J37" s="11"/>
      <c r="K37" s="11"/>
      <c r="L37" s="11">
        <v>8.5</v>
      </c>
      <c r="M37" s="13"/>
    </row>
    <row r="38" spans="1:13" ht="18.5" x14ac:dyDescent="0.45">
      <c r="A38" s="3">
        <v>37</v>
      </c>
      <c r="B38" s="10" t="s">
        <v>70</v>
      </c>
      <c r="C38" s="7" t="s">
        <v>18</v>
      </c>
      <c r="D38" s="11">
        <f>SUM(1487+1277+1280+1499)</f>
        <v>5543</v>
      </c>
      <c r="E38" s="11">
        <f>SUM(122+115+117+128)</f>
        <v>482</v>
      </c>
      <c r="F38" s="12">
        <f t="shared" si="0"/>
        <v>11.5</v>
      </c>
      <c r="G38" s="11">
        <v>4</v>
      </c>
      <c r="H38" s="11">
        <v>2</v>
      </c>
      <c r="I38" s="11"/>
      <c r="J38" s="11"/>
      <c r="K38" s="11"/>
      <c r="L38" s="11">
        <v>13.5</v>
      </c>
      <c r="M38" s="13"/>
    </row>
    <row r="39" spans="1:13" ht="18.5" x14ac:dyDescent="0.45">
      <c r="A39" s="3">
        <v>38</v>
      </c>
      <c r="B39" s="16" t="s">
        <v>78</v>
      </c>
      <c r="C39" s="7" t="s">
        <v>18</v>
      </c>
      <c r="D39" s="11">
        <f>SUM(1503+1488)</f>
        <v>2991</v>
      </c>
      <c r="E39" s="11">
        <f>SUM(102+160)</f>
        <v>262</v>
      </c>
      <c r="F39" s="12">
        <f t="shared" si="0"/>
        <v>11.416030534351146</v>
      </c>
      <c r="G39" s="11">
        <v>2</v>
      </c>
      <c r="H39" s="11">
        <v>1</v>
      </c>
      <c r="I39" s="11"/>
      <c r="J39" s="11"/>
      <c r="K39" s="11"/>
      <c r="L39" s="11">
        <v>5</v>
      </c>
      <c r="M39" s="13"/>
    </row>
    <row r="40" spans="1:13" ht="18.5" x14ac:dyDescent="0.45">
      <c r="A40" s="3">
        <v>39</v>
      </c>
      <c r="B40" s="16" t="s">
        <v>80</v>
      </c>
      <c r="C40" s="7" t="s">
        <v>89</v>
      </c>
      <c r="D40" s="11">
        <f>SUM(1219)</f>
        <v>1219</v>
      </c>
      <c r="E40" s="11">
        <f>SUM(108)</f>
        <v>108</v>
      </c>
      <c r="F40" s="12">
        <f t="shared" si="0"/>
        <v>11.287037037037036</v>
      </c>
      <c r="G40" s="11">
        <v>1</v>
      </c>
      <c r="H40" s="11"/>
      <c r="I40" s="11"/>
      <c r="J40" s="11"/>
      <c r="K40" s="11"/>
      <c r="L40" s="11">
        <v>0</v>
      </c>
      <c r="M40" s="13"/>
    </row>
    <row r="41" spans="1:13" ht="18.5" x14ac:dyDescent="0.45">
      <c r="A41" s="3">
        <v>40</v>
      </c>
      <c r="B41" s="10" t="s">
        <v>42</v>
      </c>
      <c r="C41" s="7" t="s">
        <v>18</v>
      </c>
      <c r="D41" s="11">
        <f>SUM(1503+1503)</f>
        <v>3006</v>
      </c>
      <c r="E41" s="11">
        <f>SUM(133+134)</f>
        <v>267</v>
      </c>
      <c r="F41" s="12">
        <f t="shared" si="0"/>
        <v>11.258426966292134</v>
      </c>
      <c r="G41" s="11">
        <v>2</v>
      </c>
      <c r="H41" s="11">
        <v>2</v>
      </c>
      <c r="I41" s="11"/>
      <c r="J41" s="11"/>
      <c r="K41" s="11"/>
      <c r="L41" s="11">
        <v>13</v>
      </c>
      <c r="M41" s="13"/>
    </row>
    <row r="42" spans="1:13" ht="18.5" x14ac:dyDescent="0.45">
      <c r="A42" s="3">
        <v>41</v>
      </c>
      <c r="B42" s="10" t="s">
        <v>104</v>
      </c>
      <c r="C42" s="7" t="s">
        <v>27</v>
      </c>
      <c r="D42" s="11">
        <f>SUM(1442)</f>
        <v>1442</v>
      </c>
      <c r="E42" s="11">
        <f>SUM(129)</f>
        <v>129</v>
      </c>
      <c r="F42" s="12">
        <f t="shared" si="0"/>
        <v>11.178294573643411</v>
      </c>
      <c r="G42" s="11">
        <v>1</v>
      </c>
      <c r="H42" s="11"/>
      <c r="I42" s="11"/>
      <c r="J42" s="11"/>
      <c r="K42" s="11"/>
      <c r="L42" s="11">
        <v>1</v>
      </c>
      <c r="M42" s="13"/>
    </row>
    <row r="43" spans="1:13" ht="18.5" x14ac:dyDescent="0.45">
      <c r="A43" s="3">
        <v>42</v>
      </c>
      <c r="B43" s="35" t="s">
        <v>43</v>
      </c>
      <c r="C43" s="7" t="s">
        <v>66</v>
      </c>
      <c r="D43" s="11">
        <f>SUM(1252+1503+1201+1498)</f>
        <v>5454</v>
      </c>
      <c r="E43" s="11">
        <f>SUM(120+142+91+137)</f>
        <v>490</v>
      </c>
      <c r="F43" s="12">
        <f t="shared" si="0"/>
        <v>11.130612244897959</v>
      </c>
      <c r="G43" s="11">
        <v>4</v>
      </c>
      <c r="H43" s="11">
        <v>2</v>
      </c>
      <c r="I43" s="11"/>
      <c r="J43" s="11"/>
      <c r="K43" s="11"/>
      <c r="L43" s="11">
        <v>10</v>
      </c>
      <c r="M43" s="13">
        <v>5</v>
      </c>
    </row>
    <row r="44" spans="1:13" ht="18.5" x14ac:dyDescent="0.45">
      <c r="A44" s="3">
        <v>43</v>
      </c>
      <c r="B44" s="15" t="s">
        <v>38</v>
      </c>
      <c r="C44" s="7" t="s">
        <v>103</v>
      </c>
      <c r="D44" s="11">
        <f>SUM(1214+1381+1209+1331)</f>
        <v>5135</v>
      </c>
      <c r="E44" s="11">
        <f>SUM(116+115+105+126)</f>
        <v>462</v>
      </c>
      <c r="F44" s="12">
        <f t="shared" si="0"/>
        <v>11.114718614718615</v>
      </c>
      <c r="G44" s="11">
        <v>4</v>
      </c>
      <c r="H44" s="11"/>
      <c r="I44" s="11"/>
      <c r="J44" s="11"/>
      <c r="K44" s="11"/>
      <c r="L44" s="11">
        <v>6.5</v>
      </c>
      <c r="M44" s="13"/>
    </row>
    <row r="45" spans="1:13" ht="18.5" x14ac:dyDescent="0.45">
      <c r="A45" s="3">
        <v>44</v>
      </c>
      <c r="B45" s="4" t="s">
        <v>35</v>
      </c>
      <c r="C45" s="4" t="s">
        <v>32</v>
      </c>
      <c r="D45" s="11">
        <f>SUM(1232)</f>
        <v>1232</v>
      </c>
      <c r="E45" s="11">
        <f>SUM(111)</f>
        <v>111</v>
      </c>
      <c r="F45" s="12">
        <f t="shared" si="0"/>
        <v>11.099099099099099</v>
      </c>
      <c r="G45" s="11">
        <v>1</v>
      </c>
      <c r="H45" s="11"/>
      <c r="I45" s="11"/>
      <c r="J45" s="11"/>
      <c r="K45" s="11"/>
      <c r="L45" s="11">
        <v>4</v>
      </c>
      <c r="M45" s="13"/>
    </row>
    <row r="46" spans="1:13" ht="18.5" x14ac:dyDescent="0.45">
      <c r="A46" s="3">
        <v>45</v>
      </c>
      <c r="B46" s="4" t="s">
        <v>83</v>
      </c>
      <c r="C46" s="4" t="s">
        <v>103</v>
      </c>
      <c r="D46" s="11">
        <f>SUM(1448+1487+1481)</f>
        <v>4416</v>
      </c>
      <c r="E46" s="11">
        <f>SUM(144+138+128)</f>
        <v>410</v>
      </c>
      <c r="F46" s="12">
        <f t="shared" si="0"/>
        <v>10.770731707317074</v>
      </c>
      <c r="G46" s="11">
        <v>3</v>
      </c>
      <c r="H46" s="11">
        <v>1</v>
      </c>
      <c r="I46" s="11"/>
      <c r="J46" s="11"/>
      <c r="K46" s="11"/>
      <c r="L46" s="11">
        <v>5.5</v>
      </c>
      <c r="M46" s="13"/>
    </row>
    <row r="47" spans="1:13" ht="18.5" x14ac:dyDescent="0.45">
      <c r="A47" s="3">
        <v>46</v>
      </c>
      <c r="B47" s="15" t="s">
        <v>67</v>
      </c>
      <c r="C47" s="8" t="s">
        <v>32</v>
      </c>
      <c r="D47" s="11">
        <f>SUM(1261+1230+1487)</f>
        <v>3978</v>
      </c>
      <c r="E47" s="11">
        <f>SUM(102+96+177)</f>
        <v>375</v>
      </c>
      <c r="F47" s="12">
        <f t="shared" si="0"/>
        <v>10.608000000000001</v>
      </c>
      <c r="G47" s="11">
        <v>3</v>
      </c>
      <c r="H47" s="11">
        <v>1</v>
      </c>
      <c r="I47" s="11"/>
      <c r="J47" s="11"/>
      <c r="K47" s="11"/>
      <c r="L47" s="11">
        <v>3.5</v>
      </c>
      <c r="M47" s="13"/>
    </row>
    <row r="48" spans="1:13" ht="18.5" x14ac:dyDescent="0.45">
      <c r="A48" s="3">
        <v>47</v>
      </c>
      <c r="B48" s="4" t="s">
        <v>36</v>
      </c>
      <c r="C48" s="4" t="s">
        <v>66</v>
      </c>
      <c r="D48" s="11">
        <f>SUM(1457+1503+1489+1479)</f>
        <v>5928</v>
      </c>
      <c r="E48" s="11">
        <f>SUM(116+124+152+178)</f>
        <v>570</v>
      </c>
      <c r="F48" s="12">
        <f t="shared" si="0"/>
        <v>10.4</v>
      </c>
      <c r="G48" s="11">
        <v>4</v>
      </c>
      <c r="H48" s="11">
        <v>1</v>
      </c>
      <c r="I48" s="11"/>
      <c r="J48" s="11"/>
      <c r="K48" s="11"/>
      <c r="L48" s="11">
        <v>10.5</v>
      </c>
      <c r="M48" s="13"/>
    </row>
    <row r="49" spans="1:18" ht="18.5" x14ac:dyDescent="0.45">
      <c r="A49" s="3">
        <v>48</v>
      </c>
      <c r="B49" s="4" t="s">
        <v>74</v>
      </c>
      <c r="C49" s="4" t="s">
        <v>66</v>
      </c>
      <c r="D49" s="11"/>
      <c r="E49" s="11"/>
      <c r="F49" s="12"/>
      <c r="G49" s="11"/>
      <c r="H49" s="11"/>
      <c r="I49" s="11"/>
      <c r="J49" s="11"/>
      <c r="K49" s="11"/>
      <c r="L49" s="11">
        <v>2.5</v>
      </c>
      <c r="M49" s="13"/>
    </row>
    <row r="50" spans="1:18" ht="17.25" customHeight="1" thickBot="1" x14ac:dyDescent="0.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8" ht="19.5" customHeight="1" thickBot="1" x14ac:dyDescent="0.5">
      <c r="A51" s="5"/>
      <c r="B51" s="66" t="s">
        <v>124</v>
      </c>
      <c r="C51" s="57" t="s">
        <v>44</v>
      </c>
      <c r="D51" s="28" t="s">
        <v>45</v>
      </c>
      <c r="E51" s="29" t="s">
        <v>46</v>
      </c>
      <c r="F51" s="20" t="s">
        <v>62</v>
      </c>
      <c r="G51" s="30" t="s">
        <v>47</v>
      </c>
      <c r="I51" s="61" t="s">
        <v>48</v>
      </c>
      <c r="J51" s="62"/>
      <c r="K51" s="62"/>
      <c r="L51" s="62"/>
      <c r="M51" s="62"/>
      <c r="N51" s="62"/>
      <c r="O51" s="62"/>
      <c r="P51" s="62"/>
      <c r="Q51" s="62"/>
      <c r="R51" s="63"/>
    </row>
    <row r="52" spans="1:18" ht="18.5" x14ac:dyDescent="0.45">
      <c r="A52" s="5"/>
      <c r="B52" s="67"/>
      <c r="C52" s="17" t="s">
        <v>59</v>
      </c>
      <c r="D52" s="7">
        <v>4</v>
      </c>
      <c r="E52" s="22">
        <v>0</v>
      </c>
      <c r="F52" s="15"/>
      <c r="G52" s="23">
        <v>73</v>
      </c>
      <c r="I52" s="69" t="s">
        <v>49</v>
      </c>
      <c r="J52" s="70"/>
      <c r="K52" s="70"/>
      <c r="L52" s="70"/>
      <c r="M52" s="70"/>
      <c r="N52" s="64" t="s">
        <v>88</v>
      </c>
      <c r="O52" s="64"/>
      <c r="P52" s="64"/>
      <c r="Q52" s="64"/>
      <c r="R52" s="65"/>
    </row>
    <row r="53" spans="1:18" ht="18.5" x14ac:dyDescent="0.45">
      <c r="A53" s="5"/>
      <c r="B53" s="67"/>
      <c r="C53" s="17" t="s">
        <v>58</v>
      </c>
      <c r="D53" s="7">
        <v>4</v>
      </c>
      <c r="E53" s="16">
        <v>0</v>
      </c>
      <c r="F53" s="15"/>
      <c r="G53" s="17">
        <v>62</v>
      </c>
      <c r="I53" s="71" t="s">
        <v>51</v>
      </c>
      <c r="J53" s="72"/>
      <c r="K53" s="72"/>
      <c r="L53" s="72"/>
      <c r="M53" s="72"/>
      <c r="N53" s="59" t="s">
        <v>123</v>
      </c>
      <c r="O53" s="59"/>
      <c r="P53" s="59"/>
      <c r="Q53" s="59"/>
      <c r="R53" s="60"/>
    </row>
    <row r="54" spans="1:18" ht="18.5" x14ac:dyDescent="0.45">
      <c r="A54" s="5"/>
      <c r="B54" s="67"/>
      <c r="C54" s="18" t="s">
        <v>61</v>
      </c>
      <c r="D54" s="9">
        <v>3</v>
      </c>
      <c r="E54" s="10">
        <v>1</v>
      </c>
      <c r="F54" s="15"/>
      <c r="G54" s="18">
        <v>58</v>
      </c>
      <c r="I54" s="71" t="s">
        <v>53</v>
      </c>
      <c r="J54" s="72"/>
      <c r="K54" s="72"/>
      <c r="L54" s="72"/>
      <c r="M54" s="72"/>
      <c r="N54" s="59" t="s">
        <v>121</v>
      </c>
      <c r="O54" s="59"/>
      <c r="P54" s="59"/>
      <c r="Q54" s="59"/>
      <c r="R54" s="60"/>
    </row>
    <row r="55" spans="1:18" ht="18.5" x14ac:dyDescent="0.45">
      <c r="A55" s="6"/>
      <c r="B55" s="67"/>
      <c r="C55" s="17" t="s">
        <v>55</v>
      </c>
      <c r="D55" s="7">
        <v>3</v>
      </c>
      <c r="E55" s="22">
        <v>1</v>
      </c>
      <c r="F55" s="15"/>
      <c r="G55" s="23">
        <v>46</v>
      </c>
      <c r="I55" s="71" t="s">
        <v>54</v>
      </c>
      <c r="J55" s="72"/>
      <c r="K55" s="72"/>
      <c r="L55" s="72"/>
      <c r="M55" s="72"/>
      <c r="N55" s="59" t="s">
        <v>122</v>
      </c>
      <c r="O55" s="59"/>
      <c r="P55" s="59"/>
      <c r="Q55" s="59"/>
      <c r="R55" s="60"/>
    </row>
    <row r="56" spans="1:18" ht="18" customHeight="1" x14ac:dyDescent="0.45">
      <c r="A56" s="6"/>
      <c r="B56" s="67"/>
      <c r="C56" s="17" t="s">
        <v>60</v>
      </c>
      <c r="D56" s="7">
        <v>2</v>
      </c>
      <c r="E56" s="22">
        <v>2</v>
      </c>
      <c r="F56" s="15"/>
      <c r="G56" s="23">
        <v>49</v>
      </c>
      <c r="I56" s="71" t="s">
        <v>56</v>
      </c>
      <c r="J56" s="72"/>
      <c r="K56" s="72"/>
      <c r="L56" s="72"/>
      <c r="M56" s="72"/>
      <c r="N56" s="59" t="s">
        <v>121</v>
      </c>
      <c r="O56" s="59"/>
      <c r="P56" s="59"/>
      <c r="Q56" s="59"/>
      <c r="R56" s="60"/>
    </row>
    <row r="57" spans="1:18" ht="18" customHeight="1" thickBot="1" x14ac:dyDescent="0.5">
      <c r="A57" s="6"/>
      <c r="B57" s="67"/>
      <c r="C57" s="19" t="s">
        <v>68</v>
      </c>
      <c r="D57" s="9">
        <v>2</v>
      </c>
      <c r="E57" s="10">
        <v>2</v>
      </c>
      <c r="F57" s="15"/>
      <c r="G57" s="18">
        <v>38</v>
      </c>
      <c r="I57" s="73" t="s">
        <v>57</v>
      </c>
      <c r="J57" s="74"/>
      <c r="K57" s="74"/>
      <c r="L57" s="74"/>
      <c r="M57" s="74"/>
      <c r="N57" s="75" t="s">
        <v>86</v>
      </c>
      <c r="O57" s="75"/>
      <c r="P57" s="75"/>
      <c r="Q57" s="75"/>
      <c r="R57" s="76"/>
    </row>
    <row r="58" spans="1:18" ht="18.5" x14ac:dyDescent="0.45">
      <c r="A58" s="6"/>
      <c r="B58" s="67"/>
      <c r="C58" s="17" t="s">
        <v>52</v>
      </c>
      <c r="D58" s="7">
        <v>1</v>
      </c>
      <c r="E58" s="22">
        <v>3</v>
      </c>
      <c r="F58" s="15"/>
      <c r="G58" s="23">
        <v>40</v>
      </c>
      <c r="H58" s="6"/>
      <c r="I58" s="6"/>
    </row>
    <row r="59" spans="1:18" ht="18.5" x14ac:dyDescent="0.45">
      <c r="A59" s="6"/>
      <c r="B59" s="67"/>
      <c r="C59" s="17" t="s">
        <v>50</v>
      </c>
      <c r="D59" s="7">
        <v>1</v>
      </c>
      <c r="E59" s="16">
        <v>3</v>
      </c>
      <c r="F59" s="15"/>
      <c r="G59" s="17">
        <v>39</v>
      </c>
      <c r="H59" s="6"/>
    </row>
    <row r="60" spans="1:18" ht="18.5" x14ac:dyDescent="0.45">
      <c r="B60" s="67"/>
      <c r="C60" s="18" t="s">
        <v>98</v>
      </c>
      <c r="D60" s="9">
        <v>0</v>
      </c>
      <c r="E60" s="10">
        <v>4</v>
      </c>
      <c r="F60" s="15"/>
      <c r="G60" s="18">
        <v>42</v>
      </c>
    </row>
    <row r="61" spans="1:18" ht="19" thickBot="1" x14ac:dyDescent="0.5">
      <c r="B61" s="68"/>
      <c r="C61" s="17" t="s">
        <v>73</v>
      </c>
      <c r="D61" s="7">
        <v>0</v>
      </c>
      <c r="E61" s="22">
        <v>4</v>
      </c>
      <c r="F61" s="15"/>
      <c r="G61" s="23">
        <v>33</v>
      </c>
    </row>
    <row r="62" spans="1:18" ht="15" thickBot="1" x14ac:dyDescent="0.4"/>
    <row r="63" spans="1:18" ht="19" thickBot="1" x14ac:dyDescent="0.5">
      <c r="C63" s="27" t="s">
        <v>76</v>
      </c>
      <c r="D63" s="28" t="s">
        <v>45</v>
      </c>
      <c r="E63" s="28" t="s">
        <v>46</v>
      </c>
      <c r="F63" s="20" t="s">
        <v>62</v>
      </c>
      <c r="G63" s="31" t="s">
        <v>47</v>
      </c>
    </row>
    <row r="64" spans="1:18" ht="18.5" x14ac:dyDescent="0.45">
      <c r="C64" s="54" t="s">
        <v>59</v>
      </c>
      <c r="D64" s="14">
        <v>4</v>
      </c>
      <c r="E64" s="24">
        <v>0</v>
      </c>
      <c r="F64" s="15"/>
      <c r="G64" s="53">
        <v>73</v>
      </c>
    </row>
    <row r="65" spans="3:7" ht="18.5" x14ac:dyDescent="0.45">
      <c r="C65" s="56" t="s">
        <v>55</v>
      </c>
      <c r="D65" s="7">
        <v>3</v>
      </c>
      <c r="E65" s="22">
        <v>1</v>
      </c>
      <c r="F65" s="15"/>
      <c r="G65" s="55">
        <v>46</v>
      </c>
    </row>
    <row r="66" spans="3:7" ht="18.5" x14ac:dyDescent="0.45">
      <c r="C66" s="56" t="s">
        <v>60</v>
      </c>
      <c r="D66" s="7">
        <v>2</v>
      </c>
      <c r="E66" s="22">
        <v>2</v>
      </c>
      <c r="F66" s="15"/>
      <c r="G66" s="55">
        <v>49</v>
      </c>
    </row>
    <row r="67" spans="3:7" ht="19" thickBot="1" x14ac:dyDescent="0.5">
      <c r="C67" s="52" t="s">
        <v>50</v>
      </c>
      <c r="D67" s="51">
        <v>1</v>
      </c>
      <c r="E67" s="50">
        <v>3</v>
      </c>
      <c r="F67" s="49"/>
      <c r="G67" s="48">
        <v>39</v>
      </c>
    </row>
    <row r="68" spans="3:7" ht="18.5" x14ac:dyDescent="0.45">
      <c r="C68" s="54" t="s">
        <v>73</v>
      </c>
      <c r="D68" s="14">
        <v>0</v>
      </c>
      <c r="E68" s="24">
        <v>4</v>
      </c>
      <c r="F68" s="26"/>
      <c r="G68" s="53">
        <v>33</v>
      </c>
    </row>
    <row r="69" spans="3:7" ht="15" thickBot="1" x14ac:dyDescent="0.4"/>
    <row r="70" spans="3:7" ht="19" thickBot="1" x14ac:dyDescent="0.5">
      <c r="C70" s="27" t="s">
        <v>77</v>
      </c>
      <c r="D70" s="28" t="s">
        <v>45</v>
      </c>
      <c r="E70" s="28" t="s">
        <v>46</v>
      </c>
      <c r="F70" s="20" t="s">
        <v>62</v>
      </c>
      <c r="G70" s="31" t="s">
        <v>47</v>
      </c>
    </row>
    <row r="71" spans="3:7" ht="18.5" x14ac:dyDescent="0.45">
      <c r="C71" s="47" t="s">
        <v>58</v>
      </c>
      <c r="D71" s="46">
        <v>4</v>
      </c>
      <c r="E71" s="46">
        <v>0</v>
      </c>
      <c r="F71" s="26"/>
      <c r="G71" s="45">
        <v>62</v>
      </c>
    </row>
    <row r="72" spans="3:7" ht="18.5" x14ac:dyDescent="0.45">
      <c r="C72" s="42" t="s">
        <v>61</v>
      </c>
      <c r="D72" s="15">
        <v>3</v>
      </c>
      <c r="E72" s="15">
        <v>1</v>
      </c>
      <c r="F72" s="15"/>
      <c r="G72" s="41">
        <v>58</v>
      </c>
    </row>
    <row r="73" spans="3:7" ht="18.5" x14ac:dyDescent="0.45">
      <c r="C73" s="44" t="s">
        <v>68</v>
      </c>
      <c r="D73" s="4">
        <v>2</v>
      </c>
      <c r="E73" s="4">
        <v>2</v>
      </c>
      <c r="F73" s="15"/>
      <c r="G73" s="43">
        <v>38</v>
      </c>
    </row>
    <row r="74" spans="3:7" ht="19" thickBot="1" x14ac:dyDescent="0.5">
      <c r="C74" s="40" t="s">
        <v>52</v>
      </c>
      <c r="D74" s="39">
        <v>1</v>
      </c>
      <c r="E74" s="38">
        <v>3</v>
      </c>
      <c r="F74" s="37"/>
      <c r="G74" s="36">
        <v>40</v>
      </c>
    </row>
    <row r="75" spans="3:7" ht="18.5" x14ac:dyDescent="0.45">
      <c r="C75" s="42" t="s">
        <v>98</v>
      </c>
      <c r="D75" s="15">
        <v>0</v>
      </c>
      <c r="E75" s="15">
        <v>4</v>
      </c>
      <c r="F75" s="15"/>
      <c r="G75" s="41">
        <v>42</v>
      </c>
    </row>
  </sheetData>
  <mergeCells count="14">
    <mergeCell ref="B51:B61"/>
    <mergeCell ref="I52:M52"/>
    <mergeCell ref="I53:M53"/>
    <mergeCell ref="I54:M54"/>
    <mergeCell ref="I55:M55"/>
    <mergeCell ref="I56:M56"/>
    <mergeCell ref="I57:M57"/>
    <mergeCell ref="N57:R57"/>
    <mergeCell ref="I51:R51"/>
    <mergeCell ref="N52:R52"/>
    <mergeCell ref="N53:R53"/>
    <mergeCell ref="N54:R54"/>
    <mergeCell ref="N55:R55"/>
    <mergeCell ref="N56:R5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1F250-0601-41B5-8ED8-95771A50B309}">
  <sheetPr codeName="Sheet7"/>
  <dimension ref="A1:R76"/>
  <sheetViews>
    <sheetView workbookViewId="0">
      <pane ySplit="1" topLeftCell="A28" activePane="bottomLeft" state="frozen"/>
      <selection pane="bottomLeft" activeCell="F1" sqref="F1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8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18.8164062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19</v>
      </c>
      <c r="C2" s="4" t="s">
        <v>14</v>
      </c>
      <c r="D2" s="11">
        <f>SUM(1503+1501+1499)</f>
        <v>4503</v>
      </c>
      <c r="E2" s="11">
        <f>SUM(88+78+80)</f>
        <v>246</v>
      </c>
      <c r="F2" s="12">
        <f t="shared" ref="F2:F49" si="0">SUM(D2/E2)</f>
        <v>18.304878048780488</v>
      </c>
      <c r="G2" s="11">
        <v>3</v>
      </c>
      <c r="H2" s="11">
        <v>3</v>
      </c>
      <c r="I2" s="11"/>
      <c r="J2" s="11"/>
      <c r="K2" s="11"/>
      <c r="L2" s="11">
        <v>17.5</v>
      </c>
      <c r="M2" s="13">
        <v>15</v>
      </c>
    </row>
    <row r="3" spans="1:13" ht="18.5" x14ac:dyDescent="0.45">
      <c r="A3" s="3">
        <v>2</v>
      </c>
      <c r="B3" s="4" t="s">
        <v>23</v>
      </c>
      <c r="C3" s="4" t="s">
        <v>14</v>
      </c>
      <c r="D3" s="11">
        <f>SUM(1503+1503+1503+1479+1498)</f>
        <v>7486</v>
      </c>
      <c r="E3" s="11">
        <f>SUM(93+102+87+75+85)</f>
        <v>442</v>
      </c>
      <c r="F3" s="12">
        <f t="shared" si="0"/>
        <v>16.936651583710407</v>
      </c>
      <c r="G3" s="11">
        <v>5</v>
      </c>
      <c r="H3" s="11">
        <v>5</v>
      </c>
      <c r="I3" s="11">
        <v>1</v>
      </c>
      <c r="J3" s="11"/>
      <c r="K3" s="11">
        <v>1</v>
      </c>
      <c r="L3" s="11">
        <v>24</v>
      </c>
      <c r="M3" s="13">
        <v>5</v>
      </c>
    </row>
    <row r="4" spans="1:13" ht="18.5" x14ac:dyDescent="0.45">
      <c r="A4" s="3">
        <v>3</v>
      </c>
      <c r="B4" s="4" t="s">
        <v>11</v>
      </c>
      <c r="C4" s="4" t="s">
        <v>12</v>
      </c>
      <c r="D4" s="11">
        <f>SUM(1434+1499+1503+1463+1490)</f>
        <v>7389</v>
      </c>
      <c r="E4" s="11">
        <f>SUM(78+102+87+91+93)</f>
        <v>451</v>
      </c>
      <c r="F4" s="12">
        <f t="shared" si="0"/>
        <v>16.383592017738358</v>
      </c>
      <c r="G4" s="11">
        <v>5</v>
      </c>
      <c r="H4" s="11">
        <v>4</v>
      </c>
      <c r="I4" s="11">
        <v>1</v>
      </c>
      <c r="J4" s="11"/>
      <c r="K4" s="11"/>
      <c r="L4" s="11">
        <v>18.5</v>
      </c>
      <c r="M4" s="13">
        <v>10</v>
      </c>
    </row>
    <row r="5" spans="1:13" ht="18.5" x14ac:dyDescent="0.45">
      <c r="A5" s="3">
        <v>4</v>
      </c>
      <c r="B5" s="4" t="s">
        <v>15</v>
      </c>
      <c r="C5" s="4" t="s">
        <v>16</v>
      </c>
      <c r="D5" s="11">
        <f>SUM(1439+1494+1469+1433+1433)</f>
        <v>7268</v>
      </c>
      <c r="E5" s="11">
        <f>SUM(83+92+88+91+92)</f>
        <v>446</v>
      </c>
      <c r="F5" s="12">
        <f t="shared" si="0"/>
        <v>16.295964125560538</v>
      </c>
      <c r="G5" s="11">
        <v>5</v>
      </c>
      <c r="H5" s="11">
        <v>2</v>
      </c>
      <c r="I5" s="11"/>
      <c r="J5" s="11"/>
      <c r="K5" s="11"/>
      <c r="L5" s="11">
        <v>13.5</v>
      </c>
      <c r="M5" s="13"/>
    </row>
    <row r="6" spans="1:13" ht="18.5" x14ac:dyDescent="0.45">
      <c r="A6" s="3">
        <v>5</v>
      </c>
      <c r="B6" s="4" t="s">
        <v>13</v>
      </c>
      <c r="C6" s="4" t="s">
        <v>14</v>
      </c>
      <c r="D6" s="11">
        <f>SUM(1503+1493+1483+1503+1347)</f>
        <v>7329</v>
      </c>
      <c r="E6" s="11">
        <f>SUM(87+94+89+105+89)</f>
        <v>464</v>
      </c>
      <c r="F6" s="12">
        <f t="shared" si="0"/>
        <v>15.795258620689655</v>
      </c>
      <c r="G6" s="11">
        <v>5</v>
      </c>
      <c r="H6" s="11">
        <v>5</v>
      </c>
      <c r="I6" s="11"/>
      <c r="J6" s="11"/>
      <c r="K6" s="11"/>
      <c r="L6" s="11">
        <v>23.5</v>
      </c>
      <c r="M6" s="13"/>
    </row>
    <row r="7" spans="1:13" ht="18.5" x14ac:dyDescent="0.45">
      <c r="A7" s="3">
        <v>6</v>
      </c>
      <c r="B7" s="15" t="s">
        <v>31</v>
      </c>
      <c r="C7" s="4" t="s">
        <v>32</v>
      </c>
      <c r="D7" s="11">
        <f>SUM(1463+1440+1348+1483+1155)</f>
        <v>6889</v>
      </c>
      <c r="E7" s="11">
        <f>SUM(87+90+90+101+80)</f>
        <v>448</v>
      </c>
      <c r="F7" s="12">
        <f t="shared" si="0"/>
        <v>15.377232142857142</v>
      </c>
      <c r="G7" s="11">
        <v>5</v>
      </c>
      <c r="H7" s="11">
        <v>3</v>
      </c>
      <c r="I7" s="11"/>
      <c r="J7" s="11"/>
      <c r="K7" s="11"/>
      <c r="L7" s="11">
        <v>15</v>
      </c>
      <c r="M7" s="13">
        <v>20</v>
      </c>
    </row>
    <row r="8" spans="1:13" ht="18.5" x14ac:dyDescent="0.45">
      <c r="A8" s="3">
        <v>7</v>
      </c>
      <c r="B8" s="4" t="s">
        <v>41</v>
      </c>
      <c r="C8" s="4" t="s">
        <v>16</v>
      </c>
      <c r="D8" s="11">
        <f>SUM(1305+1155+1497+1433+1488)</f>
        <v>6878</v>
      </c>
      <c r="E8" s="11">
        <f>SUM(82+73+109+98+104)</f>
        <v>466</v>
      </c>
      <c r="F8" s="12">
        <f t="shared" si="0"/>
        <v>14.759656652360515</v>
      </c>
      <c r="G8" s="11">
        <v>5</v>
      </c>
      <c r="H8" s="11">
        <v>3</v>
      </c>
      <c r="I8" s="11"/>
      <c r="J8" s="11"/>
      <c r="K8" s="11"/>
      <c r="L8" s="11">
        <v>17.5</v>
      </c>
      <c r="M8" s="13"/>
    </row>
    <row r="9" spans="1:13" ht="18.5" x14ac:dyDescent="0.45">
      <c r="A9" s="3">
        <v>8</v>
      </c>
      <c r="B9" s="4" t="s">
        <v>115</v>
      </c>
      <c r="C9" s="4" t="s">
        <v>103</v>
      </c>
      <c r="D9" s="11">
        <f>SUM(1503+1473+1444)</f>
        <v>4420</v>
      </c>
      <c r="E9" s="11">
        <f>SUM(115+100+87)</f>
        <v>302</v>
      </c>
      <c r="F9" s="12">
        <f t="shared" si="0"/>
        <v>14.635761589403973</v>
      </c>
      <c r="G9" s="11">
        <v>3</v>
      </c>
      <c r="H9" s="11">
        <v>2</v>
      </c>
      <c r="I9" s="11"/>
      <c r="J9" s="11"/>
      <c r="K9" s="11"/>
      <c r="L9" s="11">
        <v>8.5</v>
      </c>
      <c r="M9" s="13"/>
    </row>
    <row r="10" spans="1:13" ht="18.5" x14ac:dyDescent="0.45">
      <c r="A10" s="3">
        <v>9</v>
      </c>
      <c r="B10" s="4" t="s">
        <v>25</v>
      </c>
      <c r="C10" s="4" t="s">
        <v>12</v>
      </c>
      <c r="D10" s="11">
        <f>SUM(1124+1503+1455+1463+1431)</f>
        <v>6976</v>
      </c>
      <c r="E10" s="11">
        <f>SUM(81+82+115+97+102)</f>
        <v>477</v>
      </c>
      <c r="F10" s="12">
        <f t="shared" si="0"/>
        <v>14.624737945492662</v>
      </c>
      <c r="G10" s="11">
        <v>5</v>
      </c>
      <c r="H10" s="11">
        <v>2</v>
      </c>
      <c r="I10" s="11"/>
      <c r="J10" s="11">
        <v>1</v>
      </c>
      <c r="K10" s="11"/>
      <c r="L10" s="11">
        <v>13.5</v>
      </c>
      <c r="M10" s="13">
        <v>5</v>
      </c>
    </row>
    <row r="11" spans="1:13" ht="18.5" x14ac:dyDescent="0.45">
      <c r="A11" s="3">
        <v>10</v>
      </c>
      <c r="B11" s="4" t="s">
        <v>26</v>
      </c>
      <c r="C11" s="4" t="s">
        <v>18</v>
      </c>
      <c r="D11" s="11">
        <f>SUM(1501+1503+1503+1491)</f>
        <v>5998</v>
      </c>
      <c r="E11" s="11">
        <f>SUM(125+90+100+97)</f>
        <v>412</v>
      </c>
      <c r="F11" s="12">
        <f t="shared" si="0"/>
        <v>14.558252427184467</v>
      </c>
      <c r="G11" s="11">
        <v>4</v>
      </c>
      <c r="H11" s="11">
        <v>3</v>
      </c>
      <c r="I11" s="11"/>
      <c r="J11" s="11"/>
      <c r="K11" s="11">
        <v>1</v>
      </c>
      <c r="L11" s="11">
        <v>17</v>
      </c>
      <c r="M11" s="13">
        <v>5</v>
      </c>
    </row>
    <row r="12" spans="1:13" ht="18.5" x14ac:dyDescent="0.45">
      <c r="A12" s="3">
        <v>11</v>
      </c>
      <c r="B12" s="3" t="s">
        <v>21</v>
      </c>
      <c r="C12" s="4" t="s">
        <v>22</v>
      </c>
      <c r="D12" s="11">
        <f>SUM(1399+1503+1274+1463+1443)</f>
        <v>7082</v>
      </c>
      <c r="E12" s="11">
        <f>SUM(82+109+87+114+103)</f>
        <v>495</v>
      </c>
      <c r="F12" s="12">
        <f t="shared" si="0"/>
        <v>14.307070707070707</v>
      </c>
      <c r="G12" s="11">
        <v>5</v>
      </c>
      <c r="H12" s="11">
        <v>2</v>
      </c>
      <c r="I12" s="11"/>
      <c r="J12" s="11"/>
      <c r="K12" s="11"/>
      <c r="L12" s="11">
        <v>16</v>
      </c>
      <c r="M12" s="13"/>
    </row>
    <row r="13" spans="1:13" ht="18.5" x14ac:dyDescent="0.45">
      <c r="A13" s="3">
        <v>12</v>
      </c>
      <c r="B13" s="3" t="s">
        <v>17</v>
      </c>
      <c r="C13" s="4" t="s">
        <v>18</v>
      </c>
      <c r="D13" s="11">
        <f>SUM(1503+1238+1475+1503+1447)</f>
        <v>7166</v>
      </c>
      <c r="E13" s="11">
        <f>SUM(101+96+104+93+109)</f>
        <v>503</v>
      </c>
      <c r="F13" s="12">
        <f t="shared" si="0"/>
        <v>14.246520874751491</v>
      </c>
      <c r="G13" s="11">
        <v>5</v>
      </c>
      <c r="H13" s="11">
        <v>2</v>
      </c>
      <c r="I13" s="11"/>
      <c r="J13" s="11"/>
      <c r="K13" s="11"/>
      <c r="L13" s="11">
        <v>16.5</v>
      </c>
      <c r="M13" s="13"/>
    </row>
    <row r="14" spans="1:13" ht="18.5" x14ac:dyDescent="0.45">
      <c r="A14" s="3">
        <v>13</v>
      </c>
      <c r="B14" s="3" t="s">
        <v>33</v>
      </c>
      <c r="C14" s="4" t="s">
        <v>22</v>
      </c>
      <c r="D14" s="11">
        <f>SUM(1385+1499+1356+1205+1499)</f>
        <v>6944</v>
      </c>
      <c r="E14" s="11">
        <f>SUM(79+109+82+81+141)</f>
        <v>492</v>
      </c>
      <c r="F14" s="12">
        <f t="shared" si="0"/>
        <v>14.113821138211382</v>
      </c>
      <c r="G14" s="11">
        <v>5</v>
      </c>
      <c r="H14" s="11">
        <v>3</v>
      </c>
      <c r="I14" s="11"/>
      <c r="J14" s="11"/>
      <c r="K14" s="11"/>
      <c r="L14" s="11">
        <v>17.5</v>
      </c>
      <c r="M14" s="13"/>
    </row>
    <row r="15" spans="1:13" ht="18.5" x14ac:dyDescent="0.45">
      <c r="A15" s="3">
        <v>14</v>
      </c>
      <c r="B15" s="15" t="s">
        <v>85</v>
      </c>
      <c r="C15" s="7" t="s">
        <v>103</v>
      </c>
      <c r="D15" s="11">
        <f>SUM(1503+1503+1471+1501+1469)</f>
        <v>7447</v>
      </c>
      <c r="E15" s="11">
        <f>SUM(97+85+93+158+100)</f>
        <v>533</v>
      </c>
      <c r="F15" s="12">
        <f t="shared" si="0"/>
        <v>13.971857410881801</v>
      </c>
      <c r="G15" s="11">
        <v>5</v>
      </c>
      <c r="H15" s="11">
        <v>4</v>
      </c>
      <c r="I15" s="11">
        <v>1</v>
      </c>
      <c r="J15" s="11"/>
      <c r="K15" s="11"/>
      <c r="L15" s="11">
        <v>19.5</v>
      </c>
      <c r="M15" s="13"/>
    </row>
    <row r="16" spans="1:13" ht="18.5" x14ac:dyDescent="0.45">
      <c r="A16" s="3">
        <v>15</v>
      </c>
      <c r="B16" s="15" t="s">
        <v>64</v>
      </c>
      <c r="C16" s="4" t="s">
        <v>27</v>
      </c>
      <c r="D16" s="11">
        <f>SUM(1501+1463+1503+1285)</f>
        <v>5752</v>
      </c>
      <c r="E16" s="11">
        <f>SUM(113+99+115+86)</f>
        <v>413</v>
      </c>
      <c r="F16" s="12">
        <f t="shared" si="0"/>
        <v>13.927360774818402</v>
      </c>
      <c r="G16" s="11">
        <v>4</v>
      </c>
      <c r="H16" s="11">
        <v>2</v>
      </c>
      <c r="I16" s="11"/>
      <c r="J16" s="11"/>
      <c r="K16" s="11"/>
      <c r="L16" s="11">
        <v>13</v>
      </c>
      <c r="M16" s="13">
        <v>5</v>
      </c>
    </row>
    <row r="17" spans="1:13" ht="18.5" x14ac:dyDescent="0.45">
      <c r="A17" s="3">
        <v>16</v>
      </c>
      <c r="B17" s="15" t="s">
        <v>81</v>
      </c>
      <c r="C17" s="4" t="s">
        <v>89</v>
      </c>
      <c r="D17" s="11">
        <f>SUM(1431+1330+1465+1356+1495)</f>
        <v>7077</v>
      </c>
      <c r="E17" s="11">
        <f>SUM(111+103+105+76+116)</f>
        <v>511</v>
      </c>
      <c r="F17" s="12">
        <f t="shared" si="0"/>
        <v>13.849315068493151</v>
      </c>
      <c r="G17" s="11">
        <v>5</v>
      </c>
      <c r="H17" s="11">
        <v>3</v>
      </c>
      <c r="I17" s="11"/>
      <c r="J17" s="11"/>
      <c r="K17" s="11"/>
      <c r="L17" s="11">
        <v>14</v>
      </c>
      <c r="M17" s="13"/>
    </row>
    <row r="18" spans="1:13" ht="18.5" x14ac:dyDescent="0.45">
      <c r="A18" s="3">
        <v>17</v>
      </c>
      <c r="B18" s="15" t="s">
        <v>30</v>
      </c>
      <c r="C18" s="4" t="s">
        <v>22</v>
      </c>
      <c r="D18" s="11">
        <f>SUM(1503+1285+1503+1425+1495)</f>
        <v>7211</v>
      </c>
      <c r="E18" s="11">
        <f>SUM(109+111+88+114+109)</f>
        <v>531</v>
      </c>
      <c r="F18" s="12">
        <f t="shared" si="0"/>
        <v>13.580037664783427</v>
      </c>
      <c r="G18" s="11">
        <v>5</v>
      </c>
      <c r="H18" s="11">
        <v>3</v>
      </c>
      <c r="I18" s="11"/>
      <c r="J18" s="11"/>
      <c r="K18" s="11"/>
      <c r="L18" s="11">
        <v>15</v>
      </c>
      <c r="M18" s="13">
        <v>5</v>
      </c>
    </row>
    <row r="19" spans="1:13" ht="18.5" x14ac:dyDescent="0.45">
      <c r="A19" s="3">
        <v>18</v>
      </c>
      <c r="B19" s="15" t="s">
        <v>65</v>
      </c>
      <c r="C19" s="4" t="s">
        <v>27</v>
      </c>
      <c r="D19" s="11">
        <f>SUM(1423+1499+1489+1368+1469)</f>
        <v>7248</v>
      </c>
      <c r="E19" s="11">
        <f>SUM(103+114+104+113+102)</f>
        <v>536</v>
      </c>
      <c r="F19" s="12">
        <f t="shared" si="0"/>
        <v>13.522388059701493</v>
      </c>
      <c r="G19" s="11">
        <v>5</v>
      </c>
      <c r="H19" s="11">
        <v>5</v>
      </c>
      <c r="I19" s="11"/>
      <c r="J19" s="11"/>
      <c r="K19" s="11">
        <v>1</v>
      </c>
      <c r="L19" s="11">
        <v>18</v>
      </c>
      <c r="M19" s="13"/>
    </row>
    <row r="20" spans="1:13" ht="18.5" x14ac:dyDescent="0.45">
      <c r="A20" s="3">
        <v>19</v>
      </c>
      <c r="B20" s="4" t="s">
        <v>106</v>
      </c>
      <c r="C20" s="4" t="s">
        <v>12</v>
      </c>
      <c r="D20" s="11">
        <f>SUM(1503+1484+1456+1503)</f>
        <v>5946</v>
      </c>
      <c r="E20" s="11">
        <f>SUM(116+103+94+129)</f>
        <v>442</v>
      </c>
      <c r="F20" s="12">
        <f t="shared" si="0"/>
        <v>13.452488687782806</v>
      </c>
      <c r="G20" s="11">
        <v>4</v>
      </c>
      <c r="H20" s="11">
        <v>3</v>
      </c>
      <c r="I20" s="11"/>
      <c r="J20" s="11"/>
      <c r="K20" s="11"/>
      <c r="L20" s="11">
        <v>15</v>
      </c>
      <c r="M20" s="13"/>
    </row>
    <row r="21" spans="1:13" ht="18.5" x14ac:dyDescent="0.45">
      <c r="A21" s="3">
        <v>20</v>
      </c>
      <c r="B21" s="4" t="s">
        <v>28</v>
      </c>
      <c r="C21" s="4" t="s">
        <v>12</v>
      </c>
      <c r="D21" s="11">
        <f>SUM(1228+1398+1503+1422+1503)</f>
        <v>7054</v>
      </c>
      <c r="E21" s="11">
        <f>SUM(90+96+119+100+121)</f>
        <v>526</v>
      </c>
      <c r="F21" s="12">
        <f t="shared" si="0"/>
        <v>13.410646387832699</v>
      </c>
      <c r="G21" s="11">
        <v>5</v>
      </c>
      <c r="H21" s="11">
        <v>2</v>
      </c>
      <c r="I21" s="11"/>
      <c r="J21" s="11"/>
      <c r="K21" s="11"/>
      <c r="L21" s="11">
        <v>16.5</v>
      </c>
      <c r="M21" s="13"/>
    </row>
    <row r="22" spans="1:13" ht="18.5" x14ac:dyDescent="0.45">
      <c r="A22" s="3">
        <v>21</v>
      </c>
      <c r="B22" s="4" t="s">
        <v>40</v>
      </c>
      <c r="C22" s="4" t="s">
        <v>32</v>
      </c>
      <c r="D22" s="11">
        <f>SUM(1263+1432+1503+1311+1403)</f>
        <v>6912</v>
      </c>
      <c r="E22" s="11">
        <f>SUM(96+111+111+126+84)</f>
        <v>528</v>
      </c>
      <c r="F22" s="12">
        <f t="shared" si="0"/>
        <v>13.090909090909092</v>
      </c>
      <c r="G22" s="11">
        <v>5</v>
      </c>
      <c r="H22" s="11">
        <v>2</v>
      </c>
      <c r="I22" s="11"/>
      <c r="J22" s="11"/>
      <c r="K22" s="11"/>
      <c r="L22" s="11">
        <v>13</v>
      </c>
      <c r="M22" s="13"/>
    </row>
    <row r="23" spans="1:13" ht="18.5" x14ac:dyDescent="0.45">
      <c r="A23" s="3">
        <v>22</v>
      </c>
      <c r="B23" s="15" t="s">
        <v>71</v>
      </c>
      <c r="C23" s="4" t="s">
        <v>16</v>
      </c>
      <c r="D23" s="11">
        <f>SUM(1373+1159+1501+1471)</f>
        <v>5504</v>
      </c>
      <c r="E23" s="11">
        <f>SUM(111+99+117+102)</f>
        <v>429</v>
      </c>
      <c r="F23" s="12">
        <f t="shared" si="0"/>
        <v>12.829836829836831</v>
      </c>
      <c r="G23" s="11">
        <v>4</v>
      </c>
      <c r="H23" s="11">
        <v>2</v>
      </c>
      <c r="I23" s="11"/>
      <c r="J23" s="11"/>
      <c r="K23" s="11"/>
      <c r="L23" s="11">
        <v>7.5</v>
      </c>
      <c r="M23" s="13"/>
    </row>
    <row r="24" spans="1:13" ht="18.5" x14ac:dyDescent="0.45">
      <c r="A24" s="3">
        <v>23</v>
      </c>
      <c r="B24" s="15" t="s">
        <v>82</v>
      </c>
      <c r="C24" s="7" t="s">
        <v>89</v>
      </c>
      <c r="D24" s="11">
        <f>SUM(1451+1138+1313+1427+1430)</f>
        <v>6759</v>
      </c>
      <c r="E24" s="11">
        <f>SUM(115+81+108+114+112)</f>
        <v>530</v>
      </c>
      <c r="F24" s="12">
        <f t="shared" si="0"/>
        <v>12.752830188679246</v>
      </c>
      <c r="G24" s="11">
        <v>5</v>
      </c>
      <c r="H24" s="11">
        <v>3</v>
      </c>
      <c r="I24" s="11"/>
      <c r="J24" s="11"/>
      <c r="K24" s="11"/>
      <c r="L24" s="11">
        <v>13</v>
      </c>
      <c r="M24" s="13"/>
    </row>
    <row r="25" spans="1:13" ht="18.5" x14ac:dyDescent="0.45">
      <c r="A25" s="3">
        <v>24</v>
      </c>
      <c r="B25" s="4" t="s">
        <v>24</v>
      </c>
      <c r="C25" s="4" t="s">
        <v>22</v>
      </c>
      <c r="D25" s="11">
        <f>SUM(1465+1469+1456+1497+1481)</f>
        <v>7368</v>
      </c>
      <c r="E25" s="11">
        <f>SUM(109+117+124+101+127)</f>
        <v>578</v>
      </c>
      <c r="F25" s="12">
        <f t="shared" si="0"/>
        <v>12.747404844290658</v>
      </c>
      <c r="G25" s="11">
        <v>5</v>
      </c>
      <c r="H25" s="11">
        <v>1</v>
      </c>
      <c r="I25" s="11"/>
      <c r="J25" s="11"/>
      <c r="K25" s="11"/>
      <c r="L25" s="11">
        <v>14.5</v>
      </c>
      <c r="M25" s="13"/>
    </row>
    <row r="26" spans="1:13" ht="18.5" x14ac:dyDescent="0.45">
      <c r="A26" s="3">
        <v>25</v>
      </c>
      <c r="B26" s="9" t="s">
        <v>69</v>
      </c>
      <c r="C26" s="4" t="s">
        <v>14</v>
      </c>
      <c r="D26" s="11">
        <f>SUM(1497+1503+1455+1503+1487)</f>
        <v>7445</v>
      </c>
      <c r="E26" s="11">
        <f>SUM(119+89+126+118+133)</f>
        <v>585</v>
      </c>
      <c r="F26" s="12">
        <f t="shared" si="0"/>
        <v>12.726495726495726</v>
      </c>
      <c r="G26" s="11">
        <v>5</v>
      </c>
      <c r="H26" s="11">
        <v>4</v>
      </c>
      <c r="I26" s="11"/>
      <c r="J26" s="11"/>
      <c r="K26" s="11"/>
      <c r="L26" s="11">
        <v>22</v>
      </c>
      <c r="M26" s="13"/>
    </row>
    <row r="27" spans="1:13" ht="18.5" x14ac:dyDescent="0.45">
      <c r="A27" s="3">
        <v>26</v>
      </c>
      <c r="B27" s="7" t="s">
        <v>107</v>
      </c>
      <c r="C27" s="4" t="s">
        <v>14</v>
      </c>
      <c r="D27" s="11">
        <f>SUM(1081+1364)</f>
        <v>2445</v>
      </c>
      <c r="E27" s="11">
        <f>SUM(81+113)</f>
        <v>194</v>
      </c>
      <c r="F27" s="12">
        <f t="shared" si="0"/>
        <v>12.603092783505154</v>
      </c>
      <c r="G27" s="11">
        <v>2</v>
      </c>
      <c r="H27" s="11"/>
      <c r="I27" s="11"/>
      <c r="J27" s="11"/>
      <c r="K27" s="11"/>
      <c r="L27" s="11">
        <v>2</v>
      </c>
      <c r="M27" s="13"/>
    </row>
    <row r="28" spans="1:13" ht="18.5" x14ac:dyDescent="0.45">
      <c r="A28" s="3">
        <v>27</v>
      </c>
      <c r="B28" s="7" t="s">
        <v>20</v>
      </c>
      <c r="C28" s="4" t="s">
        <v>16</v>
      </c>
      <c r="D28" s="11">
        <f>SUM(1316+1259+1404+1356+1498)</f>
        <v>6833</v>
      </c>
      <c r="E28" s="11">
        <f>SUM(107+90+101+97+152)</f>
        <v>547</v>
      </c>
      <c r="F28" s="12">
        <f t="shared" si="0"/>
        <v>12.491773308957953</v>
      </c>
      <c r="G28" s="11">
        <v>5</v>
      </c>
      <c r="H28" s="11">
        <v>1</v>
      </c>
      <c r="I28" s="11"/>
      <c r="J28" s="11"/>
      <c r="K28" s="11"/>
      <c r="L28" s="11">
        <v>13</v>
      </c>
      <c r="M28" s="13"/>
    </row>
    <row r="29" spans="1:13" ht="18.5" x14ac:dyDescent="0.45">
      <c r="A29" s="3">
        <v>28</v>
      </c>
      <c r="B29" s="7" t="s">
        <v>79</v>
      </c>
      <c r="C29" s="4" t="s">
        <v>89</v>
      </c>
      <c r="D29" s="11">
        <f>SUM(1393+1406+1309+1237+1494)</f>
        <v>6839</v>
      </c>
      <c r="E29" s="11">
        <f>SUM(111+98+89+99+156)</f>
        <v>553</v>
      </c>
      <c r="F29" s="12">
        <f t="shared" si="0"/>
        <v>12.367088607594937</v>
      </c>
      <c r="G29" s="11">
        <v>5</v>
      </c>
      <c r="H29" s="11">
        <v>2</v>
      </c>
      <c r="I29" s="11"/>
      <c r="J29" s="11"/>
      <c r="K29" s="11"/>
      <c r="L29" s="11">
        <v>11.5</v>
      </c>
      <c r="M29" s="13">
        <v>5</v>
      </c>
    </row>
    <row r="30" spans="1:13" ht="18.5" x14ac:dyDescent="0.45">
      <c r="A30" s="3">
        <v>48</v>
      </c>
      <c r="B30" s="7" t="s">
        <v>29</v>
      </c>
      <c r="C30" s="4" t="s">
        <v>66</v>
      </c>
      <c r="D30" s="11">
        <f>SUM(1467+1499+1403+1499+1276)</f>
        <v>7144</v>
      </c>
      <c r="E30" s="11">
        <f>SUM(129+121+106+120+102)</f>
        <v>578</v>
      </c>
      <c r="F30" s="12">
        <f t="shared" si="0"/>
        <v>12.359861591695502</v>
      </c>
      <c r="G30" s="11">
        <v>5</v>
      </c>
      <c r="H30" s="11">
        <v>3</v>
      </c>
      <c r="I30" s="11"/>
      <c r="J30" s="11"/>
      <c r="K30" s="11"/>
      <c r="L30" s="11">
        <v>13</v>
      </c>
      <c r="M30" s="13">
        <v>5</v>
      </c>
    </row>
    <row r="31" spans="1:13" ht="18.5" x14ac:dyDescent="0.45">
      <c r="A31" s="3">
        <v>29</v>
      </c>
      <c r="B31" s="7" t="s">
        <v>84</v>
      </c>
      <c r="C31" s="4" t="s">
        <v>103</v>
      </c>
      <c r="D31" s="11">
        <f>SUM(1385+1489+1228+1410)</f>
        <v>5512</v>
      </c>
      <c r="E31" s="11">
        <f>SUM(107+126+87+126)</f>
        <v>446</v>
      </c>
      <c r="F31" s="12">
        <f t="shared" si="0"/>
        <v>12.358744394618833</v>
      </c>
      <c r="G31" s="11">
        <v>4</v>
      </c>
      <c r="H31" s="11"/>
      <c r="I31" s="11"/>
      <c r="J31" s="11"/>
      <c r="K31" s="11"/>
      <c r="L31" s="11">
        <v>4.5</v>
      </c>
      <c r="M31" s="13"/>
    </row>
    <row r="32" spans="1:13" ht="18.5" x14ac:dyDescent="0.45">
      <c r="A32" s="3">
        <v>30</v>
      </c>
      <c r="B32" s="34" t="s">
        <v>63</v>
      </c>
      <c r="C32" s="8" t="s">
        <v>27</v>
      </c>
      <c r="D32" s="11">
        <f>SUM(1424+1501+1501+1473+1429)</f>
        <v>7328</v>
      </c>
      <c r="E32" s="11">
        <f>SUM(90+147+123+91+148)</f>
        <v>599</v>
      </c>
      <c r="F32" s="12">
        <f t="shared" si="0"/>
        <v>12.233722871452422</v>
      </c>
      <c r="G32" s="11">
        <v>5</v>
      </c>
      <c r="H32" s="11">
        <v>4</v>
      </c>
      <c r="I32" s="11"/>
      <c r="J32" s="11"/>
      <c r="K32" s="11"/>
      <c r="L32" s="11">
        <v>19</v>
      </c>
      <c r="M32" s="13"/>
    </row>
    <row r="33" spans="1:13" ht="18.5" x14ac:dyDescent="0.45">
      <c r="A33" s="3">
        <v>31</v>
      </c>
      <c r="B33" s="9" t="s">
        <v>34</v>
      </c>
      <c r="C33" s="7" t="s">
        <v>27</v>
      </c>
      <c r="D33" s="11">
        <f>SUM(1315+1435+1406+1490+1393)</f>
        <v>7039</v>
      </c>
      <c r="E33" s="11">
        <f>SUM(90+109+99+157+128)</f>
        <v>583</v>
      </c>
      <c r="F33" s="12">
        <f t="shared" si="0"/>
        <v>12.073756432246999</v>
      </c>
      <c r="G33" s="11">
        <v>5</v>
      </c>
      <c r="H33" s="11">
        <v>4</v>
      </c>
      <c r="I33" s="11"/>
      <c r="J33" s="11"/>
      <c r="K33" s="11"/>
      <c r="L33" s="11">
        <v>15</v>
      </c>
      <c r="M33" s="13"/>
    </row>
    <row r="34" spans="1:13" ht="18.5" x14ac:dyDescent="0.45">
      <c r="A34" s="3">
        <v>32</v>
      </c>
      <c r="B34" s="16" t="s">
        <v>105</v>
      </c>
      <c r="C34" s="7" t="s">
        <v>89</v>
      </c>
      <c r="D34" s="11">
        <f>SUM(1344+1443+1351+1475)</f>
        <v>5613</v>
      </c>
      <c r="E34" s="11">
        <f>SUM(108+114+117+134)</f>
        <v>473</v>
      </c>
      <c r="F34" s="12">
        <f t="shared" si="0"/>
        <v>11.866807610993657</v>
      </c>
      <c r="G34" s="11">
        <v>4</v>
      </c>
      <c r="H34" s="11"/>
      <c r="I34" s="11"/>
      <c r="J34" s="11"/>
      <c r="K34" s="11"/>
      <c r="L34" s="11">
        <v>6.5</v>
      </c>
      <c r="M34" s="13"/>
    </row>
    <row r="35" spans="1:13" ht="18.5" x14ac:dyDescent="0.45">
      <c r="A35" s="3">
        <v>33</v>
      </c>
      <c r="B35" s="15" t="s">
        <v>72</v>
      </c>
      <c r="C35" s="4" t="s">
        <v>12</v>
      </c>
      <c r="D35" s="11">
        <f>SUM(1409)</f>
        <v>1409</v>
      </c>
      <c r="E35" s="11">
        <f>SUM(119)</f>
        <v>119</v>
      </c>
      <c r="F35" s="12">
        <f t="shared" si="0"/>
        <v>11.840336134453782</v>
      </c>
      <c r="G35" s="11">
        <v>1</v>
      </c>
      <c r="H35" s="11"/>
      <c r="I35" s="11"/>
      <c r="J35" s="11"/>
      <c r="K35" s="11"/>
      <c r="L35" s="11">
        <v>1.5</v>
      </c>
      <c r="M35" s="13"/>
    </row>
    <row r="36" spans="1:13" ht="18.5" x14ac:dyDescent="0.45">
      <c r="A36" s="3">
        <v>34</v>
      </c>
      <c r="B36" s="10" t="s">
        <v>39</v>
      </c>
      <c r="C36" s="4" t="s">
        <v>32</v>
      </c>
      <c r="D36" s="11">
        <f>SUM(1397+971+1477+1493+1123)</f>
        <v>6461</v>
      </c>
      <c r="E36" s="11">
        <f>SUM(109+84+128+136+89)</f>
        <v>546</v>
      </c>
      <c r="F36" s="12">
        <f t="shared" si="0"/>
        <v>11.833333333333334</v>
      </c>
      <c r="G36" s="11">
        <v>5</v>
      </c>
      <c r="H36" s="11"/>
      <c r="I36" s="11"/>
      <c r="J36" s="11"/>
      <c r="K36" s="11"/>
      <c r="L36" s="11">
        <v>10</v>
      </c>
      <c r="M36" s="13"/>
    </row>
    <row r="37" spans="1:13" ht="18.5" x14ac:dyDescent="0.45">
      <c r="A37" s="3">
        <v>35</v>
      </c>
      <c r="B37" s="16" t="s">
        <v>78</v>
      </c>
      <c r="C37" s="7" t="s">
        <v>18</v>
      </c>
      <c r="D37" s="11">
        <f>SUM(1503+1488+1478)</f>
        <v>4469</v>
      </c>
      <c r="E37" s="11">
        <f>SUM(102+160+117)</f>
        <v>379</v>
      </c>
      <c r="F37" s="12">
        <f t="shared" si="0"/>
        <v>11.791556728232189</v>
      </c>
      <c r="G37" s="11">
        <v>3</v>
      </c>
      <c r="H37" s="11">
        <v>1</v>
      </c>
      <c r="I37" s="11"/>
      <c r="J37" s="11"/>
      <c r="K37" s="11"/>
      <c r="L37" s="11">
        <v>7</v>
      </c>
      <c r="M37" s="13"/>
    </row>
    <row r="38" spans="1:13" ht="18.5" x14ac:dyDescent="0.45">
      <c r="A38" s="3">
        <v>36</v>
      </c>
      <c r="B38" s="10" t="s">
        <v>113</v>
      </c>
      <c r="C38" s="7" t="s">
        <v>16</v>
      </c>
      <c r="D38" s="11">
        <f>SUM(1499)</f>
        <v>1499</v>
      </c>
      <c r="E38" s="11">
        <f>SUM(128)</f>
        <v>128</v>
      </c>
      <c r="F38" s="12">
        <f t="shared" si="0"/>
        <v>11.7109375</v>
      </c>
      <c r="G38" s="11">
        <v>1</v>
      </c>
      <c r="H38" s="11"/>
      <c r="I38" s="11"/>
      <c r="J38" s="11"/>
      <c r="K38" s="11"/>
      <c r="L38" s="11">
        <v>3.5</v>
      </c>
      <c r="M38" s="13"/>
    </row>
    <row r="39" spans="1:13" ht="18.5" x14ac:dyDescent="0.45">
      <c r="A39" s="3">
        <v>37</v>
      </c>
      <c r="B39" s="16" t="s">
        <v>37</v>
      </c>
      <c r="C39" s="7" t="s">
        <v>66</v>
      </c>
      <c r="D39" s="11">
        <f>SUM(1218+1106+1372+1315+1297)</f>
        <v>6308</v>
      </c>
      <c r="E39" s="11">
        <f>SUM(96+84+120+102+141)</f>
        <v>543</v>
      </c>
      <c r="F39" s="12">
        <f t="shared" si="0"/>
        <v>11.616942909760589</v>
      </c>
      <c r="G39" s="11">
        <v>5</v>
      </c>
      <c r="H39" s="11"/>
      <c r="I39" s="11"/>
      <c r="J39" s="11"/>
      <c r="K39" s="11"/>
      <c r="L39" s="11">
        <v>7</v>
      </c>
      <c r="M39" s="13"/>
    </row>
    <row r="40" spans="1:13" ht="18.5" x14ac:dyDescent="0.45">
      <c r="A40" s="3">
        <v>38</v>
      </c>
      <c r="B40" s="16" t="s">
        <v>80</v>
      </c>
      <c r="C40" s="7" t="s">
        <v>89</v>
      </c>
      <c r="D40" s="11">
        <f>SUM(1219)</f>
        <v>1219</v>
      </c>
      <c r="E40" s="11">
        <f>SUM(108)</f>
        <v>108</v>
      </c>
      <c r="F40" s="12">
        <f t="shared" si="0"/>
        <v>11.287037037037036</v>
      </c>
      <c r="G40" s="11">
        <v>1</v>
      </c>
      <c r="H40" s="11"/>
      <c r="I40" s="11"/>
      <c r="J40" s="11"/>
      <c r="K40" s="11"/>
      <c r="L40" s="11">
        <v>1</v>
      </c>
      <c r="M40" s="13">
        <v>5</v>
      </c>
    </row>
    <row r="41" spans="1:13" ht="18.5" x14ac:dyDescent="0.45">
      <c r="A41" s="3">
        <v>39</v>
      </c>
      <c r="B41" s="10" t="s">
        <v>42</v>
      </c>
      <c r="C41" s="7" t="s">
        <v>18</v>
      </c>
      <c r="D41" s="11">
        <f>SUM(1503+1503+1497)</f>
        <v>4503</v>
      </c>
      <c r="E41" s="11">
        <f>SUM(133+134+132)</f>
        <v>399</v>
      </c>
      <c r="F41" s="12">
        <f t="shared" si="0"/>
        <v>11.285714285714286</v>
      </c>
      <c r="G41" s="11">
        <v>3</v>
      </c>
      <c r="H41" s="11">
        <v>3</v>
      </c>
      <c r="I41" s="11"/>
      <c r="J41" s="11"/>
      <c r="K41" s="11"/>
      <c r="L41" s="11">
        <v>17</v>
      </c>
      <c r="M41" s="13"/>
    </row>
    <row r="42" spans="1:13" ht="18.5" x14ac:dyDescent="0.45">
      <c r="A42" s="3">
        <v>40</v>
      </c>
      <c r="B42" s="10" t="s">
        <v>104</v>
      </c>
      <c r="C42" s="7" t="s">
        <v>27</v>
      </c>
      <c r="D42" s="11">
        <f>SUM(1442)</f>
        <v>1442</v>
      </c>
      <c r="E42" s="11">
        <f>SUM(129)</f>
        <v>129</v>
      </c>
      <c r="F42" s="12">
        <f t="shared" si="0"/>
        <v>11.178294573643411</v>
      </c>
      <c r="G42" s="11">
        <v>1</v>
      </c>
      <c r="H42" s="11"/>
      <c r="I42" s="11"/>
      <c r="J42" s="11"/>
      <c r="K42" s="11"/>
      <c r="L42" s="11">
        <v>1</v>
      </c>
      <c r="M42" s="13"/>
    </row>
    <row r="43" spans="1:13" ht="18.5" x14ac:dyDescent="0.45">
      <c r="A43" s="3">
        <v>41</v>
      </c>
      <c r="B43" s="35" t="s">
        <v>43</v>
      </c>
      <c r="C43" s="7" t="s">
        <v>66</v>
      </c>
      <c r="D43" s="11">
        <f>SUM(1252+1503+1201+1498+1182)</f>
        <v>6636</v>
      </c>
      <c r="E43" s="11">
        <f>SUM(120+142+91+137+104)</f>
        <v>594</v>
      </c>
      <c r="F43" s="12">
        <f t="shared" si="0"/>
        <v>11.171717171717171</v>
      </c>
      <c r="G43" s="11">
        <v>5</v>
      </c>
      <c r="H43" s="11">
        <v>2</v>
      </c>
      <c r="I43" s="11"/>
      <c r="J43" s="11"/>
      <c r="K43" s="11"/>
      <c r="L43" s="11">
        <v>12.5</v>
      </c>
      <c r="M43" s="13">
        <v>5</v>
      </c>
    </row>
    <row r="44" spans="1:13" ht="18.5" x14ac:dyDescent="0.45">
      <c r="A44" s="3">
        <v>42</v>
      </c>
      <c r="B44" s="4" t="s">
        <v>35</v>
      </c>
      <c r="C44" s="7" t="s">
        <v>32</v>
      </c>
      <c r="D44" s="11">
        <f>SUM(1232)</f>
        <v>1232</v>
      </c>
      <c r="E44" s="11">
        <f>SUM(111)</f>
        <v>111</v>
      </c>
      <c r="F44" s="12">
        <f t="shared" si="0"/>
        <v>11.099099099099099</v>
      </c>
      <c r="G44" s="11">
        <v>1</v>
      </c>
      <c r="H44" s="11"/>
      <c r="I44" s="11"/>
      <c r="J44" s="11"/>
      <c r="K44" s="11"/>
      <c r="L44" s="11">
        <v>4</v>
      </c>
      <c r="M44" s="13"/>
    </row>
    <row r="45" spans="1:13" ht="18.5" x14ac:dyDescent="0.45">
      <c r="A45" s="3">
        <v>43</v>
      </c>
      <c r="B45" s="15" t="s">
        <v>70</v>
      </c>
      <c r="C45" s="4" t="s">
        <v>18</v>
      </c>
      <c r="D45" s="11">
        <f>SUM(1487+1277+1280+1499+1476)</f>
        <v>7019</v>
      </c>
      <c r="E45" s="11">
        <f>SUM(122+115+117+128+151)</f>
        <v>633</v>
      </c>
      <c r="F45" s="12">
        <f t="shared" si="0"/>
        <v>11.088467614533965</v>
      </c>
      <c r="G45" s="11">
        <v>5</v>
      </c>
      <c r="H45" s="11">
        <v>2</v>
      </c>
      <c r="I45" s="11"/>
      <c r="J45" s="11"/>
      <c r="K45" s="11"/>
      <c r="L45" s="11">
        <v>15.5</v>
      </c>
      <c r="M45" s="13"/>
    </row>
    <row r="46" spans="1:13" ht="18.5" x14ac:dyDescent="0.45">
      <c r="A46" s="3">
        <v>44</v>
      </c>
      <c r="B46" s="15" t="s">
        <v>38</v>
      </c>
      <c r="C46" s="4" t="s">
        <v>103</v>
      </c>
      <c r="D46" s="11">
        <f>SUM(1214+1381+1209+1331+1260)</f>
        <v>6395</v>
      </c>
      <c r="E46" s="11">
        <f>SUM(116+115+105+126+116)</f>
        <v>578</v>
      </c>
      <c r="F46" s="12">
        <f t="shared" si="0"/>
        <v>11.06401384083045</v>
      </c>
      <c r="G46" s="11">
        <v>5</v>
      </c>
      <c r="H46" s="11"/>
      <c r="I46" s="11"/>
      <c r="J46" s="11"/>
      <c r="K46" s="11"/>
      <c r="L46" s="11">
        <v>7.5</v>
      </c>
      <c r="M46" s="13"/>
    </row>
    <row r="47" spans="1:13" ht="18.5" x14ac:dyDescent="0.45">
      <c r="A47" s="3">
        <v>45</v>
      </c>
      <c r="B47" s="4" t="s">
        <v>83</v>
      </c>
      <c r="C47" s="8" t="s">
        <v>103</v>
      </c>
      <c r="D47" s="11">
        <f>SUM(1448+1487+1481)</f>
        <v>4416</v>
      </c>
      <c r="E47" s="11">
        <f>SUM(144+138+128)</f>
        <v>410</v>
      </c>
      <c r="F47" s="12">
        <f t="shared" si="0"/>
        <v>10.770731707317074</v>
      </c>
      <c r="G47" s="11">
        <v>3</v>
      </c>
      <c r="H47" s="11">
        <v>1</v>
      </c>
      <c r="I47" s="11"/>
      <c r="J47" s="11"/>
      <c r="K47" s="11"/>
      <c r="L47" s="11">
        <v>7</v>
      </c>
      <c r="M47" s="13"/>
    </row>
    <row r="48" spans="1:13" ht="18.5" x14ac:dyDescent="0.45">
      <c r="A48" s="3">
        <v>46</v>
      </c>
      <c r="B48" s="4" t="s">
        <v>36</v>
      </c>
      <c r="C48" s="4" t="s">
        <v>66</v>
      </c>
      <c r="D48" s="11">
        <f>SUM(1457+1503+1489+1479+1444)</f>
        <v>7372</v>
      </c>
      <c r="E48" s="11">
        <f>SUM(116+124+152+178+127)</f>
        <v>697</v>
      </c>
      <c r="F48" s="12">
        <f t="shared" si="0"/>
        <v>10.576757532281205</v>
      </c>
      <c r="G48" s="11">
        <v>5</v>
      </c>
      <c r="H48" s="11">
        <v>2</v>
      </c>
      <c r="I48" s="11"/>
      <c r="J48" s="11"/>
      <c r="K48" s="11"/>
      <c r="L48" s="11">
        <v>13</v>
      </c>
      <c r="M48" s="13"/>
    </row>
    <row r="49" spans="1:18" ht="18.5" x14ac:dyDescent="0.45">
      <c r="A49" s="3">
        <v>47</v>
      </c>
      <c r="B49" s="15" t="s">
        <v>67</v>
      </c>
      <c r="C49" s="4" t="s">
        <v>32</v>
      </c>
      <c r="D49" s="11">
        <f>SUM(1261+1230+1487+1434)</f>
        <v>5412</v>
      </c>
      <c r="E49" s="11">
        <f>SUM(102+96+177+137)</f>
        <v>512</v>
      </c>
      <c r="F49" s="12">
        <f t="shared" si="0"/>
        <v>10.5703125</v>
      </c>
      <c r="G49" s="11">
        <v>4</v>
      </c>
      <c r="H49" s="11">
        <v>2</v>
      </c>
      <c r="I49" s="11"/>
      <c r="J49" s="11"/>
      <c r="K49" s="11"/>
      <c r="L49" s="11">
        <v>6</v>
      </c>
      <c r="M49" s="13"/>
    </row>
    <row r="50" spans="1:18" ht="18.5" x14ac:dyDescent="0.45">
      <c r="A50" s="3">
        <v>49</v>
      </c>
      <c r="B50" s="4" t="s">
        <v>74</v>
      </c>
      <c r="C50" s="4" t="s">
        <v>66</v>
      </c>
      <c r="D50" s="11"/>
      <c r="E50" s="11"/>
      <c r="F50" s="12"/>
      <c r="G50" s="11"/>
      <c r="H50" s="11"/>
      <c r="I50" s="11"/>
      <c r="J50" s="11"/>
      <c r="K50" s="11"/>
      <c r="L50" s="11">
        <v>2.5</v>
      </c>
      <c r="M50" s="13"/>
    </row>
    <row r="51" spans="1:18" ht="17.25" customHeight="1" thickBot="1" x14ac:dyDescent="0.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8" ht="19.5" customHeight="1" thickBot="1" x14ac:dyDescent="0.5">
      <c r="A52" s="5"/>
      <c r="B52" s="66" t="s">
        <v>127</v>
      </c>
      <c r="C52" s="57" t="s">
        <v>44</v>
      </c>
      <c r="D52" s="28" t="s">
        <v>45</v>
      </c>
      <c r="E52" s="29" t="s">
        <v>46</v>
      </c>
      <c r="F52" s="20" t="s">
        <v>62</v>
      </c>
      <c r="G52" s="30" t="s">
        <v>47</v>
      </c>
      <c r="I52" s="61" t="s">
        <v>48</v>
      </c>
      <c r="J52" s="62"/>
      <c r="K52" s="62"/>
      <c r="L52" s="62"/>
      <c r="M52" s="62"/>
      <c r="N52" s="62"/>
      <c r="O52" s="62"/>
      <c r="P52" s="62"/>
      <c r="Q52" s="62"/>
      <c r="R52" s="63"/>
    </row>
    <row r="53" spans="1:18" ht="18.5" x14ac:dyDescent="0.45">
      <c r="A53" s="5"/>
      <c r="B53" s="67"/>
      <c r="C53" s="17" t="s">
        <v>59</v>
      </c>
      <c r="D53" s="7">
        <v>5</v>
      </c>
      <c r="E53" s="22">
        <v>0</v>
      </c>
      <c r="F53" s="15"/>
      <c r="G53" s="23">
        <v>89</v>
      </c>
      <c r="I53" s="69" t="s">
        <v>49</v>
      </c>
      <c r="J53" s="70"/>
      <c r="K53" s="70"/>
      <c r="L53" s="70"/>
      <c r="M53" s="70"/>
      <c r="N53" s="64" t="s">
        <v>88</v>
      </c>
      <c r="O53" s="64"/>
      <c r="P53" s="64"/>
      <c r="Q53" s="64"/>
      <c r="R53" s="65"/>
    </row>
    <row r="54" spans="1:18" ht="18.5" x14ac:dyDescent="0.45">
      <c r="A54" s="5"/>
      <c r="B54" s="67"/>
      <c r="C54" s="17" t="s">
        <v>58</v>
      </c>
      <c r="D54" s="7">
        <v>4</v>
      </c>
      <c r="E54" s="16">
        <v>1</v>
      </c>
      <c r="F54" s="15"/>
      <c r="G54" s="17">
        <v>71</v>
      </c>
      <c r="I54" s="71" t="s">
        <v>51</v>
      </c>
      <c r="J54" s="72"/>
      <c r="K54" s="72"/>
      <c r="L54" s="72"/>
      <c r="M54" s="72"/>
      <c r="N54" s="59" t="s">
        <v>126</v>
      </c>
      <c r="O54" s="59"/>
      <c r="P54" s="59"/>
      <c r="Q54" s="59"/>
      <c r="R54" s="60"/>
    </row>
    <row r="55" spans="1:18" ht="18.5" x14ac:dyDescent="0.45">
      <c r="A55" s="5"/>
      <c r="B55" s="67"/>
      <c r="C55" s="17" t="s">
        <v>55</v>
      </c>
      <c r="D55" s="7">
        <v>4</v>
      </c>
      <c r="E55" s="22">
        <v>1</v>
      </c>
      <c r="F55" s="15"/>
      <c r="G55" s="23">
        <v>65</v>
      </c>
      <c r="I55" s="71" t="s">
        <v>53</v>
      </c>
      <c r="J55" s="72"/>
      <c r="K55" s="72"/>
      <c r="L55" s="72"/>
      <c r="M55" s="72"/>
      <c r="N55" s="59" t="s">
        <v>108</v>
      </c>
      <c r="O55" s="59"/>
      <c r="P55" s="59"/>
      <c r="Q55" s="59"/>
      <c r="R55" s="60"/>
    </row>
    <row r="56" spans="1:18" ht="18.5" x14ac:dyDescent="0.45">
      <c r="A56" s="6"/>
      <c r="B56" s="67"/>
      <c r="C56" s="18" t="s">
        <v>61</v>
      </c>
      <c r="D56" s="9">
        <v>3</v>
      </c>
      <c r="E56" s="10">
        <v>2</v>
      </c>
      <c r="F56" s="15"/>
      <c r="G56" s="18">
        <v>66</v>
      </c>
      <c r="I56" s="71" t="s">
        <v>54</v>
      </c>
      <c r="J56" s="72"/>
      <c r="K56" s="72"/>
      <c r="L56" s="72"/>
      <c r="M56" s="72"/>
      <c r="N56" s="59" t="s">
        <v>125</v>
      </c>
      <c r="O56" s="59"/>
      <c r="P56" s="59"/>
      <c r="Q56" s="59"/>
      <c r="R56" s="60"/>
    </row>
    <row r="57" spans="1:18" ht="18" customHeight="1" x14ac:dyDescent="0.45">
      <c r="A57" s="6"/>
      <c r="B57" s="67"/>
      <c r="C57" s="17" t="s">
        <v>60</v>
      </c>
      <c r="D57" s="7">
        <v>3</v>
      </c>
      <c r="E57" s="22">
        <v>2</v>
      </c>
      <c r="F57" s="15"/>
      <c r="G57" s="23">
        <v>63</v>
      </c>
      <c r="I57" s="71" t="s">
        <v>56</v>
      </c>
      <c r="J57" s="72"/>
      <c r="K57" s="72"/>
      <c r="L57" s="72"/>
      <c r="M57" s="72"/>
      <c r="N57" s="59" t="s">
        <v>108</v>
      </c>
      <c r="O57" s="59"/>
      <c r="P57" s="59"/>
      <c r="Q57" s="59"/>
      <c r="R57" s="60"/>
    </row>
    <row r="58" spans="1:18" ht="18" customHeight="1" thickBot="1" x14ac:dyDescent="0.5">
      <c r="A58" s="6"/>
      <c r="B58" s="67"/>
      <c r="C58" s="17" t="s">
        <v>50</v>
      </c>
      <c r="D58" s="7">
        <v>2</v>
      </c>
      <c r="E58" s="16">
        <v>3</v>
      </c>
      <c r="F58" s="15"/>
      <c r="G58" s="17">
        <v>55</v>
      </c>
      <c r="I58" s="73" t="s">
        <v>57</v>
      </c>
      <c r="J58" s="74"/>
      <c r="K58" s="74"/>
      <c r="L58" s="74"/>
      <c r="M58" s="74"/>
      <c r="N58" s="75" t="s">
        <v>86</v>
      </c>
      <c r="O58" s="75"/>
      <c r="P58" s="75"/>
      <c r="Q58" s="75"/>
      <c r="R58" s="76"/>
    </row>
    <row r="59" spans="1:18" ht="18.5" x14ac:dyDescent="0.45">
      <c r="A59" s="6"/>
      <c r="B59" s="67"/>
      <c r="C59" s="19" t="s">
        <v>68</v>
      </c>
      <c r="D59" s="9">
        <v>2</v>
      </c>
      <c r="E59" s="10">
        <v>3</v>
      </c>
      <c r="F59" s="15"/>
      <c r="G59" s="18">
        <v>48</v>
      </c>
      <c r="H59" s="6"/>
      <c r="I59" s="6"/>
    </row>
    <row r="60" spans="1:18" ht="18.5" x14ac:dyDescent="0.45">
      <c r="A60" s="6"/>
      <c r="B60" s="67"/>
      <c r="C60" s="17" t="s">
        <v>52</v>
      </c>
      <c r="D60" s="7">
        <v>1</v>
      </c>
      <c r="E60" s="22">
        <v>4</v>
      </c>
      <c r="F60" s="15"/>
      <c r="G60" s="23">
        <v>48</v>
      </c>
      <c r="H60" s="6"/>
    </row>
    <row r="61" spans="1:18" ht="18.5" x14ac:dyDescent="0.45">
      <c r="B61" s="67"/>
      <c r="C61" s="17" t="s">
        <v>73</v>
      </c>
      <c r="D61" s="7">
        <v>1</v>
      </c>
      <c r="E61" s="22">
        <v>4</v>
      </c>
      <c r="F61" s="15"/>
      <c r="G61" s="23">
        <v>46</v>
      </c>
    </row>
    <row r="62" spans="1:18" ht="19" thickBot="1" x14ac:dyDescent="0.5">
      <c r="B62" s="68"/>
      <c r="C62" s="18" t="s">
        <v>98</v>
      </c>
      <c r="D62" s="9">
        <v>0</v>
      </c>
      <c r="E62" s="10">
        <v>5</v>
      </c>
      <c r="F62" s="15"/>
      <c r="G62" s="18">
        <v>47</v>
      </c>
    </row>
    <row r="63" spans="1:18" ht="15" thickBot="1" x14ac:dyDescent="0.4"/>
    <row r="64" spans="1:18" ht="19" thickBot="1" x14ac:dyDescent="0.5">
      <c r="C64" s="27" t="s">
        <v>76</v>
      </c>
      <c r="D64" s="28" t="s">
        <v>45</v>
      </c>
      <c r="E64" s="28" t="s">
        <v>46</v>
      </c>
      <c r="F64" s="20" t="s">
        <v>62</v>
      </c>
      <c r="G64" s="31" t="s">
        <v>47</v>
      </c>
    </row>
    <row r="65" spans="3:7" ht="18.5" x14ac:dyDescent="0.45">
      <c r="C65" s="54" t="s">
        <v>59</v>
      </c>
      <c r="D65" s="14">
        <v>5</v>
      </c>
      <c r="E65" s="24">
        <v>0</v>
      </c>
      <c r="F65" s="15"/>
      <c r="G65" s="53">
        <v>89</v>
      </c>
    </row>
    <row r="66" spans="3:7" ht="18.5" x14ac:dyDescent="0.45">
      <c r="C66" s="56" t="s">
        <v>55</v>
      </c>
      <c r="D66" s="7">
        <v>4</v>
      </c>
      <c r="E66" s="22">
        <v>1</v>
      </c>
      <c r="F66" s="15"/>
      <c r="G66" s="55">
        <v>65</v>
      </c>
    </row>
    <row r="67" spans="3:7" ht="18.5" x14ac:dyDescent="0.45">
      <c r="C67" s="56" t="s">
        <v>60</v>
      </c>
      <c r="D67" s="7">
        <v>3</v>
      </c>
      <c r="E67" s="22">
        <v>2</v>
      </c>
      <c r="F67" s="15"/>
      <c r="G67" s="55">
        <v>63</v>
      </c>
    </row>
    <row r="68" spans="3:7" ht="19" thickBot="1" x14ac:dyDescent="0.5">
      <c r="C68" s="52" t="s">
        <v>50</v>
      </c>
      <c r="D68" s="51">
        <v>2</v>
      </c>
      <c r="E68" s="50">
        <v>3</v>
      </c>
      <c r="F68" s="49"/>
      <c r="G68" s="48">
        <v>55</v>
      </c>
    </row>
    <row r="69" spans="3:7" ht="18.5" x14ac:dyDescent="0.45">
      <c r="C69" s="54" t="s">
        <v>73</v>
      </c>
      <c r="D69" s="14">
        <v>1</v>
      </c>
      <c r="E69" s="24">
        <v>4</v>
      </c>
      <c r="F69" s="26"/>
      <c r="G69" s="53">
        <v>46</v>
      </c>
    </row>
    <row r="70" spans="3:7" ht="15" thickBot="1" x14ac:dyDescent="0.4"/>
    <row r="71" spans="3:7" ht="19" thickBot="1" x14ac:dyDescent="0.5">
      <c r="C71" s="27" t="s">
        <v>77</v>
      </c>
      <c r="D71" s="28" t="s">
        <v>45</v>
      </c>
      <c r="E71" s="28" t="s">
        <v>46</v>
      </c>
      <c r="F71" s="20" t="s">
        <v>62</v>
      </c>
      <c r="G71" s="31" t="s">
        <v>47</v>
      </c>
    </row>
    <row r="72" spans="3:7" ht="18.5" x14ac:dyDescent="0.45">
      <c r="C72" s="47" t="s">
        <v>58</v>
      </c>
      <c r="D72" s="46">
        <v>4</v>
      </c>
      <c r="E72" s="46">
        <v>1</v>
      </c>
      <c r="F72" s="26"/>
      <c r="G72" s="45">
        <v>71</v>
      </c>
    </row>
    <row r="73" spans="3:7" ht="18.5" x14ac:dyDescent="0.45">
      <c r="C73" s="42" t="s">
        <v>61</v>
      </c>
      <c r="D73" s="15">
        <v>3</v>
      </c>
      <c r="E73" s="15">
        <v>2</v>
      </c>
      <c r="F73" s="15"/>
      <c r="G73" s="41">
        <v>66</v>
      </c>
    </row>
    <row r="74" spans="3:7" ht="18.5" x14ac:dyDescent="0.45">
      <c r="C74" s="44" t="s">
        <v>68</v>
      </c>
      <c r="D74" s="4">
        <v>2</v>
      </c>
      <c r="E74" s="4">
        <v>3</v>
      </c>
      <c r="F74" s="15"/>
      <c r="G74" s="43">
        <v>48</v>
      </c>
    </row>
    <row r="75" spans="3:7" ht="19" thickBot="1" x14ac:dyDescent="0.5">
      <c r="C75" s="40" t="s">
        <v>52</v>
      </c>
      <c r="D75" s="39">
        <v>1</v>
      </c>
      <c r="E75" s="38">
        <v>4</v>
      </c>
      <c r="F75" s="37"/>
      <c r="G75" s="36">
        <v>48</v>
      </c>
    </row>
    <row r="76" spans="3:7" ht="18.5" x14ac:dyDescent="0.45">
      <c r="C76" s="42" t="s">
        <v>98</v>
      </c>
      <c r="D76" s="15">
        <v>0</v>
      </c>
      <c r="E76" s="15">
        <v>5</v>
      </c>
      <c r="F76" s="15"/>
      <c r="G76" s="41">
        <v>47</v>
      </c>
    </row>
  </sheetData>
  <mergeCells count="14">
    <mergeCell ref="B52:B62"/>
    <mergeCell ref="I53:M53"/>
    <mergeCell ref="I54:M54"/>
    <mergeCell ref="I55:M55"/>
    <mergeCell ref="I56:M56"/>
    <mergeCell ref="I57:M57"/>
    <mergeCell ref="I58:M58"/>
    <mergeCell ref="N58:R58"/>
    <mergeCell ref="I52:R52"/>
    <mergeCell ref="N53:R53"/>
    <mergeCell ref="N54:R54"/>
    <mergeCell ref="N55:R55"/>
    <mergeCell ref="N56:R56"/>
    <mergeCell ref="N57:R5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05678-7329-4C6B-8395-A86212DF8C13}">
  <sheetPr codeName="Sheet8"/>
  <dimension ref="A1:R77"/>
  <sheetViews>
    <sheetView workbookViewId="0">
      <pane ySplit="1" topLeftCell="A2" activePane="bottomLeft" state="frozen"/>
      <selection pane="bottomLeft" activeCell="J65" sqref="J65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8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18.8164062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19</v>
      </c>
      <c r="C2" s="4" t="s">
        <v>14</v>
      </c>
      <c r="D2" s="11">
        <f>SUM(1503+1501+1499+1401)</f>
        <v>5904</v>
      </c>
      <c r="E2" s="11">
        <f>SUM(88+78+80+76)</f>
        <v>322</v>
      </c>
      <c r="F2" s="12">
        <f t="shared" ref="F2:F33" si="0">SUM(D2/E2)</f>
        <v>18.335403726708076</v>
      </c>
      <c r="G2" s="11">
        <v>4</v>
      </c>
      <c r="H2" s="11">
        <v>4</v>
      </c>
      <c r="I2" s="11"/>
      <c r="J2" s="11"/>
      <c r="K2" s="11"/>
      <c r="L2" s="11">
        <v>22</v>
      </c>
      <c r="M2" s="13">
        <v>15</v>
      </c>
    </row>
    <row r="3" spans="1:13" ht="18.5" x14ac:dyDescent="0.45">
      <c r="A3" s="3">
        <v>2</v>
      </c>
      <c r="B3" s="4" t="s">
        <v>23</v>
      </c>
      <c r="C3" s="4" t="s">
        <v>14</v>
      </c>
      <c r="D3" s="11">
        <f>SUM(1503+1503+1503+1479+1498+1336)</f>
        <v>8822</v>
      </c>
      <c r="E3" s="11">
        <f>SUM(93+102+87+75+85+80)</f>
        <v>522</v>
      </c>
      <c r="F3" s="12">
        <f t="shared" si="0"/>
        <v>16.90038314176245</v>
      </c>
      <c r="G3" s="11">
        <v>6</v>
      </c>
      <c r="H3" s="11">
        <v>5</v>
      </c>
      <c r="I3" s="11">
        <v>1</v>
      </c>
      <c r="J3" s="11"/>
      <c r="K3" s="11">
        <v>1</v>
      </c>
      <c r="L3" s="11">
        <v>27.5</v>
      </c>
      <c r="M3" s="13">
        <v>5</v>
      </c>
    </row>
    <row r="4" spans="1:13" ht="18.5" x14ac:dyDescent="0.45">
      <c r="A4" s="3">
        <v>3</v>
      </c>
      <c r="B4" s="4" t="s">
        <v>15</v>
      </c>
      <c r="C4" s="4" t="s">
        <v>16</v>
      </c>
      <c r="D4" s="11">
        <f>SUM(1439+1494+1469+1433+1433+1403)</f>
        <v>8671</v>
      </c>
      <c r="E4" s="11">
        <f>SUM(83+92+88+91+92+75)</f>
        <v>521</v>
      </c>
      <c r="F4" s="12">
        <f t="shared" si="0"/>
        <v>16.642994241842612</v>
      </c>
      <c r="G4" s="11">
        <v>6</v>
      </c>
      <c r="H4" s="11">
        <v>2</v>
      </c>
      <c r="I4" s="11"/>
      <c r="J4" s="11"/>
      <c r="K4" s="11"/>
      <c r="L4" s="11">
        <v>15.5</v>
      </c>
      <c r="M4" s="13">
        <v>5</v>
      </c>
    </row>
    <row r="5" spans="1:13" ht="18.5" x14ac:dyDescent="0.45">
      <c r="A5" s="3">
        <v>4</v>
      </c>
      <c r="B5" s="4" t="s">
        <v>13</v>
      </c>
      <c r="C5" s="4" t="s">
        <v>14</v>
      </c>
      <c r="D5" s="11">
        <f>SUM(1503+1493+1483+1503+1347+1503)</f>
        <v>8832</v>
      </c>
      <c r="E5" s="11">
        <f>SUM(87+94+89+105+89+91)</f>
        <v>555</v>
      </c>
      <c r="F5" s="12">
        <f t="shared" si="0"/>
        <v>15.913513513513514</v>
      </c>
      <c r="G5" s="11">
        <v>6</v>
      </c>
      <c r="H5" s="11">
        <v>6</v>
      </c>
      <c r="I5" s="11"/>
      <c r="J5" s="11"/>
      <c r="K5" s="11"/>
      <c r="L5" s="11">
        <v>29</v>
      </c>
      <c r="M5" s="13"/>
    </row>
    <row r="6" spans="1:13" ht="18.5" x14ac:dyDescent="0.45">
      <c r="A6" s="3">
        <v>5</v>
      </c>
      <c r="B6" s="4" t="s">
        <v>11</v>
      </c>
      <c r="C6" s="4" t="s">
        <v>12</v>
      </c>
      <c r="D6" s="11">
        <f>SUM(1434+1499+1503+1463+1490+1467)</f>
        <v>8856</v>
      </c>
      <c r="E6" s="11">
        <f>SUM(78+102+87+91+93+109)</f>
        <v>560</v>
      </c>
      <c r="F6" s="12">
        <f t="shared" si="0"/>
        <v>15.814285714285715</v>
      </c>
      <c r="G6" s="11">
        <v>6</v>
      </c>
      <c r="H6" s="11">
        <v>4</v>
      </c>
      <c r="I6" s="11">
        <v>1</v>
      </c>
      <c r="J6" s="11"/>
      <c r="K6" s="11"/>
      <c r="L6" s="11">
        <v>22.5</v>
      </c>
      <c r="M6" s="13">
        <v>15</v>
      </c>
    </row>
    <row r="7" spans="1:13" ht="18.5" x14ac:dyDescent="0.45">
      <c r="A7" s="3">
        <v>6</v>
      </c>
      <c r="B7" s="4" t="s">
        <v>26</v>
      </c>
      <c r="C7" s="4" t="s">
        <v>18</v>
      </c>
      <c r="D7" s="11">
        <f>SUM(1501+1503+1503+1491+1412)</f>
        <v>7410</v>
      </c>
      <c r="E7" s="11">
        <f>SUM(125+90+100+97+76)</f>
        <v>488</v>
      </c>
      <c r="F7" s="12">
        <f t="shared" si="0"/>
        <v>15.184426229508198</v>
      </c>
      <c r="G7" s="11">
        <v>5</v>
      </c>
      <c r="H7" s="11">
        <v>4</v>
      </c>
      <c r="I7" s="11"/>
      <c r="J7" s="11"/>
      <c r="K7" s="11">
        <v>1</v>
      </c>
      <c r="L7" s="11">
        <v>20.5</v>
      </c>
      <c r="M7" s="13">
        <v>5</v>
      </c>
    </row>
    <row r="8" spans="1:13" ht="18.5" x14ac:dyDescent="0.45">
      <c r="A8" s="3">
        <v>7</v>
      </c>
      <c r="B8" s="15" t="s">
        <v>31</v>
      </c>
      <c r="C8" s="4" t="s">
        <v>32</v>
      </c>
      <c r="D8" s="11">
        <f>SUM(1463+1440+1348+1483+1155+1501)</f>
        <v>8390</v>
      </c>
      <c r="E8" s="11">
        <f>SUM(87+90+90+101+80+109)</f>
        <v>557</v>
      </c>
      <c r="F8" s="12">
        <f t="shared" si="0"/>
        <v>15.062836624775583</v>
      </c>
      <c r="G8" s="11">
        <v>6</v>
      </c>
      <c r="H8" s="11">
        <v>4</v>
      </c>
      <c r="I8" s="11"/>
      <c r="J8" s="11"/>
      <c r="K8" s="11"/>
      <c r="L8" s="11">
        <v>17.5</v>
      </c>
      <c r="M8" s="13">
        <v>20</v>
      </c>
    </row>
    <row r="9" spans="1:13" ht="18.5" x14ac:dyDescent="0.45">
      <c r="A9" s="3">
        <v>8</v>
      </c>
      <c r="B9" s="4" t="s">
        <v>115</v>
      </c>
      <c r="C9" s="4" t="s">
        <v>103</v>
      </c>
      <c r="D9" s="11">
        <f>SUM(1503+1473+1444+1426)</f>
        <v>5846</v>
      </c>
      <c r="E9" s="11">
        <f>SUM(115+100+87+93)</f>
        <v>395</v>
      </c>
      <c r="F9" s="12">
        <f t="shared" si="0"/>
        <v>14.8</v>
      </c>
      <c r="G9" s="11">
        <v>4</v>
      </c>
      <c r="H9" s="11">
        <v>3</v>
      </c>
      <c r="I9" s="11"/>
      <c r="J9" s="11"/>
      <c r="K9" s="11"/>
      <c r="L9" s="11">
        <v>11</v>
      </c>
      <c r="M9" s="13"/>
    </row>
    <row r="10" spans="1:13" ht="18.5" x14ac:dyDescent="0.45">
      <c r="A10" s="3">
        <v>9</v>
      </c>
      <c r="B10" s="4" t="s">
        <v>41</v>
      </c>
      <c r="C10" s="4" t="s">
        <v>16</v>
      </c>
      <c r="D10" s="11">
        <f>SUM(1305+1155+1497+1433+1488+1439)</f>
        <v>8317</v>
      </c>
      <c r="E10" s="11">
        <f>SUM(82+73+109+98+104+100)</f>
        <v>566</v>
      </c>
      <c r="F10" s="12">
        <f t="shared" si="0"/>
        <v>14.69434628975265</v>
      </c>
      <c r="G10" s="11">
        <v>6</v>
      </c>
      <c r="H10" s="11">
        <v>4</v>
      </c>
      <c r="I10" s="11"/>
      <c r="J10" s="11"/>
      <c r="K10" s="11"/>
      <c r="L10" s="11">
        <v>22.5</v>
      </c>
      <c r="M10" s="13"/>
    </row>
    <row r="11" spans="1:13" ht="18.5" x14ac:dyDescent="0.45">
      <c r="A11" s="3">
        <v>10</v>
      </c>
      <c r="B11" s="4" t="s">
        <v>25</v>
      </c>
      <c r="C11" s="4" t="s">
        <v>12</v>
      </c>
      <c r="D11" s="11">
        <f>SUM(1124+1503+1455+1463+1431)</f>
        <v>6976</v>
      </c>
      <c r="E11" s="11">
        <f>SUM(81+82+115+97+102)</f>
        <v>477</v>
      </c>
      <c r="F11" s="12">
        <f t="shared" si="0"/>
        <v>14.624737945492662</v>
      </c>
      <c r="G11" s="11">
        <v>5</v>
      </c>
      <c r="H11" s="11">
        <v>2</v>
      </c>
      <c r="I11" s="11"/>
      <c r="J11" s="11">
        <v>1</v>
      </c>
      <c r="K11" s="11"/>
      <c r="L11" s="11">
        <v>13.5</v>
      </c>
      <c r="M11" s="13">
        <v>5</v>
      </c>
    </row>
    <row r="12" spans="1:13" ht="18.5" x14ac:dyDescent="0.45">
      <c r="A12" s="3">
        <v>11</v>
      </c>
      <c r="B12" s="15" t="s">
        <v>64</v>
      </c>
      <c r="C12" s="4" t="s">
        <v>27</v>
      </c>
      <c r="D12" s="11">
        <f>SUM(1501+1463+1503+1285+1296)</f>
        <v>7048</v>
      </c>
      <c r="E12" s="11">
        <f>SUM(113+99+115+86+72)</f>
        <v>485</v>
      </c>
      <c r="F12" s="12">
        <f t="shared" si="0"/>
        <v>14.531958762886598</v>
      </c>
      <c r="G12" s="11">
        <v>5</v>
      </c>
      <c r="H12" s="11">
        <v>2</v>
      </c>
      <c r="I12" s="11"/>
      <c r="J12" s="11"/>
      <c r="K12" s="11"/>
      <c r="L12" s="11">
        <v>14.5</v>
      </c>
      <c r="M12" s="13">
        <v>5</v>
      </c>
    </row>
    <row r="13" spans="1:13" ht="18.5" x14ac:dyDescent="0.45">
      <c r="A13" s="3">
        <v>12</v>
      </c>
      <c r="B13" s="3" t="s">
        <v>17</v>
      </c>
      <c r="C13" s="4" t="s">
        <v>18</v>
      </c>
      <c r="D13" s="11">
        <f>SUM(1503+1238+1475+1503+1447+1455)</f>
        <v>8621</v>
      </c>
      <c r="E13" s="11">
        <f>SUM(101+96+104+93+109+100)</f>
        <v>603</v>
      </c>
      <c r="F13" s="12">
        <f t="shared" si="0"/>
        <v>14.296849087893865</v>
      </c>
      <c r="G13" s="11">
        <v>6</v>
      </c>
      <c r="H13" s="11">
        <v>2</v>
      </c>
      <c r="I13" s="11"/>
      <c r="J13" s="11"/>
      <c r="K13" s="11"/>
      <c r="L13" s="11">
        <v>18</v>
      </c>
      <c r="M13" s="13"/>
    </row>
    <row r="14" spans="1:13" ht="18.5" x14ac:dyDescent="0.45">
      <c r="A14" s="3">
        <v>13</v>
      </c>
      <c r="B14" s="3" t="s">
        <v>21</v>
      </c>
      <c r="C14" s="4" t="s">
        <v>22</v>
      </c>
      <c r="D14" s="11">
        <f>SUM(1399+1503+1274+1463+1443+1165)</f>
        <v>8247</v>
      </c>
      <c r="E14" s="11">
        <f>SUM(82+109+87+114+103+86)</f>
        <v>581</v>
      </c>
      <c r="F14" s="12">
        <f t="shared" si="0"/>
        <v>14.194492254733218</v>
      </c>
      <c r="G14" s="11">
        <v>6</v>
      </c>
      <c r="H14" s="11">
        <v>2</v>
      </c>
      <c r="I14" s="11"/>
      <c r="J14" s="11"/>
      <c r="K14" s="11"/>
      <c r="L14" s="11">
        <v>19.5</v>
      </c>
      <c r="M14" s="13"/>
    </row>
    <row r="15" spans="1:13" ht="18.5" x14ac:dyDescent="0.45">
      <c r="A15" s="3">
        <v>14</v>
      </c>
      <c r="B15" s="15" t="s">
        <v>81</v>
      </c>
      <c r="C15" s="7" t="s">
        <v>89</v>
      </c>
      <c r="D15" s="11">
        <f>SUM(1431+1330+1465+1356+1495+1483)</f>
        <v>8560</v>
      </c>
      <c r="E15" s="11">
        <f>SUM(111+103+105+76+116+100)</f>
        <v>611</v>
      </c>
      <c r="F15" s="12">
        <f t="shared" si="0"/>
        <v>14.009819967266775</v>
      </c>
      <c r="G15" s="11">
        <v>6</v>
      </c>
      <c r="H15" s="11">
        <v>3</v>
      </c>
      <c r="I15" s="11"/>
      <c r="J15" s="11"/>
      <c r="K15" s="11"/>
      <c r="L15" s="11">
        <v>17</v>
      </c>
      <c r="M15" s="13"/>
    </row>
    <row r="16" spans="1:13" ht="18.5" x14ac:dyDescent="0.45">
      <c r="A16" s="3">
        <v>15</v>
      </c>
      <c r="B16" s="15" t="s">
        <v>65</v>
      </c>
      <c r="C16" s="4" t="s">
        <v>27</v>
      </c>
      <c r="D16" s="11">
        <f>SUM(1423+1499+1489+1368+1469+1306)</f>
        <v>8554</v>
      </c>
      <c r="E16" s="11">
        <f>SUM(103+114+104+113+102+86)</f>
        <v>622</v>
      </c>
      <c r="F16" s="12">
        <f t="shared" si="0"/>
        <v>13.7524115755627</v>
      </c>
      <c r="G16" s="11">
        <v>6</v>
      </c>
      <c r="H16" s="11">
        <v>6</v>
      </c>
      <c r="I16" s="11"/>
      <c r="J16" s="11"/>
      <c r="K16" s="11">
        <v>1</v>
      </c>
      <c r="L16" s="11">
        <v>20.5</v>
      </c>
      <c r="M16" s="13"/>
    </row>
    <row r="17" spans="1:13" ht="18.5" x14ac:dyDescent="0.45">
      <c r="A17" s="3">
        <v>16</v>
      </c>
      <c r="B17" s="3" t="s">
        <v>33</v>
      </c>
      <c r="C17" s="4" t="s">
        <v>22</v>
      </c>
      <c r="D17" s="11">
        <f>SUM(1385+1499+1356+1205+1499+1449)</f>
        <v>8393</v>
      </c>
      <c r="E17" s="11">
        <f>SUM(79+109+82+81+141+120)</f>
        <v>612</v>
      </c>
      <c r="F17" s="12">
        <f t="shared" si="0"/>
        <v>13.714052287581699</v>
      </c>
      <c r="G17" s="11">
        <v>6</v>
      </c>
      <c r="H17" s="11">
        <v>3</v>
      </c>
      <c r="I17" s="11"/>
      <c r="J17" s="11"/>
      <c r="K17" s="11"/>
      <c r="L17" s="11">
        <v>20</v>
      </c>
      <c r="M17" s="13"/>
    </row>
    <row r="18" spans="1:13" ht="18.5" x14ac:dyDescent="0.45">
      <c r="A18" s="3">
        <v>17</v>
      </c>
      <c r="B18" s="15" t="s">
        <v>85</v>
      </c>
      <c r="C18" s="4" t="s">
        <v>103</v>
      </c>
      <c r="D18" s="11">
        <f>SUM(1503+1503+1471+1501+1469+1503)</f>
        <v>8950</v>
      </c>
      <c r="E18" s="11">
        <f>SUM(97+85+93+158+100+121)</f>
        <v>654</v>
      </c>
      <c r="F18" s="12">
        <f t="shared" si="0"/>
        <v>13.685015290519878</v>
      </c>
      <c r="G18" s="11">
        <v>6</v>
      </c>
      <c r="H18" s="11">
        <v>5</v>
      </c>
      <c r="I18" s="11">
        <v>1</v>
      </c>
      <c r="J18" s="11"/>
      <c r="K18" s="11"/>
      <c r="L18" s="11">
        <v>23</v>
      </c>
      <c r="M18" s="13"/>
    </row>
    <row r="19" spans="1:13" ht="18.5" x14ac:dyDescent="0.45">
      <c r="A19" s="3">
        <v>18</v>
      </c>
      <c r="B19" s="15" t="s">
        <v>30</v>
      </c>
      <c r="C19" s="4" t="s">
        <v>22</v>
      </c>
      <c r="D19" s="11">
        <f>SUM(1503+1285+1503+1425+1495+1503)</f>
        <v>8714</v>
      </c>
      <c r="E19" s="11">
        <f>SUM(109+111+88+114+109+111)</f>
        <v>642</v>
      </c>
      <c r="F19" s="12">
        <f t="shared" si="0"/>
        <v>13.573208722741432</v>
      </c>
      <c r="G19" s="11">
        <v>6</v>
      </c>
      <c r="H19" s="11">
        <v>4</v>
      </c>
      <c r="I19" s="11"/>
      <c r="J19" s="11"/>
      <c r="K19" s="11"/>
      <c r="L19" s="11">
        <v>20.5</v>
      </c>
      <c r="M19" s="13">
        <v>5</v>
      </c>
    </row>
    <row r="20" spans="1:13" ht="18.5" x14ac:dyDescent="0.45">
      <c r="A20" s="3">
        <v>19</v>
      </c>
      <c r="B20" s="4" t="s">
        <v>106</v>
      </c>
      <c r="C20" s="4" t="s">
        <v>12</v>
      </c>
      <c r="D20" s="11">
        <f>SUM(1503+1484+1456+1503+1447)</f>
        <v>7393</v>
      </c>
      <c r="E20" s="11">
        <f>SUM(116+103+94+129+108)</f>
        <v>550</v>
      </c>
      <c r="F20" s="12">
        <f t="shared" si="0"/>
        <v>13.441818181818181</v>
      </c>
      <c r="G20" s="11">
        <v>5</v>
      </c>
      <c r="H20" s="11">
        <v>3</v>
      </c>
      <c r="I20" s="11"/>
      <c r="J20" s="11"/>
      <c r="K20" s="11"/>
      <c r="L20" s="11">
        <v>18</v>
      </c>
      <c r="M20" s="13"/>
    </row>
    <row r="21" spans="1:13" ht="18.5" x14ac:dyDescent="0.45">
      <c r="A21" s="3">
        <v>20</v>
      </c>
      <c r="B21" s="15" t="s">
        <v>71</v>
      </c>
      <c r="C21" s="4" t="s">
        <v>16</v>
      </c>
      <c r="D21" s="11">
        <f>SUM(1373+1159+1501+1471+1503)</f>
        <v>7007</v>
      </c>
      <c r="E21" s="11">
        <f>SUM(111+99+117+102+95)</f>
        <v>524</v>
      </c>
      <c r="F21" s="12">
        <f t="shared" si="0"/>
        <v>13.372137404580153</v>
      </c>
      <c r="G21" s="11">
        <v>5</v>
      </c>
      <c r="H21" s="11">
        <v>3</v>
      </c>
      <c r="I21" s="11"/>
      <c r="J21" s="11"/>
      <c r="K21" s="11"/>
      <c r="L21" s="11">
        <v>11.5</v>
      </c>
      <c r="M21" s="13"/>
    </row>
    <row r="22" spans="1:13" ht="18.5" x14ac:dyDescent="0.45">
      <c r="A22" s="3">
        <v>21</v>
      </c>
      <c r="B22" s="15" t="s">
        <v>69</v>
      </c>
      <c r="C22" s="4" t="s">
        <v>14</v>
      </c>
      <c r="D22" s="11">
        <f>SUM(1497+1503+1455+1503+1487+1463)</f>
        <v>8908</v>
      </c>
      <c r="E22" s="11">
        <f>SUM(119+89+126+118+133+86)</f>
        <v>671</v>
      </c>
      <c r="F22" s="12">
        <f t="shared" si="0"/>
        <v>13.275707898658718</v>
      </c>
      <c r="G22" s="11">
        <v>6</v>
      </c>
      <c r="H22" s="11">
        <v>5</v>
      </c>
      <c r="I22" s="11"/>
      <c r="J22" s="11"/>
      <c r="K22" s="11"/>
      <c r="L22" s="11">
        <v>26.5</v>
      </c>
      <c r="M22" s="13"/>
    </row>
    <row r="23" spans="1:13" ht="18.5" x14ac:dyDescent="0.45">
      <c r="A23" s="3">
        <v>22</v>
      </c>
      <c r="B23" s="4" t="s">
        <v>40</v>
      </c>
      <c r="C23" s="4" t="s">
        <v>32</v>
      </c>
      <c r="D23" s="11">
        <f>SUM(1263+1432+1503+1311+1403+1503)</f>
        <v>8415</v>
      </c>
      <c r="E23" s="11">
        <f>SUM(96+111+111+126+84+109)</f>
        <v>637</v>
      </c>
      <c r="F23" s="12">
        <f t="shared" si="0"/>
        <v>13.210361067503925</v>
      </c>
      <c r="G23" s="11">
        <v>6</v>
      </c>
      <c r="H23" s="11">
        <v>3</v>
      </c>
      <c r="I23" s="11"/>
      <c r="J23" s="11"/>
      <c r="K23" s="11"/>
      <c r="L23" s="11">
        <v>16.5</v>
      </c>
      <c r="M23" s="13"/>
    </row>
    <row r="24" spans="1:13" ht="18.5" x14ac:dyDescent="0.45">
      <c r="A24" s="3">
        <v>23</v>
      </c>
      <c r="B24" s="4" t="s">
        <v>24</v>
      </c>
      <c r="C24" s="7" t="s">
        <v>22</v>
      </c>
      <c r="D24" s="11">
        <f>SUM(1465+1469+1456+1497+1481+1470)</f>
        <v>8838</v>
      </c>
      <c r="E24" s="11">
        <f>SUM(109+117+124+101+127+93)</f>
        <v>671</v>
      </c>
      <c r="F24" s="12">
        <f t="shared" si="0"/>
        <v>13.171385991058122</v>
      </c>
      <c r="G24" s="11">
        <v>6</v>
      </c>
      <c r="H24" s="11">
        <v>2</v>
      </c>
      <c r="I24" s="11"/>
      <c r="J24" s="11"/>
      <c r="K24" s="11"/>
      <c r="L24" s="11">
        <v>19</v>
      </c>
      <c r="M24" s="13"/>
    </row>
    <row r="25" spans="1:13" ht="18.5" x14ac:dyDescent="0.45">
      <c r="A25" s="3">
        <v>24</v>
      </c>
      <c r="B25" s="4" t="s">
        <v>28</v>
      </c>
      <c r="C25" s="4" t="s">
        <v>12</v>
      </c>
      <c r="D25" s="11">
        <f>SUM(1228+1398+1503+1422+1503+1501)</f>
        <v>8555</v>
      </c>
      <c r="E25" s="11">
        <f>SUM(90+96+119+100+121+136)</f>
        <v>662</v>
      </c>
      <c r="F25" s="12">
        <f t="shared" si="0"/>
        <v>12.922960725075528</v>
      </c>
      <c r="G25" s="11">
        <v>6</v>
      </c>
      <c r="H25" s="11">
        <v>3</v>
      </c>
      <c r="I25" s="11"/>
      <c r="J25" s="11"/>
      <c r="K25" s="11"/>
      <c r="L25" s="11">
        <v>20.5</v>
      </c>
      <c r="M25" s="13"/>
    </row>
    <row r="26" spans="1:13" ht="18.5" x14ac:dyDescent="0.45">
      <c r="A26" s="3">
        <v>25</v>
      </c>
      <c r="B26" s="9" t="s">
        <v>72</v>
      </c>
      <c r="C26" s="4" t="s">
        <v>12</v>
      </c>
      <c r="D26" s="11">
        <f>SUM(1409+1503)</f>
        <v>2912</v>
      </c>
      <c r="E26" s="11">
        <f>SUM(119+107)</f>
        <v>226</v>
      </c>
      <c r="F26" s="12">
        <f t="shared" si="0"/>
        <v>12.88495575221239</v>
      </c>
      <c r="G26" s="11">
        <v>2</v>
      </c>
      <c r="H26" s="11">
        <v>1</v>
      </c>
      <c r="I26" s="11"/>
      <c r="J26" s="11"/>
      <c r="K26" s="11"/>
      <c r="L26" s="11">
        <v>6.5</v>
      </c>
      <c r="M26" s="13"/>
    </row>
    <row r="27" spans="1:13" ht="18.5" x14ac:dyDescent="0.45">
      <c r="A27" s="3">
        <v>26</v>
      </c>
      <c r="B27" s="9" t="s">
        <v>82</v>
      </c>
      <c r="C27" s="4" t="s">
        <v>89</v>
      </c>
      <c r="D27" s="11">
        <f>SUM(1451+1138+1313+1427+1430)</f>
        <v>6759</v>
      </c>
      <c r="E27" s="11">
        <f>SUM(115+81+108+114+112)</f>
        <v>530</v>
      </c>
      <c r="F27" s="12">
        <f t="shared" si="0"/>
        <v>12.752830188679246</v>
      </c>
      <c r="G27" s="11">
        <v>5</v>
      </c>
      <c r="H27" s="11">
        <v>3</v>
      </c>
      <c r="I27" s="11"/>
      <c r="J27" s="11"/>
      <c r="K27" s="11"/>
      <c r="L27" s="11">
        <v>13</v>
      </c>
      <c r="M27" s="13"/>
    </row>
    <row r="28" spans="1:13" ht="18.5" x14ac:dyDescent="0.45">
      <c r="A28" s="3">
        <v>27</v>
      </c>
      <c r="B28" s="7" t="s">
        <v>79</v>
      </c>
      <c r="C28" s="4" t="s">
        <v>89</v>
      </c>
      <c r="D28" s="11">
        <f>SUM(1393+1406+1309+1237+1494+1503)</f>
        <v>8342</v>
      </c>
      <c r="E28" s="11">
        <f>SUM(111+98+89+99+156+103)</f>
        <v>656</v>
      </c>
      <c r="F28" s="12">
        <f t="shared" si="0"/>
        <v>12.716463414634147</v>
      </c>
      <c r="G28" s="11">
        <v>6</v>
      </c>
      <c r="H28" s="11">
        <v>3</v>
      </c>
      <c r="I28" s="11"/>
      <c r="J28" s="11"/>
      <c r="K28" s="11"/>
      <c r="L28" s="11">
        <v>16.5</v>
      </c>
      <c r="M28" s="13">
        <v>5</v>
      </c>
    </row>
    <row r="29" spans="1:13" ht="18.5" x14ac:dyDescent="0.45">
      <c r="A29" s="3">
        <v>28</v>
      </c>
      <c r="B29" s="7" t="s">
        <v>29</v>
      </c>
      <c r="C29" s="4" t="s">
        <v>66</v>
      </c>
      <c r="D29" s="11">
        <f>SUM(1467+1499+1403+1499+1276+1487)</f>
        <v>8631</v>
      </c>
      <c r="E29" s="11">
        <f>SUM(129+121+106+120+102+101)</f>
        <v>679</v>
      </c>
      <c r="F29" s="12">
        <f t="shared" si="0"/>
        <v>12.711340206185566</v>
      </c>
      <c r="G29" s="11">
        <v>6</v>
      </c>
      <c r="H29" s="11">
        <v>4</v>
      </c>
      <c r="I29" s="11"/>
      <c r="J29" s="11"/>
      <c r="K29" s="11"/>
      <c r="L29" s="11">
        <v>16</v>
      </c>
      <c r="M29" s="13">
        <v>5</v>
      </c>
    </row>
    <row r="30" spans="1:13" ht="18.5" x14ac:dyDescent="0.45">
      <c r="A30" s="3">
        <v>29</v>
      </c>
      <c r="B30" s="9" t="s">
        <v>63</v>
      </c>
      <c r="C30" s="4" t="s">
        <v>27</v>
      </c>
      <c r="D30" s="11">
        <f>SUM(1424+1501+1501+1473+1429+1406)</f>
        <v>8734</v>
      </c>
      <c r="E30" s="11">
        <f>SUM(90+147+123+91+148+90)</f>
        <v>689</v>
      </c>
      <c r="F30" s="12">
        <f t="shared" si="0"/>
        <v>12.676342525399129</v>
      </c>
      <c r="G30" s="11">
        <v>6</v>
      </c>
      <c r="H30" s="11">
        <v>4</v>
      </c>
      <c r="I30" s="11"/>
      <c r="J30" s="11"/>
      <c r="K30" s="11"/>
      <c r="L30" s="11">
        <v>19.5</v>
      </c>
      <c r="M30" s="13"/>
    </row>
    <row r="31" spans="1:13" ht="18.5" x14ac:dyDescent="0.45">
      <c r="A31" s="3">
        <v>30</v>
      </c>
      <c r="B31" s="7" t="s">
        <v>107</v>
      </c>
      <c r="C31" s="4" t="s">
        <v>14</v>
      </c>
      <c r="D31" s="11">
        <f>SUM(1081+1364)</f>
        <v>2445</v>
      </c>
      <c r="E31" s="11">
        <f>SUM(81+113)</f>
        <v>194</v>
      </c>
      <c r="F31" s="12">
        <f t="shared" si="0"/>
        <v>12.603092783505154</v>
      </c>
      <c r="G31" s="11">
        <v>2</v>
      </c>
      <c r="H31" s="11"/>
      <c r="I31" s="11"/>
      <c r="J31" s="11"/>
      <c r="K31" s="11"/>
      <c r="L31" s="11">
        <v>2</v>
      </c>
      <c r="M31" s="13"/>
    </row>
    <row r="32" spans="1:13" ht="18.5" x14ac:dyDescent="0.45">
      <c r="A32" s="3">
        <v>31</v>
      </c>
      <c r="B32" s="58" t="s">
        <v>84</v>
      </c>
      <c r="C32" s="8" t="s">
        <v>103</v>
      </c>
      <c r="D32" s="11">
        <f>SUM(1385+1489+1228+1410+1447)</f>
        <v>6959</v>
      </c>
      <c r="E32" s="11">
        <f>SUM(107+126+87+126+108)</f>
        <v>554</v>
      </c>
      <c r="F32" s="12">
        <f t="shared" si="0"/>
        <v>12.561371841155236</v>
      </c>
      <c r="G32" s="11">
        <v>5</v>
      </c>
      <c r="H32" s="11"/>
      <c r="I32" s="11"/>
      <c r="J32" s="11"/>
      <c r="K32" s="11"/>
      <c r="L32" s="11">
        <v>5</v>
      </c>
      <c r="M32" s="13"/>
    </row>
    <row r="33" spans="1:13" ht="18.5" x14ac:dyDescent="0.45">
      <c r="A33" s="3">
        <v>32</v>
      </c>
      <c r="B33" s="7" t="s">
        <v>20</v>
      </c>
      <c r="C33" s="7" t="s">
        <v>16</v>
      </c>
      <c r="D33" s="11">
        <f>SUM(1316+1259+1404+1356+1498)</f>
        <v>6833</v>
      </c>
      <c r="E33" s="11">
        <f>SUM(107+90+101+97+152)</f>
        <v>547</v>
      </c>
      <c r="F33" s="12">
        <f t="shared" si="0"/>
        <v>12.491773308957953</v>
      </c>
      <c r="G33" s="11">
        <v>5</v>
      </c>
      <c r="H33" s="11">
        <v>1</v>
      </c>
      <c r="I33" s="11"/>
      <c r="J33" s="11"/>
      <c r="K33" s="11"/>
      <c r="L33" s="11">
        <v>13</v>
      </c>
      <c r="M33" s="13"/>
    </row>
    <row r="34" spans="1:13" ht="18.5" x14ac:dyDescent="0.45">
      <c r="A34" s="3">
        <v>33</v>
      </c>
      <c r="B34" s="16" t="s">
        <v>114</v>
      </c>
      <c r="C34" s="7" t="s">
        <v>16</v>
      </c>
      <c r="D34" s="11">
        <f>SUM(1286)</f>
        <v>1286</v>
      </c>
      <c r="E34" s="11">
        <f>SUM(104)</f>
        <v>104</v>
      </c>
      <c r="F34" s="12">
        <f t="shared" ref="F34:F65" si="1">SUM(D34/E34)</f>
        <v>12.365384615384615</v>
      </c>
      <c r="G34" s="11">
        <v>1</v>
      </c>
      <c r="H34" s="11"/>
      <c r="I34" s="11"/>
      <c r="J34" s="11"/>
      <c r="K34" s="11"/>
      <c r="L34" s="11">
        <v>4</v>
      </c>
      <c r="M34" s="13"/>
    </row>
    <row r="35" spans="1:13" ht="18.5" x14ac:dyDescent="0.45">
      <c r="A35" s="3">
        <v>34</v>
      </c>
      <c r="B35" s="15" t="s">
        <v>34</v>
      </c>
      <c r="C35" s="4" t="s">
        <v>27</v>
      </c>
      <c r="D35" s="11">
        <f>SUM(1315+1435+1406+1490+1393+1184)</f>
        <v>8223</v>
      </c>
      <c r="E35" s="11">
        <f>SUM(90+109+99+157+128+86)</f>
        <v>669</v>
      </c>
      <c r="F35" s="12">
        <f t="shared" si="1"/>
        <v>12.291479820627803</v>
      </c>
      <c r="G35" s="11">
        <v>6</v>
      </c>
      <c r="H35" s="11">
        <v>4</v>
      </c>
      <c r="I35" s="11"/>
      <c r="J35" s="11"/>
      <c r="K35" s="11"/>
      <c r="L35" s="11">
        <v>16.5</v>
      </c>
      <c r="M35" s="13"/>
    </row>
    <row r="36" spans="1:13" ht="18.5" x14ac:dyDescent="0.45">
      <c r="A36" s="3">
        <v>35</v>
      </c>
      <c r="B36" s="16" t="s">
        <v>78</v>
      </c>
      <c r="C36" s="4" t="s">
        <v>18</v>
      </c>
      <c r="D36" s="11">
        <f>SUM(1503+1488+1478+1211)</f>
        <v>5680</v>
      </c>
      <c r="E36" s="11">
        <f>SUM(102+160+117+90)</f>
        <v>469</v>
      </c>
      <c r="F36" s="12">
        <f t="shared" si="1"/>
        <v>12.110874200426439</v>
      </c>
      <c r="G36" s="11">
        <v>4</v>
      </c>
      <c r="H36" s="11">
        <v>1</v>
      </c>
      <c r="I36" s="11"/>
      <c r="J36" s="11"/>
      <c r="K36" s="11"/>
      <c r="L36" s="11">
        <v>8.5</v>
      </c>
      <c r="M36" s="13"/>
    </row>
    <row r="37" spans="1:13" ht="18.5" x14ac:dyDescent="0.45">
      <c r="A37" s="3">
        <v>36</v>
      </c>
      <c r="B37" s="10" t="s">
        <v>42</v>
      </c>
      <c r="C37" s="7" t="s">
        <v>18</v>
      </c>
      <c r="D37" s="11">
        <f>SUM(1503+1503+1497+1499)</f>
        <v>6002</v>
      </c>
      <c r="E37" s="11">
        <f>SUM(133+134+132+103)</f>
        <v>502</v>
      </c>
      <c r="F37" s="12">
        <f t="shared" si="1"/>
        <v>11.95617529880478</v>
      </c>
      <c r="G37" s="11">
        <v>4</v>
      </c>
      <c r="H37" s="11">
        <v>4</v>
      </c>
      <c r="I37" s="11"/>
      <c r="J37" s="11"/>
      <c r="K37" s="11"/>
      <c r="L37" s="11">
        <v>19.5</v>
      </c>
      <c r="M37" s="13"/>
    </row>
    <row r="38" spans="1:13" ht="18.5" x14ac:dyDescent="0.45">
      <c r="A38" s="3">
        <v>37</v>
      </c>
      <c r="B38" s="16" t="s">
        <v>105</v>
      </c>
      <c r="C38" s="7" t="s">
        <v>89</v>
      </c>
      <c r="D38" s="11">
        <f>SUM(1344+1443+1351+1475+1447)</f>
        <v>7060</v>
      </c>
      <c r="E38" s="11">
        <f>SUM(108+114+117+134+119)</f>
        <v>592</v>
      </c>
      <c r="F38" s="12">
        <f t="shared" si="1"/>
        <v>11.925675675675675</v>
      </c>
      <c r="G38" s="11">
        <v>5</v>
      </c>
      <c r="H38" s="11">
        <v>1</v>
      </c>
      <c r="I38" s="11"/>
      <c r="J38" s="11"/>
      <c r="K38" s="11"/>
      <c r="L38" s="11">
        <v>10.5</v>
      </c>
      <c r="M38" s="13"/>
    </row>
    <row r="39" spans="1:13" ht="18.5" x14ac:dyDescent="0.45">
      <c r="A39" s="3">
        <v>38</v>
      </c>
      <c r="B39" s="16" t="s">
        <v>37</v>
      </c>
      <c r="C39" s="7" t="s">
        <v>66</v>
      </c>
      <c r="D39" s="11">
        <f>SUM(1218+1106+1372+1315+1297+1210)</f>
        <v>7518</v>
      </c>
      <c r="E39" s="11">
        <f>SUM(96+84+120+102+141+96)</f>
        <v>639</v>
      </c>
      <c r="F39" s="12">
        <f t="shared" si="1"/>
        <v>11.765258215962442</v>
      </c>
      <c r="G39" s="11">
        <v>6</v>
      </c>
      <c r="H39" s="11"/>
      <c r="I39" s="11"/>
      <c r="J39" s="11"/>
      <c r="K39" s="11"/>
      <c r="L39" s="11">
        <v>8</v>
      </c>
      <c r="M39" s="13"/>
    </row>
    <row r="40" spans="1:13" ht="18.5" x14ac:dyDescent="0.45">
      <c r="A40" s="3">
        <v>39</v>
      </c>
      <c r="B40" s="10" t="s">
        <v>38</v>
      </c>
      <c r="C40" s="7" t="s">
        <v>103</v>
      </c>
      <c r="D40" s="11">
        <f>SUM(1214+1381+1209+1331+1260+1475)</f>
        <v>7870</v>
      </c>
      <c r="E40" s="11">
        <f>SUM(116+115+105+126+116+93)</f>
        <v>671</v>
      </c>
      <c r="F40" s="12">
        <f t="shared" si="1"/>
        <v>11.72876304023845</v>
      </c>
      <c r="G40" s="11">
        <v>6</v>
      </c>
      <c r="H40" s="11"/>
      <c r="I40" s="11"/>
      <c r="J40" s="11"/>
      <c r="K40" s="11"/>
      <c r="L40" s="11">
        <v>9</v>
      </c>
      <c r="M40" s="13"/>
    </row>
    <row r="41" spans="1:13" ht="18.5" x14ac:dyDescent="0.45">
      <c r="A41" s="3">
        <v>40</v>
      </c>
      <c r="B41" s="10" t="s">
        <v>113</v>
      </c>
      <c r="C41" s="7" t="s">
        <v>16</v>
      </c>
      <c r="D41" s="11">
        <f>SUM(1499)</f>
        <v>1499</v>
      </c>
      <c r="E41" s="11">
        <f>SUM(128)</f>
        <v>128</v>
      </c>
      <c r="F41" s="12">
        <f t="shared" si="1"/>
        <v>11.7109375</v>
      </c>
      <c r="G41" s="11">
        <v>1</v>
      </c>
      <c r="H41" s="11"/>
      <c r="I41" s="11"/>
      <c r="J41" s="11"/>
      <c r="K41" s="11"/>
      <c r="L41" s="11">
        <v>3.5</v>
      </c>
      <c r="M41" s="13"/>
    </row>
    <row r="42" spans="1:13" ht="18.5" x14ac:dyDescent="0.45">
      <c r="A42" s="3">
        <v>41</v>
      </c>
      <c r="B42" s="10" t="s">
        <v>39</v>
      </c>
      <c r="C42" s="7" t="s">
        <v>32</v>
      </c>
      <c r="D42" s="11">
        <f>SUM(1397+971+1477+1493+1123+1483)</f>
        <v>7944</v>
      </c>
      <c r="E42" s="11">
        <f>SUM(109+84+128+136+89+135)</f>
        <v>681</v>
      </c>
      <c r="F42" s="12">
        <f t="shared" si="1"/>
        <v>11.665198237885463</v>
      </c>
      <c r="G42" s="11">
        <v>6</v>
      </c>
      <c r="H42" s="11"/>
      <c r="I42" s="11"/>
      <c r="J42" s="11"/>
      <c r="K42" s="11"/>
      <c r="L42" s="11">
        <v>12</v>
      </c>
      <c r="M42" s="13"/>
    </row>
    <row r="43" spans="1:13" ht="18.5" x14ac:dyDescent="0.45">
      <c r="A43" s="3">
        <v>42</v>
      </c>
      <c r="B43" s="35" t="s">
        <v>43</v>
      </c>
      <c r="C43" s="7" t="s">
        <v>66</v>
      </c>
      <c r="D43" s="11">
        <f>SUM(1252+1503+1201+1498+1182+1482)</f>
        <v>8118</v>
      </c>
      <c r="E43" s="11">
        <f>SUM(120+142+91+137+104+119)</f>
        <v>713</v>
      </c>
      <c r="F43" s="12">
        <f t="shared" si="1"/>
        <v>11.385694249649369</v>
      </c>
      <c r="G43" s="11">
        <v>6</v>
      </c>
      <c r="H43" s="11">
        <v>2</v>
      </c>
      <c r="I43" s="11"/>
      <c r="J43" s="11"/>
      <c r="K43" s="11"/>
      <c r="L43" s="11">
        <v>14.5</v>
      </c>
      <c r="M43" s="13">
        <v>5</v>
      </c>
    </row>
    <row r="44" spans="1:13" ht="18.5" x14ac:dyDescent="0.45">
      <c r="A44" s="3">
        <v>43</v>
      </c>
      <c r="B44" s="15" t="s">
        <v>104</v>
      </c>
      <c r="C44" s="7" t="s">
        <v>27</v>
      </c>
      <c r="D44" s="11">
        <f>SUM(1442)</f>
        <v>1442</v>
      </c>
      <c r="E44" s="11">
        <f>SUM(129)</f>
        <v>129</v>
      </c>
      <c r="F44" s="12">
        <f t="shared" si="1"/>
        <v>11.178294573643411</v>
      </c>
      <c r="G44" s="11">
        <v>1</v>
      </c>
      <c r="H44" s="11"/>
      <c r="I44" s="11"/>
      <c r="J44" s="11"/>
      <c r="K44" s="11"/>
      <c r="L44" s="11">
        <v>1</v>
      </c>
      <c r="M44" s="13"/>
    </row>
    <row r="45" spans="1:13" ht="18.5" x14ac:dyDescent="0.45">
      <c r="A45" s="3">
        <v>44</v>
      </c>
      <c r="B45" s="4" t="s">
        <v>35</v>
      </c>
      <c r="C45" s="4" t="s">
        <v>32</v>
      </c>
      <c r="D45" s="11">
        <f>SUM(1232)</f>
        <v>1232</v>
      </c>
      <c r="E45" s="11">
        <f>SUM(111)</f>
        <v>111</v>
      </c>
      <c r="F45" s="12">
        <f t="shared" si="1"/>
        <v>11.099099099099099</v>
      </c>
      <c r="G45" s="11">
        <v>1</v>
      </c>
      <c r="H45" s="11"/>
      <c r="I45" s="11"/>
      <c r="J45" s="11"/>
      <c r="K45" s="11"/>
      <c r="L45" s="11">
        <v>4</v>
      </c>
      <c r="M45" s="13"/>
    </row>
    <row r="46" spans="1:13" ht="18.5" x14ac:dyDescent="0.45">
      <c r="A46" s="3">
        <v>45</v>
      </c>
      <c r="B46" s="15" t="s">
        <v>70</v>
      </c>
      <c r="C46" s="4" t="s">
        <v>18</v>
      </c>
      <c r="D46" s="11">
        <f>SUM(1487+1277+1280+1499+1476)</f>
        <v>7019</v>
      </c>
      <c r="E46" s="11">
        <f>SUM(122+115+117+128+151)</f>
        <v>633</v>
      </c>
      <c r="F46" s="12">
        <f t="shared" si="1"/>
        <v>11.088467614533965</v>
      </c>
      <c r="G46" s="11">
        <v>5</v>
      </c>
      <c r="H46" s="11">
        <v>2</v>
      </c>
      <c r="I46" s="11"/>
      <c r="J46" s="11"/>
      <c r="K46" s="11"/>
      <c r="L46" s="11">
        <v>15.5</v>
      </c>
      <c r="M46" s="13"/>
    </row>
    <row r="47" spans="1:13" ht="18.5" x14ac:dyDescent="0.45">
      <c r="A47" s="3">
        <v>46</v>
      </c>
      <c r="B47" s="4" t="s">
        <v>83</v>
      </c>
      <c r="C47" s="8" t="s">
        <v>103</v>
      </c>
      <c r="D47" s="11">
        <f>SUM(1448+1487+1481)</f>
        <v>4416</v>
      </c>
      <c r="E47" s="11">
        <f>SUM(144+138+128)</f>
        <v>410</v>
      </c>
      <c r="F47" s="12">
        <f t="shared" si="1"/>
        <v>10.770731707317074</v>
      </c>
      <c r="G47" s="11">
        <v>3</v>
      </c>
      <c r="H47" s="11">
        <v>1</v>
      </c>
      <c r="I47" s="11"/>
      <c r="J47" s="11"/>
      <c r="K47" s="11"/>
      <c r="L47" s="11">
        <v>7</v>
      </c>
      <c r="M47" s="13"/>
    </row>
    <row r="48" spans="1:13" ht="18.5" x14ac:dyDescent="0.45">
      <c r="A48" s="3">
        <v>47</v>
      </c>
      <c r="B48" s="4" t="s">
        <v>80</v>
      </c>
      <c r="C48" s="4" t="s">
        <v>89</v>
      </c>
      <c r="D48" s="11">
        <f>SUM(1219+1493)</f>
        <v>2712</v>
      </c>
      <c r="E48" s="11">
        <f>SUM(108+144)</f>
        <v>252</v>
      </c>
      <c r="F48" s="12">
        <f t="shared" si="1"/>
        <v>10.761904761904763</v>
      </c>
      <c r="G48" s="11">
        <v>2</v>
      </c>
      <c r="H48" s="11">
        <v>1</v>
      </c>
      <c r="I48" s="11"/>
      <c r="J48" s="11"/>
      <c r="K48" s="11"/>
      <c r="L48" s="11">
        <v>6</v>
      </c>
      <c r="M48" s="13">
        <v>10</v>
      </c>
    </row>
    <row r="49" spans="1:18" ht="18.5" x14ac:dyDescent="0.45">
      <c r="A49" s="3">
        <v>48</v>
      </c>
      <c r="B49" s="15" t="s">
        <v>67</v>
      </c>
      <c r="C49" s="4" t="s">
        <v>32</v>
      </c>
      <c r="D49" s="11">
        <f>SUM(1261+1230+1487+1434+1097)</f>
        <v>6509</v>
      </c>
      <c r="E49" s="11">
        <f>SUM(102+96+177+137+99)</f>
        <v>611</v>
      </c>
      <c r="F49" s="12">
        <f t="shared" si="1"/>
        <v>10.653027823240588</v>
      </c>
      <c r="G49" s="11">
        <v>4</v>
      </c>
      <c r="H49" s="11">
        <v>2</v>
      </c>
      <c r="I49" s="11"/>
      <c r="J49" s="11"/>
      <c r="K49" s="11"/>
      <c r="L49" s="11">
        <v>6</v>
      </c>
      <c r="M49" s="13"/>
    </row>
    <row r="50" spans="1:18" ht="18.5" x14ac:dyDescent="0.45">
      <c r="A50" s="3">
        <v>49</v>
      </c>
      <c r="B50" s="4" t="s">
        <v>36</v>
      </c>
      <c r="C50" s="4" t="s">
        <v>66</v>
      </c>
      <c r="D50" s="11">
        <f>SUM(1457+1503+1489+1479+1444)</f>
        <v>7372</v>
      </c>
      <c r="E50" s="11">
        <f>SUM(116+124+152+178+127)</f>
        <v>697</v>
      </c>
      <c r="F50" s="12">
        <f t="shared" si="1"/>
        <v>10.576757532281205</v>
      </c>
      <c r="G50" s="11">
        <v>5</v>
      </c>
      <c r="H50" s="11">
        <v>2</v>
      </c>
      <c r="I50" s="11"/>
      <c r="J50" s="11"/>
      <c r="K50" s="11"/>
      <c r="L50" s="11">
        <v>13.5</v>
      </c>
      <c r="M50" s="13"/>
    </row>
    <row r="51" spans="1:18" ht="18.5" x14ac:dyDescent="0.45">
      <c r="A51" s="3">
        <v>50</v>
      </c>
      <c r="B51" s="4" t="s">
        <v>74</v>
      </c>
      <c r="C51" s="4" t="s">
        <v>66</v>
      </c>
      <c r="D51" s="11">
        <f>SUM(1266)</f>
        <v>1266</v>
      </c>
      <c r="E51" s="11">
        <f>SUM(141)</f>
        <v>141</v>
      </c>
      <c r="F51" s="12">
        <f t="shared" si="1"/>
        <v>8.9787234042553195</v>
      </c>
      <c r="G51" s="11">
        <v>1</v>
      </c>
      <c r="H51" s="11"/>
      <c r="I51" s="11"/>
      <c r="J51" s="11"/>
      <c r="K51" s="11"/>
      <c r="L51" s="11">
        <v>3</v>
      </c>
      <c r="M51" s="13"/>
    </row>
    <row r="52" spans="1:18" ht="17.25" customHeight="1" thickBot="1" x14ac:dyDescent="0.5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8" ht="19.5" customHeight="1" thickBot="1" x14ac:dyDescent="0.5">
      <c r="A53" s="5"/>
      <c r="B53" s="66" t="s">
        <v>112</v>
      </c>
      <c r="C53" s="57" t="s">
        <v>44</v>
      </c>
      <c r="D53" s="28" t="s">
        <v>45</v>
      </c>
      <c r="E53" s="29" t="s">
        <v>46</v>
      </c>
      <c r="F53" s="20" t="s">
        <v>62</v>
      </c>
      <c r="G53" s="30" t="s">
        <v>47</v>
      </c>
      <c r="I53" s="61" t="s">
        <v>48</v>
      </c>
      <c r="J53" s="62"/>
      <c r="K53" s="62"/>
      <c r="L53" s="62"/>
      <c r="M53" s="62"/>
      <c r="N53" s="62"/>
      <c r="O53" s="62"/>
      <c r="P53" s="62"/>
      <c r="Q53" s="62"/>
      <c r="R53" s="63"/>
    </row>
    <row r="54" spans="1:18" ht="18.5" x14ac:dyDescent="0.45">
      <c r="A54" s="5"/>
      <c r="B54" s="67"/>
      <c r="C54" s="17" t="s">
        <v>59</v>
      </c>
      <c r="D54" s="7">
        <v>6</v>
      </c>
      <c r="E54" s="22">
        <v>0</v>
      </c>
      <c r="F54" s="15"/>
      <c r="G54" s="23">
        <v>107</v>
      </c>
      <c r="I54" s="69" t="s">
        <v>49</v>
      </c>
      <c r="J54" s="70"/>
      <c r="K54" s="70"/>
      <c r="L54" s="70"/>
      <c r="M54" s="70"/>
      <c r="N54" s="64" t="s">
        <v>88</v>
      </c>
      <c r="O54" s="64"/>
      <c r="P54" s="64"/>
      <c r="Q54" s="64"/>
      <c r="R54" s="65"/>
    </row>
    <row r="55" spans="1:18" ht="18.5" x14ac:dyDescent="0.45">
      <c r="A55" s="5"/>
      <c r="B55" s="67"/>
      <c r="C55" s="17" t="s">
        <v>55</v>
      </c>
      <c r="D55" s="7">
        <v>5</v>
      </c>
      <c r="E55" s="22">
        <v>1</v>
      </c>
      <c r="F55" s="15"/>
      <c r="G55" s="23">
        <v>81</v>
      </c>
      <c r="I55" s="71" t="s">
        <v>51</v>
      </c>
      <c r="J55" s="72"/>
      <c r="K55" s="72"/>
      <c r="L55" s="72"/>
      <c r="M55" s="72"/>
      <c r="N55" s="59" t="s">
        <v>111</v>
      </c>
      <c r="O55" s="59"/>
      <c r="P55" s="59"/>
      <c r="Q55" s="59"/>
      <c r="R55" s="60"/>
    </row>
    <row r="56" spans="1:18" ht="18.5" x14ac:dyDescent="0.45">
      <c r="A56" s="5"/>
      <c r="B56" s="67"/>
      <c r="C56" s="17" t="s">
        <v>58</v>
      </c>
      <c r="D56" s="7">
        <v>4</v>
      </c>
      <c r="E56" s="16">
        <v>2</v>
      </c>
      <c r="F56" s="15"/>
      <c r="G56" s="17">
        <v>80</v>
      </c>
      <c r="I56" s="71" t="s">
        <v>53</v>
      </c>
      <c r="J56" s="72"/>
      <c r="K56" s="72"/>
      <c r="L56" s="72"/>
      <c r="M56" s="72"/>
      <c r="N56" s="59" t="s">
        <v>110</v>
      </c>
      <c r="O56" s="59"/>
      <c r="P56" s="59"/>
      <c r="Q56" s="59"/>
      <c r="R56" s="60"/>
    </row>
    <row r="57" spans="1:18" ht="18.5" x14ac:dyDescent="0.45">
      <c r="A57" s="6"/>
      <c r="B57" s="67"/>
      <c r="C57" s="17" t="s">
        <v>60</v>
      </c>
      <c r="D57" s="7">
        <v>4</v>
      </c>
      <c r="E57" s="22">
        <v>2</v>
      </c>
      <c r="F57" s="15"/>
      <c r="G57" s="23">
        <v>79</v>
      </c>
      <c r="I57" s="71" t="s">
        <v>54</v>
      </c>
      <c r="J57" s="72"/>
      <c r="K57" s="72"/>
      <c r="L57" s="72"/>
      <c r="M57" s="72"/>
      <c r="N57" s="59" t="s">
        <v>109</v>
      </c>
      <c r="O57" s="59"/>
      <c r="P57" s="59"/>
      <c r="Q57" s="59"/>
      <c r="R57" s="60"/>
    </row>
    <row r="58" spans="1:18" ht="18" customHeight="1" x14ac:dyDescent="0.45">
      <c r="A58" s="6"/>
      <c r="B58" s="67"/>
      <c r="C58" s="18" t="s">
        <v>61</v>
      </c>
      <c r="D58" s="9">
        <v>3</v>
      </c>
      <c r="E58" s="10">
        <v>3</v>
      </c>
      <c r="F58" s="15"/>
      <c r="G58" s="18">
        <v>72</v>
      </c>
      <c r="I58" s="71" t="s">
        <v>56</v>
      </c>
      <c r="J58" s="72"/>
      <c r="K58" s="72"/>
      <c r="L58" s="72"/>
      <c r="M58" s="72"/>
      <c r="N58" s="59" t="s">
        <v>108</v>
      </c>
      <c r="O58" s="59"/>
      <c r="P58" s="59"/>
      <c r="Q58" s="59"/>
      <c r="R58" s="60"/>
    </row>
    <row r="59" spans="1:18" ht="18" customHeight="1" thickBot="1" x14ac:dyDescent="0.5">
      <c r="A59" s="6"/>
      <c r="B59" s="67"/>
      <c r="C59" s="17" t="s">
        <v>50</v>
      </c>
      <c r="D59" s="7">
        <v>3</v>
      </c>
      <c r="E59" s="16">
        <v>3</v>
      </c>
      <c r="F59" s="15"/>
      <c r="G59" s="17">
        <v>70</v>
      </c>
      <c r="I59" s="73" t="s">
        <v>57</v>
      </c>
      <c r="J59" s="74"/>
      <c r="K59" s="74"/>
      <c r="L59" s="74"/>
      <c r="M59" s="74"/>
      <c r="N59" s="75" t="s">
        <v>86</v>
      </c>
      <c r="O59" s="75"/>
      <c r="P59" s="75"/>
      <c r="Q59" s="75"/>
      <c r="R59" s="76"/>
    </row>
    <row r="60" spans="1:18" ht="18.5" x14ac:dyDescent="0.45">
      <c r="A60" s="6"/>
      <c r="B60" s="67"/>
      <c r="C60" s="17" t="s">
        <v>73</v>
      </c>
      <c r="D60" s="7">
        <v>2</v>
      </c>
      <c r="E60" s="22">
        <v>4</v>
      </c>
      <c r="F60" s="15"/>
      <c r="G60" s="23">
        <v>63</v>
      </c>
      <c r="H60" s="6"/>
      <c r="I60" s="6"/>
    </row>
    <row r="61" spans="1:18" ht="18.5" x14ac:dyDescent="0.45">
      <c r="A61" s="6"/>
      <c r="B61" s="67"/>
      <c r="C61" s="19" t="s">
        <v>68</v>
      </c>
      <c r="D61" s="9">
        <v>2</v>
      </c>
      <c r="E61" s="10">
        <v>4</v>
      </c>
      <c r="F61" s="15"/>
      <c r="G61" s="18">
        <v>55</v>
      </c>
      <c r="H61" s="6"/>
    </row>
    <row r="62" spans="1:18" ht="18.5" x14ac:dyDescent="0.45">
      <c r="B62" s="67"/>
      <c r="C62" s="17" t="s">
        <v>52</v>
      </c>
      <c r="D62" s="7">
        <v>1</v>
      </c>
      <c r="E62" s="22">
        <v>5</v>
      </c>
      <c r="F62" s="15"/>
      <c r="G62" s="23">
        <v>56</v>
      </c>
    </row>
    <row r="63" spans="1:18" ht="19" thickBot="1" x14ac:dyDescent="0.5">
      <c r="B63" s="68"/>
      <c r="C63" s="18" t="s">
        <v>98</v>
      </c>
      <c r="D63" s="9">
        <v>0</v>
      </c>
      <c r="E63" s="10">
        <v>6</v>
      </c>
      <c r="F63" s="15"/>
      <c r="G63" s="18">
        <v>55</v>
      </c>
    </row>
    <row r="64" spans="1:18" ht="15" thickBot="1" x14ac:dyDescent="0.4"/>
    <row r="65" spans="3:7" ht="19" thickBot="1" x14ac:dyDescent="0.5">
      <c r="C65" s="27" t="s">
        <v>76</v>
      </c>
      <c r="D65" s="28" t="s">
        <v>45</v>
      </c>
      <c r="E65" s="28" t="s">
        <v>46</v>
      </c>
      <c r="F65" s="20" t="s">
        <v>62</v>
      </c>
      <c r="G65" s="31" t="s">
        <v>47</v>
      </c>
    </row>
    <row r="66" spans="3:7" ht="18.5" x14ac:dyDescent="0.45">
      <c r="C66" s="54" t="s">
        <v>59</v>
      </c>
      <c r="D66" s="14">
        <v>6</v>
      </c>
      <c r="E66" s="24">
        <v>0</v>
      </c>
      <c r="F66" s="15"/>
      <c r="G66" s="53">
        <v>107</v>
      </c>
    </row>
    <row r="67" spans="3:7" ht="18.5" x14ac:dyDescent="0.45">
      <c r="C67" s="56" t="s">
        <v>55</v>
      </c>
      <c r="D67" s="7">
        <v>5</v>
      </c>
      <c r="E67" s="22">
        <v>1</v>
      </c>
      <c r="F67" s="15"/>
      <c r="G67" s="55">
        <v>81</v>
      </c>
    </row>
    <row r="68" spans="3:7" ht="18.5" x14ac:dyDescent="0.45">
      <c r="C68" s="56" t="s">
        <v>60</v>
      </c>
      <c r="D68" s="7">
        <v>4</v>
      </c>
      <c r="E68" s="22">
        <v>2</v>
      </c>
      <c r="F68" s="15"/>
      <c r="G68" s="55">
        <v>79</v>
      </c>
    </row>
    <row r="69" spans="3:7" ht="19" thickBot="1" x14ac:dyDescent="0.5">
      <c r="C69" s="52" t="s">
        <v>50</v>
      </c>
      <c r="D69" s="51">
        <v>3</v>
      </c>
      <c r="E69" s="50">
        <v>3</v>
      </c>
      <c r="F69" s="49"/>
      <c r="G69" s="48">
        <v>70</v>
      </c>
    </row>
    <row r="70" spans="3:7" ht="18.5" x14ac:dyDescent="0.45">
      <c r="C70" s="54" t="s">
        <v>73</v>
      </c>
      <c r="D70" s="14">
        <v>2</v>
      </c>
      <c r="E70" s="24">
        <v>4</v>
      </c>
      <c r="F70" s="26"/>
      <c r="G70" s="53">
        <v>63</v>
      </c>
    </row>
    <row r="71" spans="3:7" ht="15" thickBot="1" x14ac:dyDescent="0.4"/>
    <row r="72" spans="3:7" ht="19" thickBot="1" x14ac:dyDescent="0.5">
      <c r="C72" s="27" t="s">
        <v>77</v>
      </c>
      <c r="D72" s="28" t="s">
        <v>45</v>
      </c>
      <c r="E72" s="28" t="s">
        <v>46</v>
      </c>
      <c r="F72" s="20" t="s">
        <v>62</v>
      </c>
      <c r="G72" s="31" t="s">
        <v>47</v>
      </c>
    </row>
    <row r="73" spans="3:7" ht="18.5" x14ac:dyDescent="0.45">
      <c r="C73" s="47" t="s">
        <v>58</v>
      </c>
      <c r="D73" s="46">
        <v>4</v>
      </c>
      <c r="E73" s="46">
        <v>2</v>
      </c>
      <c r="F73" s="26"/>
      <c r="G73" s="45">
        <v>80</v>
      </c>
    </row>
    <row r="74" spans="3:7" ht="18.5" x14ac:dyDescent="0.45">
      <c r="C74" s="42" t="s">
        <v>61</v>
      </c>
      <c r="D74" s="15">
        <v>3</v>
      </c>
      <c r="E74" s="15">
        <v>3</v>
      </c>
      <c r="F74" s="15"/>
      <c r="G74" s="41">
        <v>72</v>
      </c>
    </row>
    <row r="75" spans="3:7" ht="18.5" x14ac:dyDescent="0.45">
      <c r="C75" s="44" t="s">
        <v>68</v>
      </c>
      <c r="D75" s="4">
        <v>2</v>
      </c>
      <c r="E75" s="4">
        <v>4</v>
      </c>
      <c r="F75" s="15"/>
      <c r="G75" s="43">
        <v>55</v>
      </c>
    </row>
    <row r="76" spans="3:7" ht="19" thickBot="1" x14ac:dyDescent="0.5">
      <c r="C76" s="40" t="s">
        <v>52</v>
      </c>
      <c r="D76" s="39">
        <v>1</v>
      </c>
      <c r="E76" s="38">
        <v>5</v>
      </c>
      <c r="F76" s="37"/>
      <c r="G76" s="36">
        <v>56</v>
      </c>
    </row>
    <row r="77" spans="3:7" ht="18.5" x14ac:dyDescent="0.45">
      <c r="C77" s="42" t="s">
        <v>98</v>
      </c>
      <c r="D77" s="15">
        <v>0</v>
      </c>
      <c r="E77" s="15">
        <v>6</v>
      </c>
      <c r="F77" s="15"/>
      <c r="G77" s="41">
        <v>55</v>
      </c>
    </row>
  </sheetData>
  <mergeCells count="14">
    <mergeCell ref="B53:B63"/>
    <mergeCell ref="I54:M54"/>
    <mergeCell ref="I55:M55"/>
    <mergeCell ref="I56:M56"/>
    <mergeCell ref="I57:M57"/>
    <mergeCell ref="I58:M58"/>
    <mergeCell ref="I59:M59"/>
    <mergeCell ref="N59:R59"/>
    <mergeCell ref="I53:R53"/>
    <mergeCell ref="N54:R54"/>
    <mergeCell ref="N55:R55"/>
    <mergeCell ref="N56:R56"/>
    <mergeCell ref="N57:R57"/>
    <mergeCell ref="N58:R5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A0DFC-D7FB-4AB1-8F61-119E430C0455}">
  <sheetPr codeName="Sheet9"/>
  <dimension ref="A1:R78"/>
  <sheetViews>
    <sheetView workbookViewId="0">
      <pane ySplit="1" topLeftCell="A2" activePane="bottomLeft" state="frozen"/>
      <selection pane="bottomLeft" activeCell="C63" sqref="C63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8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18.8164062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19</v>
      </c>
      <c r="C2" s="4" t="s">
        <v>14</v>
      </c>
      <c r="D2" s="11">
        <f>SUM(1503+1501+1499+1401+1471)</f>
        <v>7375</v>
      </c>
      <c r="E2" s="11">
        <f>SUM(88+78+80+76+97)</f>
        <v>419</v>
      </c>
      <c r="F2" s="12">
        <f t="shared" ref="F2:F33" si="0">SUM(D2/E2)</f>
        <v>17.60143198090692</v>
      </c>
      <c r="G2" s="11">
        <v>5</v>
      </c>
      <c r="H2" s="11">
        <v>5</v>
      </c>
      <c r="I2" s="11"/>
      <c r="J2" s="11"/>
      <c r="K2" s="11"/>
      <c r="L2" s="11">
        <v>27</v>
      </c>
      <c r="M2" s="13">
        <v>15</v>
      </c>
    </row>
    <row r="3" spans="1:13" ht="18.5" x14ac:dyDescent="0.45">
      <c r="A3" s="3">
        <v>2</v>
      </c>
      <c r="B3" s="4" t="s">
        <v>23</v>
      </c>
      <c r="C3" s="4" t="s">
        <v>14</v>
      </c>
      <c r="D3" s="11">
        <f>SUM(1503+1503+1503+1479+1498+1336+1503)</f>
        <v>10325</v>
      </c>
      <c r="E3" s="11">
        <f>SUM(93+102+87+75+85+80+94)</f>
        <v>616</v>
      </c>
      <c r="F3" s="12">
        <f t="shared" si="0"/>
        <v>16.761363636363637</v>
      </c>
      <c r="G3" s="11">
        <v>7</v>
      </c>
      <c r="H3" s="11">
        <v>6</v>
      </c>
      <c r="I3" s="11">
        <v>1</v>
      </c>
      <c r="J3" s="11"/>
      <c r="K3" s="11">
        <v>1</v>
      </c>
      <c r="L3" s="11">
        <v>33</v>
      </c>
      <c r="M3" s="13">
        <v>5</v>
      </c>
    </row>
    <row r="4" spans="1:13" ht="18.5" x14ac:dyDescent="0.45">
      <c r="A4" s="3">
        <v>3</v>
      </c>
      <c r="B4" s="4" t="s">
        <v>15</v>
      </c>
      <c r="C4" s="4" t="s">
        <v>16</v>
      </c>
      <c r="D4" s="11">
        <f>SUM(1439+1494+1469+1433+1433+1403+1360)</f>
        <v>10031</v>
      </c>
      <c r="E4" s="11">
        <f>SUM(83+92+88+91+92+75+104)</f>
        <v>625</v>
      </c>
      <c r="F4" s="12">
        <f t="shared" si="0"/>
        <v>16.049600000000002</v>
      </c>
      <c r="G4" s="11">
        <v>7</v>
      </c>
      <c r="H4" s="11">
        <v>2</v>
      </c>
      <c r="I4" s="11"/>
      <c r="J4" s="11"/>
      <c r="K4" s="11"/>
      <c r="L4" s="11">
        <v>18</v>
      </c>
      <c r="M4" s="13">
        <v>5</v>
      </c>
    </row>
    <row r="5" spans="1:13" ht="18.5" x14ac:dyDescent="0.45">
      <c r="A5" s="3">
        <v>4</v>
      </c>
      <c r="B5" s="4" t="s">
        <v>13</v>
      </c>
      <c r="C5" s="4" t="s">
        <v>14</v>
      </c>
      <c r="D5" s="11">
        <f>SUM(1503+1493+1483+1503+1347+1503+1471)</f>
        <v>10303</v>
      </c>
      <c r="E5" s="11">
        <f>SUM(87+94+89+105+89+91+89)</f>
        <v>644</v>
      </c>
      <c r="F5" s="12">
        <f t="shared" si="0"/>
        <v>15.998447204968944</v>
      </c>
      <c r="G5" s="11">
        <v>7</v>
      </c>
      <c r="H5" s="11">
        <v>7</v>
      </c>
      <c r="I5" s="11"/>
      <c r="J5" s="11"/>
      <c r="K5" s="11"/>
      <c r="L5" s="11">
        <v>34</v>
      </c>
      <c r="M5" s="13">
        <v>5</v>
      </c>
    </row>
    <row r="6" spans="1:13" ht="18.5" x14ac:dyDescent="0.45">
      <c r="A6" s="3">
        <v>5</v>
      </c>
      <c r="B6" s="4" t="s">
        <v>11</v>
      </c>
      <c r="C6" s="4" t="s">
        <v>12</v>
      </c>
      <c r="D6" s="11">
        <f>SUM(1434+1499+1503+1463+1490+1467+1348)</f>
        <v>10204</v>
      </c>
      <c r="E6" s="11">
        <f>SUM(78+102+87+91+93+109+93)</f>
        <v>653</v>
      </c>
      <c r="F6" s="12">
        <f t="shared" si="0"/>
        <v>15.626339969372129</v>
      </c>
      <c r="G6" s="11">
        <v>7</v>
      </c>
      <c r="H6" s="11">
        <v>4</v>
      </c>
      <c r="I6" s="11">
        <v>1</v>
      </c>
      <c r="J6" s="11"/>
      <c r="K6" s="11"/>
      <c r="L6" s="11">
        <v>23</v>
      </c>
      <c r="M6" s="13">
        <v>15</v>
      </c>
    </row>
    <row r="7" spans="1:13" ht="18.5" x14ac:dyDescent="0.45">
      <c r="A7" s="3">
        <v>6</v>
      </c>
      <c r="B7" s="4" t="s">
        <v>26</v>
      </c>
      <c r="C7" s="4" t="s">
        <v>18</v>
      </c>
      <c r="D7" s="11">
        <f>SUM(1501+1503+1503+1491+1412+1503)</f>
        <v>8913</v>
      </c>
      <c r="E7" s="11">
        <f>SUM(125+90+100+97+76+91)</f>
        <v>579</v>
      </c>
      <c r="F7" s="12">
        <f t="shared" si="0"/>
        <v>15.393782383419689</v>
      </c>
      <c r="G7" s="11">
        <v>6</v>
      </c>
      <c r="H7" s="11">
        <v>5</v>
      </c>
      <c r="I7" s="11"/>
      <c r="J7" s="11"/>
      <c r="K7" s="11">
        <v>1</v>
      </c>
      <c r="L7" s="11">
        <v>26</v>
      </c>
      <c r="M7" s="13">
        <v>10</v>
      </c>
    </row>
    <row r="8" spans="1:13" ht="18.5" x14ac:dyDescent="0.45">
      <c r="A8" s="3">
        <v>7</v>
      </c>
      <c r="B8" s="4" t="s">
        <v>115</v>
      </c>
      <c r="C8" s="4" t="s">
        <v>103</v>
      </c>
      <c r="D8" s="11">
        <f>SUM(1503+1473+1444+1426+1498)</f>
        <v>7344</v>
      </c>
      <c r="E8" s="11">
        <f>SUM(115+100+87+93+103)</f>
        <v>498</v>
      </c>
      <c r="F8" s="12">
        <f t="shared" si="0"/>
        <v>14.746987951807229</v>
      </c>
      <c r="G8" s="11">
        <v>5</v>
      </c>
      <c r="H8" s="11">
        <v>4</v>
      </c>
      <c r="I8" s="11"/>
      <c r="J8" s="11"/>
      <c r="K8" s="11"/>
      <c r="L8" s="11">
        <v>13.5</v>
      </c>
      <c r="M8" s="13"/>
    </row>
    <row r="9" spans="1:13" ht="18.5" x14ac:dyDescent="0.45">
      <c r="A9" s="3">
        <v>8</v>
      </c>
      <c r="B9" s="4" t="s">
        <v>41</v>
      </c>
      <c r="C9" s="4" t="s">
        <v>16</v>
      </c>
      <c r="D9" s="11">
        <f>SUM(1305+1155+1497+1433+1488+1439+1495)</f>
        <v>9812</v>
      </c>
      <c r="E9" s="11">
        <f>SUM(82+73+109+98+104+100+102)</f>
        <v>668</v>
      </c>
      <c r="F9" s="12">
        <f t="shared" si="0"/>
        <v>14.688622754491018</v>
      </c>
      <c r="G9" s="11">
        <v>7</v>
      </c>
      <c r="H9" s="11">
        <v>5</v>
      </c>
      <c r="I9" s="11"/>
      <c r="J9" s="11"/>
      <c r="K9" s="11"/>
      <c r="L9" s="11">
        <v>26.5</v>
      </c>
      <c r="M9" s="13"/>
    </row>
    <row r="10" spans="1:13" ht="18.5" x14ac:dyDescent="0.45">
      <c r="A10" s="3">
        <v>9</v>
      </c>
      <c r="B10" s="4" t="s">
        <v>25</v>
      </c>
      <c r="C10" s="4" t="s">
        <v>12</v>
      </c>
      <c r="D10" s="11">
        <f>SUM(1124+1503+1455+1463+1431+1419)</f>
        <v>8395</v>
      </c>
      <c r="E10" s="11">
        <f>SUM(81+82+115+97+102+100)</f>
        <v>577</v>
      </c>
      <c r="F10" s="12">
        <f t="shared" si="0"/>
        <v>14.549393414211439</v>
      </c>
      <c r="G10" s="11">
        <v>6</v>
      </c>
      <c r="H10" s="11">
        <v>3</v>
      </c>
      <c r="I10" s="11"/>
      <c r="J10" s="11">
        <v>1</v>
      </c>
      <c r="K10" s="11"/>
      <c r="L10" s="11">
        <v>17</v>
      </c>
      <c r="M10" s="13">
        <v>5</v>
      </c>
    </row>
    <row r="11" spans="1:13" ht="18.5" x14ac:dyDescent="0.45">
      <c r="A11" s="3">
        <v>10</v>
      </c>
      <c r="B11" s="15" t="s">
        <v>64</v>
      </c>
      <c r="C11" s="4" t="s">
        <v>27</v>
      </c>
      <c r="D11" s="11">
        <f>SUM(1501+1463+1503+1285+1296+1461)</f>
        <v>8509</v>
      </c>
      <c r="E11" s="11">
        <f>SUM(113+99+115+86+72+103)</f>
        <v>588</v>
      </c>
      <c r="F11" s="12">
        <f t="shared" si="0"/>
        <v>14.471088435374149</v>
      </c>
      <c r="G11" s="11">
        <v>6</v>
      </c>
      <c r="H11" s="11">
        <v>2</v>
      </c>
      <c r="I11" s="11"/>
      <c r="J11" s="11"/>
      <c r="K11" s="11"/>
      <c r="L11" s="11">
        <v>17</v>
      </c>
      <c r="M11" s="13">
        <v>5</v>
      </c>
    </row>
    <row r="12" spans="1:13" ht="18.5" x14ac:dyDescent="0.45">
      <c r="A12" s="3">
        <v>11</v>
      </c>
      <c r="B12" s="15" t="s">
        <v>31</v>
      </c>
      <c r="C12" s="4" t="s">
        <v>32</v>
      </c>
      <c r="D12" s="11">
        <f>SUM(1463+1440+1348+1483+1155+1501+1486)</f>
        <v>9876</v>
      </c>
      <c r="E12" s="11">
        <f>SUM(87+90+90+101+80+109+137)</f>
        <v>694</v>
      </c>
      <c r="F12" s="12">
        <f t="shared" si="0"/>
        <v>14.230547550432277</v>
      </c>
      <c r="G12" s="11">
        <v>7</v>
      </c>
      <c r="H12" s="11">
        <v>4</v>
      </c>
      <c r="I12" s="11"/>
      <c r="J12" s="11"/>
      <c r="K12" s="11"/>
      <c r="L12" s="11">
        <v>19</v>
      </c>
      <c r="M12" s="13">
        <v>20</v>
      </c>
    </row>
    <row r="13" spans="1:13" ht="18.5" x14ac:dyDescent="0.45">
      <c r="A13" s="3">
        <v>12</v>
      </c>
      <c r="B13" s="3" t="s">
        <v>17</v>
      </c>
      <c r="C13" s="4" t="s">
        <v>18</v>
      </c>
      <c r="D13" s="11">
        <f>SUM(1503+1238+1475+1503+1447+1455+1297)</f>
        <v>9918</v>
      </c>
      <c r="E13" s="11">
        <f>SUM(101+96+104+93+109+100+96)</f>
        <v>699</v>
      </c>
      <c r="F13" s="12">
        <f t="shared" si="0"/>
        <v>14.188841201716738</v>
      </c>
      <c r="G13" s="11">
        <v>7</v>
      </c>
      <c r="H13" s="11">
        <v>2</v>
      </c>
      <c r="I13" s="11"/>
      <c r="J13" s="11"/>
      <c r="K13" s="11"/>
      <c r="L13" s="11">
        <v>20</v>
      </c>
      <c r="M13" s="13"/>
    </row>
    <row r="14" spans="1:13" ht="18.5" x14ac:dyDescent="0.45">
      <c r="A14" s="3">
        <v>13</v>
      </c>
      <c r="B14" s="15" t="s">
        <v>81</v>
      </c>
      <c r="C14" s="4" t="s">
        <v>89</v>
      </c>
      <c r="D14" s="11">
        <f>SUM(1431+1330+1465+1356+1495+1483+1453)</f>
        <v>10013</v>
      </c>
      <c r="E14" s="11">
        <f>SUM(111+103+105+76+116+100+108)</f>
        <v>719</v>
      </c>
      <c r="F14" s="12">
        <f t="shared" si="0"/>
        <v>13.926286509040334</v>
      </c>
      <c r="G14" s="11">
        <v>7</v>
      </c>
      <c r="H14" s="11">
        <v>4</v>
      </c>
      <c r="I14" s="11"/>
      <c r="J14" s="11"/>
      <c r="K14" s="11"/>
      <c r="L14" s="11">
        <v>20.5</v>
      </c>
      <c r="M14" s="13"/>
    </row>
    <row r="15" spans="1:13" ht="18.5" x14ac:dyDescent="0.45">
      <c r="A15" s="3">
        <v>14</v>
      </c>
      <c r="B15" s="15" t="s">
        <v>65</v>
      </c>
      <c r="C15" s="7" t="s">
        <v>27</v>
      </c>
      <c r="D15" s="11">
        <f>SUM(1423+1499+1489+1368+1469+1306)</f>
        <v>8554</v>
      </c>
      <c r="E15" s="11">
        <f>SUM(103+114+104+113+102+86)</f>
        <v>622</v>
      </c>
      <c r="F15" s="12">
        <f t="shared" si="0"/>
        <v>13.7524115755627</v>
      </c>
      <c r="G15" s="11">
        <v>6</v>
      </c>
      <c r="H15" s="11">
        <v>6</v>
      </c>
      <c r="I15" s="11"/>
      <c r="J15" s="11"/>
      <c r="K15" s="11">
        <v>1</v>
      </c>
      <c r="L15" s="11">
        <v>20.5</v>
      </c>
      <c r="M15" s="13"/>
    </row>
    <row r="16" spans="1:13" ht="18.5" x14ac:dyDescent="0.45">
      <c r="A16" s="3">
        <v>15</v>
      </c>
      <c r="B16" s="15" t="s">
        <v>85</v>
      </c>
      <c r="C16" s="4" t="s">
        <v>103</v>
      </c>
      <c r="D16" s="11">
        <f>SUM(1503+1503+1471+1501+1469+1503)</f>
        <v>8950</v>
      </c>
      <c r="E16" s="11">
        <f>SUM(97+85+93+158+100+121)</f>
        <v>654</v>
      </c>
      <c r="F16" s="12">
        <f t="shared" si="0"/>
        <v>13.685015290519878</v>
      </c>
      <c r="G16" s="11">
        <v>6</v>
      </c>
      <c r="H16" s="11">
        <v>5</v>
      </c>
      <c r="I16" s="11">
        <v>1</v>
      </c>
      <c r="J16" s="11"/>
      <c r="K16" s="11"/>
      <c r="L16" s="11">
        <v>24</v>
      </c>
      <c r="M16" s="13"/>
    </row>
    <row r="17" spans="1:13" ht="18.5" x14ac:dyDescent="0.45">
      <c r="A17" s="3">
        <v>16</v>
      </c>
      <c r="B17" s="3" t="s">
        <v>33</v>
      </c>
      <c r="C17" s="4" t="s">
        <v>22</v>
      </c>
      <c r="D17" s="11">
        <f>SUM(1385+1499+1356+1205+1499+1449+1503)</f>
        <v>9896</v>
      </c>
      <c r="E17" s="11">
        <f>SUM(79+109+82+81+141+120+114)</f>
        <v>726</v>
      </c>
      <c r="F17" s="12">
        <f t="shared" si="0"/>
        <v>13.630853994490359</v>
      </c>
      <c r="G17" s="11">
        <v>7</v>
      </c>
      <c r="H17" s="11">
        <v>4</v>
      </c>
      <c r="I17" s="11"/>
      <c r="J17" s="11"/>
      <c r="K17" s="11"/>
      <c r="L17" s="11">
        <v>25.5</v>
      </c>
      <c r="M17" s="13"/>
    </row>
    <row r="18" spans="1:13" ht="18.5" x14ac:dyDescent="0.45">
      <c r="A18" s="3">
        <v>17</v>
      </c>
      <c r="B18" s="4" t="s">
        <v>106</v>
      </c>
      <c r="C18" s="4" t="s">
        <v>12</v>
      </c>
      <c r="D18" s="11">
        <f>SUM(1503+1484+1456+1503+1447+1225)</f>
        <v>8618</v>
      </c>
      <c r="E18" s="11">
        <f>SUM(116+103+94+129+108+88)</f>
        <v>638</v>
      </c>
      <c r="F18" s="12">
        <f t="shared" si="0"/>
        <v>13.507836990595612</v>
      </c>
      <c r="G18" s="11">
        <v>6</v>
      </c>
      <c r="H18" s="11">
        <v>3</v>
      </c>
      <c r="I18" s="11"/>
      <c r="J18" s="11"/>
      <c r="K18" s="11"/>
      <c r="L18" s="11">
        <v>22</v>
      </c>
      <c r="M18" s="13">
        <v>5</v>
      </c>
    </row>
    <row r="19" spans="1:13" ht="18.5" x14ac:dyDescent="0.45">
      <c r="A19" s="3">
        <v>18</v>
      </c>
      <c r="B19" s="3" t="s">
        <v>21</v>
      </c>
      <c r="C19" s="4" t="s">
        <v>22</v>
      </c>
      <c r="D19" s="11">
        <f>SUM(1399+1503+1274+1463+1443+1165+1500)</f>
        <v>9747</v>
      </c>
      <c r="E19" s="11">
        <f>SUM(82+109+87+114+103+86+141)</f>
        <v>722</v>
      </c>
      <c r="F19" s="12">
        <f t="shared" si="0"/>
        <v>13.5</v>
      </c>
      <c r="G19" s="11">
        <v>7</v>
      </c>
      <c r="H19" s="11">
        <v>3</v>
      </c>
      <c r="I19" s="11"/>
      <c r="J19" s="11"/>
      <c r="K19" s="11"/>
      <c r="L19" s="11">
        <v>23.5</v>
      </c>
      <c r="M19" s="13"/>
    </row>
    <row r="20" spans="1:13" ht="18.5" x14ac:dyDescent="0.45">
      <c r="A20" s="3">
        <v>19</v>
      </c>
      <c r="B20" s="15" t="s">
        <v>30</v>
      </c>
      <c r="C20" s="4" t="s">
        <v>22</v>
      </c>
      <c r="D20" s="11">
        <f>SUM(1503+1285+1503+1425+1495+1503+1494)</f>
        <v>10208</v>
      </c>
      <c r="E20" s="11">
        <f>SUM(109+111+88+114+109+111+122)</f>
        <v>764</v>
      </c>
      <c r="F20" s="12">
        <f t="shared" si="0"/>
        <v>13.361256544502618</v>
      </c>
      <c r="G20" s="11">
        <v>7</v>
      </c>
      <c r="H20" s="11">
        <v>5</v>
      </c>
      <c r="I20" s="11"/>
      <c r="J20" s="11"/>
      <c r="K20" s="11"/>
      <c r="L20" s="11">
        <v>24.5</v>
      </c>
      <c r="M20" s="13">
        <v>5</v>
      </c>
    </row>
    <row r="21" spans="1:13" ht="18.5" x14ac:dyDescent="0.45">
      <c r="A21" s="3">
        <v>20</v>
      </c>
      <c r="B21" s="4" t="s">
        <v>24</v>
      </c>
      <c r="C21" s="4" t="s">
        <v>22</v>
      </c>
      <c r="D21" s="11">
        <f>SUM(1465+1469+1456+1497+1481+1470+1495)</f>
        <v>10333</v>
      </c>
      <c r="E21" s="11">
        <f>SUM(109+117+124+101+127+93+115)</f>
        <v>786</v>
      </c>
      <c r="F21" s="12">
        <f t="shared" si="0"/>
        <v>13.146310432569974</v>
      </c>
      <c r="G21" s="11">
        <v>7</v>
      </c>
      <c r="H21" s="11">
        <v>3</v>
      </c>
      <c r="I21" s="11"/>
      <c r="J21" s="11"/>
      <c r="K21" s="11"/>
      <c r="L21" s="11">
        <v>23.5</v>
      </c>
      <c r="M21" s="13"/>
    </row>
    <row r="22" spans="1:13" ht="18.5" x14ac:dyDescent="0.45">
      <c r="A22" s="3">
        <v>21</v>
      </c>
      <c r="B22" s="4" t="s">
        <v>40</v>
      </c>
      <c r="C22" s="4" t="s">
        <v>32</v>
      </c>
      <c r="D22" s="11">
        <f>SUM(1263+1432+1503+1311+1403+1503+1326)</f>
        <v>9741</v>
      </c>
      <c r="E22" s="11">
        <f>SUM(96+111+111+126+84+109+114)</f>
        <v>751</v>
      </c>
      <c r="F22" s="12">
        <f t="shared" si="0"/>
        <v>12.970705725699068</v>
      </c>
      <c r="G22" s="11">
        <v>7</v>
      </c>
      <c r="H22" s="11">
        <v>3</v>
      </c>
      <c r="I22" s="11"/>
      <c r="J22" s="11"/>
      <c r="K22" s="11"/>
      <c r="L22" s="11">
        <v>17.5</v>
      </c>
      <c r="M22" s="13"/>
    </row>
    <row r="23" spans="1:13" ht="18.5" x14ac:dyDescent="0.45">
      <c r="A23" s="3">
        <v>22</v>
      </c>
      <c r="B23" s="15" t="s">
        <v>82</v>
      </c>
      <c r="C23" s="4" t="s">
        <v>89</v>
      </c>
      <c r="D23" s="11">
        <f>SUM(1451+1138+1313+1427+1430+1357)</f>
        <v>8116</v>
      </c>
      <c r="E23" s="11">
        <f>SUM(115+81+108+114+112+96)</f>
        <v>626</v>
      </c>
      <c r="F23" s="12">
        <f t="shared" si="0"/>
        <v>12.964856230031948</v>
      </c>
      <c r="G23" s="11">
        <v>6</v>
      </c>
      <c r="H23" s="11">
        <v>3</v>
      </c>
      <c r="I23" s="11"/>
      <c r="J23" s="11"/>
      <c r="K23" s="11"/>
      <c r="L23" s="11">
        <v>15.5</v>
      </c>
      <c r="M23" s="13"/>
    </row>
    <row r="24" spans="1:13" ht="18.5" x14ac:dyDescent="0.45">
      <c r="A24" s="3">
        <v>23</v>
      </c>
      <c r="B24" s="15" t="s">
        <v>71</v>
      </c>
      <c r="C24" s="7" t="s">
        <v>16</v>
      </c>
      <c r="D24" s="11">
        <f>SUM(1373+1159+1501+1471+1503+1503)</f>
        <v>8510</v>
      </c>
      <c r="E24" s="11">
        <f>SUM(111+99+117+102+95+133)</f>
        <v>657</v>
      </c>
      <c r="F24" s="12">
        <f t="shared" si="0"/>
        <v>12.952815829528157</v>
      </c>
      <c r="G24" s="11">
        <v>6</v>
      </c>
      <c r="H24" s="11">
        <v>4</v>
      </c>
      <c r="I24" s="11"/>
      <c r="J24" s="11"/>
      <c r="K24" s="11"/>
      <c r="L24" s="11">
        <v>15.5</v>
      </c>
      <c r="M24" s="13"/>
    </row>
    <row r="25" spans="1:13" ht="18.5" x14ac:dyDescent="0.45">
      <c r="A25" s="3">
        <v>24</v>
      </c>
      <c r="B25" s="4" t="s">
        <v>29</v>
      </c>
      <c r="C25" s="4" t="s">
        <v>66</v>
      </c>
      <c r="D25" s="11">
        <f>SUM(1467+1499+1403+1499+1276+1487+1439)</f>
        <v>10070</v>
      </c>
      <c r="E25" s="11">
        <f>SUM(129+121+106+120+102+101+99)</f>
        <v>778</v>
      </c>
      <c r="F25" s="12">
        <f t="shared" si="0"/>
        <v>12.94344473007712</v>
      </c>
      <c r="G25" s="11">
        <v>7</v>
      </c>
      <c r="H25" s="11">
        <v>4</v>
      </c>
      <c r="I25" s="11"/>
      <c r="J25" s="11"/>
      <c r="K25" s="11"/>
      <c r="L25" s="11">
        <v>17</v>
      </c>
      <c r="M25" s="13">
        <v>5</v>
      </c>
    </row>
    <row r="26" spans="1:13" ht="18.5" x14ac:dyDescent="0.45">
      <c r="A26" s="3">
        <v>25</v>
      </c>
      <c r="B26" s="9" t="s">
        <v>72</v>
      </c>
      <c r="C26" s="4" t="s">
        <v>12</v>
      </c>
      <c r="D26" s="11">
        <f>SUM(1409+1503)</f>
        <v>2912</v>
      </c>
      <c r="E26" s="11">
        <f>SUM(119+107)</f>
        <v>226</v>
      </c>
      <c r="F26" s="12">
        <f t="shared" si="0"/>
        <v>12.88495575221239</v>
      </c>
      <c r="G26" s="11">
        <v>2</v>
      </c>
      <c r="H26" s="11">
        <v>1</v>
      </c>
      <c r="I26" s="11"/>
      <c r="J26" s="11"/>
      <c r="K26" s="11"/>
      <c r="L26" s="11">
        <v>6.5</v>
      </c>
      <c r="M26" s="13"/>
    </row>
    <row r="27" spans="1:13" ht="18.5" x14ac:dyDescent="0.45">
      <c r="A27" s="3">
        <v>26</v>
      </c>
      <c r="B27" s="7" t="s">
        <v>114</v>
      </c>
      <c r="C27" s="4" t="s">
        <v>16</v>
      </c>
      <c r="D27" s="11">
        <f>SUM(1286+1395)</f>
        <v>2681</v>
      </c>
      <c r="E27" s="11">
        <f>SUM(104+105)</f>
        <v>209</v>
      </c>
      <c r="F27" s="12">
        <f t="shared" si="0"/>
        <v>12.827751196172249</v>
      </c>
      <c r="G27" s="11">
        <v>2</v>
      </c>
      <c r="H27" s="11"/>
      <c r="I27" s="11"/>
      <c r="J27" s="11"/>
      <c r="K27" s="11"/>
      <c r="L27" s="11">
        <v>5.5</v>
      </c>
      <c r="M27" s="13"/>
    </row>
    <row r="28" spans="1:13" ht="18.5" x14ac:dyDescent="0.45">
      <c r="A28" s="3">
        <v>27</v>
      </c>
      <c r="B28" s="7" t="s">
        <v>78</v>
      </c>
      <c r="C28" s="4" t="s">
        <v>18</v>
      </c>
      <c r="D28" s="11">
        <f>SUM(1503+1488+1478+1211+1473)</f>
        <v>7153</v>
      </c>
      <c r="E28" s="11">
        <f>SUM(102+160+117+90+93)</f>
        <v>562</v>
      </c>
      <c r="F28" s="12">
        <f t="shared" si="0"/>
        <v>12.727758007117437</v>
      </c>
      <c r="G28" s="11">
        <v>5</v>
      </c>
      <c r="H28" s="11">
        <v>2</v>
      </c>
      <c r="I28" s="11"/>
      <c r="J28" s="11"/>
      <c r="K28" s="11"/>
      <c r="L28" s="11">
        <v>10.5</v>
      </c>
      <c r="M28" s="13"/>
    </row>
    <row r="29" spans="1:13" ht="18.5" x14ac:dyDescent="0.45">
      <c r="A29" s="3">
        <v>28</v>
      </c>
      <c r="B29" s="7" t="s">
        <v>84</v>
      </c>
      <c r="C29" s="4" t="s">
        <v>103</v>
      </c>
      <c r="D29" s="11">
        <f>SUM(1385+1489+1228+1410+1447+1440)</f>
        <v>8399</v>
      </c>
      <c r="E29" s="11">
        <f>SUM(107+126+87+126+108+106)</f>
        <v>660</v>
      </c>
      <c r="F29" s="12">
        <f t="shared" si="0"/>
        <v>12.725757575757576</v>
      </c>
      <c r="G29" s="11">
        <v>6</v>
      </c>
      <c r="H29" s="11"/>
      <c r="I29" s="11"/>
      <c r="J29" s="11"/>
      <c r="K29" s="11"/>
      <c r="L29" s="11">
        <v>7.5</v>
      </c>
      <c r="M29" s="13"/>
    </row>
    <row r="30" spans="1:13" ht="18.5" x14ac:dyDescent="0.45">
      <c r="A30" s="3">
        <v>29</v>
      </c>
      <c r="B30" s="9" t="s">
        <v>69</v>
      </c>
      <c r="C30" s="4" t="s">
        <v>14</v>
      </c>
      <c r="D30" s="11">
        <f>SUM(1497+1503+1455+1503+1487+1463+1503)</f>
        <v>10411</v>
      </c>
      <c r="E30" s="11">
        <f>SUM(119+89+126+118+133+86+148)</f>
        <v>819</v>
      </c>
      <c r="F30" s="12">
        <f t="shared" si="0"/>
        <v>12.711843711843711</v>
      </c>
      <c r="G30" s="11">
        <v>7</v>
      </c>
      <c r="H30" s="11">
        <v>6</v>
      </c>
      <c r="I30" s="11"/>
      <c r="J30" s="11"/>
      <c r="K30" s="11"/>
      <c r="L30" s="11">
        <v>32</v>
      </c>
      <c r="M30" s="13"/>
    </row>
    <row r="31" spans="1:13" ht="18.5" x14ac:dyDescent="0.45">
      <c r="A31" s="3">
        <v>30</v>
      </c>
      <c r="B31" s="7" t="s">
        <v>28</v>
      </c>
      <c r="C31" s="4" t="s">
        <v>12</v>
      </c>
      <c r="D31" s="11">
        <f>SUM(1228+1398+1503+1422+1503+1501+1252)</f>
        <v>9807</v>
      </c>
      <c r="E31" s="11">
        <f>SUM(90+96+119+100+121+136+110)</f>
        <v>772</v>
      </c>
      <c r="F31" s="12">
        <f t="shared" si="0"/>
        <v>12.703367875647668</v>
      </c>
      <c r="G31" s="11">
        <v>7</v>
      </c>
      <c r="H31" s="11">
        <v>3</v>
      </c>
      <c r="I31" s="11"/>
      <c r="J31" s="11"/>
      <c r="K31" s="11"/>
      <c r="L31" s="11">
        <v>23.5</v>
      </c>
      <c r="M31" s="13"/>
    </row>
    <row r="32" spans="1:13" ht="18.5" x14ac:dyDescent="0.45">
      <c r="A32" s="3">
        <v>31</v>
      </c>
      <c r="B32" s="34" t="s">
        <v>63</v>
      </c>
      <c r="C32" s="8" t="s">
        <v>27</v>
      </c>
      <c r="D32" s="11">
        <f>SUM(1424+1501+1501+1473+1429+1406)</f>
        <v>8734</v>
      </c>
      <c r="E32" s="11">
        <f>SUM(90+147+123+91+148+90)</f>
        <v>689</v>
      </c>
      <c r="F32" s="12">
        <f t="shared" si="0"/>
        <v>12.676342525399129</v>
      </c>
      <c r="G32" s="11">
        <v>6</v>
      </c>
      <c r="H32" s="11">
        <v>4</v>
      </c>
      <c r="I32" s="11"/>
      <c r="J32" s="11"/>
      <c r="K32" s="11"/>
      <c r="L32" s="11">
        <v>19.5</v>
      </c>
      <c r="M32" s="13"/>
    </row>
    <row r="33" spans="1:13" ht="18.5" x14ac:dyDescent="0.45">
      <c r="A33" s="3">
        <v>32</v>
      </c>
      <c r="B33" s="9" t="s">
        <v>34</v>
      </c>
      <c r="C33" s="7" t="s">
        <v>27</v>
      </c>
      <c r="D33" s="11">
        <f>SUM(1315+1435+1406+1490+1393+1184+1448)</f>
        <v>9671</v>
      </c>
      <c r="E33" s="11">
        <f>SUM(90+109+99+157+128+86+96)</f>
        <v>765</v>
      </c>
      <c r="F33" s="12">
        <f t="shared" si="0"/>
        <v>12.641830065359477</v>
      </c>
      <c r="G33" s="11">
        <v>7</v>
      </c>
      <c r="H33" s="11">
        <v>5</v>
      </c>
      <c r="I33" s="11"/>
      <c r="J33" s="11"/>
      <c r="K33" s="11"/>
      <c r="L33" s="11">
        <v>20</v>
      </c>
      <c r="M33" s="13"/>
    </row>
    <row r="34" spans="1:13" ht="18.5" x14ac:dyDescent="0.45">
      <c r="A34" s="3">
        <v>33</v>
      </c>
      <c r="B34" s="16" t="s">
        <v>107</v>
      </c>
      <c r="C34" s="7" t="s">
        <v>14</v>
      </c>
      <c r="D34" s="11">
        <f>SUM(1081+1364)</f>
        <v>2445</v>
      </c>
      <c r="E34" s="11">
        <f>SUM(81+113)</f>
        <v>194</v>
      </c>
      <c r="F34" s="12">
        <f t="shared" ref="F34:F65" si="1">SUM(D34/E34)</f>
        <v>12.603092783505154</v>
      </c>
      <c r="G34" s="11">
        <v>2</v>
      </c>
      <c r="H34" s="11"/>
      <c r="I34" s="11"/>
      <c r="J34" s="11"/>
      <c r="K34" s="11"/>
      <c r="L34" s="11">
        <v>2</v>
      </c>
      <c r="M34" s="13"/>
    </row>
    <row r="35" spans="1:13" ht="18.5" x14ac:dyDescent="0.45">
      <c r="A35" s="3">
        <v>34</v>
      </c>
      <c r="B35" s="4" t="s">
        <v>20</v>
      </c>
      <c r="C35" s="4" t="s">
        <v>16</v>
      </c>
      <c r="D35" s="11">
        <f>SUM(1316+1259+1404+1356+1498)</f>
        <v>6833</v>
      </c>
      <c r="E35" s="11">
        <f>SUM(107+90+101+97+152)</f>
        <v>547</v>
      </c>
      <c r="F35" s="12">
        <f t="shared" si="1"/>
        <v>12.491773308957953</v>
      </c>
      <c r="G35" s="11">
        <v>5</v>
      </c>
      <c r="H35" s="11">
        <v>1</v>
      </c>
      <c r="I35" s="11"/>
      <c r="J35" s="11"/>
      <c r="K35" s="11"/>
      <c r="L35" s="11">
        <v>15</v>
      </c>
      <c r="M35" s="13"/>
    </row>
    <row r="36" spans="1:13" ht="18.5" x14ac:dyDescent="0.45">
      <c r="A36" s="3">
        <v>35</v>
      </c>
      <c r="B36" s="16" t="s">
        <v>79</v>
      </c>
      <c r="C36" s="4" t="s">
        <v>89</v>
      </c>
      <c r="D36" s="11">
        <f>SUM(1393+1406+1309+1237+1494+1503+1495)</f>
        <v>9837</v>
      </c>
      <c r="E36" s="11">
        <f>SUM(111+98+89+99+156+103+139)</f>
        <v>795</v>
      </c>
      <c r="F36" s="12">
        <f t="shared" si="1"/>
        <v>12.373584905660378</v>
      </c>
      <c r="G36" s="11">
        <v>7</v>
      </c>
      <c r="H36" s="11">
        <v>4</v>
      </c>
      <c r="I36" s="11"/>
      <c r="J36" s="11"/>
      <c r="K36" s="11"/>
      <c r="L36" s="11">
        <v>21</v>
      </c>
      <c r="M36" s="13">
        <v>5</v>
      </c>
    </row>
    <row r="37" spans="1:13" ht="18.5" x14ac:dyDescent="0.45">
      <c r="A37" s="3">
        <v>36</v>
      </c>
      <c r="B37" s="16" t="s">
        <v>132</v>
      </c>
      <c r="C37" s="7" t="s">
        <v>27</v>
      </c>
      <c r="D37" s="11">
        <f>SUM(1343)</f>
        <v>1343</v>
      </c>
      <c r="E37" s="11">
        <f>SUM(110)</f>
        <v>110</v>
      </c>
      <c r="F37" s="12">
        <f t="shared" si="1"/>
        <v>12.209090909090909</v>
      </c>
      <c r="G37" s="11">
        <v>1</v>
      </c>
      <c r="H37" s="11"/>
      <c r="I37" s="11"/>
      <c r="J37" s="11"/>
      <c r="K37" s="11"/>
      <c r="L37" s="11">
        <v>1.5</v>
      </c>
      <c r="M37" s="13"/>
    </row>
    <row r="38" spans="1:13" ht="18.5" x14ac:dyDescent="0.45">
      <c r="A38" s="3">
        <v>37</v>
      </c>
      <c r="B38" s="16" t="s">
        <v>105</v>
      </c>
      <c r="C38" s="7" t="s">
        <v>89</v>
      </c>
      <c r="D38" s="11">
        <f>SUM(1344+1443+1351+1475+1447+1496)</f>
        <v>8556</v>
      </c>
      <c r="E38" s="11">
        <f>SUM(108+114+117+134+119+115)</f>
        <v>707</v>
      </c>
      <c r="F38" s="12">
        <f t="shared" si="1"/>
        <v>12.101838755304103</v>
      </c>
      <c r="G38" s="11">
        <v>6</v>
      </c>
      <c r="H38" s="11">
        <v>2</v>
      </c>
      <c r="I38" s="11"/>
      <c r="J38" s="11"/>
      <c r="K38" s="11"/>
      <c r="L38" s="11">
        <v>15</v>
      </c>
      <c r="M38" s="13"/>
    </row>
    <row r="39" spans="1:13" ht="18.5" x14ac:dyDescent="0.45">
      <c r="A39" s="3">
        <v>38</v>
      </c>
      <c r="B39" s="10" t="s">
        <v>42</v>
      </c>
      <c r="C39" s="7" t="s">
        <v>18</v>
      </c>
      <c r="D39" s="11">
        <f>SUM(1503+1503+1497+1499)</f>
        <v>6002</v>
      </c>
      <c r="E39" s="11">
        <f>SUM(133+134+132+103)</f>
        <v>502</v>
      </c>
      <c r="F39" s="12">
        <f t="shared" si="1"/>
        <v>11.95617529880478</v>
      </c>
      <c r="G39" s="11">
        <v>4</v>
      </c>
      <c r="H39" s="11">
        <v>4</v>
      </c>
      <c r="I39" s="11"/>
      <c r="J39" s="11"/>
      <c r="K39" s="11"/>
      <c r="L39" s="11">
        <v>19.5</v>
      </c>
      <c r="M39" s="13"/>
    </row>
    <row r="40" spans="1:13" ht="18.5" x14ac:dyDescent="0.45">
      <c r="A40" s="3">
        <v>39</v>
      </c>
      <c r="B40" s="16" t="s">
        <v>37</v>
      </c>
      <c r="C40" s="7" t="s">
        <v>66</v>
      </c>
      <c r="D40" s="11">
        <f>SUM(1218+1106+1372+1315+1297+1210+1169)</f>
        <v>8687</v>
      </c>
      <c r="E40" s="11">
        <f>SUM(96+84+120+102+141+96+93)</f>
        <v>732</v>
      </c>
      <c r="F40" s="12">
        <f t="shared" si="1"/>
        <v>11.867486338797814</v>
      </c>
      <c r="G40" s="11">
        <v>7</v>
      </c>
      <c r="H40" s="11"/>
      <c r="I40" s="11"/>
      <c r="J40" s="11"/>
      <c r="K40" s="11"/>
      <c r="L40" s="11">
        <v>8</v>
      </c>
      <c r="M40" s="13"/>
    </row>
    <row r="41" spans="1:13" ht="18.5" x14ac:dyDescent="0.45">
      <c r="A41" s="3">
        <v>40</v>
      </c>
      <c r="B41" s="10" t="s">
        <v>113</v>
      </c>
      <c r="C41" s="7" t="s">
        <v>16</v>
      </c>
      <c r="D41" s="11">
        <f>SUM(1499)</f>
        <v>1499</v>
      </c>
      <c r="E41" s="11">
        <f>SUM(128)</f>
        <v>128</v>
      </c>
      <c r="F41" s="12">
        <f t="shared" si="1"/>
        <v>11.7109375</v>
      </c>
      <c r="G41" s="11">
        <v>1</v>
      </c>
      <c r="H41" s="11"/>
      <c r="I41" s="11"/>
      <c r="J41" s="11"/>
      <c r="K41" s="11"/>
      <c r="L41" s="11">
        <v>3.5</v>
      </c>
      <c r="M41" s="13"/>
    </row>
    <row r="42" spans="1:13" ht="18.5" x14ac:dyDescent="0.45">
      <c r="A42" s="3">
        <v>41</v>
      </c>
      <c r="B42" s="10" t="s">
        <v>38</v>
      </c>
      <c r="C42" s="7" t="s">
        <v>103</v>
      </c>
      <c r="D42" s="11">
        <f>SUM(1214+1381+1209+1331+1260+1475+1467)</f>
        <v>9337</v>
      </c>
      <c r="E42" s="11">
        <f>SUM(116+115+105+126+116+93+129)</f>
        <v>800</v>
      </c>
      <c r="F42" s="12">
        <f t="shared" si="1"/>
        <v>11.671250000000001</v>
      </c>
      <c r="G42" s="11">
        <v>7</v>
      </c>
      <c r="H42" s="11"/>
      <c r="I42" s="11"/>
      <c r="J42" s="11"/>
      <c r="K42" s="11"/>
      <c r="L42" s="11">
        <v>10</v>
      </c>
      <c r="M42" s="13"/>
    </row>
    <row r="43" spans="1:13" ht="18.5" x14ac:dyDescent="0.45">
      <c r="A43" s="3">
        <v>42</v>
      </c>
      <c r="B43" s="35" t="s">
        <v>39</v>
      </c>
      <c r="C43" s="7" t="s">
        <v>32</v>
      </c>
      <c r="D43" s="11">
        <f>SUM(1397+971+1477+1493+1123+1483+1497)</f>
        <v>9441</v>
      </c>
      <c r="E43" s="11">
        <f>SUM(109+84+128+136+89+135+128)</f>
        <v>809</v>
      </c>
      <c r="F43" s="12">
        <f t="shared" si="1"/>
        <v>11.669962917181707</v>
      </c>
      <c r="G43" s="11">
        <v>7</v>
      </c>
      <c r="H43" s="11"/>
      <c r="I43" s="11"/>
      <c r="J43" s="11"/>
      <c r="K43" s="11"/>
      <c r="L43" s="11">
        <v>14</v>
      </c>
      <c r="M43" s="13"/>
    </row>
    <row r="44" spans="1:13" ht="18.5" x14ac:dyDescent="0.45">
      <c r="A44" s="3">
        <v>43</v>
      </c>
      <c r="B44" s="15" t="s">
        <v>43</v>
      </c>
      <c r="C44" s="7" t="s">
        <v>66</v>
      </c>
      <c r="D44" s="11">
        <f>SUM(1252+1503+1201+1498+1182+1482+1183)</f>
        <v>9301</v>
      </c>
      <c r="E44" s="11">
        <f>SUM(120+142+91+137+104+119+89)</f>
        <v>802</v>
      </c>
      <c r="F44" s="12">
        <f t="shared" si="1"/>
        <v>11.597256857855362</v>
      </c>
      <c r="G44" s="11">
        <v>7</v>
      </c>
      <c r="H44" s="11">
        <v>2</v>
      </c>
      <c r="I44" s="11"/>
      <c r="J44" s="11"/>
      <c r="K44" s="11"/>
      <c r="L44" s="11">
        <v>15.5</v>
      </c>
      <c r="M44" s="13">
        <v>5</v>
      </c>
    </row>
    <row r="45" spans="1:13" ht="18.5" x14ac:dyDescent="0.45">
      <c r="A45" s="3">
        <v>44</v>
      </c>
      <c r="B45" s="4" t="s">
        <v>83</v>
      </c>
      <c r="C45" s="4" t="s">
        <v>103</v>
      </c>
      <c r="D45" s="11">
        <f>SUM(1448+1487+1481+1487)</f>
        <v>5903</v>
      </c>
      <c r="E45" s="11">
        <f>SUM(144+138+128+104)</f>
        <v>514</v>
      </c>
      <c r="F45" s="12">
        <f t="shared" si="1"/>
        <v>11.48443579766537</v>
      </c>
      <c r="G45" s="11">
        <v>4</v>
      </c>
      <c r="H45" s="11">
        <v>2</v>
      </c>
      <c r="I45" s="11"/>
      <c r="J45" s="11"/>
      <c r="K45" s="11"/>
      <c r="L45" s="11">
        <v>10</v>
      </c>
      <c r="M45" s="13"/>
    </row>
    <row r="46" spans="1:13" ht="18.5" x14ac:dyDescent="0.45">
      <c r="A46" s="3">
        <v>45</v>
      </c>
      <c r="B46" s="15" t="s">
        <v>70</v>
      </c>
      <c r="C46" s="4" t="s">
        <v>18</v>
      </c>
      <c r="D46" s="11">
        <f>SUM(1487+1277+1280+1499+1476+1485)</f>
        <v>8504</v>
      </c>
      <c r="E46" s="11">
        <f>SUM(122+115+117+128+151+113)</f>
        <v>746</v>
      </c>
      <c r="F46" s="12">
        <f t="shared" si="1"/>
        <v>11.399463806970509</v>
      </c>
      <c r="G46" s="11">
        <v>6</v>
      </c>
      <c r="H46" s="11">
        <v>3</v>
      </c>
      <c r="I46" s="11"/>
      <c r="J46" s="11"/>
      <c r="K46" s="11"/>
      <c r="L46" s="11">
        <v>19</v>
      </c>
      <c r="M46" s="13"/>
    </row>
    <row r="47" spans="1:13" ht="18.5" x14ac:dyDescent="0.45">
      <c r="A47" s="3">
        <v>46</v>
      </c>
      <c r="B47" s="4" t="s">
        <v>35</v>
      </c>
      <c r="C47" s="8" t="s">
        <v>32</v>
      </c>
      <c r="D47" s="11">
        <f>SUM(1232+1259)</f>
        <v>2491</v>
      </c>
      <c r="E47" s="11">
        <f>SUM(111+114)</f>
        <v>225</v>
      </c>
      <c r="F47" s="12">
        <f t="shared" si="1"/>
        <v>11.071111111111112</v>
      </c>
      <c r="G47" s="11">
        <v>2</v>
      </c>
      <c r="H47" s="11"/>
      <c r="I47" s="11"/>
      <c r="J47" s="11"/>
      <c r="K47" s="11"/>
      <c r="L47" s="11">
        <v>5.5</v>
      </c>
      <c r="M47" s="13"/>
    </row>
    <row r="48" spans="1:13" ht="18.5" x14ac:dyDescent="0.45">
      <c r="A48" s="3">
        <v>47</v>
      </c>
      <c r="B48" s="15" t="s">
        <v>104</v>
      </c>
      <c r="C48" s="4" t="s">
        <v>27</v>
      </c>
      <c r="D48" s="11">
        <f>SUM(1442+1464)</f>
        <v>2906</v>
      </c>
      <c r="E48" s="11">
        <f>SUM(129+141)</f>
        <v>270</v>
      </c>
      <c r="F48" s="12">
        <f t="shared" si="1"/>
        <v>10.762962962962963</v>
      </c>
      <c r="G48" s="11">
        <v>2</v>
      </c>
      <c r="H48" s="11"/>
      <c r="I48" s="11"/>
      <c r="J48" s="11"/>
      <c r="K48" s="11"/>
      <c r="L48" s="11">
        <v>2.5</v>
      </c>
      <c r="M48" s="13"/>
    </row>
    <row r="49" spans="1:18" ht="18.5" x14ac:dyDescent="0.45">
      <c r="A49" s="3">
        <v>48</v>
      </c>
      <c r="B49" s="4" t="s">
        <v>80</v>
      </c>
      <c r="C49" s="4" t="s">
        <v>89</v>
      </c>
      <c r="D49" s="11">
        <f>SUM(1219+1493)</f>
        <v>2712</v>
      </c>
      <c r="E49" s="11">
        <f>SUM(108+144)</f>
        <v>252</v>
      </c>
      <c r="F49" s="12">
        <f t="shared" si="1"/>
        <v>10.761904761904763</v>
      </c>
      <c r="G49" s="11">
        <v>2</v>
      </c>
      <c r="H49" s="11">
        <v>1</v>
      </c>
      <c r="I49" s="11"/>
      <c r="J49" s="11"/>
      <c r="K49" s="11"/>
      <c r="L49" s="11">
        <v>6</v>
      </c>
      <c r="M49" s="13">
        <v>10</v>
      </c>
    </row>
    <row r="50" spans="1:18" ht="18.5" x14ac:dyDescent="0.45">
      <c r="A50" s="3">
        <v>49</v>
      </c>
      <c r="B50" s="15" t="s">
        <v>67</v>
      </c>
      <c r="C50" s="4" t="s">
        <v>32</v>
      </c>
      <c r="D50" s="11">
        <f>SUM(1261+1230+1487+1434+1097)</f>
        <v>6509</v>
      </c>
      <c r="E50" s="11">
        <f>SUM(102+96+177+137+99)</f>
        <v>611</v>
      </c>
      <c r="F50" s="12">
        <f t="shared" si="1"/>
        <v>10.653027823240588</v>
      </c>
      <c r="G50" s="11">
        <v>4</v>
      </c>
      <c r="H50" s="11">
        <v>2</v>
      </c>
      <c r="I50" s="11"/>
      <c r="J50" s="11"/>
      <c r="K50" s="11"/>
      <c r="L50" s="11">
        <v>6</v>
      </c>
      <c r="M50" s="13"/>
    </row>
    <row r="51" spans="1:18" ht="18.5" x14ac:dyDescent="0.45">
      <c r="A51" s="3">
        <v>50</v>
      </c>
      <c r="B51" s="4" t="s">
        <v>36</v>
      </c>
      <c r="C51" s="7" t="s">
        <v>66</v>
      </c>
      <c r="D51" s="11">
        <f>SUM(1457+1503+1489+1479+1444+1495)</f>
        <v>8867</v>
      </c>
      <c r="E51" s="11">
        <f>SUM(116+124+152+178+127+147)</f>
        <v>844</v>
      </c>
      <c r="F51" s="12">
        <f t="shared" si="1"/>
        <v>10.505924170616113</v>
      </c>
      <c r="G51" s="11">
        <v>6</v>
      </c>
      <c r="H51" s="11">
        <v>2</v>
      </c>
      <c r="I51" s="11"/>
      <c r="J51" s="11"/>
      <c r="K51" s="11"/>
      <c r="L51" s="11">
        <v>14</v>
      </c>
      <c r="M51" s="13"/>
    </row>
    <row r="52" spans="1:18" ht="18.5" x14ac:dyDescent="0.45">
      <c r="A52" s="3">
        <v>51</v>
      </c>
      <c r="B52" s="4" t="s">
        <v>74</v>
      </c>
      <c r="C52" s="4" t="s">
        <v>66</v>
      </c>
      <c r="D52" s="11">
        <f>SUM(1266)</f>
        <v>1266</v>
      </c>
      <c r="E52" s="11">
        <f>SUM(141)</f>
        <v>141</v>
      </c>
      <c r="F52" s="12">
        <f t="shared" si="1"/>
        <v>8.9787234042553195</v>
      </c>
      <c r="G52" s="11">
        <v>1</v>
      </c>
      <c r="H52" s="11"/>
      <c r="I52" s="11"/>
      <c r="J52" s="11"/>
      <c r="K52" s="11"/>
      <c r="L52" s="11">
        <v>3.5</v>
      </c>
      <c r="M52" s="13"/>
    </row>
    <row r="53" spans="1:18" ht="17.25" customHeight="1" thickBot="1" x14ac:dyDescent="0.5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8" ht="19.5" customHeight="1" thickBot="1" x14ac:dyDescent="0.5">
      <c r="A54" s="5"/>
      <c r="B54" s="66" t="s">
        <v>131</v>
      </c>
      <c r="C54" s="57" t="s">
        <v>44</v>
      </c>
      <c r="D54" s="28" t="s">
        <v>45</v>
      </c>
      <c r="E54" s="29" t="s">
        <v>46</v>
      </c>
      <c r="F54" s="20" t="s">
        <v>62</v>
      </c>
      <c r="G54" s="30" t="s">
        <v>47</v>
      </c>
      <c r="I54" s="61" t="s">
        <v>48</v>
      </c>
      <c r="J54" s="62"/>
      <c r="K54" s="62"/>
      <c r="L54" s="62"/>
      <c r="M54" s="62"/>
      <c r="N54" s="62"/>
      <c r="O54" s="62"/>
      <c r="P54" s="62"/>
      <c r="Q54" s="62"/>
      <c r="R54" s="63"/>
    </row>
    <row r="55" spans="1:18" ht="18.5" x14ac:dyDescent="0.45">
      <c r="A55" s="5"/>
      <c r="B55" s="67"/>
      <c r="C55" s="17" t="s">
        <v>59</v>
      </c>
      <c r="D55" s="7">
        <v>7</v>
      </c>
      <c r="E55" s="22">
        <v>0</v>
      </c>
      <c r="F55" s="15"/>
      <c r="G55" s="23">
        <v>128</v>
      </c>
      <c r="I55" s="69" t="s">
        <v>49</v>
      </c>
      <c r="J55" s="70"/>
      <c r="K55" s="70"/>
      <c r="L55" s="70"/>
      <c r="M55" s="70"/>
      <c r="N55" s="64" t="s">
        <v>88</v>
      </c>
      <c r="O55" s="64"/>
      <c r="P55" s="64"/>
      <c r="Q55" s="64"/>
      <c r="R55" s="65"/>
    </row>
    <row r="56" spans="1:18" ht="18.5" x14ac:dyDescent="0.45">
      <c r="A56" s="5"/>
      <c r="B56" s="67"/>
      <c r="C56" s="17" t="s">
        <v>60</v>
      </c>
      <c r="D56" s="7">
        <v>5</v>
      </c>
      <c r="E56" s="22">
        <v>2</v>
      </c>
      <c r="F56" s="15"/>
      <c r="G56" s="23">
        <v>97</v>
      </c>
      <c r="I56" s="71" t="s">
        <v>51</v>
      </c>
      <c r="J56" s="72"/>
      <c r="K56" s="72"/>
      <c r="L56" s="72"/>
      <c r="M56" s="72"/>
      <c r="N56" s="59" t="s">
        <v>130</v>
      </c>
      <c r="O56" s="59"/>
      <c r="P56" s="59"/>
      <c r="Q56" s="59"/>
      <c r="R56" s="60"/>
    </row>
    <row r="57" spans="1:18" ht="18.5" x14ac:dyDescent="0.45">
      <c r="A57" s="5"/>
      <c r="B57" s="67"/>
      <c r="C57" s="17" t="s">
        <v>58</v>
      </c>
      <c r="D57" s="7">
        <v>5</v>
      </c>
      <c r="E57" s="16">
        <v>2</v>
      </c>
      <c r="F57" s="15"/>
      <c r="G57" s="17">
        <v>93</v>
      </c>
      <c r="I57" s="71" t="s">
        <v>53</v>
      </c>
      <c r="J57" s="72"/>
      <c r="K57" s="72"/>
      <c r="L57" s="72"/>
      <c r="M57" s="72"/>
      <c r="N57" s="59" t="s">
        <v>129</v>
      </c>
      <c r="O57" s="59"/>
      <c r="P57" s="59"/>
      <c r="Q57" s="59"/>
      <c r="R57" s="60"/>
    </row>
    <row r="58" spans="1:18" ht="18.5" x14ac:dyDescent="0.45">
      <c r="A58" s="6"/>
      <c r="B58" s="67"/>
      <c r="C58" s="17" t="s">
        <v>55</v>
      </c>
      <c r="D58" s="7">
        <v>5</v>
      </c>
      <c r="E58" s="22">
        <v>2</v>
      </c>
      <c r="F58" s="15"/>
      <c r="G58" s="23">
        <v>92</v>
      </c>
      <c r="I58" s="71" t="s">
        <v>54</v>
      </c>
      <c r="J58" s="72"/>
      <c r="K58" s="72"/>
      <c r="L58" s="72"/>
      <c r="M58" s="72"/>
      <c r="N58" s="59" t="s">
        <v>128</v>
      </c>
      <c r="O58" s="59"/>
      <c r="P58" s="59"/>
      <c r="Q58" s="59"/>
      <c r="R58" s="60"/>
    </row>
    <row r="59" spans="1:18" ht="18" customHeight="1" x14ac:dyDescent="0.45">
      <c r="A59" s="6"/>
      <c r="B59" s="67"/>
      <c r="C59" s="17" t="s">
        <v>50</v>
      </c>
      <c r="D59" s="7">
        <v>4</v>
      </c>
      <c r="E59" s="16">
        <v>3</v>
      </c>
      <c r="F59" s="15"/>
      <c r="G59" s="17">
        <v>84</v>
      </c>
      <c r="I59" s="71" t="s">
        <v>56</v>
      </c>
      <c r="J59" s="72"/>
      <c r="K59" s="72"/>
      <c r="L59" s="72"/>
      <c r="M59" s="72"/>
      <c r="N59" s="59" t="s">
        <v>108</v>
      </c>
      <c r="O59" s="59"/>
      <c r="P59" s="59"/>
      <c r="Q59" s="59"/>
      <c r="R59" s="60"/>
    </row>
    <row r="60" spans="1:18" ht="18" customHeight="1" thickBot="1" x14ac:dyDescent="0.5">
      <c r="A60" s="6"/>
      <c r="B60" s="67"/>
      <c r="C60" s="18" t="s">
        <v>61</v>
      </c>
      <c r="D60" s="9">
        <v>3</v>
      </c>
      <c r="E60" s="10">
        <v>4</v>
      </c>
      <c r="F60" s="15"/>
      <c r="G60" s="18">
        <v>81</v>
      </c>
      <c r="I60" s="73" t="s">
        <v>57</v>
      </c>
      <c r="J60" s="74"/>
      <c r="K60" s="74"/>
      <c r="L60" s="74"/>
      <c r="M60" s="74"/>
      <c r="N60" s="75" t="s">
        <v>86</v>
      </c>
      <c r="O60" s="75"/>
      <c r="P60" s="75"/>
      <c r="Q60" s="75"/>
      <c r="R60" s="76"/>
    </row>
    <row r="61" spans="1:18" ht="18.5" x14ac:dyDescent="0.45">
      <c r="A61" s="6"/>
      <c r="B61" s="67"/>
      <c r="C61" s="17" t="s">
        <v>73</v>
      </c>
      <c r="D61" s="7">
        <v>3</v>
      </c>
      <c r="E61" s="22">
        <v>4</v>
      </c>
      <c r="F61" s="15"/>
      <c r="G61" s="23">
        <v>78</v>
      </c>
      <c r="H61" s="6"/>
      <c r="I61" s="6"/>
    </row>
    <row r="62" spans="1:18" ht="18.5" x14ac:dyDescent="0.45">
      <c r="A62" s="6"/>
      <c r="B62" s="67"/>
      <c r="C62" s="19" t="s">
        <v>68</v>
      </c>
      <c r="D62" s="9">
        <v>2</v>
      </c>
      <c r="E62" s="10">
        <v>5</v>
      </c>
      <c r="F62" s="15"/>
      <c r="G62" s="18">
        <v>58</v>
      </c>
      <c r="H62" s="6"/>
    </row>
    <row r="63" spans="1:18" ht="18.5" x14ac:dyDescent="0.45">
      <c r="B63" s="67"/>
      <c r="C63" s="17" t="s">
        <v>52</v>
      </c>
      <c r="D63" s="7">
        <v>1</v>
      </c>
      <c r="E63" s="22">
        <v>6</v>
      </c>
      <c r="F63" s="15"/>
      <c r="G63" s="23">
        <v>62</v>
      </c>
    </row>
    <row r="64" spans="1:18" ht="19" thickBot="1" x14ac:dyDescent="0.5">
      <c r="B64" s="68"/>
      <c r="C64" s="18" t="s">
        <v>98</v>
      </c>
      <c r="D64" s="9">
        <v>0</v>
      </c>
      <c r="E64" s="10">
        <v>7</v>
      </c>
      <c r="F64" s="15"/>
      <c r="G64" s="18">
        <v>65</v>
      </c>
    </row>
    <row r="65" spans="3:7" ht="15" thickBot="1" x14ac:dyDescent="0.4"/>
    <row r="66" spans="3:7" ht="19" thickBot="1" x14ac:dyDescent="0.5">
      <c r="C66" s="27" t="s">
        <v>76</v>
      </c>
      <c r="D66" s="28" t="s">
        <v>45</v>
      </c>
      <c r="E66" s="28" t="s">
        <v>46</v>
      </c>
      <c r="F66" s="20" t="s">
        <v>62</v>
      </c>
      <c r="G66" s="31" t="s">
        <v>47</v>
      </c>
    </row>
    <row r="67" spans="3:7" ht="18.5" x14ac:dyDescent="0.45">
      <c r="C67" s="54" t="s">
        <v>59</v>
      </c>
      <c r="D67" s="14">
        <v>7</v>
      </c>
      <c r="E67" s="24">
        <v>0</v>
      </c>
      <c r="F67" s="15"/>
      <c r="G67" s="53">
        <v>128</v>
      </c>
    </row>
    <row r="68" spans="3:7" ht="18.5" x14ac:dyDescent="0.45">
      <c r="C68" s="56" t="s">
        <v>60</v>
      </c>
      <c r="D68" s="7">
        <v>5</v>
      </c>
      <c r="E68" s="22">
        <v>2</v>
      </c>
      <c r="F68" s="15"/>
      <c r="G68" s="55">
        <v>97</v>
      </c>
    </row>
    <row r="69" spans="3:7" ht="18.5" x14ac:dyDescent="0.45">
      <c r="C69" s="56" t="s">
        <v>55</v>
      </c>
      <c r="D69" s="7">
        <v>5</v>
      </c>
      <c r="E69" s="22">
        <v>2</v>
      </c>
      <c r="F69" s="15"/>
      <c r="G69" s="55">
        <v>92</v>
      </c>
    </row>
    <row r="70" spans="3:7" ht="19" thickBot="1" x14ac:dyDescent="0.5">
      <c r="C70" s="52" t="s">
        <v>50</v>
      </c>
      <c r="D70" s="51">
        <v>4</v>
      </c>
      <c r="E70" s="50">
        <v>3</v>
      </c>
      <c r="F70" s="49"/>
      <c r="G70" s="48">
        <v>84</v>
      </c>
    </row>
    <row r="71" spans="3:7" ht="18.5" x14ac:dyDescent="0.45">
      <c r="C71" s="54" t="s">
        <v>73</v>
      </c>
      <c r="D71" s="14">
        <v>3</v>
      </c>
      <c r="E71" s="24">
        <v>4</v>
      </c>
      <c r="F71" s="26"/>
      <c r="G71" s="53">
        <v>78</v>
      </c>
    </row>
    <row r="72" spans="3:7" ht="15" thickBot="1" x14ac:dyDescent="0.4"/>
    <row r="73" spans="3:7" ht="19" thickBot="1" x14ac:dyDescent="0.5">
      <c r="C73" s="27" t="s">
        <v>77</v>
      </c>
      <c r="D73" s="28" t="s">
        <v>45</v>
      </c>
      <c r="E73" s="28" t="s">
        <v>46</v>
      </c>
      <c r="F73" s="20" t="s">
        <v>62</v>
      </c>
      <c r="G73" s="31" t="s">
        <v>47</v>
      </c>
    </row>
    <row r="74" spans="3:7" ht="18.5" x14ac:dyDescent="0.45">
      <c r="C74" s="47" t="s">
        <v>58</v>
      </c>
      <c r="D74" s="46">
        <v>5</v>
      </c>
      <c r="E74" s="46">
        <v>2</v>
      </c>
      <c r="F74" s="26"/>
      <c r="G74" s="45">
        <v>93</v>
      </c>
    </row>
    <row r="75" spans="3:7" ht="18.5" x14ac:dyDescent="0.45">
      <c r="C75" s="42" t="s">
        <v>61</v>
      </c>
      <c r="D75" s="15">
        <v>3</v>
      </c>
      <c r="E75" s="15">
        <v>4</v>
      </c>
      <c r="F75" s="15"/>
      <c r="G75" s="41">
        <v>81</v>
      </c>
    </row>
    <row r="76" spans="3:7" ht="18.5" x14ac:dyDescent="0.45">
      <c r="C76" s="44" t="s">
        <v>68</v>
      </c>
      <c r="D76" s="4">
        <v>2</v>
      </c>
      <c r="E76" s="4">
        <v>5</v>
      </c>
      <c r="F76" s="15"/>
      <c r="G76" s="43">
        <v>58</v>
      </c>
    </row>
    <row r="77" spans="3:7" ht="19" thickBot="1" x14ac:dyDescent="0.5">
      <c r="C77" s="40" t="s">
        <v>52</v>
      </c>
      <c r="D77" s="39">
        <v>1</v>
      </c>
      <c r="E77" s="38">
        <v>6</v>
      </c>
      <c r="F77" s="37"/>
      <c r="G77" s="36">
        <v>62</v>
      </c>
    </row>
    <row r="78" spans="3:7" ht="18.5" x14ac:dyDescent="0.45">
      <c r="C78" s="42" t="s">
        <v>98</v>
      </c>
      <c r="D78" s="15">
        <v>0</v>
      </c>
      <c r="E78" s="15">
        <v>7</v>
      </c>
      <c r="F78" s="15"/>
      <c r="G78" s="41">
        <v>65</v>
      </c>
    </row>
  </sheetData>
  <mergeCells count="14">
    <mergeCell ref="N60:R60"/>
    <mergeCell ref="I54:R54"/>
    <mergeCell ref="N55:R55"/>
    <mergeCell ref="N56:R56"/>
    <mergeCell ref="N57:R57"/>
    <mergeCell ref="N58:R58"/>
    <mergeCell ref="N59:R59"/>
    <mergeCell ref="B54:B64"/>
    <mergeCell ref="I55:M55"/>
    <mergeCell ref="I56:M56"/>
    <mergeCell ref="I57:M57"/>
    <mergeCell ref="I58:M58"/>
    <mergeCell ref="I59:M59"/>
    <mergeCell ref="I60:M6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CD3E-7626-41F5-B4B6-258CC1C0833F}">
  <sheetPr codeName="Sheet10"/>
  <dimension ref="A1:R80"/>
  <sheetViews>
    <sheetView workbookViewId="0">
      <pane ySplit="1" topLeftCell="A53" activePane="bottomLeft" state="frozen"/>
      <selection pane="bottomLeft" activeCell="I58" sqref="I58:R60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8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18.8164062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138</v>
      </c>
      <c r="C2" s="4" t="s">
        <v>22</v>
      </c>
      <c r="D2" s="11">
        <f>SUM(1503)</f>
        <v>1503</v>
      </c>
      <c r="E2" s="11">
        <f>SUM(83)</f>
        <v>83</v>
      </c>
      <c r="F2" s="12">
        <f t="shared" ref="F2:F33" si="0">SUM(D2/E2)</f>
        <v>18.108433734939759</v>
      </c>
      <c r="G2" s="11">
        <v>1</v>
      </c>
      <c r="H2" s="11">
        <v>1</v>
      </c>
      <c r="I2" s="11"/>
      <c r="J2" s="11"/>
      <c r="K2" s="11"/>
      <c r="L2" s="11">
        <v>6</v>
      </c>
      <c r="M2" s="13"/>
    </row>
    <row r="3" spans="1:13" ht="18.5" x14ac:dyDescent="0.45">
      <c r="A3" s="3">
        <v>2</v>
      </c>
      <c r="B3" s="4" t="s">
        <v>23</v>
      </c>
      <c r="C3" s="4" t="s">
        <v>14</v>
      </c>
      <c r="D3" s="11">
        <f>SUM(1503+1503+1503+1479+1498+1336+1503+1501)</f>
        <v>11826</v>
      </c>
      <c r="E3" s="11">
        <f>SUM(93+102+87+75+85+80+94+92)</f>
        <v>708</v>
      </c>
      <c r="F3" s="12">
        <f t="shared" si="0"/>
        <v>16.703389830508474</v>
      </c>
      <c r="G3" s="11">
        <v>8</v>
      </c>
      <c r="H3" s="11">
        <v>7</v>
      </c>
      <c r="I3" s="11">
        <v>1</v>
      </c>
      <c r="J3" s="11"/>
      <c r="K3" s="11">
        <v>1</v>
      </c>
      <c r="L3" s="11">
        <v>37</v>
      </c>
      <c r="M3" s="13">
        <v>5</v>
      </c>
    </row>
    <row r="4" spans="1:13" ht="18.5" x14ac:dyDescent="0.45">
      <c r="A4" s="3">
        <v>3</v>
      </c>
      <c r="B4" s="4" t="s">
        <v>19</v>
      </c>
      <c r="C4" s="4" t="s">
        <v>14</v>
      </c>
      <c r="D4" s="11">
        <f>SUM(1503+1501+1499+1401+1471+1481)</f>
        <v>8856</v>
      </c>
      <c r="E4" s="11">
        <f>SUM(88+78+80+76+97+122)</f>
        <v>541</v>
      </c>
      <c r="F4" s="12">
        <f t="shared" si="0"/>
        <v>16.369685767097966</v>
      </c>
      <c r="G4" s="11">
        <v>6</v>
      </c>
      <c r="H4" s="11">
        <v>5</v>
      </c>
      <c r="I4" s="11"/>
      <c r="J4" s="11"/>
      <c r="K4" s="11"/>
      <c r="L4" s="11">
        <v>30</v>
      </c>
      <c r="M4" s="13">
        <v>15</v>
      </c>
    </row>
    <row r="5" spans="1:13" ht="18.5" x14ac:dyDescent="0.45">
      <c r="A5" s="3">
        <v>4</v>
      </c>
      <c r="B5" s="4" t="s">
        <v>13</v>
      </c>
      <c r="C5" s="4" t="s">
        <v>14</v>
      </c>
      <c r="D5" s="11">
        <f>SUM(1503+1493+1483+1503+1347+1503+1471+1503)</f>
        <v>11806</v>
      </c>
      <c r="E5" s="11">
        <f>SUM(87+94+89+105+89+91+89+89)</f>
        <v>733</v>
      </c>
      <c r="F5" s="12">
        <f t="shared" si="0"/>
        <v>16.106412005457027</v>
      </c>
      <c r="G5" s="11">
        <v>8</v>
      </c>
      <c r="H5" s="11">
        <v>8</v>
      </c>
      <c r="I5" s="11"/>
      <c r="J5" s="11"/>
      <c r="K5" s="11"/>
      <c r="L5" s="11">
        <v>39</v>
      </c>
      <c r="M5" s="13">
        <v>5</v>
      </c>
    </row>
    <row r="6" spans="1:13" ht="18.5" x14ac:dyDescent="0.45">
      <c r="A6" s="3">
        <v>5</v>
      </c>
      <c r="B6" s="4" t="s">
        <v>11</v>
      </c>
      <c r="C6" s="4" t="s">
        <v>12</v>
      </c>
      <c r="D6" s="11">
        <f>SUM(1434+1499+1503+1463+1490+1467+1348)</f>
        <v>10204</v>
      </c>
      <c r="E6" s="11">
        <f>SUM(78+102+87+91+93+109+93)</f>
        <v>653</v>
      </c>
      <c r="F6" s="12">
        <f t="shared" si="0"/>
        <v>15.626339969372129</v>
      </c>
      <c r="G6" s="11">
        <v>7</v>
      </c>
      <c r="H6" s="11">
        <v>4</v>
      </c>
      <c r="I6" s="11">
        <v>1</v>
      </c>
      <c r="J6" s="11"/>
      <c r="K6" s="11"/>
      <c r="L6" s="11">
        <v>23</v>
      </c>
      <c r="M6" s="13">
        <v>15</v>
      </c>
    </row>
    <row r="7" spans="1:13" ht="18.5" x14ac:dyDescent="0.45">
      <c r="A7" s="3">
        <v>6</v>
      </c>
      <c r="B7" s="4" t="s">
        <v>15</v>
      </c>
      <c r="C7" s="4" t="s">
        <v>16</v>
      </c>
      <c r="D7" s="11">
        <f>SUM(1439+1494+1469+1433+1433+1403+1360+1481)</f>
        <v>11512</v>
      </c>
      <c r="E7" s="11">
        <f>SUM(83+92+88+91+92+75+104+114)</f>
        <v>739</v>
      </c>
      <c r="F7" s="12">
        <f t="shared" si="0"/>
        <v>15.577807848443843</v>
      </c>
      <c r="G7" s="11">
        <v>8</v>
      </c>
      <c r="H7" s="11">
        <v>2</v>
      </c>
      <c r="I7" s="11"/>
      <c r="J7" s="11"/>
      <c r="K7" s="11"/>
      <c r="L7" s="11">
        <v>20.5</v>
      </c>
      <c r="M7" s="13">
        <v>5</v>
      </c>
    </row>
    <row r="8" spans="1:13" ht="18.5" x14ac:dyDescent="0.45">
      <c r="A8" s="3">
        <v>7</v>
      </c>
      <c r="B8" s="4" t="s">
        <v>26</v>
      </c>
      <c r="C8" s="4" t="s">
        <v>18</v>
      </c>
      <c r="D8" s="11">
        <f>SUM(1501+1503+1503+1491+1412+1503+1462)</f>
        <v>10375</v>
      </c>
      <c r="E8" s="11">
        <f>SUM(125+90+100+97+76+91+89)</f>
        <v>668</v>
      </c>
      <c r="F8" s="12">
        <f t="shared" si="0"/>
        <v>15.531437125748504</v>
      </c>
      <c r="G8" s="11">
        <v>7</v>
      </c>
      <c r="H8" s="11">
        <v>5</v>
      </c>
      <c r="I8" s="11"/>
      <c r="J8" s="11"/>
      <c r="K8" s="11">
        <v>1</v>
      </c>
      <c r="L8" s="11">
        <v>28.5</v>
      </c>
      <c r="M8" s="13">
        <v>15</v>
      </c>
    </row>
    <row r="9" spans="1:13" ht="18.5" x14ac:dyDescent="0.45">
      <c r="A9" s="3">
        <v>8</v>
      </c>
      <c r="B9" s="4" t="s">
        <v>41</v>
      </c>
      <c r="C9" s="4" t="s">
        <v>16</v>
      </c>
      <c r="D9" s="11">
        <f>SUM(1305+1155+1497+1433+1488+1439+1495+1503)</f>
        <v>11315</v>
      </c>
      <c r="E9" s="11">
        <f>SUM(82+73+109+98+104+100+102+79)</f>
        <v>747</v>
      </c>
      <c r="F9" s="12">
        <f t="shared" si="0"/>
        <v>15.147255689424364</v>
      </c>
      <c r="G9" s="11">
        <v>8</v>
      </c>
      <c r="H9" s="11">
        <v>6</v>
      </c>
      <c r="I9" s="11"/>
      <c r="J9" s="11"/>
      <c r="K9" s="11"/>
      <c r="L9" s="11">
        <v>31.5</v>
      </c>
      <c r="M9" s="13">
        <v>5</v>
      </c>
    </row>
    <row r="10" spans="1:13" ht="18.5" x14ac:dyDescent="0.45">
      <c r="A10" s="3">
        <v>9</v>
      </c>
      <c r="B10" s="4" t="s">
        <v>115</v>
      </c>
      <c r="C10" s="4" t="s">
        <v>103</v>
      </c>
      <c r="D10" s="11">
        <f>SUM(1503+1473+1444+1426+1498)</f>
        <v>7344</v>
      </c>
      <c r="E10" s="11">
        <f>SUM(115+100+87+93+103)</f>
        <v>498</v>
      </c>
      <c r="F10" s="12">
        <f t="shared" si="0"/>
        <v>14.746987951807229</v>
      </c>
      <c r="G10" s="11">
        <v>5</v>
      </c>
      <c r="H10" s="11">
        <v>4</v>
      </c>
      <c r="I10" s="11"/>
      <c r="J10" s="11"/>
      <c r="K10" s="11"/>
      <c r="L10" s="11">
        <v>14.5</v>
      </c>
      <c r="M10" s="13"/>
    </row>
    <row r="11" spans="1:13" ht="18.5" x14ac:dyDescent="0.45">
      <c r="A11" s="3">
        <v>10</v>
      </c>
      <c r="B11" s="15" t="s">
        <v>31</v>
      </c>
      <c r="C11" s="4" t="s">
        <v>32</v>
      </c>
      <c r="D11" s="11">
        <f>SUM(1463+1440+1348+1483+1155+1501+1486+1449)</f>
        <v>11325</v>
      </c>
      <c r="E11" s="11">
        <f>SUM(87+90+90+101+80+109+137+80)</f>
        <v>774</v>
      </c>
      <c r="F11" s="12">
        <f t="shared" si="0"/>
        <v>14.631782945736434</v>
      </c>
      <c r="G11" s="11">
        <v>8</v>
      </c>
      <c r="H11" s="11">
        <v>4</v>
      </c>
      <c r="I11" s="11"/>
      <c r="J11" s="11"/>
      <c r="K11" s="11">
        <v>1</v>
      </c>
      <c r="L11" s="11">
        <v>21.5</v>
      </c>
      <c r="M11" s="13">
        <v>20</v>
      </c>
    </row>
    <row r="12" spans="1:13" ht="18.5" x14ac:dyDescent="0.45">
      <c r="A12" s="3">
        <v>11</v>
      </c>
      <c r="B12" s="15" t="s">
        <v>64</v>
      </c>
      <c r="C12" s="4" t="s">
        <v>27</v>
      </c>
      <c r="D12" s="11">
        <f>SUM(1501+1463+1503+1285+1296+1461+1463)</f>
        <v>9972</v>
      </c>
      <c r="E12" s="11">
        <f>SUM(113+99+115+86+72+103+96)</f>
        <v>684</v>
      </c>
      <c r="F12" s="12">
        <f t="shared" si="0"/>
        <v>14.578947368421053</v>
      </c>
      <c r="G12" s="11">
        <v>7</v>
      </c>
      <c r="H12" s="11">
        <v>3</v>
      </c>
      <c r="I12" s="11"/>
      <c r="J12" s="11"/>
      <c r="K12" s="11"/>
      <c r="L12" s="11">
        <v>20</v>
      </c>
      <c r="M12" s="13">
        <v>5</v>
      </c>
    </row>
    <row r="13" spans="1:13" ht="18.5" x14ac:dyDescent="0.45">
      <c r="A13" s="3">
        <v>12</v>
      </c>
      <c r="B13" s="4" t="s">
        <v>25</v>
      </c>
      <c r="C13" s="4" t="s">
        <v>12</v>
      </c>
      <c r="D13" s="11">
        <f>SUM(1124+1503+1455+1463+1431+1419+1263)</f>
        <v>9658</v>
      </c>
      <c r="E13" s="11">
        <f>SUM(81+82+115+97+102+100+96)</f>
        <v>673</v>
      </c>
      <c r="F13" s="12">
        <f t="shared" si="0"/>
        <v>14.350668647845469</v>
      </c>
      <c r="G13" s="11">
        <v>7</v>
      </c>
      <c r="H13" s="11">
        <v>3</v>
      </c>
      <c r="I13" s="11"/>
      <c r="J13" s="11">
        <v>1</v>
      </c>
      <c r="K13" s="11"/>
      <c r="L13" s="11">
        <v>20</v>
      </c>
      <c r="M13" s="13">
        <v>5</v>
      </c>
    </row>
    <row r="14" spans="1:13" ht="18.5" x14ac:dyDescent="0.45">
      <c r="A14" s="3">
        <v>13</v>
      </c>
      <c r="B14" s="15" t="s">
        <v>81</v>
      </c>
      <c r="C14" s="4" t="s">
        <v>89</v>
      </c>
      <c r="D14" s="11">
        <f>SUM(1431+1330+1465+1356+1495+1483+1453+1410)</f>
        <v>11423</v>
      </c>
      <c r="E14" s="11">
        <f>SUM(111+103+105+76+116+100+108+82)</f>
        <v>801</v>
      </c>
      <c r="F14" s="12">
        <f t="shared" si="0"/>
        <v>14.260923845193508</v>
      </c>
      <c r="G14" s="11">
        <v>8</v>
      </c>
      <c r="H14" s="11">
        <v>5</v>
      </c>
      <c r="I14" s="11"/>
      <c r="J14" s="11"/>
      <c r="K14" s="11"/>
      <c r="L14" s="11">
        <v>25.5</v>
      </c>
      <c r="M14" s="13"/>
    </row>
    <row r="15" spans="1:13" ht="18.5" x14ac:dyDescent="0.45">
      <c r="A15" s="3">
        <v>14</v>
      </c>
      <c r="B15" s="3" t="s">
        <v>17</v>
      </c>
      <c r="C15" s="7" t="s">
        <v>18</v>
      </c>
      <c r="D15" s="11">
        <f>SUM(1503+1238+1475+1503+1447+1455+1297+1438)</f>
        <v>11356</v>
      </c>
      <c r="E15" s="11">
        <f>SUM(101+96+104+93+109+100+96+98)</f>
        <v>797</v>
      </c>
      <c r="F15" s="12">
        <f t="shared" si="0"/>
        <v>14.248431618569636</v>
      </c>
      <c r="G15" s="11">
        <v>8</v>
      </c>
      <c r="H15" s="11">
        <v>3</v>
      </c>
      <c r="I15" s="11"/>
      <c r="J15" s="11"/>
      <c r="K15" s="11"/>
      <c r="L15" s="11">
        <v>23.5</v>
      </c>
      <c r="M15" s="13"/>
    </row>
    <row r="16" spans="1:13" ht="18.5" x14ac:dyDescent="0.45">
      <c r="A16" s="3">
        <v>15</v>
      </c>
      <c r="B16" s="3" t="s">
        <v>21</v>
      </c>
      <c r="C16" s="4" t="s">
        <v>22</v>
      </c>
      <c r="D16" s="11">
        <f>SUM(1399+1503+1274+1463+1443+1165+1500+1475)</f>
        <v>11222</v>
      </c>
      <c r="E16" s="11">
        <f>SUM(82+109+87+114+103+86+141+97)</f>
        <v>819</v>
      </c>
      <c r="F16" s="12">
        <f t="shared" si="0"/>
        <v>13.702075702075701</v>
      </c>
      <c r="G16" s="11">
        <v>8</v>
      </c>
      <c r="H16" s="11">
        <v>3</v>
      </c>
      <c r="I16" s="11"/>
      <c r="J16" s="11"/>
      <c r="K16" s="11"/>
      <c r="L16" s="11">
        <v>26</v>
      </c>
      <c r="M16" s="13"/>
    </row>
    <row r="17" spans="1:13" ht="18.5" x14ac:dyDescent="0.45">
      <c r="A17" s="3">
        <v>16</v>
      </c>
      <c r="B17" s="3" t="s">
        <v>33</v>
      </c>
      <c r="C17" s="4" t="s">
        <v>22</v>
      </c>
      <c r="D17" s="11">
        <f>SUM(1385+1499+1356+1205+1499+1449+1503+1259)</f>
        <v>11155</v>
      </c>
      <c r="E17" s="11">
        <f>SUM(79+109+82+81+141+120+114+89)</f>
        <v>815</v>
      </c>
      <c r="F17" s="12">
        <f t="shared" si="0"/>
        <v>13.687116564417177</v>
      </c>
      <c r="G17" s="11">
        <v>8</v>
      </c>
      <c r="H17" s="11">
        <v>5</v>
      </c>
      <c r="I17" s="11"/>
      <c r="J17" s="11"/>
      <c r="K17" s="11"/>
      <c r="L17" s="11">
        <v>30.5</v>
      </c>
      <c r="M17" s="13"/>
    </row>
    <row r="18" spans="1:13" ht="18.5" x14ac:dyDescent="0.45">
      <c r="A18" s="3">
        <v>17</v>
      </c>
      <c r="B18" s="15" t="s">
        <v>85</v>
      </c>
      <c r="C18" s="4" t="s">
        <v>103</v>
      </c>
      <c r="D18" s="11">
        <f>SUM(1503+1503+1471+1501+1469+1503+1499)</f>
        <v>10449</v>
      </c>
      <c r="E18" s="11">
        <f>SUM(97+85+93+158+100+121+119)</f>
        <v>773</v>
      </c>
      <c r="F18" s="12">
        <f t="shared" si="0"/>
        <v>13.517464424320828</v>
      </c>
      <c r="G18" s="11">
        <v>7</v>
      </c>
      <c r="H18" s="11">
        <v>6</v>
      </c>
      <c r="I18" s="11">
        <v>1</v>
      </c>
      <c r="J18" s="11"/>
      <c r="K18" s="11"/>
      <c r="L18" s="11">
        <v>27</v>
      </c>
      <c r="M18" s="13"/>
    </row>
    <row r="19" spans="1:13" ht="18.5" x14ac:dyDescent="0.45">
      <c r="A19" s="3">
        <v>18</v>
      </c>
      <c r="B19" s="15" t="s">
        <v>30</v>
      </c>
      <c r="C19" s="4" t="s">
        <v>22</v>
      </c>
      <c r="D19" s="11">
        <f>SUM(1503+1285+1503+1425+1495+1503+1494)</f>
        <v>10208</v>
      </c>
      <c r="E19" s="11">
        <f>SUM(109+111+88+114+109+111+122)</f>
        <v>764</v>
      </c>
      <c r="F19" s="12">
        <f t="shared" si="0"/>
        <v>13.361256544502618</v>
      </c>
      <c r="G19" s="11">
        <v>7</v>
      </c>
      <c r="H19" s="11">
        <v>5</v>
      </c>
      <c r="I19" s="11"/>
      <c r="J19" s="11"/>
      <c r="K19" s="11"/>
      <c r="L19" s="11">
        <v>24.5</v>
      </c>
      <c r="M19" s="13">
        <v>5</v>
      </c>
    </row>
    <row r="20" spans="1:13" ht="18.5" x14ac:dyDescent="0.45">
      <c r="A20" s="3">
        <v>19</v>
      </c>
      <c r="B20" s="4" t="s">
        <v>24</v>
      </c>
      <c r="C20" s="4" t="s">
        <v>22</v>
      </c>
      <c r="D20" s="11">
        <f>SUM(1465+1469+1456+1497+1481+1470+1495+1478)</f>
        <v>11811</v>
      </c>
      <c r="E20" s="11">
        <f>SUM(109+117+124+101+127+93+115+98)</f>
        <v>884</v>
      </c>
      <c r="F20" s="12">
        <f t="shared" si="0"/>
        <v>13.360859728506787</v>
      </c>
      <c r="G20" s="11">
        <v>8</v>
      </c>
      <c r="H20" s="11">
        <v>4</v>
      </c>
      <c r="I20" s="11"/>
      <c r="J20" s="11"/>
      <c r="K20" s="11"/>
      <c r="L20" s="11">
        <v>27</v>
      </c>
      <c r="M20" s="13"/>
    </row>
    <row r="21" spans="1:13" ht="18.5" x14ac:dyDescent="0.45">
      <c r="A21" s="3">
        <v>20</v>
      </c>
      <c r="B21" s="4" t="s">
        <v>40</v>
      </c>
      <c r="C21" s="4" t="s">
        <v>32</v>
      </c>
      <c r="D21" s="11">
        <f>SUM(1263+1432+1503+1311+1403+1503+1326+1463)</f>
        <v>11204</v>
      </c>
      <c r="E21" s="11">
        <f>SUM(96+111+111+126+84+109+114+94)</f>
        <v>845</v>
      </c>
      <c r="F21" s="12">
        <f t="shared" si="0"/>
        <v>13.259171597633136</v>
      </c>
      <c r="G21" s="11">
        <v>8</v>
      </c>
      <c r="H21" s="11">
        <v>4</v>
      </c>
      <c r="I21" s="11"/>
      <c r="J21" s="11"/>
      <c r="K21" s="11"/>
      <c r="L21" s="11">
        <v>19.5</v>
      </c>
      <c r="M21" s="13">
        <v>5</v>
      </c>
    </row>
    <row r="22" spans="1:13" ht="18.5" x14ac:dyDescent="0.45">
      <c r="A22" s="3">
        <v>21</v>
      </c>
      <c r="B22" s="15" t="s">
        <v>65</v>
      </c>
      <c r="C22" s="4" t="s">
        <v>27</v>
      </c>
      <c r="D22" s="11">
        <f>SUM(1423+1499+1489+1368+1469+1306+1295)</f>
        <v>9849</v>
      </c>
      <c r="E22" s="11">
        <f>SUM(103+114+104+113+102+86+125)</f>
        <v>747</v>
      </c>
      <c r="F22" s="12">
        <f t="shared" si="0"/>
        <v>13.184738955823294</v>
      </c>
      <c r="G22" s="11">
        <v>7</v>
      </c>
      <c r="H22" s="11">
        <v>7</v>
      </c>
      <c r="I22" s="11"/>
      <c r="J22" s="11"/>
      <c r="K22" s="11">
        <v>1</v>
      </c>
      <c r="L22" s="11">
        <v>23.5</v>
      </c>
      <c r="M22" s="13"/>
    </row>
    <row r="23" spans="1:13" ht="18.5" x14ac:dyDescent="0.45">
      <c r="A23" s="3">
        <v>22</v>
      </c>
      <c r="B23" s="15" t="s">
        <v>82</v>
      </c>
      <c r="C23" s="4" t="s">
        <v>89</v>
      </c>
      <c r="D23" s="11">
        <f>SUM(1451+1138+1313+1427+1430+1357+1305)</f>
        <v>9421</v>
      </c>
      <c r="E23" s="11">
        <f>SUM(115+81+108+114+112+96+90)</f>
        <v>716</v>
      </c>
      <c r="F23" s="12">
        <f t="shared" si="0"/>
        <v>13.157821229050279</v>
      </c>
      <c r="G23" s="11">
        <v>7</v>
      </c>
      <c r="H23" s="11">
        <v>3</v>
      </c>
      <c r="I23" s="11"/>
      <c r="J23" s="11"/>
      <c r="K23" s="11"/>
      <c r="L23" s="11">
        <v>19.5</v>
      </c>
      <c r="M23" s="13"/>
    </row>
    <row r="24" spans="1:13" ht="18.5" x14ac:dyDescent="0.45">
      <c r="A24" s="3">
        <v>23</v>
      </c>
      <c r="B24" s="4" t="s">
        <v>78</v>
      </c>
      <c r="C24" s="7" t="s">
        <v>18</v>
      </c>
      <c r="D24" s="11">
        <f>SUM(1503+1488+1478+1211+1473+1495)</f>
        <v>8648</v>
      </c>
      <c r="E24" s="11">
        <f>SUM(102+160+117+90+93+96)</f>
        <v>658</v>
      </c>
      <c r="F24" s="12">
        <f t="shared" si="0"/>
        <v>13.142857142857142</v>
      </c>
      <c r="G24" s="11">
        <v>6</v>
      </c>
      <c r="H24" s="11">
        <v>2</v>
      </c>
      <c r="I24" s="11"/>
      <c r="J24" s="11"/>
      <c r="K24" s="11"/>
      <c r="L24" s="11">
        <v>11.5</v>
      </c>
      <c r="M24" s="13"/>
    </row>
    <row r="25" spans="1:13" ht="18.5" x14ac:dyDescent="0.45">
      <c r="A25" s="3">
        <v>24</v>
      </c>
      <c r="B25" s="4" t="s">
        <v>106</v>
      </c>
      <c r="C25" s="4" t="s">
        <v>12</v>
      </c>
      <c r="D25" s="11">
        <f>SUM(1503+1484+1456+1503+1447+1225+1487)</f>
        <v>10105</v>
      </c>
      <c r="E25" s="11">
        <f>SUM(116+103+94+129+108+88+131)</f>
        <v>769</v>
      </c>
      <c r="F25" s="12">
        <f t="shared" si="0"/>
        <v>13.140442132639793</v>
      </c>
      <c r="G25" s="11">
        <v>7</v>
      </c>
      <c r="H25" s="11">
        <v>3</v>
      </c>
      <c r="I25" s="11"/>
      <c r="J25" s="11"/>
      <c r="K25" s="11"/>
      <c r="L25" s="11">
        <v>24.5</v>
      </c>
      <c r="M25" s="13">
        <v>5</v>
      </c>
    </row>
    <row r="26" spans="1:13" ht="18.5" x14ac:dyDescent="0.45">
      <c r="A26" s="3">
        <v>25</v>
      </c>
      <c r="B26" s="9" t="s">
        <v>71</v>
      </c>
      <c r="C26" s="4" t="s">
        <v>16</v>
      </c>
      <c r="D26" s="11">
        <f>SUM(1373+1159+1501+1471+1503+1503+1258)</f>
        <v>9768</v>
      </c>
      <c r="E26" s="11">
        <f>SUM(111+99+117+102+95+133+96)</f>
        <v>753</v>
      </c>
      <c r="F26" s="12">
        <f t="shared" si="0"/>
        <v>12.97211155378486</v>
      </c>
      <c r="G26" s="11">
        <v>7</v>
      </c>
      <c r="H26" s="11">
        <v>4</v>
      </c>
      <c r="I26" s="11"/>
      <c r="J26" s="11"/>
      <c r="K26" s="11"/>
      <c r="L26" s="11">
        <v>18</v>
      </c>
      <c r="M26" s="13"/>
    </row>
    <row r="27" spans="1:13" ht="18.5" x14ac:dyDescent="0.45">
      <c r="A27" s="3">
        <v>26</v>
      </c>
      <c r="B27" s="7" t="s">
        <v>29</v>
      </c>
      <c r="C27" s="4" t="s">
        <v>66</v>
      </c>
      <c r="D27" s="11">
        <f>SUM(1467+1499+1403+1499+1276+1487+1439+1503)</f>
        <v>11573</v>
      </c>
      <c r="E27" s="11">
        <f>SUM(129+121+106+120+102+101+99+117)</f>
        <v>895</v>
      </c>
      <c r="F27" s="12">
        <f t="shared" si="0"/>
        <v>12.93072625698324</v>
      </c>
      <c r="G27" s="11">
        <v>8</v>
      </c>
      <c r="H27" s="11">
        <v>5</v>
      </c>
      <c r="I27" s="11"/>
      <c r="J27" s="11"/>
      <c r="K27" s="11"/>
      <c r="L27" s="11">
        <v>21</v>
      </c>
      <c r="M27" s="13">
        <v>5</v>
      </c>
    </row>
    <row r="28" spans="1:13" ht="18.5" x14ac:dyDescent="0.45">
      <c r="A28" s="3">
        <v>27</v>
      </c>
      <c r="B28" s="7" t="s">
        <v>84</v>
      </c>
      <c r="C28" s="4" t="s">
        <v>103</v>
      </c>
      <c r="D28" s="11">
        <f>SUM(1385+1489+1228+1410+1447+1440+1360)</f>
        <v>9759</v>
      </c>
      <c r="E28" s="11">
        <f>SUM(107+126+87+126+108+106+96)</f>
        <v>756</v>
      </c>
      <c r="F28" s="12">
        <f t="shared" si="0"/>
        <v>12.908730158730158</v>
      </c>
      <c r="G28" s="11">
        <v>7</v>
      </c>
      <c r="H28" s="11"/>
      <c r="I28" s="11"/>
      <c r="J28" s="11"/>
      <c r="K28" s="11"/>
      <c r="L28" s="11">
        <v>9.5</v>
      </c>
      <c r="M28" s="13"/>
    </row>
    <row r="29" spans="1:13" ht="18.5" x14ac:dyDescent="0.45">
      <c r="A29" s="3">
        <v>28</v>
      </c>
      <c r="B29" s="9" t="s">
        <v>69</v>
      </c>
      <c r="C29" s="4" t="s">
        <v>14</v>
      </c>
      <c r="D29" s="11">
        <f>SUM(1497+1503+1455+1503+1487+1463+1503)</f>
        <v>10411</v>
      </c>
      <c r="E29" s="11">
        <f>SUM(119+89+126+118+133+86+148)</f>
        <v>819</v>
      </c>
      <c r="F29" s="12">
        <f t="shared" si="0"/>
        <v>12.711843711843711</v>
      </c>
      <c r="G29" s="11">
        <v>7</v>
      </c>
      <c r="H29" s="11">
        <v>6</v>
      </c>
      <c r="I29" s="11"/>
      <c r="J29" s="11"/>
      <c r="K29" s="11"/>
      <c r="L29" s="11">
        <v>33</v>
      </c>
      <c r="M29" s="13"/>
    </row>
    <row r="30" spans="1:13" ht="18.5" x14ac:dyDescent="0.45">
      <c r="A30" s="3">
        <v>29</v>
      </c>
      <c r="B30" s="9" t="s">
        <v>63</v>
      </c>
      <c r="C30" s="4" t="s">
        <v>27</v>
      </c>
      <c r="D30" s="11">
        <f>SUM(1424+1501+1501+1473+1429+1406+1479)</f>
        <v>10213</v>
      </c>
      <c r="E30" s="11">
        <f>SUM(90+147+123+91+148+90+118)</f>
        <v>807</v>
      </c>
      <c r="F30" s="12">
        <f t="shared" si="0"/>
        <v>12.655514250309789</v>
      </c>
      <c r="G30" s="11">
        <v>7</v>
      </c>
      <c r="H30" s="11">
        <v>5</v>
      </c>
      <c r="I30" s="11"/>
      <c r="J30" s="11"/>
      <c r="K30" s="11"/>
      <c r="L30" s="11">
        <v>23</v>
      </c>
      <c r="M30" s="13"/>
    </row>
    <row r="31" spans="1:13" ht="18.5" x14ac:dyDescent="0.45">
      <c r="A31" s="3">
        <v>30</v>
      </c>
      <c r="B31" s="9" t="s">
        <v>34</v>
      </c>
      <c r="C31" s="4" t="s">
        <v>27</v>
      </c>
      <c r="D31" s="11">
        <f>SUM(1315+1435+1406+1490+1393+1184+1448)</f>
        <v>9671</v>
      </c>
      <c r="E31" s="11">
        <f>SUM(90+109+99+157+128+86+96)</f>
        <v>765</v>
      </c>
      <c r="F31" s="12">
        <f t="shared" si="0"/>
        <v>12.641830065359477</v>
      </c>
      <c r="G31" s="11">
        <v>7</v>
      </c>
      <c r="H31" s="11">
        <v>5</v>
      </c>
      <c r="I31" s="11"/>
      <c r="J31" s="11"/>
      <c r="K31" s="11"/>
      <c r="L31" s="11">
        <v>20</v>
      </c>
      <c r="M31" s="13"/>
    </row>
    <row r="32" spans="1:13" ht="18.5" x14ac:dyDescent="0.45">
      <c r="A32" s="3">
        <v>31</v>
      </c>
      <c r="B32" s="34" t="s">
        <v>72</v>
      </c>
      <c r="C32" s="8" t="s">
        <v>12</v>
      </c>
      <c r="D32" s="11">
        <f>SUM(1409+1503+1471)</f>
        <v>4383</v>
      </c>
      <c r="E32" s="11">
        <f>SUM(119+107+121)</f>
        <v>347</v>
      </c>
      <c r="F32" s="12">
        <f t="shared" si="0"/>
        <v>12.631123919308358</v>
      </c>
      <c r="G32" s="11">
        <v>3</v>
      </c>
      <c r="H32" s="11">
        <v>1</v>
      </c>
      <c r="I32" s="11"/>
      <c r="J32" s="11"/>
      <c r="K32" s="11"/>
      <c r="L32" s="11">
        <v>9.5</v>
      </c>
      <c r="M32" s="13"/>
    </row>
    <row r="33" spans="1:13" ht="18.5" x14ac:dyDescent="0.45">
      <c r="A33" s="3">
        <v>32</v>
      </c>
      <c r="B33" s="7" t="s">
        <v>28</v>
      </c>
      <c r="C33" s="7" t="s">
        <v>12</v>
      </c>
      <c r="D33" s="11">
        <f>SUM(1228+1398+1503+1422+1503+1501+1252+1503)</f>
        <v>11310</v>
      </c>
      <c r="E33" s="11">
        <f>SUM(90+96+119+100+121+136+110+130)</f>
        <v>902</v>
      </c>
      <c r="F33" s="12">
        <f t="shared" si="0"/>
        <v>12.538802660753881</v>
      </c>
      <c r="G33" s="11">
        <v>8</v>
      </c>
      <c r="H33" s="11">
        <v>4</v>
      </c>
      <c r="I33" s="11"/>
      <c r="J33" s="11"/>
      <c r="K33" s="11"/>
      <c r="L33" s="11">
        <v>29</v>
      </c>
      <c r="M33" s="13"/>
    </row>
    <row r="34" spans="1:13" ht="18.5" x14ac:dyDescent="0.45">
      <c r="A34" s="3">
        <v>33</v>
      </c>
      <c r="B34" s="16" t="s">
        <v>20</v>
      </c>
      <c r="C34" s="7" t="s">
        <v>16</v>
      </c>
      <c r="D34" s="11">
        <f>SUM(1316+1259+1404+1356+1498)</f>
        <v>6833</v>
      </c>
      <c r="E34" s="11">
        <f>SUM(107+90+101+97+152)</f>
        <v>547</v>
      </c>
      <c r="F34" s="12">
        <f t="shared" ref="F34:F65" si="1">SUM(D34/E34)</f>
        <v>12.491773308957953</v>
      </c>
      <c r="G34" s="11">
        <v>5</v>
      </c>
      <c r="H34" s="11">
        <v>1</v>
      </c>
      <c r="I34" s="11"/>
      <c r="J34" s="11"/>
      <c r="K34" s="11"/>
      <c r="L34" s="11">
        <v>17</v>
      </c>
      <c r="M34" s="13"/>
    </row>
    <row r="35" spans="1:13" ht="18.5" x14ac:dyDescent="0.45">
      <c r="A35" s="3">
        <v>34</v>
      </c>
      <c r="B35" s="4" t="s">
        <v>79</v>
      </c>
      <c r="C35" s="4" t="s">
        <v>89</v>
      </c>
      <c r="D35" s="11">
        <f>SUM(1393+1406+1309+1237+1494+1503+1495+1501)</f>
        <v>11338</v>
      </c>
      <c r="E35" s="11">
        <f>SUM(111+98+89+99+156+103+139+117)</f>
        <v>912</v>
      </c>
      <c r="F35" s="12">
        <f t="shared" si="1"/>
        <v>12.432017543859649</v>
      </c>
      <c r="G35" s="11">
        <v>8</v>
      </c>
      <c r="H35" s="11">
        <v>5</v>
      </c>
      <c r="I35" s="11"/>
      <c r="J35" s="11"/>
      <c r="K35" s="11"/>
      <c r="L35" s="11">
        <v>24.5</v>
      </c>
      <c r="M35" s="13">
        <v>5</v>
      </c>
    </row>
    <row r="36" spans="1:13" ht="18.5" x14ac:dyDescent="0.45">
      <c r="A36" s="3">
        <v>35</v>
      </c>
      <c r="B36" s="16" t="s">
        <v>132</v>
      </c>
      <c r="C36" s="4" t="s">
        <v>27</v>
      </c>
      <c r="D36" s="11">
        <f>SUM(1343)</f>
        <v>1343</v>
      </c>
      <c r="E36" s="11">
        <f>SUM(110)</f>
        <v>110</v>
      </c>
      <c r="F36" s="12">
        <f t="shared" si="1"/>
        <v>12.209090909090909</v>
      </c>
      <c r="G36" s="11">
        <v>1</v>
      </c>
      <c r="H36" s="11"/>
      <c r="I36" s="11"/>
      <c r="J36" s="11"/>
      <c r="K36" s="11"/>
      <c r="L36" s="11">
        <v>1.5</v>
      </c>
      <c r="M36" s="13"/>
    </row>
    <row r="37" spans="1:13" ht="18.5" x14ac:dyDescent="0.45">
      <c r="A37" s="3">
        <v>36</v>
      </c>
      <c r="B37" s="10" t="s">
        <v>43</v>
      </c>
      <c r="C37" s="7" t="s">
        <v>66</v>
      </c>
      <c r="D37" s="11">
        <f>SUM(1252+1503+1201+1498+1182+1482+1183+1503)</f>
        <v>10804</v>
      </c>
      <c r="E37" s="11">
        <f>SUM(120+142+91+137+104+119+89+94)</f>
        <v>896</v>
      </c>
      <c r="F37" s="12">
        <f t="shared" si="1"/>
        <v>12.058035714285714</v>
      </c>
      <c r="G37" s="11">
        <v>8</v>
      </c>
      <c r="H37" s="11">
        <v>3</v>
      </c>
      <c r="I37" s="11"/>
      <c r="J37" s="11"/>
      <c r="K37" s="11"/>
      <c r="L37" s="11">
        <v>19.5</v>
      </c>
      <c r="M37" s="13">
        <v>5</v>
      </c>
    </row>
    <row r="38" spans="1:13" ht="18.5" x14ac:dyDescent="0.45">
      <c r="A38" s="3">
        <v>37</v>
      </c>
      <c r="B38" s="10" t="s">
        <v>42</v>
      </c>
      <c r="C38" s="7" t="s">
        <v>18</v>
      </c>
      <c r="D38" s="11">
        <f>SUM(1503+1503+1497+1499)</f>
        <v>6002</v>
      </c>
      <c r="E38" s="11">
        <f>SUM(133+134+132+103)</f>
        <v>502</v>
      </c>
      <c r="F38" s="12">
        <f t="shared" si="1"/>
        <v>11.95617529880478</v>
      </c>
      <c r="G38" s="11">
        <v>4</v>
      </c>
      <c r="H38" s="11">
        <v>4</v>
      </c>
      <c r="I38" s="11"/>
      <c r="J38" s="11"/>
      <c r="K38" s="11"/>
      <c r="L38" s="11">
        <v>19.5</v>
      </c>
      <c r="M38" s="13"/>
    </row>
    <row r="39" spans="1:13" ht="18.5" x14ac:dyDescent="0.45">
      <c r="A39" s="3">
        <v>38</v>
      </c>
      <c r="B39" s="16" t="s">
        <v>107</v>
      </c>
      <c r="C39" s="7" t="s">
        <v>14</v>
      </c>
      <c r="D39" s="11">
        <f>SUM(1081+1364+1494)</f>
        <v>3939</v>
      </c>
      <c r="E39" s="11">
        <f>SUM(81+113+137)</f>
        <v>331</v>
      </c>
      <c r="F39" s="12">
        <f t="shared" si="1"/>
        <v>11.900302114803626</v>
      </c>
      <c r="G39" s="11">
        <v>3</v>
      </c>
      <c r="H39" s="11"/>
      <c r="I39" s="11"/>
      <c r="J39" s="11"/>
      <c r="K39" s="11"/>
      <c r="L39" s="11">
        <v>4</v>
      </c>
      <c r="M39" s="13"/>
    </row>
    <row r="40" spans="1:13" ht="18.5" x14ac:dyDescent="0.45">
      <c r="A40" s="3">
        <v>39</v>
      </c>
      <c r="B40" s="16" t="s">
        <v>37</v>
      </c>
      <c r="C40" s="7" t="s">
        <v>66</v>
      </c>
      <c r="D40" s="11">
        <f>SUM(1218+1106+1372+1315+1297+1210+1169+832)</f>
        <v>9519</v>
      </c>
      <c r="E40" s="11">
        <f>SUM(96+84+120+102+141+96+93+72)</f>
        <v>804</v>
      </c>
      <c r="F40" s="12">
        <f t="shared" si="1"/>
        <v>11.83955223880597</v>
      </c>
      <c r="G40" s="11">
        <v>8</v>
      </c>
      <c r="H40" s="11"/>
      <c r="I40" s="11"/>
      <c r="J40" s="11"/>
      <c r="K40" s="11"/>
      <c r="L40" s="11">
        <v>8.5</v>
      </c>
      <c r="M40" s="13"/>
    </row>
    <row r="41" spans="1:13" ht="18.5" x14ac:dyDescent="0.45">
      <c r="A41" s="3">
        <v>40</v>
      </c>
      <c r="B41" s="16" t="s">
        <v>114</v>
      </c>
      <c r="C41" s="7" t="s">
        <v>16</v>
      </c>
      <c r="D41" s="11">
        <f>SUM(1286+1395+1503)</f>
        <v>4184</v>
      </c>
      <c r="E41" s="11">
        <f>SUM(104+105+148)</f>
        <v>357</v>
      </c>
      <c r="F41" s="12">
        <f t="shared" si="1"/>
        <v>11.719887955182072</v>
      </c>
      <c r="G41" s="11">
        <v>3</v>
      </c>
      <c r="H41" s="11">
        <v>1</v>
      </c>
      <c r="I41" s="11"/>
      <c r="J41" s="11"/>
      <c r="K41" s="11"/>
      <c r="L41" s="11">
        <v>8.5</v>
      </c>
      <c r="M41" s="13"/>
    </row>
    <row r="42" spans="1:13" ht="18.5" x14ac:dyDescent="0.45">
      <c r="A42" s="3">
        <v>41</v>
      </c>
      <c r="B42" s="10" t="s">
        <v>113</v>
      </c>
      <c r="C42" s="7" t="s">
        <v>16</v>
      </c>
      <c r="D42" s="11">
        <f>SUM(1499)</f>
        <v>1499</v>
      </c>
      <c r="E42" s="11">
        <f>SUM(128)</f>
        <v>128</v>
      </c>
      <c r="F42" s="12">
        <f t="shared" si="1"/>
        <v>11.7109375</v>
      </c>
      <c r="G42" s="11">
        <v>1</v>
      </c>
      <c r="H42" s="11"/>
      <c r="I42" s="11"/>
      <c r="J42" s="11"/>
      <c r="K42" s="11"/>
      <c r="L42" s="11">
        <v>3.5</v>
      </c>
      <c r="M42" s="13"/>
    </row>
    <row r="43" spans="1:13" ht="18.5" x14ac:dyDescent="0.45">
      <c r="A43" s="3">
        <v>42</v>
      </c>
      <c r="B43" s="35" t="s">
        <v>38</v>
      </c>
      <c r="C43" s="7" t="s">
        <v>103</v>
      </c>
      <c r="D43" s="11">
        <f>SUM(1214+1381+1209+1331+1260+1475+1467+1004)</f>
        <v>10341</v>
      </c>
      <c r="E43" s="11">
        <f>SUM(116+115+105+126+116+93+129+84)</f>
        <v>884</v>
      </c>
      <c r="F43" s="12">
        <f t="shared" si="1"/>
        <v>11.697963800904978</v>
      </c>
      <c r="G43" s="11">
        <v>8</v>
      </c>
      <c r="H43" s="11"/>
      <c r="I43" s="11"/>
      <c r="J43" s="11"/>
      <c r="K43" s="11"/>
      <c r="L43" s="11">
        <v>10.5</v>
      </c>
      <c r="M43" s="13"/>
    </row>
    <row r="44" spans="1:13" ht="18.5" x14ac:dyDescent="0.45">
      <c r="A44" s="3">
        <v>43</v>
      </c>
      <c r="B44" s="15" t="s">
        <v>39</v>
      </c>
      <c r="C44" s="7" t="s">
        <v>32</v>
      </c>
      <c r="D44" s="11">
        <f>SUM(1397+971+1477+1493+1123+1483+1497+1425)</f>
        <v>10866</v>
      </c>
      <c r="E44" s="11">
        <f>SUM(109+84+128+136+89+135+128+120)</f>
        <v>929</v>
      </c>
      <c r="F44" s="12">
        <f t="shared" si="1"/>
        <v>11.696447793326158</v>
      </c>
      <c r="G44" s="11">
        <v>8</v>
      </c>
      <c r="H44" s="11"/>
      <c r="I44" s="11"/>
      <c r="J44" s="11"/>
      <c r="K44" s="11"/>
      <c r="L44" s="11">
        <v>15</v>
      </c>
      <c r="M44" s="13"/>
    </row>
    <row r="45" spans="1:13" ht="18.5" x14ac:dyDescent="0.45">
      <c r="A45" s="3">
        <v>44</v>
      </c>
      <c r="B45" s="15" t="s">
        <v>70</v>
      </c>
      <c r="C45" s="4" t="s">
        <v>18</v>
      </c>
      <c r="D45" s="11">
        <f>SUM(1487+1277+1280+1499+1476+1485+1074)</f>
        <v>9578</v>
      </c>
      <c r="E45" s="11">
        <f>SUM(122+115+117+128+151+113+84)</f>
        <v>830</v>
      </c>
      <c r="F45" s="12">
        <f t="shared" si="1"/>
        <v>11.539759036144579</v>
      </c>
      <c r="G45" s="11">
        <v>7</v>
      </c>
      <c r="H45" s="11">
        <v>3</v>
      </c>
      <c r="I45" s="11"/>
      <c r="J45" s="11"/>
      <c r="K45" s="11"/>
      <c r="L45" s="11">
        <v>19</v>
      </c>
      <c r="M45" s="13"/>
    </row>
    <row r="46" spans="1:13" ht="18.5" x14ac:dyDescent="0.45">
      <c r="A46" s="3">
        <v>45</v>
      </c>
      <c r="B46" s="4" t="s">
        <v>105</v>
      </c>
      <c r="C46" s="4" t="s">
        <v>89</v>
      </c>
      <c r="D46" s="11">
        <f>SUM(1344+1443+1351+1475+1447+1496+1499)</f>
        <v>10055</v>
      </c>
      <c r="E46" s="11">
        <f>SUM(108+114+117+134+119+115+166)</f>
        <v>873</v>
      </c>
      <c r="F46" s="12">
        <f t="shared" si="1"/>
        <v>11.517754868270332</v>
      </c>
      <c r="G46" s="11">
        <v>7</v>
      </c>
      <c r="H46" s="11">
        <v>3</v>
      </c>
      <c r="I46" s="11"/>
      <c r="J46" s="11"/>
      <c r="K46" s="11"/>
      <c r="L46" s="11">
        <v>19.5</v>
      </c>
      <c r="M46" s="13"/>
    </row>
    <row r="47" spans="1:13" ht="18.5" x14ac:dyDescent="0.45">
      <c r="A47" s="3">
        <v>46</v>
      </c>
      <c r="B47" s="4" t="s">
        <v>83</v>
      </c>
      <c r="C47" s="8" t="s">
        <v>103</v>
      </c>
      <c r="D47" s="11">
        <f>SUM(1448+1487+1481+1487+1483)</f>
        <v>7386</v>
      </c>
      <c r="E47" s="11">
        <f>SUM(144+138+128+104+138)</f>
        <v>652</v>
      </c>
      <c r="F47" s="12">
        <f t="shared" si="1"/>
        <v>11.328220858895705</v>
      </c>
      <c r="G47" s="11">
        <v>5</v>
      </c>
      <c r="H47" s="11">
        <v>3</v>
      </c>
      <c r="I47" s="11"/>
      <c r="J47" s="11"/>
      <c r="K47" s="11"/>
      <c r="L47" s="11">
        <v>12.5</v>
      </c>
      <c r="M47" s="13"/>
    </row>
    <row r="48" spans="1:13" ht="18.5" x14ac:dyDescent="0.45">
      <c r="A48" s="3">
        <v>47</v>
      </c>
      <c r="B48" s="4" t="s">
        <v>35</v>
      </c>
      <c r="C48" s="4" t="s">
        <v>32</v>
      </c>
      <c r="D48" s="11">
        <f>SUM(1232+1259)</f>
        <v>2491</v>
      </c>
      <c r="E48" s="11">
        <f>SUM(111+114)</f>
        <v>225</v>
      </c>
      <c r="F48" s="12">
        <f t="shared" si="1"/>
        <v>11.071111111111112</v>
      </c>
      <c r="G48" s="11">
        <v>2</v>
      </c>
      <c r="H48" s="11"/>
      <c r="I48" s="11"/>
      <c r="J48" s="11"/>
      <c r="K48" s="11"/>
      <c r="L48" s="11">
        <v>7</v>
      </c>
      <c r="M48" s="13"/>
    </row>
    <row r="49" spans="1:18" ht="18.5" x14ac:dyDescent="0.45">
      <c r="A49" s="3">
        <v>48</v>
      </c>
      <c r="B49" s="15" t="s">
        <v>104</v>
      </c>
      <c r="C49" s="4" t="s">
        <v>27</v>
      </c>
      <c r="D49" s="11">
        <f>SUM(1442+1464)</f>
        <v>2906</v>
      </c>
      <c r="E49" s="11">
        <f>SUM(129+141)</f>
        <v>270</v>
      </c>
      <c r="F49" s="12">
        <f t="shared" si="1"/>
        <v>10.762962962962963</v>
      </c>
      <c r="G49" s="11">
        <v>2</v>
      </c>
      <c r="H49" s="11"/>
      <c r="I49" s="11"/>
      <c r="J49" s="11"/>
      <c r="K49" s="11"/>
      <c r="L49" s="11">
        <v>2.5</v>
      </c>
      <c r="M49" s="13"/>
    </row>
    <row r="50" spans="1:18" ht="18.5" x14ac:dyDescent="0.45">
      <c r="A50" s="3">
        <v>49</v>
      </c>
      <c r="B50" s="4" t="s">
        <v>80</v>
      </c>
      <c r="C50" s="4" t="s">
        <v>89</v>
      </c>
      <c r="D50" s="11">
        <f>SUM(1219+1493)</f>
        <v>2712</v>
      </c>
      <c r="E50" s="11">
        <f>SUM(108+144)</f>
        <v>252</v>
      </c>
      <c r="F50" s="12">
        <f t="shared" si="1"/>
        <v>10.761904761904763</v>
      </c>
      <c r="G50" s="11">
        <v>2</v>
      </c>
      <c r="H50" s="11">
        <v>1</v>
      </c>
      <c r="I50" s="11"/>
      <c r="J50" s="11"/>
      <c r="K50" s="11"/>
      <c r="L50" s="11">
        <v>6</v>
      </c>
      <c r="M50" s="13">
        <v>10</v>
      </c>
    </row>
    <row r="51" spans="1:18" ht="18.5" x14ac:dyDescent="0.45">
      <c r="A51" s="3">
        <v>50</v>
      </c>
      <c r="B51" s="4" t="s">
        <v>137</v>
      </c>
      <c r="C51" s="7" t="s">
        <v>27</v>
      </c>
      <c r="D51" s="11">
        <f>SUM(1381)</f>
        <v>1381</v>
      </c>
      <c r="E51" s="11">
        <f>SUM(129)</f>
        <v>129</v>
      </c>
      <c r="F51" s="12">
        <f t="shared" si="1"/>
        <v>10.705426356589147</v>
      </c>
      <c r="G51" s="11">
        <v>1</v>
      </c>
      <c r="H51" s="11"/>
      <c r="I51" s="11"/>
      <c r="J51" s="11"/>
      <c r="K51" s="11"/>
      <c r="L51" s="11">
        <v>0.5</v>
      </c>
      <c r="M51" s="13"/>
    </row>
    <row r="52" spans="1:18" ht="18.5" x14ac:dyDescent="0.45">
      <c r="A52" s="3">
        <v>51</v>
      </c>
      <c r="B52" s="4" t="s">
        <v>36</v>
      </c>
      <c r="C52" s="7" t="s">
        <v>66</v>
      </c>
      <c r="D52" s="11">
        <f>SUM(1457+1503+1489+1479+1444+1495+1429)</f>
        <v>10296</v>
      </c>
      <c r="E52" s="11">
        <f>SUM(116+124+152+178+127+147+153)</f>
        <v>997</v>
      </c>
      <c r="F52" s="12">
        <f t="shared" si="1"/>
        <v>10.326980942828486</v>
      </c>
      <c r="G52" s="11">
        <v>7</v>
      </c>
      <c r="H52" s="11">
        <v>2</v>
      </c>
      <c r="I52" s="11"/>
      <c r="J52" s="11"/>
      <c r="K52" s="11"/>
      <c r="L52" s="11">
        <v>14</v>
      </c>
      <c r="M52" s="13"/>
    </row>
    <row r="53" spans="1:18" ht="18.5" x14ac:dyDescent="0.45">
      <c r="A53" s="3">
        <v>52</v>
      </c>
      <c r="B53" s="15" t="s">
        <v>67</v>
      </c>
      <c r="C53" s="4" t="s">
        <v>32</v>
      </c>
      <c r="D53" s="11">
        <f>SUM(1261+1230+1487+1434+1097+1454)</f>
        <v>7963</v>
      </c>
      <c r="E53" s="11">
        <f>SUM(102+96+177+137+99+162)</f>
        <v>773</v>
      </c>
      <c r="F53" s="12">
        <f t="shared" si="1"/>
        <v>10.301423027166882</v>
      </c>
      <c r="G53" s="11">
        <v>5</v>
      </c>
      <c r="H53" s="11">
        <v>2</v>
      </c>
      <c r="I53" s="11"/>
      <c r="J53" s="11"/>
      <c r="K53" s="11"/>
      <c r="L53" s="11">
        <v>6</v>
      </c>
      <c r="M53" s="13"/>
    </row>
    <row r="54" spans="1:18" ht="18.5" x14ac:dyDescent="0.45">
      <c r="A54" s="3">
        <v>53</v>
      </c>
      <c r="B54" s="4" t="s">
        <v>74</v>
      </c>
      <c r="C54" s="4" t="s">
        <v>66</v>
      </c>
      <c r="D54" s="11">
        <f>SUM(1266)</f>
        <v>1266</v>
      </c>
      <c r="E54" s="11">
        <f>SUM(141)</f>
        <v>141</v>
      </c>
      <c r="F54" s="12">
        <f t="shared" si="1"/>
        <v>8.9787234042553195</v>
      </c>
      <c r="G54" s="11">
        <v>1</v>
      </c>
      <c r="H54" s="11"/>
      <c r="I54" s="11"/>
      <c r="J54" s="11"/>
      <c r="K54" s="11"/>
      <c r="L54" s="11">
        <v>4</v>
      </c>
      <c r="M54" s="13"/>
    </row>
    <row r="55" spans="1:18" ht="17.25" customHeight="1" thickBot="1" x14ac:dyDescent="0.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8" ht="19.5" customHeight="1" thickBot="1" x14ac:dyDescent="0.5">
      <c r="A56" s="5"/>
      <c r="B56" s="66" t="s">
        <v>136</v>
      </c>
      <c r="C56" s="57" t="s">
        <v>44</v>
      </c>
      <c r="D56" s="28" t="s">
        <v>45</v>
      </c>
      <c r="E56" s="29" t="s">
        <v>46</v>
      </c>
      <c r="F56" s="20" t="s">
        <v>62</v>
      </c>
      <c r="G56" s="30" t="s">
        <v>47</v>
      </c>
      <c r="I56" s="61" t="s">
        <v>48</v>
      </c>
      <c r="J56" s="62"/>
      <c r="K56" s="62"/>
      <c r="L56" s="62"/>
      <c r="M56" s="62"/>
      <c r="N56" s="62"/>
      <c r="O56" s="62"/>
      <c r="P56" s="62"/>
      <c r="Q56" s="62"/>
      <c r="R56" s="63"/>
    </row>
    <row r="57" spans="1:18" ht="18.5" x14ac:dyDescent="0.45">
      <c r="A57" s="5"/>
      <c r="B57" s="67"/>
      <c r="C57" s="17" t="s">
        <v>59</v>
      </c>
      <c r="D57" s="7">
        <v>8</v>
      </c>
      <c r="E57" s="22">
        <v>0</v>
      </c>
      <c r="F57" s="15"/>
      <c r="G57" s="23">
        <v>143</v>
      </c>
      <c r="I57" s="69" t="s">
        <v>49</v>
      </c>
      <c r="J57" s="70"/>
      <c r="K57" s="70"/>
      <c r="L57" s="70"/>
      <c r="M57" s="70"/>
      <c r="N57" s="64" t="s">
        <v>88</v>
      </c>
      <c r="O57" s="64"/>
      <c r="P57" s="64"/>
      <c r="Q57" s="64"/>
      <c r="R57" s="65"/>
    </row>
    <row r="58" spans="1:18" ht="18.5" x14ac:dyDescent="0.45">
      <c r="A58" s="5"/>
      <c r="B58" s="67"/>
      <c r="C58" s="17" t="s">
        <v>60</v>
      </c>
      <c r="D58" s="7">
        <v>6</v>
      </c>
      <c r="E58" s="22">
        <v>2</v>
      </c>
      <c r="F58" s="15"/>
      <c r="G58" s="23">
        <v>114</v>
      </c>
      <c r="I58" s="71" t="s">
        <v>51</v>
      </c>
      <c r="J58" s="72"/>
      <c r="K58" s="72"/>
      <c r="L58" s="72"/>
      <c r="M58" s="72"/>
      <c r="N58" s="59" t="s">
        <v>135</v>
      </c>
      <c r="O58" s="59"/>
      <c r="P58" s="59"/>
      <c r="Q58" s="59"/>
      <c r="R58" s="60"/>
    </row>
    <row r="59" spans="1:18" ht="18.5" x14ac:dyDescent="0.45">
      <c r="A59" s="5"/>
      <c r="B59" s="67"/>
      <c r="C59" s="17" t="s">
        <v>55</v>
      </c>
      <c r="D59" s="7">
        <v>6</v>
      </c>
      <c r="E59" s="22">
        <v>2</v>
      </c>
      <c r="F59" s="15"/>
      <c r="G59" s="23">
        <v>106</v>
      </c>
      <c r="I59" s="71" t="s">
        <v>53</v>
      </c>
      <c r="J59" s="72"/>
      <c r="K59" s="72"/>
      <c r="L59" s="72"/>
      <c r="M59" s="72"/>
      <c r="N59" s="59" t="s">
        <v>134</v>
      </c>
      <c r="O59" s="59"/>
      <c r="P59" s="59"/>
      <c r="Q59" s="59"/>
      <c r="R59" s="60"/>
    </row>
    <row r="60" spans="1:18" ht="18.5" x14ac:dyDescent="0.45">
      <c r="A60" s="6"/>
      <c r="B60" s="67"/>
      <c r="C60" s="17" t="s">
        <v>58</v>
      </c>
      <c r="D60" s="7">
        <v>5</v>
      </c>
      <c r="E60" s="16">
        <v>3</v>
      </c>
      <c r="F60" s="15"/>
      <c r="G60" s="17">
        <v>100</v>
      </c>
      <c r="I60" s="71" t="s">
        <v>54</v>
      </c>
      <c r="J60" s="72"/>
      <c r="K60" s="72"/>
      <c r="L60" s="72"/>
      <c r="M60" s="72"/>
      <c r="N60" s="59" t="s">
        <v>133</v>
      </c>
      <c r="O60" s="59"/>
      <c r="P60" s="59"/>
      <c r="Q60" s="59"/>
      <c r="R60" s="60"/>
    </row>
    <row r="61" spans="1:18" ht="18" customHeight="1" x14ac:dyDescent="0.45">
      <c r="A61" s="6"/>
      <c r="B61" s="67"/>
      <c r="C61" s="17" t="s">
        <v>50</v>
      </c>
      <c r="D61" s="7">
        <v>5</v>
      </c>
      <c r="E61" s="16">
        <v>3</v>
      </c>
      <c r="F61" s="15"/>
      <c r="G61" s="17">
        <v>99</v>
      </c>
      <c r="I61" s="71" t="s">
        <v>56</v>
      </c>
      <c r="J61" s="72"/>
      <c r="K61" s="72"/>
      <c r="L61" s="72"/>
      <c r="M61" s="72"/>
      <c r="N61" s="59" t="s">
        <v>108</v>
      </c>
      <c r="O61" s="59"/>
      <c r="P61" s="59"/>
      <c r="Q61" s="59"/>
      <c r="R61" s="60"/>
    </row>
    <row r="62" spans="1:18" ht="18" customHeight="1" thickBot="1" x14ac:dyDescent="0.5">
      <c r="A62" s="6"/>
      <c r="B62" s="67"/>
      <c r="C62" s="17" t="s">
        <v>73</v>
      </c>
      <c r="D62" s="7">
        <v>4</v>
      </c>
      <c r="E62" s="22">
        <v>4</v>
      </c>
      <c r="F62" s="15"/>
      <c r="G62" s="23">
        <v>95</v>
      </c>
      <c r="I62" s="73" t="s">
        <v>57</v>
      </c>
      <c r="J62" s="74"/>
      <c r="K62" s="74"/>
      <c r="L62" s="74"/>
      <c r="M62" s="74"/>
      <c r="N62" s="59" t="s">
        <v>133</v>
      </c>
      <c r="O62" s="59"/>
      <c r="P62" s="59"/>
      <c r="Q62" s="59"/>
      <c r="R62" s="60"/>
    </row>
    <row r="63" spans="1:18" ht="18.5" x14ac:dyDescent="0.45">
      <c r="A63" s="6"/>
      <c r="B63" s="67"/>
      <c r="C63" s="18" t="s">
        <v>61</v>
      </c>
      <c r="D63" s="9">
        <v>3</v>
      </c>
      <c r="E63" s="10">
        <v>5</v>
      </c>
      <c r="F63" s="15"/>
      <c r="G63" s="18">
        <v>91</v>
      </c>
      <c r="H63" s="6"/>
      <c r="I63" s="6"/>
    </row>
    <row r="64" spans="1:18" ht="18.5" x14ac:dyDescent="0.45">
      <c r="A64" s="6"/>
      <c r="B64" s="67"/>
      <c r="C64" s="19" t="s">
        <v>68</v>
      </c>
      <c r="D64" s="9">
        <v>2</v>
      </c>
      <c r="E64" s="10">
        <v>6</v>
      </c>
      <c r="F64" s="15"/>
      <c r="G64" s="18">
        <v>67</v>
      </c>
      <c r="H64" s="6"/>
    </row>
    <row r="65" spans="2:7" ht="18.5" x14ac:dyDescent="0.45">
      <c r="B65" s="67"/>
      <c r="C65" s="17" t="s">
        <v>52</v>
      </c>
      <c r="D65" s="7">
        <v>1</v>
      </c>
      <c r="E65" s="22">
        <v>7</v>
      </c>
      <c r="F65" s="15"/>
      <c r="G65" s="23">
        <v>69</v>
      </c>
    </row>
    <row r="66" spans="2:7" ht="19" thickBot="1" x14ac:dyDescent="0.5">
      <c r="B66" s="68"/>
      <c r="C66" s="18" t="s">
        <v>98</v>
      </c>
      <c r="D66" s="9">
        <v>0</v>
      </c>
      <c r="E66" s="10">
        <v>8</v>
      </c>
      <c r="F66" s="15"/>
      <c r="G66" s="18">
        <v>74</v>
      </c>
    </row>
    <row r="67" spans="2:7" ht="15" thickBot="1" x14ac:dyDescent="0.4"/>
    <row r="68" spans="2:7" ht="19" thickBot="1" x14ac:dyDescent="0.5">
      <c r="C68" s="27" t="s">
        <v>76</v>
      </c>
      <c r="D68" s="28" t="s">
        <v>45</v>
      </c>
      <c r="E68" s="28" t="s">
        <v>46</v>
      </c>
      <c r="F68" s="20" t="s">
        <v>62</v>
      </c>
      <c r="G68" s="31" t="s">
        <v>47</v>
      </c>
    </row>
    <row r="69" spans="2:7" ht="18.5" x14ac:dyDescent="0.45">
      <c r="C69" s="54" t="s">
        <v>59</v>
      </c>
      <c r="D69" s="14">
        <v>8</v>
      </c>
      <c r="E69" s="24">
        <v>0</v>
      </c>
      <c r="F69" s="15"/>
      <c r="G69" s="53">
        <v>143</v>
      </c>
    </row>
    <row r="70" spans="2:7" ht="18.5" x14ac:dyDescent="0.45">
      <c r="C70" s="56" t="s">
        <v>60</v>
      </c>
      <c r="D70" s="7">
        <v>6</v>
      </c>
      <c r="E70" s="22">
        <v>2</v>
      </c>
      <c r="F70" s="15"/>
      <c r="G70" s="55">
        <v>114</v>
      </c>
    </row>
    <row r="71" spans="2:7" ht="18.5" x14ac:dyDescent="0.45">
      <c r="C71" s="56" t="s">
        <v>55</v>
      </c>
      <c r="D71" s="7">
        <v>6</v>
      </c>
      <c r="E71" s="22">
        <v>2</v>
      </c>
      <c r="F71" s="15"/>
      <c r="G71" s="55">
        <v>106</v>
      </c>
    </row>
    <row r="72" spans="2:7" ht="19" thickBot="1" x14ac:dyDescent="0.5">
      <c r="C72" s="52" t="s">
        <v>50</v>
      </c>
      <c r="D72" s="51">
        <v>5</v>
      </c>
      <c r="E72" s="50">
        <v>3</v>
      </c>
      <c r="F72" s="49"/>
      <c r="G72" s="48">
        <v>99</v>
      </c>
    </row>
    <row r="73" spans="2:7" ht="18.5" x14ac:dyDescent="0.45">
      <c r="C73" s="54" t="s">
        <v>73</v>
      </c>
      <c r="D73" s="14">
        <v>4</v>
      </c>
      <c r="E73" s="24">
        <v>4</v>
      </c>
      <c r="F73" s="26"/>
      <c r="G73" s="53">
        <v>95</v>
      </c>
    </row>
    <row r="74" spans="2:7" ht="15" thickBot="1" x14ac:dyDescent="0.4"/>
    <row r="75" spans="2:7" ht="19" thickBot="1" x14ac:dyDescent="0.5">
      <c r="C75" s="27" t="s">
        <v>77</v>
      </c>
      <c r="D75" s="28" t="s">
        <v>45</v>
      </c>
      <c r="E75" s="28" t="s">
        <v>46</v>
      </c>
      <c r="F75" s="20" t="s">
        <v>62</v>
      </c>
      <c r="G75" s="31" t="s">
        <v>47</v>
      </c>
    </row>
    <row r="76" spans="2:7" ht="18.5" x14ac:dyDescent="0.45">
      <c r="C76" s="47" t="s">
        <v>58</v>
      </c>
      <c r="D76" s="46">
        <v>5</v>
      </c>
      <c r="E76" s="46">
        <v>3</v>
      </c>
      <c r="F76" s="26"/>
      <c r="G76" s="45">
        <v>100</v>
      </c>
    </row>
    <row r="77" spans="2:7" ht="18.5" x14ac:dyDescent="0.45">
      <c r="C77" s="42" t="s">
        <v>61</v>
      </c>
      <c r="D77" s="15">
        <v>3</v>
      </c>
      <c r="E77" s="15">
        <v>5</v>
      </c>
      <c r="F77" s="15"/>
      <c r="G77" s="41">
        <v>91</v>
      </c>
    </row>
    <row r="78" spans="2:7" ht="18.5" x14ac:dyDescent="0.45">
      <c r="C78" s="44" t="s">
        <v>68</v>
      </c>
      <c r="D78" s="4">
        <v>2</v>
      </c>
      <c r="E78" s="4">
        <v>6</v>
      </c>
      <c r="F78" s="15"/>
      <c r="G78" s="43">
        <v>67</v>
      </c>
    </row>
    <row r="79" spans="2:7" ht="19" thickBot="1" x14ac:dyDescent="0.5">
      <c r="C79" s="40" t="s">
        <v>52</v>
      </c>
      <c r="D79" s="39">
        <v>1</v>
      </c>
      <c r="E79" s="38">
        <v>7</v>
      </c>
      <c r="F79" s="37"/>
      <c r="G79" s="36">
        <v>69</v>
      </c>
    </row>
    <row r="80" spans="2:7" ht="18.5" x14ac:dyDescent="0.45">
      <c r="C80" s="42" t="s">
        <v>98</v>
      </c>
      <c r="D80" s="15">
        <v>0</v>
      </c>
      <c r="E80" s="15">
        <v>8</v>
      </c>
      <c r="F80" s="15"/>
      <c r="G80" s="41">
        <v>74</v>
      </c>
    </row>
  </sheetData>
  <mergeCells count="14">
    <mergeCell ref="B56:B66"/>
    <mergeCell ref="I57:M57"/>
    <mergeCell ref="I58:M58"/>
    <mergeCell ref="I59:M59"/>
    <mergeCell ref="I60:M60"/>
    <mergeCell ref="I61:M61"/>
    <mergeCell ref="I62:M62"/>
    <mergeCell ref="N62:R62"/>
    <mergeCell ref="I56:R56"/>
    <mergeCell ref="N57:R57"/>
    <mergeCell ref="N58:R58"/>
    <mergeCell ref="N59:R59"/>
    <mergeCell ref="N60:R60"/>
    <mergeCell ref="N61:R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Week 9</vt:lpstr>
      <vt:lpstr>Week 10</vt:lpstr>
      <vt:lpstr>Week 11</vt:lpstr>
      <vt:lpstr>Week 12</vt:lpstr>
      <vt:lpstr>Week 13</vt:lpstr>
      <vt:lpstr>Week 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Powers, Sam</dc:creator>
  <cp:keywords/>
  <dc:description/>
  <cp:lastModifiedBy>Mellie, Gabriella</cp:lastModifiedBy>
  <cp:revision/>
  <dcterms:created xsi:type="dcterms:W3CDTF">2023-09-18T23:48:25Z</dcterms:created>
  <dcterms:modified xsi:type="dcterms:W3CDTF">2025-12-14T02:33:59Z</dcterms:modified>
  <cp:category/>
  <cp:contentStatus/>
</cp:coreProperties>
</file>