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ownloads\"/>
    </mc:Choice>
  </mc:AlternateContent>
  <xr:revisionPtr revIDLastSave="0" documentId="8_{4FAFFA15-72CC-4663-8114-1517DD382476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E14" i="1"/>
  <c r="D14" i="1"/>
  <c r="E24" i="1"/>
  <c r="D24" i="1"/>
  <c r="E4" i="1"/>
  <c r="D4" i="1"/>
  <c r="F33" i="1"/>
  <c r="E33" i="1"/>
  <c r="D33" i="1"/>
  <c r="E29" i="1"/>
  <c r="D29" i="1"/>
  <c r="E20" i="1"/>
  <c r="D20" i="1"/>
  <c r="E2" i="1"/>
  <c r="D2" i="1"/>
  <c r="E39" i="1"/>
  <c r="D39" i="1"/>
  <c r="E28" i="1"/>
  <c r="D28" i="1"/>
  <c r="E16" i="1"/>
  <c r="D16" i="1"/>
  <c r="E26" i="1"/>
  <c r="D26" i="1"/>
  <c r="F6" i="1"/>
  <c r="E43" i="1"/>
  <c r="E17" i="1"/>
  <c r="E6" i="1"/>
  <c r="E15" i="1"/>
  <c r="F15" i="1" s="1"/>
  <c r="D43" i="1"/>
  <c r="F43" i="1" s="1"/>
  <c r="D17" i="1"/>
  <c r="F17" i="1" s="1"/>
  <c r="D6" i="1"/>
  <c r="D15" i="1"/>
  <c r="E34" i="1" l="1"/>
  <c r="D34" i="1"/>
  <c r="E30" i="1"/>
  <c r="D30" i="1"/>
  <c r="E27" i="1"/>
  <c r="D27" i="1"/>
  <c r="E10" i="1"/>
  <c r="D10" i="1"/>
  <c r="E23" i="1"/>
  <c r="D23" i="1"/>
  <c r="E11" i="1"/>
  <c r="D11" i="1"/>
  <c r="E13" i="1"/>
  <c r="D13" i="1"/>
  <c r="E5" i="1"/>
  <c r="D5" i="1"/>
  <c r="E36" i="1"/>
  <c r="D36" i="1"/>
  <c r="F36" i="1" s="1"/>
  <c r="E37" i="1"/>
  <c r="D37" i="1"/>
  <c r="E22" i="1"/>
  <c r="D22" i="1"/>
  <c r="E18" i="1"/>
  <c r="D18" i="1"/>
  <c r="E35" i="1"/>
  <c r="D35" i="1"/>
  <c r="E19" i="1"/>
  <c r="D19" i="1"/>
  <c r="E9" i="1"/>
  <c r="D9" i="1"/>
  <c r="E7" i="1"/>
  <c r="D7" i="1"/>
  <c r="E12" i="1"/>
  <c r="D12" i="1"/>
  <c r="E32" i="1"/>
  <c r="D32" i="1"/>
  <c r="E31" i="1"/>
  <c r="D31" i="1"/>
  <c r="E8" i="1"/>
  <c r="D8" i="1"/>
  <c r="E42" i="1"/>
  <c r="D42" i="1"/>
  <c r="E44" i="1"/>
  <c r="D44" i="1"/>
  <c r="E41" i="1"/>
  <c r="D41" i="1"/>
  <c r="E21" i="1"/>
  <c r="D21" i="1"/>
  <c r="F29" i="1" l="1"/>
  <c r="E45" i="1"/>
  <c r="D45" i="1"/>
  <c r="F45" i="1" s="1"/>
  <c r="E38" i="1"/>
  <c r="D38" i="1"/>
  <c r="F32" i="1"/>
  <c r="F8" i="1"/>
  <c r="F25" i="1"/>
  <c r="F14" i="1"/>
  <c r="F24" i="1"/>
  <c r="F13" i="1"/>
  <c r="F39" i="1"/>
  <c r="F26" i="1"/>
  <c r="F28" i="1"/>
  <c r="F9" i="1"/>
  <c r="F19" i="1"/>
  <c r="F35" i="1"/>
  <c r="F10" i="1"/>
  <c r="E47" i="1"/>
  <c r="D47" i="1"/>
  <c r="F47" i="1" s="1"/>
  <c r="E40" i="1"/>
  <c r="D40" i="1"/>
  <c r="F22" i="1"/>
  <c r="F7" i="1"/>
  <c r="E3" i="1"/>
  <c r="D3" i="1"/>
  <c r="E46" i="1"/>
  <c r="D46" i="1"/>
  <c r="F41" i="1"/>
  <c r="F21" i="1"/>
  <c r="F44" i="1"/>
  <c r="F38" i="1" l="1"/>
  <c r="F3" i="1"/>
  <c r="F16" i="1"/>
  <c r="F46" i="1"/>
  <c r="F40" i="1"/>
  <c r="F5" i="1"/>
  <c r="F23" i="1"/>
  <c r="F4" i="1"/>
  <c r="F31" i="1"/>
  <c r="F2" i="1"/>
  <c r="F18" i="1"/>
  <c r="F20" i="1"/>
  <c r="F42" i="1"/>
  <c r="F30" i="1"/>
  <c r="F11" i="1"/>
  <c r="F37" i="1"/>
  <c r="F34" i="1"/>
  <c r="F27" i="1"/>
  <c r="F12" i="1"/>
</calcChain>
</file>

<file path=xl/sharedStrings.xml><?xml version="1.0" encoding="utf-8"?>
<sst xmlns="http://schemas.openxmlformats.org/spreadsheetml/2006/main" count="135" uniqueCount="98">
  <si>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</si>
  <si>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</si>
  <si>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</si>
  <si>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</si>
  <si>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</si>
  <si>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</si>
  <si>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</si>
  <si>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</si>
  <si>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</si>
  <si>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</si>
  <si>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</si>
  <si>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</si>
  <si>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</si>
  <si>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</si>
  <si>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</si>
  <si>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</si>
  <si>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</si>
  <si>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</si>
  <si>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</si>
  <si>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</si>
  <si>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</si>
  <si>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</si>
  <si>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</si>
  <si>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</si>
  <si>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</si>
  <si>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</si>
  <si>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</si>
  <si>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</si>
  <si>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</si>
  <si>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</si>
  <si>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</si>
  <si>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</si>
  <si>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</si>
  <si>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</si>
  <si>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</si>
  <si>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</si>
  <si>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</si>
  <si>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</si>
  <si>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</si>
  <si>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</si>
  <si>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</si>
  <si>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</si>
  <si>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</si>
  <si>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</si>
  <si>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</si>
  <si>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</si>
  <si>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</si>
  <si>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</si>
  <si>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</si>
  <si>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</si>
  <si>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</si>
  <si>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</si>
  <si>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</si>
  <si>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</si>
  <si>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</si>
  <si>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</si>
  <si>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</si>
  <si>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</si>
  <si>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</si>
  <si>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</si>
  <si>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</si>
  <si>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</si>
  <si>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</si>
  <si>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</si>
  <si>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</si>
  <si>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</si>
  <si>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</si>
  <si>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</si>
  <si>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</si>
  <si>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</si>
  <si>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</si>
  <si>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</si>
  <si>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</si>
  <si>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</si>
  <si>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</si>
  <si>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</si>
  <si>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</si>
  <si>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</si>
  <si>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</si>
  <si>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</si>
  <si>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</si>
  <si>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</si>
  <si>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</si>
  <si>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</si>
  <si>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Jimmy Smith 120 In</t>
  </si>
  <si>
    <t>Chase Freeman</t>
  </si>
  <si>
    <t>Chase Freeman 18 Dart Game</t>
  </si>
  <si>
    <t>Bye Week</t>
  </si>
  <si>
    <t>Losses</t>
  </si>
  <si>
    <t>LUIGI'S SPARTANS</t>
  </si>
  <si>
    <t>Week 2</t>
  </si>
  <si>
    <t>Jimmy Smith 151 Out</t>
  </si>
  <si>
    <t>Travis Ruckle 100 In</t>
  </si>
  <si>
    <t>Alex Ruscin</t>
  </si>
  <si>
    <t>CJ Ruscin</t>
  </si>
  <si>
    <t>Scott Williams</t>
  </si>
  <si>
    <t>Luigi's Spartans</t>
  </si>
  <si>
    <t>Joe White 18.55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</si>
</sst>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I62" sqref="I62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85</v>
      </c>
      <c r="C2" s="4" t="s">
        <v>15</v>
      </c>
      <c r="D2" s="11">
        <f>SUM(1503+1419)</f>
        <v>2922</v>
      </c>
      <c r="E2" s="11">
        <f>SUM(68+80)</f>
        <v>148</v>
      </c>
      <c r="F2" s="12">
        <f t="shared" ref="F2:F47" si="0">D2/E2</f>
        <v>19.743243243243242</v>
      </c>
      <c r="G2" s="11">
        <v>2</v>
      </c>
      <c r="H2" s="11">
        <v>2</v>
      </c>
      <c r="I2" s="11"/>
      <c r="J2" s="11"/>
      <c r="K2" s="11"/>
      <c r="L2" s="11">
        <v>9.5</v>
      </c>
      <c r="M2" s="13">
        <v>5</v>
      </c>
    </row>
    <row r="3" spans="1:13" ht="18.5" x14ac:dyDescent="0.45">
      <c r="A3" s="3">
        <v>2</v>
      </c>
      <c r="B3" s="4" t="s">
        <v>25</v>
      </c>
      <c r="C3" s="4" t="s">
        <v>16</v>
      </c>
      <c r="D3" s="11">
        <f>SUM(1503)</f>
        <v>1503</v>
      </c>
      <c r="E3" s="11">
        <f>SUM(80)</f>
        <v>80</v>
      </c>
      <c r="F3" s="12">
        <f t="shared" si="0"/>
        <v>18.787500000000001</v>
      </c>
      <c r="G3" s="11">
        <v>1</v>
      </c>
      <c r="H3" s="11">
        <v>1</v>
      </c>
      <c r="I3" s="11"/>
      <c r="J3" s="11"/>
      <c r="K3" s="11"/>
      <c r="L3" s="11">
        <v>4.5</v>
      </c>
      <c r="M3" s="13"/>
    </row>
    <row r="4" spans="1:13" ht="18.5" x14ac:dyDescent="0.45">
      <c r="A4" s="3">
        <v>3</v>
      </c>
      <c r="B4" s="4" t="s">
        <v>38</v>
      </c>
      <c r="C4" s="4" t="s">
        <v>31</v>
      </c>
      <c r="D4" s="11">
        <f>SUM(1470+1447)</f>
        <v>2917</v>
      </c>
      <c r="E4" s="11">
        <f>SUM(86+78)</f>
        <v>164</v>
      </c>
      <c r="F4" s="12">
        <f t="shared" si="0"/>
        <v>17.786585365853657</v>
      </c>
      <c r="G4" s="11">
        <v>2</v>
      </c>
      <c r="H4" s="11"/>
      <c r="I4" s="11"/>
      <c r="J4" s="11"/>
      <c r="K4" s="11"/>
      <c r="L4" s="11">
        <v>5</v>
      </c>
      <c r="M4" s="13">
        <v>5</v>
      </c>
    </row>
    <row r="5" spans="1:13" ht="18.5" x14ac:dyDescent="0.45">
      <c r="A5" s="3">
        <v>4</v>
      </c>
      <c r="B5" s="4" t="s">
        <v>17</v>
      </c>
      <c r="C5" s="7" t="s">
        <v>13</v>
      </c>
      <c r="D5" s="11">
        <f>SUM(1503+1474)</f>
        <v>2977</v>
      </c>
      <c r="E5" s="11">
        <f>SUM(90+83)</f>
        <v>173</v>
      </c>
      <c r="F5" s="12">
        <f t="shared" si="0"/>
        <v>17.208092485549134</v>
      </c>
      <c r="G5" s="11">
        <v>2</v>
      </c>
      <c r="H5" s="11">
        <v>1</v>
      </c>
      <c r="I5" s="11"/>
      <c r="J5" s="11"/>
      <c r="K5" s="11"/>
      <c r="L5" s="11">
        <v>8</v>
      </c>
      <c r="M5" s="13"/>
    </row>
    <row r="6" spans="1:13" ht="18.5" x14ac:dyDescent="0.45">
      <c r="A6" s="3">
        <v>5</v>
      </c>
      <c r="B6" s="14" t="s">
        <v>94</v>
      </c>
      <c r="C6" s="4" t="s">
        <v>96</v>
      </c>
      <c r="D6" s="11">
        <f>SUM(1343)</f>
        <v>1343</v>
      </c>
      <c r="E6" s="11">
        <f>SUM(84)</f>
        <v>84</v>
      </c>
      <c r="F6" s="12">
        <f t="shared" si="0"/>
        <v>15.988095238095237</v>
      </c>
      <c r="G6" s="11">
        <v>1</v>
      </c>
      <c r="H6" s="11">
        <v>1</v>
      </c>
      <c r="I6" s="11"/>
      <c r="J6" s="11"/>
      <c r="K6" s="11"/>
      <c r="L6" s="11">
        <v>4</v>
      </c>
      <c r="M6" s="13"/>
    </row>
    <row r="7" spans="1:13" ht="18.5" x14ac:dyDescent="0.45">
      <c r="A7" s="3">
        <v>6</v>
      </c>
      <c r="B7" s="4" t="s">
        <v>27</v>
      </c>
      <c r="C7" s="4" t="s">
        <v>12</v>
      </c>
      <c r="D7" s="11">
        <f>SUM(1503+1443)</f>
        <v>2946</v>
      </c>
      <c r="E7" s="11">
        <f>SUM(84+101)</f>
        <v>185</v>
      </c>
      <c r="F7" s="12">
        <f t="shared" si="0"/>
        <v>15.924324324324324</v>
      </c>
      <c r="G7" s="11">
        <v>2</v>
      </c>
      <c r="H7" s="11">
        <v>1</v>
      </c>
      <c r="I7" s="11"/>
      <c r="J7" s="11"/>
      <c r="K7" s="11"/>
      <c r="L7" s="11">
        <v>7.5</v>
      </c>
      <c r="M7" s="13"/>
    </row>
    <row r="8" spans="1:13" ht="18.5" x14ac:dyDescent="0.45">
      <c r="A8" s="3">
        <v>7</v>
      </c>
      <c r="B8" s="3" t="s">
        <v>32</v>
      </c>
      <c r="C8" s="4" t="s">
        <v>20</v>
      </c>
      <c r="D8" s="11">
        <f>SUM(1359+1503)</f>
        <v>2862</v>
      </c>
      <c r="E8" s="11">
        <f>SUM(84+96)</f>
        <v>180</v>
      </c>
      <c r="F8" s="12">
        <f t="shared" si="0"/>
        <v>15.9</v>
      </c>
      <c r="G8" s="11">
        <v>2</v>
      </c>
      <c r="H8" s="11">
        <v>2</v>
      </c>
      <c r="I8" s="11"/>
      <c r="J8" s="11"/>
      <c r="K8" s="11"/>
      <c r="L8" s="11">
        <v>9</v>
      </c>
      <c r="M8" s="13"/>
    </row>
    <row r="9" spans="1:13" ht="18.5" x14ac:dyDescent="0.45">
      <c r="A9" s="3">
        <v>8</v>
      </c>
      <c r="B9" s="4" t="s">
        <v>11</v>
      </c>
      <c r="C9" s="4" t="s">
        <v>12</v>
      </c>
      <c r="D9" s="11">
        <f>SUM(1503+1441)</f>
        <v>2944</v>
      </c>
      <c r="E9" s="11">
        <f>SUM(102+84)</f>
        <v>186</v>
      </c>
      <c r="F9" s="12">
        <f t="shared" si="0"/>
        <v>15.827956989247312</v>
      </c>
      <c r="G9" s="11">
        <v>2</v>
      </c>
      <c r="H9" s="11">
        <v>2</v>
      </c>
      <c r="I9" s="11"/>
      <c r="J9" s="11"/>
      <c r="K9" s="11"/>
      <c r="L9" s="11">
        <v>9</v>
      </c>
      <c r="M9" s="13"/>
    </row>
    <row r="10" spans="1:13" ht="18.5" x14ac:dyDescent="0.45">
      <c r="A10" s="3">
        <v>9</v>
      </c>
      <c r="B10" s="4" t="s">
        <v>28</v>
      </c>
      <c r="C10" s="4" t="s">
        <v>62</v>
      </c>
      <c r="D10" s="11">
        <f>SUM(1327+1229)</f>
        <v>2556</v>
      </c>
      <c r="E10" s="11">
        <f>SUM(84+79)</f>
        <v>163</v>
      </c>
      <c r="F10" s="12">
        <f t="shared" si="0"/>
        <v>15.680981595092025</v>
      </c>
      <c r="G10" s="11">
        <v>2</v>
      </c>
      <c r="H10" s="11">
        <v>1</v>
      </c>
      <c r="I10" s="11"/>
      <c r="J10" s="11"/>
      <c r="K10" s="11"/>
      <c r="L10" s="11">
        <v>5.5</v>
      </c>
      <c r="M10" s="13">
        <v>5</v>
      </c>
    </row>
    <row r="11" spans="1:13" ht="18.5" x14ac:dyDescent="0.45">
      <c r="A11" s="3">
        <v>10</v>
      </c>
      <c r="B11" s="4" t="s">
        <v>21</v>
      </c>
      <c r="C11" s="4" t="s">
        <v>13</v>
      </c>
      <c r="D11" s="11">
        <f>SUM(1503+1470)</f>
        <v>2973</v>
      </c>
      <c r="E11" s="11">
        <f>SUM(105+88)</f>
        <v>193</v>
      </c>
      <c r="F11" s="12">
        <f t="shared" si="0"/>
        <v>15.404145077720207</v>
      </c>
      <c r="G11" s="11">
        <v>2</v>
      </c>
      <c r="H11" s="11">
        <v>2</v>
      </c>
      <c r="I11" s="11"/>
      <c r="J11" s="11"/>
      <c r="K11" s="11"/>
      <c r="L11" s="11">
        <v>7.5</v>
      </c>
      <c r="M11" s="13"/>
    </row>
    <row r="12" spans="1:13" ht="18.5" x14ac:dyDescent="0.45">
      <c r="A12" s="3">
        <v>11</v>
      </c>
      <c r="B12" s="3" t="s">
        <v>19</v>
      </c>
      <c r="C12" s="4" t="s">
        <v>20</v>
      </c>
      <c r="D12" s="11">
        <f>SUM(1391+1503)</f>
        <v>2894</v>
      </c>
      <c r="E12" s="11">
        <f>SUM(108+83)</f>
        <v>191</v>
      </c>
      <c r="F12" s="12">
        <f t="shared" si="0"/>
        <v>15.151832460732985</v>
      </c>
      <c r="G12" s="11">
        <v>2</v>
      </c>
      <c r="H12" s="11">
        <v>1</v>
      </c>
      <c r="I12" s="11"/>
      <c r="J12" s="11"/>
      <c r="K12" s="11"/>
      <c r="L12" s="11">
        <v>7.5</v>
      </c>
      <c r="M12" s="13">
        <v>10</v>
      </c>
    </row>
    <row r="13" spans="1:13" ht="18.5" x14ac:dyDescent="0.45">
      <c r="A13" s="3">
        <v>12</v>
      </c>
      <c r="B13" s="4" t="s">
        <v>23</v>
      </c>
      <c r="C13" s="4" t="s">
        <v>13</v>
      </c>
      <c r="D13" s="11">
        <f>SUM(1503+1499)</f>
        <v>3002</v>
      </c>
      <c r="E13" s="11">
        <f>SUM(100+99)</f>
        <v>199</v>
      </c>
      <c r="F13" s="12">
        <f t="shared" si="0"/>
        <v>15.085427135678392</v>
      </c>
      <c r="G13" s="11">
        <v>2</v>
      </c>
      <c r="H13" s="11">
        <v>2</v>
      </c>
      <c r="I13" s="11"/>
      <c r="J13" s="11"/>
      <c r="K13" s="11"/>
      <c r="L13" s="11">
        <v>9</v>
      </c>
      <c r="M13" s="13"/>
    </row>
    <row r="14" spans="1:13" ht="18.5" x14ac:dyDescent="0.45">
      <c r="A14" s="3">
        <v>13</v>
      </c>
      <c r="B14" s="14" t="s">
        <v>75</v>
      </c>
      <c r="C14" s="7" t="s">
        <v>31</v>
      </c>
      <c r="D14" s="11">
        <f>SUM(1503+1475)</f>
        <v>2978</v>
      </c>
      <c r="E14" s="11">
        <f>SUM(102+96)</f>
        <v>198</v>
      </c>
      <c r="F14" s="12">
        <f t="shared" si="0"/>
        <v>15.04040404040404</v>
      </c>
      <c r="G14" s="11">
        <v>2</v>
      </c>
      <c r="H14" s="11">
        <v>1</v>
      </c>
      <c r="I14" s="11"/>
      <c r="J14" s="11"/>
      <c r="K14" s="11"/>
      <c r="L14" s="11">
        <v>6.5</v>
      </c>
      <c r="M14" s="13"/>
    </row>
    <row r="15" spans="1:13" ht="18.5" x14ac:dyDescent="0.45">
      <c r="A15" s="3">
        <v>14</v>
      </c>
      <c r="B15" s="14" t="s">
        <v>93</v>
      </c>
      <c r="C15" s="4" t="s">
        <v>96</v>
      </c>
      <c r="D15" s="11">
        <f>SUM(1496)</f>
        <v>1496</v>
      </c>
      <c r="E15" s="11">
        <f>SUM(100)</f>
        <v>100</v>
      </c>
      <c r="F15" s="12">
        <f t="shared" si="0"/>
        <v>14.96</v>
      </c>
      <c r="G15" s="11">
        <v>1</v>
      </c>
      <c r="H15" s="11">
        <v>1</v>
      </c>
      <c r="I15" s="11"/>
      <c r="J15" s="11"/>
      <c r="K15" s="11"/>
      <c r="L15" s="11">
        <v>4</v>
      </c>
      <c r="M15" s="13"/>
    </row>
    <row r="16" spans="1:13" ht="18.5" x14ac:dyDescent="0.45">
      <c r="A16" s="3">
        <v>15</v>
      </c>
      <c r="B16" s="9" t="s">
        <v>60</v>
      </c>
      <c r="C16" s="4" t="s">
        <v>26</v>
      </c>
      <c r="D16" s="11">
        <f>SUM(1446+1409)</f>
        <v>2855</v>
      </c>
      <c r="E16" s="11">
        <f>SUM(108+84)</f>
        <v>192</v>
      </c>
      <c r="F16" s="12">
        <f t="shared" si="0"/>
        <v>14.869791666666666</v>
      </c>
      <c r="G16" s="11">
        <v>2</v>
      </c>
      <c r="H16" s="11"/>
      <c r="I16" s="11"/>
      <c r="J16" s="11"/>
      <c r="K16" s="11"/>
      <c r="L16" s="11">
        <v>4</v>
      </c>
      <c r="M16" s="13"/>
    </row>
    <row r="17" spans="1:13" ht="18.5" x14ac:dyDescent="0.45">
      <c r="A17" s="3">
        <v>16</v>
      </c>
      <c r="B17" s="7" t="s">
        <v>74</v>
      </c>
      <c r="C17" s="4" t="s">
        <v>96</v>
      </c>
      <c r="D17" s="11">
        <f>SUM(1457)</f>
        <v>1457</v>
      </c>
      <c r="E17" s="11">
        <f>SUM(99)</f>
        <v>99</v>
      </c>
      <c r="F17" s="12">
        <f t="shared" si="0"/>
        <v>14.717171717171718</v>
      </c>
      <c r="G17" s="11">
        <v>1</v>
      </c>
      <c r="H17" s="11"/>
      <c r="I17" s="11"/>
      <c r="J17" s="11"/>
      <c r="K17" s="11"/>
      <c r="L17" s="11">
        <v>2.5</v>
      </c>
      <c r="M17" s="13"/>
    </row>
    <row r="18" spans="1:13" ht="18.5" x14ac:dyDescent="0.45">
      <c r="A18" s="3">
        <v>17</v>
      </c>
      <c r="B18" s="9" t="s">
        <v>71</v>
      </c>
      <c r="C18" s="4" t="s">
        <v>76</v>
      </c>
      <c r="D18" s="11">
        <f>SUM(1475+1487)</f>
        <v>2962</v>
      </c>
      <c r="E18" s="11">
        <f>SUM(103+99)</f>
        <v>202</v>
      </c>
      <c r="F18" s="12">
        <f t="shared" si="0"/>
        <v>14.663366336633663</v>
      </c>
      <c r="G18" s="11">
        <v>2</v>
      </c>
      <c r="H18" s="11">
        <v>1</v>
      </c>
      <c r="I18" s="11"/>
      <c r="J18" s="11"/>
      <c r="K18" s="11"/>
      <c r="L18" s="11">
        <v>5.5</v>
      </c>
      <c r="M18" s="13"/>
    </row>
    <row r="19" spans="1:13" ht="18.5" x14ac:dyDescent="0.45">
      <c r="A19" s="3">
        <v>18</v>
      </c>
      <c r="B19" s="7" t="s">
        <v>24</v>
      </c>
      <c r="C19" s="4" t="s">
        <v>12</v>
      </c>
      <c r="D19" s="11">
        <f>SUM(1503+1503)</f>
        <v>3006</v>
      </c>
      <c r="E19" s="11">
        <f>SUM(108+98)</f>
        <v>206</v>
      </c>
      <c r="F19" s="12">
        <f t="shared" si="0"/>
        <v>14.592233009708737</v>
      </c>
      <c r="G19" s="11">
        <v>2</v>
      </c>
      <c r="H19" s="11">
        <v>2</v>
      </c>
      <c r="I19" s="11"/>
      <c r="J19" s="11"/>
      <c r="K19" s="11"/>
      <c r="L19" s="11">
        <v>11</v>
      </c>
      <c r="M19" s="13"/>
    </row>
    <row r="20" spans="1:13" ht="18.5" x14ac:dyDescent="0.45">
      <c r="A20" s="3">
        <v>19</v>
      </c>
      <c r="B20" s="7" t="s">
        <v>14</v>
      </c>
      <c r="C20" s="4" t="s">
        <v>15</v>
      </c>
      <c r="D20" s="11">
        <f>SUM(1483+1501)</f>
        <v>2984</v>
      </c>
      <c r="E20" s="11">
        <f>SUM(111+96)</f>
        <v>207</v>
      </c>
      <c r="F20" s="12">
        <f t="shared" si="0"/>
        <v>14.415458937198068</v>
      </c>
      <c r="G20" s="11">
        <v>2</v>
      </c>
      <c r="H20" s="11">
        <v>2</v>
      </c>
      <c r="I20" s="11"/>
      <c r="J20" s="11"/>
      <c r="K20" s="11"/>
      <c r="L20" s="11">
        <v>8</v>
      </c>
      <c r="M20" s="13"/>
    </row>
    <row r="21" spans="1:13" ht="18.5" x14ac:dyDescent="0.45">
      <c r="A21" s="3">
        <v>20</v>
      </c>
      <c r="B21" s="7" t="s">
        <v>83</v>
      </c>
      <c r="C21" s="4" t="s">
        <v>79</v>
      </c>
      <c r="D21" s="11">
        <f>SUM(1084+1251)</f>
        <v>2335</v>
      </c>
      <c r="E21" s="11">
        <f>SUM(72+90)</f>
        <v>162</v>
      </c>
      <c r="F21" s="12">
        <f t="shared" si="0"/>
        <v>14.413580246913581</v>
      </c>
      <c r="G21" s="11">
        <v>2</v>
      </c>
      <c r="H21" s="11"/>
      <c r="I21" s="11"/>
      <c r="J21" s="11"/>
      <c r="K21" s="11"/>
      <c r="L21" s="11">
        <v>1</v>
      </c>
      <c r="M21" s="13"/>
    </row>
    <row r="22" spans="1:13" ht="18.5" x14ac:dyDescent="0.45">
      <c r="A22" s="3">
        <v>21</v>
      </c>
      <c r="B22" s="19" t="s">
        <v>69</v>
      </c>
      <c r="C22" s="8" t="s">
        <v>76</v>
      </c>
      <c r="D22" s="11">
        <f>SUM(941+1293)</f>
        <v>2234</v>
      </c>
      <c r="E22" s="11">
        <f>SUM(66+89)</f>
        <v>155</v>
      </c>
      <c r="F22" s="12">
        <f t="shared" si="0"/>
        <v>14.412903225806451</v>
      </c>
      <c r="G22" s="11">
        <v>2</v>
      </c>
      <c r="H22" s="11"/>
      <c r="I22" s="11"/>
      <c r="J22" s="11"/>
      <c r="K22" s="11"/>
      <c r="L22" s="11">
        <v>3.5</v>
      </c>
      <c r="M22" s="13"/>
    </row>
    <row r="23" spans="1:13" ht="18.5" x14ac:dyDescent="0.45">
      <c r="A23" s="3">
        <v>22</v>
      </c>
      <c r="B23" s="9" t="s">
        <v>64</v>
      </c>
      <c r="C23" s="7" t="s">
        <v>13</v>
      </c>
      <c r="D23" s="11">
        <f>SUM(1478+1503)</f>
        <v>2981</v>
      </c>
      <c r="E23" s="11">
        <f>SUM(110+97)</f>
        <v>207</v>
      </c>
      <c r="F23" s="12">
        <f t="shared" si="0"/>
        <v>14.400966183574878</v>
      </c>
      <c r="G23" s="11">
        <v>2</v>
      </c>
      <c r="H23" s="11">
        <v>1</v>
      </c>
      <c r="I23" s="11"/>
      <c r="J23" s="11"/>
      <c r="K23" s="11"/>
      <c r="L23" s="11">
        <v>6.5</v>
      </c>
      <c r="M23" s="13"/>
    </row>
    <row r="24" spans="1:13" ht="18.5" x14ac:dyDescent="0.45">
      <c r="A24" s="3">
        <v>23</v>
      </c>
      <c r="B24" s="10" t="s">
        <v>30</v>
      </c>
      <c r="C24" s="7" t="s">
        <v>31</v>
      </c>
      <c r="D24" s="11">
        <f>SUM(1369+1280)</f>
        <v>2649</v>
      </c>
      <c r="E24" s="11">
        <f>SUM(92+92)</f>
        <v>184</v>
      </c>
      <c r="F24" s="12">
        <f t="shared" si="0"/>
        <v>14.396739130434783</v>
      </c>
      <c r="G24" s="11">
        <v>2</v>
      </c>
      <c r="H24" s="11">
        <v>1</v>
      </c>
      <c r="I24" s="11"/>
      <c r="J24" s="11"/>
      <c r="K24" s="11"/>
      <c r="L24" s="11">
        <v>5.5</v>
      </c>
      <c r="M24" s="13"/>
    </row>
    <row r="25" spans="1:13" ht="18.5" x14ac:dyDescent="0.45">
      <c r="A25" s="3">
        <v>24</v>
      </c>
      <c r="B25" s="4" t="s">
        <v>81</v>
      </c>
      <c r="C25" s="4" t="s">
        <v>31</v>
      </c>
      <c r="D25" s="11">
        <f>SUM(1501+1503)</f>
        <v>3004</v>
      </c>
      <c r="E25" s="11">
        <f>SUM(113+97)</f>
        <v>210</v>
      </c>
      <c r="F25" s="12">
        <f t="shared" si="0"/>
        <v>14.304761904761905</v>
      </c>
      <c r="G25" s="11">
        <v>2</v>
      </c>
      <c r="H25" s="11">
        <v>2</v>
      </c>
      <c r="I25" s="11"/>
      <c r="J25" s="11"/>
      <c r="K25" s="11"/>
      <c r="L25" s="11">
        <v>8</v>
      </c>
      <c r="M25" s="13"/>
    </row>
    <row r="26" spans="1:13" ht="18.5" x14ac:dyDescent="0.45">
      <c r="A26" s="3">
        <v>25</v>
      </c>
      <c r="B26" s="10" t="s">
        <v>33</v>
      </c>
      <c r="C26" s="4" t="s">
        <v>26</v>
      </c>
      <c r="D26" s="11">
        <f>SUM(1311+1257)</f>
        <v>2568</v>
      </c>
      <c r="E26" s="11">
        <f>SUM(84+98)</f>
        <v>182</v>
      </c>
      <c r="F26" s="12">
        <f t="shared" si="0"/>
        <v>14.109890109890109</v>
      </c>
      <c r="G26" s="11">
        <v>2</v>
      </c>
      <c r="H26" s="11"/>
      <c r="I26" s="11"/>
      <c r="J26" s="11"/>
      <c r="K26" s="11"/>
      <c r="L26" s="11">
        <v>3.5</v>
      </c>
      <c r="M26" s="13"/>
    </row>
    <row r="27" spans="1:13" ht="18.5" x14ac:dyDescent="0.45">
      <c r="A27" s="3">
        <v>26</v>
      </c>
      <c r="B27" s="10" t="s">
        <v>41</v>
      </c>
      <c r="C27" s="7" t="s">
        <v>62</v>
      </c>
      <c r="D27" s="11">
        <f>SUM(1443+1326)</f>
        <v>2769</v>
      </c>
      <c r="E27" s="11">
        <f>SUM(102+95)</f>
        <v>197</v>
      </c>
      <c r="F27" s="12">
        <f t="shared" si="0"/>
        <v>14.055837563451776</v>
      </c>
      <c r="G27" s="11">
        <v>2</v>
      </c>
      <c r="H27" s="11"/>
      <c r="I27" s="11"/>
      <c r="J27" s="11"/>
      <c r="K27" s="11"/>
      <c r="L27" s="11">
        <v>3.5</v>
      </c>
      <c r="M27" s="13"/>
    </row>
    <row r="28" spans="1:13" ht="18.5" x14ac:dyDescent="0.45">
      <c r="A28" s="3">
        <v>27</v>
      </c>
      <c r="B28" s="10" t="s">
        <v>59</v>
      </c>
      <c r="C28" s="7" t="s">
        <v>26</v>
      </c>
      <c r="D28" s="11">
        <f>SUM(1499+1463)</f>
        <v>2962</v>
      </c>
      <c r="E28" s="11">
        <f>SUM(114+98)</f>
        <v>212</v>
      </c>
      <c r="F28" s="12">
        <f t="shared" si="0"/>
        <v>13.971698113207546</v>
      </c>
      <c r="G28" s="11">
        <v>2</v>
      </c>
      <c r="H28" s="11">
        <v>2</v>
      </c>
      <c r="I28" s="11"/>
      <c r="J28" s="11"/>
      <c r="K28" s="11"/>
      <c r="L28" s="11">
        <v>7</v>
      </c>
      <c r="M28" s="13">
        <v>5</v>
      </c>
    </row>
    <row r="29" spans="1:13" ht="18.5" x14ac:dyDescent="0.45">
      <c r="A29" s="3">
        <v>28</v>
      </c>
      <c r="B29" s="15" t="s">
        <v>39</v>
      </c>
      <c r="C29" s="7" t="s">
        <v>15</v>
      </c>
      <c r="D29" s="11">
        <f>SUM(1361+1488)</f>
        <v>2849</v>
      </c>
      <c r="E29" s="11">
        <f>SUM(107+98)</f>
        <v>205</v>
      </c>
      <c r="F29" s="12">
        <f t="shared" si="0"/>
        <v>13.897560975609757</v>
      </c>
      <c r="G29" s="11">
        <v>2</v>
      </c>
      <c r="H29" s="11">
        <v>2</v>
      </c>
      <c r="I29" s="11"/>
      <c r="J29" s="11"/>
      <c r="K29" s="11"/>
      <c r="L29" s="11">
        <v>7.5</v>
      </c>
      <c r="M29" s="13"/>
    </row>
    <row r="30" spans="1:13" ht="18.5" x14ac:dyDescent="0.45">
      <c r="A30" s="3">
        <v>29</v>
      </c>
      <c r="B30" s="15" t="s">
        <v>35</v>
      </c>
      <c r="C30" s="7" t="s">
        <v>62</v>
      </c>
      <c r="D30" s="11">
        <f>SUM(1480+1242)</f>
        <v>2722</v>
      </c>
      <c r="E30" s="11">
        <f>SUM(111+87)</f>
        <v>198</v>
      </c>
      <c r="F30" s="12">
        <f t="shared" si="0"/>
        <v>13.747474747474747</v>
      </c>
      <c r="G30" s="11">
        <v>2</v>
      </c>
      <c r="H30" s="11">
        <v>1</v>
      </c>
      <c r="I30" s="11"/>
      <c r="J30" s="11"/>
      <c r="K30" s="11"/>
      <c r="L30" s="11">
        <v>3</v>
      </c>
      <c r="M30" s="13"/>
    </row>
    <row r="31" spans="1:13" ht="18.5" x14ac:dyDescent="0.45">
      <c r="A31" s="3">
        <v>30</v>
      </c>
      <c r="B31" s="15" t="s">
        <v>22</v>
      </c>
      <c r="C31" s="7" t="s">
        <v>20</v>
      </c>
      <c r="D31" s="11">
        <f>SUM(1426+1503)</f>
        <v>2929</v>
      </c>
      <c r="E31" s="11">
        <f>SUM(99+116)</f>
        <v>215</v>
      </c>
      <c r="F31" s="12">
        <f t="shared" si="0"/>
        <v>13.623255813953488</v>
      </c>
      <c r="G31" s="11">
        <v>2</v>
      </c>
      <c r="H31" s="11">
        <v>1</v>
      </c>
      <c r="I31" s="11"/>
      <c r="J31" s="11"/>
      <c r="K31" s="11"/>
      <c r="L31" s="11">
        <v>6.5</v>
      </c>
      <c r="M31" s="13"/>
    </row>
    <row r="32" spans="1:13" ht="18.5" x14ac:dyDescent="0.45">
      <c r="A32" s="3">
        <v>31</v>
      </c>
      <c r="B32" s="10" t="s">
        <v>29</v>
      </c>
      <c r="C32" s="7" t="s">
        <v>20</v>
      </c>
      <c r="D32" s="11">
        <f>SUM(1301+1503)</f>
        <v>2804</v>
      </c>
      <c r="E32" s="11">
        <f>SUM(96+110)</f>
        <v>206</v>
      </c>
      <c r="F32" s="12">
        <f t="shared" si="0"/>
        <v>13.611650485436893</v>
      </c>
      <c r="G32" s="11">
        <v>2</v>
      </c>
      <c r="H32" s="11">
        <v>1</v>
      </c>
      <c r="I32" s="11"/>
      <c r="J32" s="11"/>
      <c r="K32" s="11"/>
      <c r="L32" s="11">
        <v>8</v>
      </c>
      <c r="M32" s="13"/>
    </row>
    <row r="33" spans="1:13" ht="18.5" x14ac:dyDescent="0.45">
      <c r="A33" s="3">
        <v>32</v>
      </c>
      <c r="B33" s="18" t="s">
        <v>82</v>
      </c>
      <c r="C33" s="7" t="s">
        <v>15</v>
      </c>
      <c r="D33" s="11">
        <f>SUM(1212)</f>
        <v>1212</v>
      </c>
      <c r="E33" s="11">
        <f>SUM(91)</f>
        <v>91</v>
      </c>
      <c r="F33" s="12">
        <f t="shared" si="0"/>
        <v>13.318681318681319</v>
      </c>
      <c r="G33" s="11">
        <v>1</v>
      </c>
      <c r="H33" s="11"/>
      <c r="I33" s="11"/>
      <c r="J33" s="11"/>
      <c r="K33" s="11"/>
      <c r="L33" s="11">
        <v>1.5</v>
      </c>
      <c r="M33" s="13"/>
    </row>
    <row r="34" spans="1:13" ht="18.5" x14ac:dyDescent="0.45">
      <c r="A34" s="3">
        <v>33</v>
      </c>
      <c r="B34" s="4" t="s">
        <v>34</v>
      </c>
      <c r="C34" s="7" t="s">
        <v>62</v>
      </c>
      <c r="D34" s="11">
        <f>SUM(1357+1211)</f>
        <v>2568</v>
      </c>
      <c r="E34" s="11">
        <f>SUM(105+90)</f>
        <v>195</v>
      </c>
      <c r="F34" s="12">
        <f t="shared" si="0"/>
        <v>13.169230769230769</v>
      </c>
      <c r="G34" s="11">
        <v>2</v>
      </c>
      <c r="H34" s="11"/>
      <c r="I34" s="11"/>
      <c r="J34" s="11"/>
      <c r="K34" s="11"/>
      <c r="L34" s="11">
        <v>1.5</v>
      </c>
      <c r="M34" s="13"/>
    </row>
    <row r="35" spans="1:13" ht="18.5" x14ac:dyDescent="0.45">
      <c r="A35" s="3">
        <v>34</v>
      </c>
      <c r="B35" s="4" t="s">
        <v>77</v>
      </c>
      <c r="C35" s="4" t="s">
        <v>12</v>
      </c>
      <c r="D35" s="11">
        <f>SUM(1479+1459)</f>
        <v>2938</v>
      </c>
      <c r="E35" s="11">
        <f>SUM(110+116)</f>
        <v>226</v>
      </c>
      <c r="F35" s="12">
        <f t="shared" si="0"/>
        <v>13</v>
      </c>
      <c r="G35" s="11">
        <v>2</v>
      </c>
      <c r="H35" s="11"/>
      <c r="I35" s="11"/>
      <c r="J35" s="11"/>
      <c r="K35" s="11"/>
      <c r="L35" s="11">
        <v>7.5</v>
      </c>
      <c r="M35" s="13"/>
    </row>
    <row r="36" spans="1:13" ht="18.5" x14ac:dyDescent="0.45">
      <c r="A36" s="3">
        <v>35</v>
      </c>
      <c r="B36" s="4" t="s">
        <v>70</v>
      </c>
      <c r="C36" s="4" t="s">
        <v>76</v>
      </c>
      <c r="D36" s="11">
        <f>SUM(1497)</f>
        <v>1497</v>
      </c>
      <c r="E36" s="11">
        <f>SUM(116)</f>
        <v>116</v>
      </c>
      <c r="F36" s="12">
        <f t="shared" si="0"/>
        <v>12.905172413793103</v>
      </c>
      <c r="G36" s="11">
        <v>1</v>
      </c>
      <c r="H36" s="11">
        <v>1</v>
      </c>
      <c r="I36" s="11"/>
      <c r="J36" s="11"/>
      <c r="K36" s="11"/>
      <c r="L36" s="11">
        <v>2</v>
      </c>
      <c r="M36" s="13"/>
    </row>
    <row r="37" spans="1:13" ht="18.5" x14ac:dyDescent="0.45">
      <c r="A37" s="3">
        <v>36</v>
      </c>
      <c r="B37" s="4" t="s">
        <v>78</v>
      </c>
      <c r="C37" s="4" t="s">
        <v>76</v>
      </c>
      <c r="D37" s="11">
        <f>SUM(1499+1275)</f>
        <v>2774</v>
      </c>
      <c r="E37" s="11">
        <f>SUM(123+99)</f>
        <v>222</v>
      </c>
      <c r="F37" s="12">
        <f t="shared" si="0"/>
        <v>12.495495495495495</v>
      </c>
      <c r="G37" s="11">
        <v>2</v>
      </c>
      <c r="H37" s="11">
        <v>1</v>
      </c>
      <c r="I37" s="11"/>
      <c r="J37" s="11"/>
      <c r="K37" s="11"/>
      <c r="L37" s="11">
        <v>3</v>
      </c>
      <c r="M37" s="13"/>
    </row>
    <row r="38" spans="1:13" ht="18.5" x14ac:dyDescent="0.45">
      <c r="A38" s="3">
        <v>37</v>
      </c>
      <c r="B38" s="14" t="s">
        <v>72</v>
      </c>
      <c r="C38" s="4" t="s">
        <v>76</v>
      </c>
      <c r="D38" s="11">
        <f>SUM(1359)</f>
        <v>1359</v>
      </c>
      <c r="E38" s="11">
        <f>SUM(110)</f>
        <v>110</v>
      </c>
      <c r="F38" s="12">
        <f t="shared" si="0"/>
        <v>12.354545454545455</v>
      </c>
      <c r="G38" s="11">
        <v>1</v>
      </c>
      <c r="H38" s="11"/>
      <c r="I38" s="11"/>
      <c r="J38" s="11"/>
      <c r="K38" s="11"/>
      <c r="L38" s="11">
        <v>2</v>
      </c>
      <c r="M38" s="13"/>
    </row>
    <row r="39" spans="1:13" ht="18.5" x14ac:dyDescent="0.45">
      <c r="A39" s="3">
        <v>38</v>
      </c>
      <c r="B39" s="14" t="s">
        <v>61</v>
      </c>
      <c r="C39" s="4" t="s">
        <v>26</v>
      </c>
      <c r="D39" s="11">
        <f>SUM(1332+1457)</f>
        <v>2789</v>
      </c>
      <c r="E39" s="11">
        <f>SUM(102+131)</f>
        <v>233</v>
      </c>
      <c r="F39" s="12">
        <f t="shared" si="0"/>
        <v>11.969957081545065</v>
      </c>
      <c r="G39" s="11">
        <v>2</v>
      </c>
      <c r="H39" s="11">
        <v>1</v>
      </c>
      <c r="I39" s="11"/>
      <c r="J39" s="11"/>
      <c r="K39" s="11"/>
      <c r="L39" s="11">
        <v>4.5</v>
      </c>
      <c r="M39" s="13"/>
    </row>
    <row r="40" spans="1:13" ht="18.5" x14ac:dyDescent="0.45">
      <c r="A40" s="3">
        <v>39</v>
      </c>
      <c r="B40" s="14" t="s">
        <v>40</v>
      </c>
      <c r="C40" s="4" t="s">
        <v>16</v>
      </c>
      <c r="D40" s="11">
        <f>SUM(1503)</f>
        <v>1503</v>
      </c>
      <c r="E40" s="11">
        <f>SUM(129)</f>
        <v>129</v>
      </c>
      <c r="F40" s="12">
        <f t="shared" si="0"/>
        <v>11.651162790697674</v>
      </c>
      <c r="G40" s="11">
        <v>1</v>
      </c>
      <c r="H40" s="11">
        <v>1</v>
      </c>
      <c r="I40" s="11"/>
      <c r="J40" s="11"/>
      <c r="K40" s="11"/>
      <c r="L40" s="11">
        <v>4.5</v>
      </c>
      <c r="M40" s="13"/>
    </row>
    <row r="41" spans="1:13" ht="18.5" x14ac:dyDescent="0.45">
      <c r="A41" s="3">
        <v>40</v>
      </c>
      <c r="B41" s="14" t="s">
        <v>36</v>
      </c>
      <c r="C41" s="4" t="s">
        <v>79</v>
      </c>
      <c r="D41" s="11">
        <f>SUM(1372+1316)</f>
        <v>2688</v>
      </c>
      <c r="E41" s="11">
        <f>SUM(123+111)</f>
        <v>234</v>
      </c>
      <c r="F41" s="12">
        <f t="shared" si="0"/>
        <v>11.487179487179487</v>
      </c>
      <c r="G41" s="11">
        <v>2</v>
      </c>
      <c r="H41" s="11"/>
      <c r="I41" s="11"/>
      <c r="J41" s="11"/>
      <c r="K41" s="11"/>
      <c r="L41" s="11">
        <v>2</v>
      </c>
      <c r="M41" s="13"/>
    </row>
    <row r="42" spans="1:13" ht="18.5" x14ac:dyDescent="0.45">
      <c r="A42" s="3">
        <v>41</v>
      </c>
      <c r="B42" s="4" t="s">
        <v>73</v>
      </c>
      <c r="C42" s="7" t="s">
        <v>79</v>
      </c>
      <c r="D42" s="11">
        <f>SUM(1501+1174)</f>
        <v>2675</v>
      </c>
      <c r="E42" s="11">
        <f>SUM(156+81)</f>
        <v>237</v>
      </c>
      <c r="F42" s="12">
        <f t="shared" si="0"/>
        <v>11.286919831223628</v>
      </c>
      <c r="G42" s="11">
        <v>2</v>
      </c>
      <c r="H42" s="11">
        <v>1</v>
      </c>
      <c r="I42" s="11"/>
      <c r="J42" s="11"/>
      <c r="K42" s="11"/>
      <c r="L42" s="11">
        <v>4.5</v>
      </c>
      <c r="M42" s="13"/>
    </row>
    <row r="43" spans="1:13" ht="18.5" x14ac:dyDescent="0.45">
      <c r="A43" s="3">
        <v>42</v>
      </c>
      <c r="B43" s="14" t="s">
        <v>95</v>
      </c>
      <c r="C43" s="4" t="s">
        <v>96</v>
      </c>
      <c r="D43" s="11">
        <f>SUM(1455)</f>
        <v>1455</v>
      </c>
      <c r="E43" s="11">
        <f>SUM(129)</f>
        <v>129</v>
      </c>
      <c r="F43" s="12">
        <f t="shared" si="0"/>
        <v>11.279069767441861</v>
      </c>
      <c r="G43" s="11">
        <v>1</v>
      </c>
      <c r="H43" s="11"/>
      <c r="I43" s="11"/>
      <c r="J43" s="11"/>
      <c r="K43" s="11"/>
      <c r="L43" s="11">
        <v>2.5</v>
      </c>
      <c r="M43" s="13"/>
    </row>
    <row r="44" spans="1:13" ht="18.5" x14ac:dyDescent="0.45">
      <c r="A44" s="3">
        <v>43</v>
      </c>
      <c r="B44" s="14" t="s">
        <v>37</v>
      </c>
      <c r="C44" s="4" t="s">
        <v>79</v>
      </c>
      <c r="D44" s="11">
        <f>SUM(1487+1270)</f>
        <v>2757</v>
      </c>
      <c r="E44" s="11">
        <f>SUM(142+105)</f>
        <v>247</v>
      </c>
      <c r="F44" s="12">
        <f t="shared" si="0"/>
        <v>11.161943319838057</v>
      </c>
      <c r="G44" s="11">
        <v>2</v>
      </c>
      <c r="H44" s="11"/>
      <c r="I44" s="11"/>
      <c r="J44" s="11"/>
      <c r="K44" s="11"/>
      <c r="L44" s="11">
        <v>1.5</v>
      </c>
      <c r="M44" s="13"/>
    </row>
    <row r="45" spans="1:13" ht="18.5" x14ac:dyDescent="0.45">
      <c r="A45" s="3">
        <v>44</v>
      </c>
      <c r="B45" s="4" t="s">
        <v>18</v>
      </c>
      <c r="C45" s="4" t="s">
        <v>15</v>
      </c>
      <c r="D45" s="11">
        <f>SUM(1267)</f>
        <v>1267</v>
      </c>
      <c r="E45" s="11">
        <f>SUM(121)</f>
        <v>121</v>
      </c>
      <c r="F45" s="12">
        <f t="shared" si="0"/>
        <v>10.471074380165289</v>
      </c>
      <c r="G45" s="11">
        <v>1</v>
      </c>
      <c r="H45" s="11"/>
      <c r="I45" s="11"/>
      <c r="J45" s="11"/>
      <c r="K45" s="11"/>
      <c r="L45" s="11">
        <v>3.5</v>
      </c>
      <c r="M45" s="13"/>
    </row>
    <row r="46" spans="1:13" ht="18.5" x14ac:dyDescent="0.45">
      <c r="A46" s="3">
        <v>45</v>
      </c>
      <c r="B46" s="4" t="s">
        <v>68</v>
      </c>
      <c r="C46" s="4" t="s">
        <v>16</v>
      </c>
      <c r="D46" s="11">
        <f>SUM(1501)</f>
        <v>1501</v>
      </c>
      <c r="E46" s="11">
        <f>SUM(148)</f>
        <v>148</v>
      </c>
      <c r="F46" s="12">
        <f t="shared" si="0"/>
        <v>10.141891891891891</v>
      </c>
      <c r="G46" s="11">
        <v>1</v>
      </c>
      <c r="H46" s="11">
        <v>1</v>
      </c>
      <c r="I46" s="11"/>
      <c r="J46" s="11"/>
      <c r="K46" s="11"/>
      <c r="L46" s="11">
        <v>4.5</v>
      </c>
      <c r="M46" s="13"/>
    </row>
    <row r="47" spans="1:13" ht="18.5" x14ac:dyDescent="0.45">
      <c r="A47" s="3">
        <v>46</v>
      </c>
      <c r="B47" s="14" t="s">
        <v>65</v>
      </c>
      <c r="C47" s="4" t="s">
        <v>16</v>
      </c>
      <c r="D47" s="11">
        <f>SUM(1337)</f>
        <v>1337</v>
      </c>
      <c r="E47" s="11">
        <f>SUM(150)</f>
        <v>150</v>
      </c>
      <c r="F47" s="12">
        <f t="shared" si="0"/>
        <v>8.913333333333334</v>
      </c>
      <c r="G47" s="11">
        <v>1</v>
      </c>
      <c r="H47" s="11"/>
      <c r="I47" s="11"/>
      <c r="J47" s="11"/>
      <c r="K47" s="11"/>
      <c r="L47" s="11">
        <v>3.5</v>
      </c>
      <c r="M47" s="13"/>
    </row>
    <row r="48" spans="1:13" ht="18.5" x14ac:dyDescent="0.45">
      <c r="A48" s="3">
        <v>47</v>
      </c>
      <c r="B48" s="14" t="s">
        <v>67</v>
      </c>
      <c r="C48" s="4" t="s">
        <v>62</v>
      </c>
      <c r="D48" s="11"/>
      <c r="E48" s="11"/>
      <c r="F48" s="12"/>
      <c r="G48" s="11"/>
      <c r="H48" s="11"/>
      <c r="I48" s="11"/>
      <c r="J48" s="11"/>
      <c r="K48" s="11"/>
      <c r="L48" s="11">
        <v>0.5</v>
      </c>
      <c r="M48" s="13"/>
    </row>
    <row r="49" spans="1:18" ht="17.25" customHeight="1" thickBot="1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8" ht="19.5" customHeight="1" thickBot="1" x14ac:dyDescent="0.5">
      <c r="A50" s="5"/>
      <c r="B50" s="36" t="s">
        <v>90</v>
      </c>
      <c r="C50" s="24" t="s">
        <v>42</v>
      </c>
      <c r="D50" s="25" t="s">
        <v>43</v>
      </c>
      <c r="E50" s="25" t="s">
        <v>88</v>
      </c>
      <c r="F50" s="26" t="s">
        <v>44</v>
      </c>
      <c r="G50" s="27" t="s">
        <v>87</v>
      </c>
      <c r="I50" s="41" t="s">
        <v>45</v>
      </c>
      <c r="J50" s="42"/>
      <c r="K50" s="42"/>
      <c r="L50" s="42"/>
      <c r="M50" s="42"/>
      <c r="N50" s="42"/>
      <c r="O50" s="42"/>
      <c r="P50" s="42"/>
      <c r="Q50" s="42"/>
      <c r="R50" s="43"/>
    </row>
    <row r="51" spans="1:18" ht="18.5" x14ac:dyDescent="0.45">
      <c r="A51" s="5"/>
      <c r="B51" s="37"/>
      <c r="C51" s="28" t="s">
        <v>52</v>
      </c>
      <c r="D51" s="29">
        <v>2</v>
      </c>
      <c r="E51" s="30">
        <v>0</v>
      </c>
      <c r="F51" s="30">
        <v>35</v>
      </c>
      <c r="G51" s="31">
        <v>5</v>
      </c>
      <c r="I51" s="46" t="s">
        <v>46</v>
      </c>
      <c r="J51" s="47"/>
      <c r="K51" s="47"/>
      <c r="L51" s="47"/>
      <c r="M51" s="47"/>
      <c r="N51" s="44" t="s">
        <v>86</v>
      </c>
      <c r="O51" s="44"/>
      <c r="P51" s="44"/>
      <c r="Q51" s="44"/>
      <c r="R51" s="45"/>
    </row>
    <row r="52" spans="1:18" ht="18.5" x14ac:dyDescent="0.45">
      <c r="A52" s="5"/>
      <c r="B52" s="37"/>
      <c r="C52" s="16" t="s">
        <v>56</v>
      </c>
      <c r="D52" s="20">
        <v>2</v>
      </c>
      <c r="E52" s="11">
        <v>0</v>
      </c>
      <c r="F52" s="11">
        <v>31</v>
      </c>
      <c r="G52" s="22">
        <v>3</v>
      </c>
      <c r="I52" s="48" t="s">
        <v>48</v>
      </c>
      <c r="J52" s="49"/>
      <c r="K52" s="49"/>
      <c r="L52" s="49"/>
      <c r="M52" s="49"/>
      <c r="N52" s="39" t="s">
        <v>97</v>
      </c>
      <c r="O52" s="39"/>
      <c r="P52" s="39"/>
      <c r="Q52" s="39"/>
      <c r="R52" s="40"/>
    </row>
    <row r="53" spans="1:18" ht="18.5" x14ac:dyDescent="0.45">
      <c r="A53" s="5"/>
      <c r="B53" s="37"/>
      <c r="C53" s="16" t="s">
        <v>47</v>
      </c>
      <c r="D53" s="20">
        <v>2</v>
      </c>
      <c r="E53" s="20">
        <v>0</v>
      </c>
      <c r="F53" s="20">
        <v>30</v>
      </c>
      <c r="G53" s="22">
        <v>7</v>
      </c>
      <c r="I53" s="48" t="s">
        <v>50</v>
      </c>
      <c r="J53" s="49"/>
      <c r="K53" s="49"/>
      <c r="L53" s="49"/>
      <c r="M53" s="49"/>
      <c r="N53" s="39" t="s">
        <v>92</v>
      </c>
      <c r="O53" s="39"/>
      <c r="P53" s="39"/>
      <c r="Q53" s="39"/>
      <c r="R53" s="40"/>
    </row>
    <row r="54" spans="1:18" ht="18.5" x14ac:dyDescent="0.45">
      <c r="A54" s="6"/>
      <c r="B54" s="37"/>
      <c r="C54" s="16" t="s">
        <v>57</v>
      </c>
      <c r="D54" s="20">
        <v>1</v>
      </c>
      <c r="E54" s="11">
        <v>1</v>
      </c>
      <c r="F54" s="11">
        <v>31</v>
      </c>
      <c r="G54" s="22">
        <v>9</v>
      </c>
      <c r="I54" s="48" t="s">
        <v>51</v>
      </c>
      <c r="J54" s="49"/>
      <c r="K54" s="49"/>
      <c r="L54" s="49"/>
      <c r="M54" s="49"/>
      <c r="N54" s="39" t="s">
        <v>91</v>
      </c>
      <c r="O54" s="39"/>
      <c r="P54" s="39"/>
      <c r="Q54" s="39"/>
      <c r="R54" s="40"/>
    </row>
    <row r="55" spans="1:18" ht="18" customHeight="1" x14ac:dyDescent="0.45">
      <c r="A55" s="6"/>
      <c r="B55" s="37"/>
      <c r="C55" s="16" t="s">
        <v>49</v>
      </c>
      <c r="D55" s="20">
        <v>1</v>
      </c>
      <c r="E55" s="11">
        <v>1</v>
      </c>
      <c r="F55" s="11">
        <v>25</v>
      </c>
      <c r="G55" s="22">
        <v>6</v>
      </c>
      <c r="I55" s="48" t="s">
        <v>53</v>
      </c>
      <c r="J55" s="49"/>
      <c r="K55" s="49"/>
      <c r="L55" s="49"/>
      <c r="M55" s="49"/>
      <c r="N55" s="39" t="s">
        <v>84</v>
      </c>
      <c r="O55" s="39"/>
      <c r="P55" s="39"/>
      <c r="Q55" s="39"/>
      <c r="R55" s="40"/>
    </row>
    <row r="56" spans="1:18" ht="18" customHeight="1" thickBot="1" x14ac:dyDescent="0.5">
      <c r="A56" s="6"/>
      <c r="B56" s="37"/>
      <c r="C56" s="16" t="s">
        <v>55</v>
      </c>
      <c r="D56" s="20">
        <v>1</v>
      </c>
      <c r="E56" s="20">
        <v>0</v>
      </c>
      <c r="F56" s="20">
        <v>17</v>
      </c>
      <c r="G56" s="22">
        <v>2</v>
      </c>
      <c r="I56" s="34" t="s">
        <v>54</v>
      </c>
      <c r="J56" s="35"/>
      <c r="K56" s="35"/>
      <c r="L56" s="35"/>
      <c r="M56" s="35"/>
      <c r="N56" s="39" t="s">
        <v>91</v>
      </c>
      <c r="O56" s="39"/>
      <c r="P56" s="39"/>
      <c r="Q56" s="39"/>
      <c r="R56" s="40"/>
    </row>
    <row r="57" spans="1:18" ht="18.5" x14ac:dyDescent="0.45">
      <c r="A57" s="6"/>
      <c r="B57" s="37"/>
      <c r="C57" s="16" t="s">
        <v>89</v>
      </c>
      <c r="D57" s="21">
        <v>1</v>
      </c>
      <c r="E57" s="21">
        <v>0</v>
      </c>
      <c r="F57" s="21">
        <v>13</v>
      </c>
      <c r="G57" s="22">
        <v>1</v>
      </c>
      <c r="H57" s="6"/>
      <c r="I57" s="6"/>
    </row>
    <row r="58" spans="1:18" ht="18.5" x14ac:dyDescent="0.45">
      <c r="A58" s="6"/>
      <c r="B58" s="37"/>
      <c r="C58" s="17" t="s">
        <v>58</v>
      </c>
      <c r="D58" s="21">
        <v>0</v>
      </c>
      <c r="E58" s="21">
        <v>2</v>
      </c>
      <c r="F58" s="21">
        <v>19</v>
      </c>
      <c r="G58" s="22">
        <v>11</v>
      </c>
      <c r="H58" s="6"/>
    </row>
    <row r="59" spans="1:18" ht="18.5" x14ac:dyDescent="0.45">
      <c r="B59" s="37"/>
      <c r="C59" s="16" t="s">
        <v>66</v>
      </c>
      <c r="D59" s="20">
        <v>0</v>
      </c>
      <c r="E59" s="11">
        <v>2</v>
      </c>
      <c r="F59" s="11">
        <v>16</v>
      </c>
      <c r="G59" s="22">
        <v>8</v>
      </c>
    </row>
    <row r="60" spans="1:18" ht="18.5" x14ac:dyDescent="0.45">
      <c r="B60" s="37"/>
      <c r="C60" s="16" t="s">
        <v>63</v>
      </c>
      <c r="D60" s="21">
        <v>0</v>
      </c>
      <c r="E60" s="21">
        <v>2</v>
      </c>
      <c r="F60" s="21">
        <v>14</v>
      </c>
      <c r="G60" s="22">
        <v>10</v>
      </c>
    </row>
    <row r="61" spans="1:18" ht="19" thickBot="1" x14ac:dyDescent="0.5">
      <c r="B61" s="38"/>
      <c r="C61" s="32" t="s">
        <v>80</v>
      </c>
      <c r="D61" s="33">
        <v>0</v>
      </c>
      <c r="E61" s="33">
        <v>2</v>
      </c>
      <c r="F61" s="33">
        <v>9</v>
      </c>
      <c r="G61" s="23">
        <v>4</v>
      </c>
    </row>
  </sheetData>
  <sortState ref="A2:M48">
    <sortCondition descending="1" ref="F2:F48"/>
  </sortState>
  <mergeCells count="14">
    <mergeCell ref="I56:M56"/>
    <mergeCell ref="B50:B61"/>
    <mergeCell ref="N56:R56"/>
    <mergeCell ref="I50:R50"/>
    <mergeCell ref="N51:R51"/>
    <mergeCell ref="N52:R52"/>
    <mergeCell ref="N53:R53"/>
    <mergeCell ref="N54:R54"/>
    <mergeCell ref="N55:R55"/>
    <mergeCell ref="I51:M51"/>
    <mergeCell ref="I52:M52"/>
    <mergeCell ref="I53:M53"/>
    <mergeCell ref="I54:M54"/>
    <mergeCell ref="I55:M5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2026-02-11T13:35:03Z</dcterms:modified>
  <cp:category/>
  <cp:contentStatus/>
</cp:coreProperties>
</file>