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1\Desktop\Dart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E51" i="1"/>
  <c r="D51" i="1"/>
  <c r="E34" i="1"/>
  <c r="D34" i="1"/>
  <c r="E22" i="1"/>
  <c r="D22" i="1"/>
  <c r="E4" i="1"/>
  <c r="D4" i="1"/>
  <c r="E53" i="1"/>
  <c r="D53" i="1"/>
  <c r="E45" i="1"/>
  <c r="D45" i="1"/>
  <c r="E43" i="1"/>
  <c r="D43" i="1"/>
  <c r="E30" i="1"/>
  <c r="D30" i="1"/>
  <c r="E29" i="1"/>
  <c r="D29" i="1"/>
  <c r="E15" i="1"/>
  <c r="D15" i="1"/>
  <c r="E5" i="1"/>
  <c r="D5" i="1"/>
  <c r="E35" i="1"/>
  <c r="D35" i="1"/>
  <c r="E37" i="1"/>
  <c r="D37" i="1"/>
  <c r="E13" i="1"/>
  <c r="D13" i="1"/>
  <c r="E9" i="1"/>
  <c r="D9" i="1"/>
  <c r="E59" i="1"/>
  <c r="D59" i="1"/>
  <c r="E44" i="1"/>
  <c r="D44" i="1"/>
  <c r="E33" i="1"/>
  <c r="D33" i="1"/>
  <c r="E27" i="1"/>
  <c r="D27" i="1"/>
  <c r="E39" i="1"/>
  <c r="D39" i="1"/>
  <c r="E42" i="1"/>
  <c r="D42" i="1"/>
  <c r="E18" i="1"/>
  <c r="D18" i="1"/>
  <c r="E11" i="1"/>
  <c r="D11" i="1"/>
  <c r="E46" i="1"/>
  <c r="D46" i="1"/>
  <c r="E23" i="1"/>
  <c r="D23" i="1"/>
  <c r="E20" i="1"/>
  <c r="D20" i="1"/>
  <c r="E19" i="1"/>
  <c r="D19" i="1"/>
  <c r="F70" i="1"/>
  <c r="E70" i="1"/>
  <c r="D70" i="1"/>
  <c r="E38" i="1"/>
  <c r="D38" i="1"/>
  <c r="E28" i="1"/>
  <c r="D28" i="1"/>
  <c r="E14" i="1"/>
  <c r="D14" i="1"/>
  <c r="E72" i="1"/>
  <c r="D72" i="1"/>
  <c r="E54" i="1"/>
  <c r="D54" i="1"/>
  <c r="E32" i="1"/>
  <c r="D32" i="1"/>
  <c r="E16" i="1"/>
  <c r="D16" i="1"/>
  <c r="E58" i="1"/>
  <c r="D58" i="1"/>
  <c r="E48" i="1"/>
  <c r="D48" i="1"/>
  <c r="E25" i="1"/>
  <c r="D25" i="1"/>
  <c r="E21" i="1"/>
  <c r="D21" i="1"/>
  <c r="E47" i="1"/>
  <c r="F47" i="1" s="1"/>
  <c r="D47" i="1"/>
  <c r="E36" i="1"/>
  <c r="D36" i="1"/>
  <c r="F36" i="1" s="1"/>
  <c r="E41" i="1"/>
  <c r="D41" i="1"/>
  <c r="E7" i="1"/>
  <c r="D7" i="1"/>
  <c r="E24" i="1"/>
  <c r="F24" i="1" s="1"/>
  <c r="D24" i="1"/>
  <c r="E8" i="1"/>
  <c r="D8" i="1"/>
  <c r="E6" i="1"/>
  <c r="D6" i="1"/>
  <c r="E2" i="1"/>
  <c r="D2" i="1"/>
  <c r="E40" i="1"/>
  <c r="F40" i="1" s="1"/>
  <c r="D40" i="1"/>
  <c r="E65" i="1"/>
  <c r="D65" i="1"/>
  <c r="F13" i="1"/>
  <c r="E10" i="1"/>
  <c r="D10" i="1"/>
  <c r="E12" i="1"/>
  <c r="D12" i="1"/>
  <c r="E64" i="1"/>
  <c r="D64" i="1"/>
  <c r="E69" i="1"/>
  <c r="D69" i="1"/>
  <c r="E17" i="1"/>
  <c r="D17" i="1"/>
  <c r="E66" i="1"/>
  <c r="D66" i="1"/>
  <c r="F66" i="1" s="1"/>
  <c r="E71" i="1"/>
  <c r="D71" i="1"/>
  <c r="F71" i="1" s="1"/>
  <c r="E62" i="1"/>
  <c r="D62" i="1"/>
  <c r="E74" i="1"/>
  <c r="D74" i="1"/>
  <c r="E56" i="1"/>
  <c r="D56" i="1"/>
  <c r="E26" i="1"/>
  <c r="D26" i="1"/>
  <c r="E61" i="1"/>
  <c r="D61" i="1"/>
  <c r="E31" i="1"/>
  <c r="D31" i="1"/>
  <c r="E60" i="1"/>
  <c r="D60" i="1"/>
  <c r="E3" i="1"/>
  <c r="D3" i="1"/>
  <c r="E73" i="1"/>
  <c r="D73" i="1"/>
  <c r="E52" i="1"/>
  <c r="D52" i="1"/>
  <c r="E50" i="1"/>
  <c r="D50" i="1"/>
  <c r="E49" i="1"/>
  <c r="D49" i="1"/>
  <c r="E68" i="1"/>
  <c r="D68" i="1"/>
  <c r="E63" i="1"/>
  <c r="D63" i="1"/>
  <c r="E55" i="1"/>
  <c r="D55" i="1"/>
  <c r="E57" i="1"/>
  <c r="D57" i="1"/>
  <c r="F69" i="1" l="1"/>
  <c r="F50" i="1"/>
  <c r="F73" i="1"/>
  <c r="F62" i="1"/>
  <c r="F74" i="1"/>
  <c r="F12" i="1"/>
  <c r="F17" i="1"/>
  <c r="F52" i="1"/>
  <c r="F63" i="1"/>
  <c r="F49" i="1"/>
  <c r="F72" i="1"/>
  <c r="F68" i="1"/>
  <c r="F64" i="1"/>
  <c r="F53" i="1"/>
  <c r="F55" i="1"/>
  <c r="F22" i="1"/>
  <c r="F61" i="1"/>
  <c r="F33" i="1"/>
  <c r="F58" i="1"/>
  <c r="F51" i="1"/>
  <c r="F25" i="1"/>
  <c r="F21" i="1"/>
  <c r="F48" i="1"/>
  <c r="F54" i="1"/>
  <c r="F56" i="1"/>
  <c r="F43" i="1"/>
  <c r="F42" i="1"/>
  <c r="F18" i="1"/>
  <c r="F20" i="1"/>
  <c r="F19" i="1"/>
  <c r="F30" i="1"/>
  <c r="F6" i="1"/>
  <c r="F32" i="1"/>
  <c r="F45" i="1"/>
  <c r="F67" i="1"/>
  <c r="F44" i="1"/>
  <c r="Z6" i="2"/>
  <c r="Z8" i="2"/>
  <c r="Z10" i="2"/>
  <c r="Z4" i="2"/>
  <c r="S6" i="2"/>
  <c r="S8" i="2"/>
  <c r="S10" i="2"/>
  <c r="S4" i="2"/>
  <c r="S18" i="2"/>
  <c r="S20" i="2"/>
  <c r="S22" i="2"/>
  <c r="S16" i="2"/>
  <c r="Z18" i="2"/>
  <c r="Z20" i="2"/>
  <c r="Z22" i="2"/>
  <c r="Z16" i="2"/>
  <c r="Z31" i="2"/>
  <c r="Z33" i="2"/>
  <c r="Z35" i="2"/>
  <c r="Z29" i="2"/>
  <c r="S31" i="2"/>
  <c r="S33" i="2"/>
  <c r="S35" i="2"/>
  <c r="S29" i="2"/>
  <c r="K18" i="2"/>
  <c r="K31" i="2"/>
  <c r="K33" i="2"/>
  <c r="K35" i="2"/>
  <c r="K29" i="2"/>
  <c r="D31" i="2"/>
  <c r="D33" i="2"/>
  <c r="D35" i="2"/>
  <c r="D29" i="2"/>
  <c r="K20" i="2"/>
  <c r="K22" i="2"/>
  <c r="K16" i="2"/>
  <c r="D18" i="2"/>
  <c r="D20" i="2"/>
  <c r="D22" i="2"/>
  <c r="D16" i="2"/>
  <c r="K6" i="2"/>
  <c r="K8" i="2"/>
  <c r="K10" i="2"/>
  <c r="K4" i="2"/>
  <c r="D6" i="2"/>
  <c r="D8" i="2"/>
  <c r="D10" i="2"/>
  <c r="D4" i="2"/>
  <c r="F9" i="1" l="1"/>
  <c r="F37" i="1"/>
  <c r="F57" i="1"/>
  <c r="F38" i="1"/>
  <c r="F34" i="1"/>
  <c r="F7" i="1"/>
  <c r="F29" i="1"/>
  <c r="F5" i="1"/>
  <c r="F46" i="1"/>
  <c r="F23" i="1"/>
  <c r="F11" i="1"/>
  <c r="F28" i="1"/>
  <c r="F2" i="1"/>
  <c r="F31" i="1"/>
  <c r="F26" i="1"/>
  <c r="F15" i="1"/>
  <c r="F27" i="1"/>
  <c r="F59" i="1"/>
  <c r="F65" i="1"/>
  <c r="F10" i="1"/>
  <c r="F14" i="1"/>
  <c r="F39" i="1"/>
  <c r="F4" i="1"/>
  <c r="F35" i="1"/>
  <c r="F3" i="1"/>
  <c r="F41" i="1"/>
  <c r="F8" i="1"/>
  <c r="F16" i="1"/>
  <c r="F60" i="1"/>
</calcChain>
</file>

<file path=xl/sharedStrings.xml><?xml version="1.0" encoding="utf-8"?>
<sst xmlns="http://schemas.openxmlformats.org/spreadsheetml/2006/main" count="351" uniqueCount="194">
  <si>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</si>
  <si>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</si>
  <si>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</si>
  <si>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</si>
  <si>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</si>
  <si>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</si>
  <si>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</si>
  <si>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</si>
  <si>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</si>
  <si>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</si>
  <si>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</si>
  <si>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</si>
  <si>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</si>
  <si>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Jeff Headley</t>
  </si>
  <si>
    <t>Pop-A-Top 1</t>
  </si>
  <si>
    <t>Ed Davis</t>
  </si>
  <si>
    <t>VFW 1589 Bad Monkeys</t>
  </si>
  <si>
    <t xml:space="preserve">Bob Fox </t>
  </si>
  <si>
    <t>Larry Jenkins</t>
  </si>
  <si>
    <t xml:space="preserve">Purple Cow 1  </t>
  </si>
  <si>
    <t>Pat Nabors</t>
  </si>
  <si>
    <t>Elks Wiseguys</t>
  </si>
  <si>
    <t>Jerry Shiflett</t>
  </si>
  <si>
    <t>Legion Post 174 Misfits</t>
  </si>
  <si>
    <t>Allen Collins</t>
  </si>
  <si>
    <t>Matt Nacarate</t>
  </si>
  <si>
    <t>Justin Smyth</t>
  </si>
  <si>
    <t>Seth Boyles</t>
  </si>
  <si>
    <t>Pop-A-Top 2</t>
  </si>
  <si>
    <t>Tim Rosati</t>
  </si>
  <si>
    <t>Steve Stockett</t>
  </si>
  <si>
    <t>Jimmy Smith</t>
  </si>
  <si>
    <t>Legion Post 174 Snipers</t>
  </si>
  <si>
    <t xml:space="preserve">Sam Powers </t>
  </si>
  <si>
    <t>Richard Whisler</t>
  </si>
  <si>
    <t>Josh Jenkins</t>
  </si>
  <si>
    <t>Beaver Galusky</t>
  </si>
  <si>
    <t>Rob Cicchino</t>
  </si>
  <si>
    <t>Billy Allen</t>
  </si>
  <si>
    <t>Jeff Schliffka</t>
  </si>
  <si>
    <t>Doug Tennant</t>
  </si>
  <si>
    <t>Tammy Allen</t>
  </si>
  <si>
    <t>Andy Beck</t>
  </si>
  <si>
    <t>Elks Jolly</t>
  </si>
  <si>
    <t>Zach Barlow</t>
  </si>
  <si>
    <t>Travis Ruckle</t>
  </si>
  <si>
    <t>John Powers</t>
  </si>
  <si>
    <t>Griffin Wilcox</t>
  </si>
  <si>
    <t>VFW 1589 Dissapointers</t>
  </si>
  <si>
    <t>Ryan Swaniger</t>
  </si>
  <si>
    <t>Nate Cope</t>
  </si>
  <si>
    <t>Jon Kline</t>
  </si>
  <si>
    <t>Michaela Headley</t>
  </si>
  <si>
    <t>Frank Mellie</t>
  </si>
  <si>
    <t>VFW 9916 Vets</t>
  </si>
  <si>
    <t>Gabbie Mellie</t>
  </si>
  <si>
    <t>Billy Anderson</t>
  </si>
  <si>
    <t>Gary Bechdolt</t>
  </si>
  <si>
    <t>Steve Root</t>
  </si>
  <si>
    <t>Barb Hardy</t>
  </si>
  <si>
    <t>Kevin Ruckle</t>
  </si>
  <si>
    <t>Alex Keenan</t>
  </si>
  <si>
    <t>BJ Trickett</t>
  </si>
  <si>
    <t>JL Brown</t>
  </si>
  <si>
    <t>Joe White</t>
  </si>
  <si>
    <t>Marshall Jenkins</t>
  </si>
  <si>
    <t>Alex Rice</t>
  </si>
  <si>
    <t>Brian Keown</t>
  </si>
  <si>
    <t>Landon Trickett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</si>
  <si>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</si>
  <si>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</si>
  <si>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</si>
  <si>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</si>
  <si>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</si>
  <si>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</si>
  <si>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 xml:space="preserve">Season Best Game 501:  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</si>
  <si>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</si>
  <si>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</si>
  <si>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</si>
  <si>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</si>
  <si>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>POP A TOP 1</t>
  </si>
  <si>
    <t xml:space="preserve">High Out for the week: </t>
  </si>
  <si>
    <t>LUIGI'S LOOSE CHANGE</t>
  </si>
  <si>
    <t xml:space="preserve">Season High In for 301:  </t>
  </si>
  <si>
    <t>LEGION POST 174 MISFITS</t>
  </si>
  <si>
    <t xml:space="preserve">Season High Out:    </t>
  </si>
  <si>
    <t>ELKS WISEGUYS</t>
  </si>
  <si>
    <t>VFW 1589 BAD MONKEYS</t>
  </si>
  <si>
    <t>POP A TOP 2</t>
  </si>
  <si>
    <t>VFW 9916 VETS</t>
  </si>
  <si>
    <t>LEGION POST 174 SNIPERS</t>
  </si>
  <si>
    <t>ELKS JOLLY</t>
  </si>
  <si>
    <t>Teams - Division A</t>
  </si>
  <si>
    <t>Teams - Disivion B</t>
  </si>
  <si>
    <t>Teams - Division C</t>
  </si>
  <si>
    <t>Pop 2 10</t>
  </si>
  <si>
    <t>Pop 1 14</t>
  </si>
  <si>
    <t>Elks Jolly 4</t>
  </si>
  <si>
    <t>Cow 2 20</t>
  </si>
  <si>
    <t>Darts</t>
  </si>
  <si>
    <t>Average</t>
  </si>
  <si>
    <t>MVP points</t>
  </si>
  <si>
    <t>BP 501</t>
  </si>
  <si>
    <t>Billy</t>
  </si>
  <si>
    <t>Doug</t>
  </si>
  <si>
    <t>April</t>
  </si>
  <si>
    <t>Tammy</t>
  </si>
  <si>
    <t>Jeff</t>
  </si>
  <si>
    <t>180, 14 D Game</t>
  </si>
  <si>
    <t>Travis</t>
  </si>
  <si>
    <t>100 in</t>
  </si>
  <si>
    <t>Seth</t>
  </si>
  <si>
    <t>Bob</t>
  </si>
  <si>
    <t>Kevin</t>
  </si>
  <si>
    <t>98 Out, 101 In</t>
  </si>
  <si>
    <t>Barb</t>
  </si>
  <si>
    <t>Luigis 13</t>
  </si>
  <si>
    <t>Bad Monkeys 11</t>
  </si>
  <si>
    <t>VFW Vets 8</t>
  </si>
  <si>
    <t>Disappointers 16</t>
  </si>
  <si>
    <t>Beaver</t>
  </si>
  <si>
    <t>JL</t>
  </si>
  <si>
    <t>Zach</t>
  </si>
  <si>
    <t>Matt</t>
  </si>
  <si>
    <t>101 in</t>
  </si>
  <si>
    <t>Gabbie</t>
  </si>
  <si>
    <t>Ken</t>
  </si>
  <si>
    <t>Sam</t>
  </si>
  <si>
    <t>78 Out</t>
  </si>
  <si>
    <t>85 In</t>
  </si>
  <si>
    <t>Thom</t>
  </si>
  <si>
    <t>Richie</t>
  </si>
  <si>
    <t>66 Out</t>
  </si>
  <si>
    <t>Joe</t>
  </si>
  <si>
    <t>Purple Cow 1 17</t>
  </si>
  <si>
    <t>Snipers 7</t>
  </si>
  <si>
    <t>Morgantown Elks Wiseguys 11</t>
  </si>
  <si>
    <t>Misfits 13</t>
  </si>
  <si>
    <t>Gigs</t>
  </si>
  <si>
    <t>Ryan</t>
  </si>
  <si>
    <t>Jerry</t>
  </si>
  <si>
    <t>Steve</t>
  </si>
  <si>
    <t>76 In</t>
  </si>
  <si>
    <t>Richard</t>
  </si>
  <si>
    <t>Rob</t>
  </si>
  <si>
    <t>Justin</t>
  </si>
  <si>
    <t>Jimmy</t>
  </si>
  <si>
    <t>Pat</t>
  </si>
  <si>
    <t>T80</t>
  </si>
  <si>
    <t>Tim</t>
  </si>
  <si>
    <t>Larry</t>
  </si>
  <si>
    <t>John</t>
  </si>
  <si>
    <t>Todd</t>
  </si>
  <si>
    <t>92 in</t>
  </si>
  <si>
    <t>Allen</t>
  </si>
  <si>
    <t>Marshall</t>
  </si>
  <si>
    <t>Alex</t>
  </si>
  <si>
    <t>John Sinclair</t>
  </si>
  <si>
    <t>Tie</t>
  </si>
  <si>
    <t>Stephen Thurbon</t>
  </si>
  <si>
    <t>Gary Daft</t>
  </si>
  <si>
    <t>Alwyn Thurbon</t>
  </si>
  <si>
    <t>Purple Cow Tippers</t>
  </si>
  <si>
    <t>Angela Bell</t>
  </si>
  <si>
    <t>PURPLE COW TIPPERS</t>
  </si>
  <si>
    <t>Mark Taylor</t>
  </si>
  <si>
    <t>April Sphar</t>
  </si>
  <si>
    <t>Timmy Frymyer</t>
  </si>
  <si>
    <t>Todd Wotring</t>
  </si>
  <si>
    <t>Doug Himes</t>
  </si>
  <si>
    <t>Tom Gallegly</t>
  </si>
  <si>
    <t>Kim Mellie</t>
  </si>
  <si>
    <t>Mark Gregware</t>
  </si>
  <si>
    <t>Marshall Jenkins/Sam Powers 19 Dart Game</t>
  </si>
  <si>
    <t>Jerry Shiflett 149 Out</t>
  </si>
  <si>
    <t>Zack Myers</t>
  </si>
  <si>
    <t>Jim Scudiere</t>
  </si>
  <si>
    <t>Kenny Goldsborough</t>
  </si>
  <si>
    <t>Jacob Collins</t>
  </si>
  <si>
    <t>Sharea Bishop</t>
  </si>
  <si>
    <t>Joe Dinkel</t>
  </si>
  <si>
    <t>Everett Mulkeen</t>
  </si>
  <si>
    <t>Dave Hlavsa</t>
  </si>
  <si>
    <t>Shawn Cole</t>
  </si>
  <si>
    <t>Jeff Monroe</t>
  </si>
  <si>
    <t>Amy Fox</t>
  </si>
  <si>
    <t>Rick Kelly</t>
  </si>
  <si>
    <t>Stephen Thurbon 160 In</t>
  </si>
  <si>
    <t>Jim Roten</t>
  </si>
  <si>
    <t>Week 13</t>
  </si>
  <si>
    <t>Dan Hill</t>
  </si>
  <si>
    <t>Seth Boyles 138 Out</t>
  </si>
  <si>
    <t>Billy Allen 120 In</t>
  </si>
  <si>
    <t>Richie Thomas 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</si>
</sst>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3" fillId="4" borderId="0" xfId="0" applyFont="1" applyFill="1"/>
    <xf numFmtId="0" fontId="0" fillId="4" borderId="0" xfId="0" applyFill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0" xfId="0" applyFont="1" applyBorder="1"/>
    <xf numFmtId="0" fontId="4" fillId="0" borderId="2" xfId="0" applyFont="1" applyBorder="1"/>
    <xf numFmtId="0" fontId="1" fillId="0" borderId="5" xfId="0" applyFont="1" applyBorder="1"/>
    <xf numFmtId="0" fontId="1" fillId="0" borderId="18" xfId="0" applyFont="1" applyBorder="1"/>
    <xf numFmtId="0" fontId="4" fillId="0" borderId="18" xfId="0" applyFont="1" applyBorder="1"/>
    <xf numFmtId="0" fontId="1" fillId="0" borderId="20" xfId="0" applyFont="1" applyBorder="1"/>
    <xf numFmtId="0" fontId="1" fillId="5" borderId="21" xfId="0" applyFont="1" applyFill="1" applyBorder="1"/>
    <xf numFmtId="0" fontId="1" fillId="0" borderId="22" xfId="0" applyFont="1" applyBorder="1"/>
    <xf numFmtId="0" fontId="2" fillId="0" borderId="5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0" xfId="0" applyFont="1" applyBorder="1"/>
    <xf numFmtId="0" fontId="4" fillId="0" borderId="23" xfId="0" applyFont="1" applyBorder="1"/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  <xf numFmtId="0" fontId="1" fillId="5" borderId="27" xfId="0" applyFont="1" applyFill="1" applyBorder="1"/>
    <xf numFmtId="0" fontId="1" fillId="5" borderId="28" xfId="0" applyFont="1" applyFill="1" applyBorder="1"/>
    <xf numFmtId="0" fontId="1" fillId="5" borderId="29" xfId="0" applyFont="1" applyFill="1" applyBorder="1"/>
    <xf numFmtId="0" fontId="1" fillId="5" borderId="30" xfId="0" applyFont="1" applyFill="1" applyBorder="1"/>
    <xf numFmtId="0" fontId="1" fillId="5" borderId="31" xfId="0" applyFont="1" applyFill="1" applyBorder="1"/>
    <xf numFmtId="165" fontId="2" fillId="0" borderId="2" xfId="0" applyNumberFormat="1" applyFont="1" applyBorder="1" applyAlignment="1">
      <alignment horizontal="center"/>
    </xf>
    <xf numFmtId="0" fontId="1" fillId="0" borderId="33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32" xfId="0" applyFont="1" applyBorder="1"/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workbookViewId="0">
      <pane ySplit="1" topLeftCell="A2" activePane="bottomLeft" state="frozen"/>
      <selection pane="bottomLeft" activeCell="E43" sqref="E43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25</v>
      </c>
      <c r="C2" s="4" t="s">
        <v>16</v>
      </c>
      <c r="D2" s="14">
        <f>SUM(1444+1481+1503+1503+1471+1503+1471+1499+1495+1503+1503+1503+1449)</f>
        <v>19328</v>
      </c>
      <c r="E2" s="14">
        <f>SUM(74+87+96+88+103+80+96+92+81+73+81+99+100)</f>
        <v>1150</v>
      </c>
      <c r="F2" s="15">
        <f t="shared" ref="F2:F33" si="0">SUM(D2/E2)</f>
        <v>16.806956521739131</v>
      </c>
      <c r="G2" s="14">
        <v>13</v>
      </c>
      <c r="H2" s="14">
        <v>11</v>
      </c>
      <c r="I2" s="14">
        <v>2</v>
      </c>
      <c r="J2" s="14"/>
      <c r="K2" s="14">
        <v>1</v>
      </c>
      <c r="L2" s="14">
        <v>56.5</v>
      </c>
      <c r="M2" s="16">
        <v>25</v>
      </c>
    </row>
    <row r="3" spans="1:13" ht="18.75" x14ac:dyDescent="0.3">
      <c r="A3" s="3">
        <v>2</v>
      </c>
      <c r="B3" s="4" t="s">
        <v>13</v>
      </c>
      <c r="C3" s="4" t="s">
        <v>14</v>
      </c>
      <c r="D3" s="14">
        <f>SUM(1360+1372+1443+1499+1503+1503+1493+1503)</f>
        <v>11676</v>
      </c>
      <c r="E3" s="14">
        <f>SUM(71+94+91+92+82+84+97+100)</f>
        <v>711</v>
      </c>
      <c r="F3" s="15">
        <f t="shared" si="0"/>
        <v>16.421940928270043</v>
      </c>
      <c r="G3" s="14">
        <v>8</v>
      </c>
      <c r="H3" s="14">
        <v>6</v>
      </c>
      <c r="I3" s="14">
        <v>2</v>
      </c>
      <c r="J3" s="14"/>
      <c r="K3" s="14"/>
      <c r="L3" s="14">
        <v>32.5</v>
      </c>
      <c r="M3" s="16"/>
    </row>
    <row r="4" spans="1:13" ht="18.75" x14ac:dyDescent="0.3">
      <c r="A4" s="3">
        <v>3</v>
      </c>
      <c r="B4" s="4" t="s">
        <v>37</v>
      </c>
      <c r="C4" s="4" t="s">
        <v>21</v>
      </c>
      <c r="D4" s="14">
        <f>SUM(1501+1495+1314+1407+1503+1405+1426+1455+1372+1417+1476+1503)</f>
        <v>17274</v>
      </c>
      <c r="E4" s="14">
        <f>SUM(106+86+87+95+80+84+86+83+81+84+106+118)</f>
        <v>1096</v>
      </c>
      <c r="F4" s="15">
        <f t="shared" si="0"/>
        <v>15.760948905109489</v>
      </c>
      <c r="G4" s="14">
        <v>12</v>
      </c>
      <c r="H4" s="14">
        <v>7</v>
      </c>
      <c r="I4" s="14">
        <v>1</v>
      </c>
      <c r="J4" s="14"/>
      <c r="K4" s="14"/>
      <c r="L4" s="14">
        <v>37.5</v>
      </c>
      <c r="M4" s="16">
        <v>10</v>
      </c>
    </row>
    <row r="5" spans="1:13" ht="18.75" x14ac:dyDescent="0.3">
      <c r="A5" s="3">
        <v>4</v>
      </c>
      <c r="B5" s="4" t="s">
        <v>11</v>
      </c>
      <c r="C5" s="4" t="s">
        <v>12</v>
      </c>
      <c r="D5" s="14">
        <f>SUM(1494+1503+1413+1503+1470+1483+1489+1503+1503+1114+1501+1483+1449)</f>
        <v>18908</v>
      </c>
      <c r="E5" s="14">
        <f>SUM(102+87+93+89+89+99+113+97+95+69+111+85+80)</f>
        <v>1209</v>
      </c>
      <c r="F5" s="15">
        <f t="shared" si="0"/>
        <v>15.639371381306866</v>
      </c>
      <c r="G5" s="14">
        <v>13</v>
      </c>
      <c r="H5" s="14">
        <v>11</v>
      </c>
      <c r="I5" s="14"/>
      <c r="J5" s="14"/>
      <c r="K5" s="14"/>
      <c r="L5" s="14">
        <v>52</v>
      </c>
      <c r="M5" s="16">
        <v>10</v>
      </c>
    </row>
    <row r="6" spans="1:13" ht="18.75" x14ac:dyDescent="0.3">
      <c r="A6" s="3">
        <v>5</v>
      </c>
      <c r="B6" s="4" t="s">
        <v>33</v>
      </c>
      <c r="C6" s="4" t="s">
        <v>16</v>
      </c>
      <c r="D6" s="14">
        <f>SUM(1464+1483+1503+1503+1503+1496+1503+1503+1290+1437+1503+1443+1475)</f>
        <v>19106</v>
      </c>
      <c r="E6" s="14">
        <f>SUM(83+89+91+74+88+135+92+97+83+77+100+93+122)</f>
        <v>1224</v>
      </c>
      <c r="F6" s="15">
        <f t="shared" si="0"/>
        <v>15.609477124183007</v>
      </c>
      <c r="G6" s="14">
        <v>13</v>
      </c>
      <c r="H6" s="14">
        <v>9</v>
      </c>
      <c r="I6" s="14">
        <v>1</v>
      </c>
      <c r="J6" s="14"/>
      <c r="K6" s="14"/>
      <c r="L6" s="14">
        <v>55</v>
      </c>
      <c r="M6" s="16">
        <v>10</v>
      </c>
    </row>
    <row r="7" spans="1:13" ht="18.75" x14ac:dyDescent="0.3">
      <c r="A7" s="3">
        <v>6</v>
      </c>
      <c r="B7" s="4" t="s">
        <v>17</v>
      </c>
      <c r="C7" s="4" t="s">
        <v>14</v>
      </c>
      <c r="D7" s="14">
        <f>SUM(1280+1503+1449+1503+1425+1321+1387+1489+1344+1487)</f>
        <v>14188</v>
      </c>
      <c r="E7" s="14">
        <f>SUM(79+100+93+90+92+88+90+89+84+105)</f>
        <v>910</v>
      </c>
      <c r="F7" s="15">
        <f t="shared" si="0"/>
        <v>15.591208791208791</v>
      </c>
      <c r="G7" s="14">
        <v>10</v>
      </c>
      <c r="H7" s="14">
        <v>5</v>
      </c>
      <c r="I7" s="14"/>
      <c r="J7" s="14"/>
      <c r="K7" s="14"/>
      <c r="L7" s="38">
        <v>27.5</v>
      </c>
      <c r="M7" s="16"/>
    </row>
    <row r="8" spans="1:13" ht="18.75" x14ac:dyDescent="0.3">
      <c r="A8" s="3">
        <v>7</v>
      </c>
      <c r="B8" s="4" t="s">
        <v>15</v>
      </c>
      <c r="C8" s="4" t="s">
        <v>16</v>
      </c>
      <c r="D8" s="14">
        <f>SUM(1503+1503+1503+1489+1501+1503+1503+1479+1491+1503+1499+1491+1503)</f>
        <v>19471</v>
      </c>
      <c r="E8" s="14">
        <f>SUM(94+109+90+95+131+81+80+82+99+90+115+120+80)</f>
        <v>1266</v>
      </c>
      <c r="F8" s="15">
        <f t="shared" si="0"/>
        <v>15.379936808846761</v>
      </c>
      <c r="G8" s="14">
        <v>13</v>
      </c>
      <c r="H8" s="14">
        <v>11</v>
      </c>
      <c r="I8" s="14"/>
      <c r="J8" s="14"/>
      <c r="K8" s="14"/>
      <c r="L8" s="14">
        <v>58</v>
      </c>
      <c r="M8" s="16">
        <v>5</v>
      </c>
    </row>
    <row r="9" spans="1:13" ht="18.75" x14ac:dyDescent="0.3">
      <c r="A9" s="3">
        <v>8</v>
      </c>
      <c r="B9" s="4" t="s">
        <v>18</v>
      </c>
      <c r="C9" s="4" t="s">
        <v>19</v>
      </c>
      <c r="D9" s="14">
        <f>SUM(1403+1503+1328+1440+1487+1371+1467+1414+1500+1411+1503+1503+1346)</f>
        <v>18676</v>
      </c>
      <c r="E9" s="14">
        <f>SUM(96+99+87+93+102+112+80+90+122+80+104+86+81)</f>
        <v>1232</v>
      </c>
      <c r="F9" s="15">
        <f t="shared" si="0"/>
        <v>15.159090909090908</v>
      </c>
      <c r="G9" s="14">
        <v>13</v>
      </c>
      <c r="H9" s="14">
        <v>6</v>
      </c>
      <c r="I9" s="14">
        <v>1</v>
      </c>
      <c r="J9" s="14"/>
      <c r="K9" s="14"/>
      <c r="L9" s="14">
        <v>41.5</v>
      </c>
      <c r="M9" s="16">
        <v>5</v>
      </c>
    </row>
    <row r="10" spans="1:13" ht="18.75" x14ac:dyDescent="0.3">
      <c r="A10" s="3">
        <v>9</v>
      </c>
      <c r="B10" s="4" t="s">
        <v>24</v>
      </c>
      <c r="C10" s="8" t="s">
        <v>23</v>
      </c>
      <c r="D10" s="14">
        <f>SUM(1501+1472+1503+1503+1503+1481+1363+1503+1503+1443+1346+1354)</f>
        <v>17475</v>
      </c>
      <c r="E10" s="14">
        <f>SUM(87+99+109+88+93+101+89+92+116+113+84+87)</f>
        <v>1158</v>
      </c>
      <c r="F10" s="15">
        <f t="shared" si="0"/>
        <v>15.090673575129534</v>
      </c>
      <c r="G10" s="14">
        <v>12</v>
      </c>
      <c r="H10" s="14">
        <v>7</v>
      </c>
      <c r="I10" s="14"/>
      <c r="J10" s="14"/>
      <c r="K10" s="14"/>
      <c r="L10" s="14">
        <v>39.5</v>
      </c>
      <c r="M10" s="16">
        <v>5</v>
      </c>
    </row>
    <row r="11" spans="1:13" ht="18.75" x14ac:dyDescent="0.3">
      <c r="A11" s="3">
        <v>10</v>
      </c>
      <c r="B11" s="18" t="s">
        <v>50</v>
      </c>
      <c r="C11" s="4" t="s">
        <v>28</v>
      </c>
      <c r="D11" s="14">
        <f>SUM(1503+1503+1426+1483+1290+1356+1296+1399+1503+1417+1421+1503+1443)</f>
        <v>18543</v>
      </c>
      <c r="E11" s="14">
        <f>SUM(129+86+86+102+90+75+83+86+88+89+109+133+96)</f>
        <v>1252</v>
      </c>
      <c r="F11" s="15">
        <f t="shared" si="0"/>
        <v>14.810702875399361</v>
      </c>
      <c r="G11" s="14">
        <v>13</v>
      </c>
      <c r="H11" s="14">
        <v>7</v>
      </c>
      <c r="I11" s="14">
        <v>1</v>
      </c>
      <c r="J11" s="14"/>
      <c r="K11" s="14"/>
      <c r="L11" s="14">
        <v>41.5</v>
      </c>
      <c r="M11" s="16">
        <v>20</v>
      </c>
    </row>
    <row r="12" spans="1:13" ht="18.75" x14ac:dyDescent="0.3">
      <c r="A12" s="3">
        <v>11</v>
      </c>
      <c r="B12" s="18" t="s">
        <v>176</v>
      </c>
      <c r="C12" s="4" t="s">
        <v>32</v>
      </c>
      <c r="D12" s="14">
        <f>SUM(1419+1503+1500)</f>
        <v>4422</v>
      </c>
      <c r="E12" s="14">
        <f>SUM(90+103+106)</f>
        <v>299</v>
      </c>
      <c r="F12" s="15">
        <f t="shared" si="0"/>
        <v>14.789297658862877</v>
      </c>
      <c r="G12" s="14">
        <v>3</v>
      </c>
      <c r="H12" s="14">
        <v>2</v>
      </c>
      <c r="I12" s="14">
        <v>1</v>
      </c>
      <c r="J12" s="14"/>
      <c r="K12" s="14"/>
      <c r="L12" s="14">
        <v>8.5</v>
      </c>
      <c r="M12" s="16"/>
    </row>
    <row r="13" spans="1:13" ht="18.75" x14ac:dyDescent="0.3">
      <c r="A13" s="3">
        <v>12</v>
      </c>
      <c r="B13" s="18" t="s">
        <v>170</v>
      </c>
      <c r="C13" s="4" t="s">
        <v>19</v>
      </c>
      <c r="D13" s="14">
        <f>SUM(501+1503+1501+1455+1503+1411+1318+1400+1471+1463)</f>
        <v>13526</v>
      </c>
      <c r="E13" s="14">
        <f>SUM(46+117+99+123+95+77+90+77+94+98)</f>
        <v>916</v>
      </c>
      <c r="F13" s="15">
        <f t="shared" si="0"/>
        <v>14.766375545851528</v>
      </c>
      <c r="G13" s="14">
        <v>10</v>
      </c>
      <c r="H13" s="14">
        <v>6</v>
      </c>
      <c r="I13" s="14"/>
      <c r="J13" s="14">
        <v>1</v>
      </c>
      <c r="K13" s="14"/>
      <c r="L13" s="14">
        <v>34.5</v>
      </c>
      <c r="M13" s="16">
        <v>5</v>
      </c>
    </row>
    <row r="14" spans="1:13" ht="18.75" x14ac:dyDescent="0.3">
      <c r="A14" s="3">
        <v>13</v>
      </c>
      <c r="B14" s="4" t="s">
        <v>22</v>
      </c>
      <c r="C14" s="4" t="s">
        <v>23</v>
      </c>
      <c r="D14" s="14">
        <f>SUM(1499+1497+1503+1397+1272+1388+1340+1425+1503+1453+1443+1461+1479)</f>
        <v>18660</v>
      </c>
      <c r="E14" s="14">
        <f>SUM(101+88+116+108+88+89+90+117+86+101+83+96+105)</f>
        <v>1268</v>
      </c>
      <c r="F14" s="15">
        <f t="shared" si="0"/>
        <v>14.71608832807571</v>
      </c>
      <c r="G14" s="14">
        <v>13</v>
      </c>
      <c r="H14" s="14">
        <v>8</v>
      </c>
      <c r="I14" s="14"/>
      <c r="J14" s="14"/>
      <c r="K14" s="14"/>
      <c r="L14" s="14">
        <v>42</v>
      </c>
      <c r="M14" s="16">
        <v>5</v>
      </c>
    </row>
    <row r="15" spans="1:13" ht="18.75" x14ac:dyDescent="0.3">
      <c r="A15" s="3">
        <v>14</v>
      </c>
      <c r="B15" s="4" t="s">
        <v>36</v>
      </c>
      <c r="C15" s="4" t="s">
        <v>12</v>
      </c>
      <c r="D15" s="14">
        <f>SUM(1503+1503+1503+1475+1483+1467+1479+1503+1471+1376+1488+1503+1491)</f>
        <v>19245</v>
      </c>
      <c r="E15" s="14">
        <f>SUM(93+115+87+87+131+93+98+111+94+83+126+111+100)</f>
        <v>1329</v>
      </c>
      <c r="F15" s="15">
        <f t="shared" si="0"/>
        <v>14.480812641083521</v>
      </c>
      <c r="G15" s="14">
        <v>13</v>
      </c>
      <c r="H15" s="14">
        <v>9</v>
      </c>
      <c r="I15" s="14"/>
      <c r="J15" s="14"/>
      <c r="K15" s="14"/>
      <c r="L15" s="14">
        <v>51.5</v>
      </c>
      <c r="M15" s="16">
        <v>10</v>
      </c>
    </row>
    <row r="16" spans="1:13" ht="18.75" x14ac:dyDescent="0.3">
      <c r="A16" s="3">
        <v>15</v>
      </c>
      <c r="B16" s="18" t="s">
        <v>47</v>
      </c>
      <c r="C16" s="4" t="s">
        <v>48</v>
      </c>
      <c r="D16" s="14">
        <f>SUM(1503+1503+1427+1287+1279+1423+1463+1289+1480+1503+1423+1383+1503)</f>
        <v>18466</v>
      </c>
      <c r="E16" s="14">
        <f>SUM(87+94+104+95+84+82+111+90+124+94+89+104+124)</f>
        <v>1282</v>
      </c>
      <c r="F16" s="15">
        <f t="shared" si="0"/>
        <v>14.404056162246491</v>
      </c>
      <c r="G16" s="14">
        <v>13</v>
      </c>
      <c r="H16" s="14">
        <v>6</v>
      </c>
      <c r="I16" s="14"/>
      <c r="J16" s="14"/>
      <c r="K16" s="14"/>
      <c r="L16" s="14">
        <v>39</v>
      </c>
      <c r="M16" s="16">
        <v>10</v>
      </c>
    </row>
    <row r="17" spans="1:13" ht="18.75" x14ac:dyDescent="0.3">
      <c r="A17" s="3">
        <v>16</v>
      </c>
      <c r="B17" s="18" t="s">
        <v>177</v>
      </c>
      <c r="C17" s="4" t="s">
        <v>12</v>
      </c>
      <c r="D17" s="14">
        <f>SUM(1375+1503+1372)</f>
        <v>4250</v>
      </c>
      <c r="E17" s="14">
        <f>SUM(97+91+108)</f>
        <v>296</v>
      </c>
      <c r="F17" s="15">
        <f t="shared" si="0"/>
        <v>14.358108108108109</v>
      </c>
      <c r="G17" s="14">
        <v>3</v>
      </c>
      <c r="H17" s="14">
        <v>1</v>
      </c>
      <c r="I17" s="14"/>
      <c r="J17" s="14"/>
      <c r="K17" s="14"/>
      <c r="L17" s="14">
        <v>10</v>
      </c>
      <c r="M17" s="16"/>
    </row>
    <row r="18" spans="1:13" ht="18.75" x14ac:dyDescent="0.3">
      <c r="A18" s="3">
        <v>17</v>
      </c>
      <c r="B18" s="4" t="s">
        <v>27</v>
      </c>
      <c r="C18" s="4" t="s">
        <v>28</v>
      </c>
      <c r="D18" s="14">
        <f>SUM(1471+1503+1503+1358+1473+1501+1372+1503+1503+1503+1503+1501+1503)</f>
        <v>19197</v>
      </c>
      <c r="E18" s="14">
        <f>SUM(111+90+109+101+87+131+81+100+100+98+111+120+102)</f>
        <v>1341</v>
      </c>
      <c r="F18" s="15">
        <f t="shared" si="0"/>
        <v>14.315436241610739</v>
      </c>
      <c r="G18" s="14">
        <v>13</v>
      </c>
      <c r="H18" s="14">
        <v>12</v>
      </c>
      <c r="I18" s="14"/>
      <c r="J18" s="14"/>
      <c r="K18" s="14"/>
      <c r="L18" s="14">
        <v>53.5</v>
      </c>
      <c r="M18" s="16">
        <v>10</v>
      </c>
    </row>
    <row r="19" spans="1:13" ht="18.75" x14ac:dyDescent="0.3">
      <c r="A19" s="3">
        <v>18</v>
      </c>
      <c r="B19" s="3" t="s">
        <v>31</v>
      </c>
      <c r="C19" s="8" t="s">
        <v>32</v>
      </c>
      <c r="D19" s="14">
        <f>SUM(1503+1469+1417+1109+1503+1503+1495+1138+1495+1487+1444)</f>
        <v>15563</v>
      </c>
      <c r="E19" s="14">
        <f>SUM(79+96+108+90+100+118+93+84+115+100+106)</f>
        <v>1089</v>
      </c>
      <c r="F19" s="15">
        <f t="shared" si="0"/>
        <v>14.291092745638201</v>
      </c>
      <c r="G19" s="14">
        <v>11</v>
      </c>
      <c r="H19" s="14">
        <v>6</v>
      </c>
      <c r="I19" s="14"/>
      <c r="J19" s="14"/>
      <c r="K19" s="14"/>
      <c r="L19" s="14">
        <v>38.5</v>
      </c>
      <c r="M19" s="16">
        <v>5</v>
      </c>
    </row>
    <row r="20" spans="1:13" ht="18.75" x14ac:dyDescent="0.3">
      <c r="A20" s="3">
        <v>19</v>
      </c>
      <c r="B20" s="18" t="s">
        <v>46</v>
      </c>
      <c r="C20" s="4" t="s">
        <v>32</v>
      </c>
      <c r="D20" s="14">
        <f>SUM(1503+1471+1326+953+1326+1439+1503+1267+1329+1501+1493+1469+1433)</f>
        <v>18013</v>
      </c>
      <c r="E20" s="14">
        <f>SUM(100+103+79+72+91+110+106+99+96+114+94+102+106)</f>
        <v>1272</v>
      </c>
      <c r="F20" s="15">
        <f t="shared" si="0"/>
        <v>14.161163522012579</v>
      </c>
      <c r="G20" s="14">
        <v>13</v>
      </c>
      <c r="H20" s="14">
        <v>7</v>
      </c>
      <c r="I20" s="14"/>
      <c r="J20" s="14"/>
      <c r="K20" s="14"/>
      <c r="L20" s="14">
        <v>45</v>
      </c>
      <c r="M20" s="16">
        <v>10</v>
      </c>
    </row>
    <row r="21" spans="1:13" ht="18.75" x14ac:dyDescent="0.3">
      <c r="A21" s="3">
        <v>20</v>
      </c>
      <c r="B21" s="18" t="s">
        <v>159</v>
      </c>
      <c r="C21" s="4" t="s">
        <v>43</v>
      </c>
      <c r="D21" s="14">
        <f>SUM(1319+1334+1503+1297+1394+1360+1378+1358+1221+1390+1270+1370)</f>
        <v>16194</v>
      </c>
      <c r="E21" s="14">
        <f>SUM(106+84+103+90+78+99+92+90+96+96+90+120)</f>
        <v>1144</v>
      </c>
      <c r="F21" s="15">
        <f t="shared" si="0"/>
        <v>14.155594405594405</v>
      </c>
      <c r="G21" s="14">
        <v>12</v>
      </c>
      <c r="H21" s="14">
        <v>1</v>
      </c>
      <c r="I21" s="14">
        <v>1</v>
      </c>
      <c r="J21" s="14"/>
      <c r="K21" s="14"/>
      <c r="L21" s="14">
        <v>23.5</v>
      </c>
      <c r="M21" s="16">
        <v>5</v>
      </c>
    </row>
    <row r="22" spans="1:13" ht="18.75" x14ac:dyDescent="0.3">
      <c r="A22" s="3">
        <v>21</v>
      </c>
      <c r="B22" s="18" t="s">
        <v>168</v>
      </c>
      <c r="C22" s="4" t="s">
        <v>21</v>
      </c>
      <c r="D22" s="14">
        <f>SUM(1274+1414+1428+1463+1495+1440+1495+1492+1463)</f>
        <v>12964</v>
      </c>
      <c r="E22" s="14">
        <f>SUM(111+106+96+113+95+105+88+99+107)</f>
        <v>920</v>
      </c>
      <c r="F22" s="15">
        <f t="shared" si="0"/>
        <v>14.091304347826087</v>
      </c>
      <c r="G22" s="14">
        <v>9</v>
      </c>
      <c r="H22" s="14">
        <v>3</v>
      </c>
      <c r="I22" s="14"/>
      <c r="J22" s="14"/>
      <c r="K22" s="14"/>
      <c r="L22" s="14">
        <v>24</v>
      </c>
      <c r="M22" s="16"/>
    </row>
    <row r="23" spans="1:13" ht="18.75" x14ac:dyDescent="0.3">
      <c r="A23" s="3">
        <v>22</v>
      </c>
      <c r="B23" s="3" t="s">
        <v>49</v>
      </c>
      <c r="C23" s="4" t="s">
        <v>32</v>
      </c>
      <c r="D23" s="14">
        <f>SUM(1239+1483+1425+1350+1493+1434+1501+1503+1483+1460+1409+1499+1499)</f>
        <v>18778</v>
      </c>
      <c r="E23" s="14">
        <f>SUM(95+93+104+96+128+96+113+99+113+91+99+112+97)</f>
        <v>1336</v>
      </c>
      <c r="F23" s="15">
        <f t="shared" si="0"/>
        <v>14.055389221556887</v>
      </c>
      <c r="G23" s="14">
        <v>13</v>
      </c>
      <c r="H23" s="14">
        <v>8</v>
      </c>
      <c r="I23" s="14"/>
      <c r="J23" s="14"/>
      <c r="K23" s="14"/>
      <c r="L23" s="14">
        <v>45.5</v>
      </c>
      <c r="M23" s="16"/>
    </row>
    <row r="24" spans="1:13" ht="18.75" x14ac:dyDescent="0.3">
      <c r="A24" s="3">
        <v>23</v>
      </c>
      <c r="B24" s="18" t="s">
        <v>167</v>
      </c>
      <c r="C24" s="4" t="s">
        <v>16</v>
      </c>
      <c r="D24" s="14">
        <f>SUM(1503+1307+1309+1503+1487+1503+1503+1493)</f>
        <v>11608</v>
      </c>
      <c r="E24" s="14">
        <f>SUM(104+111+88+99+103+100+113+110)</f>
        <v>828</v>
      </c>
      <c r="F24" s="15">
        <f t="shared" si="0"/>
        <v>14.019323671497585</v>
      </c>
      <c r="G24" s="14">
        <v>8</v>
      </c>
      <c r="H24" s="14">
        <v>6</v>
      </c>
      <c r="I24" s="14"/>
      <c r="J24" s="14"/>
      <c r="K24" s="14"/>
      <c r="L24" s="14">
        <v>38.5</v>
      </c>
      <c r="M24" s="16"/>
    </row>
    <row r="25" spans="1:13" ht="18.75" x14ac:dyDescent="0.3">
      <c r="A25" s="3">
        <v>24</v>
      </c>
      <c r="B25" s="18" t="s">
        <v>160</v>
      </c>
      <c r="C25" s="4" t="s">
        <v>43</v>
      </c>
      <c r="D25" s="14">
        <f>SUM(1481+1499+1329+1503+1467+1487+1431+1465+1357+1465+1499)</f>
        <v>15983</v>
      </c>
      <c r="E25" s="14">
        <f>SUM(97+130+104+115+90+99+90+115+79+92+131)</f>
        <v>1142</v>
      </c>
      <c r="F25" s="15">
        <f t="shared" si="0"/>
        <v>13.995621716287216</v>
      </c>
      <c r="G25" s="14">
        <v>11</v>
      </c>
      <c r="H25" s="14">
        <v>6</v>
      </c>
      <c r="I25" s="14"/>
      <c r="J25" s="14"/>
      <c r="K25" s="14"/>
      <c r="L25" s="14">
        <v>32.5</v>
      </c>
      <c r="M25" s="16">
        <v>5</v>
      </c>
    </row>
    <row r="26" spans="1:13" ht="18.75" x14ac:dyDescent="0.3">
      <c r="A26" s="3">
        <v>25</v>
      </c>
      <c r="B26" s="4" t="s">
        <v>65</v>
      </c>
      <c r="C26" s="4" t="s">
        <v>19</v>
      </c>
      <c r="D26" s="14">
        <f>SUM(1290+1479+1300+1217+1308+1400+1216+1414+1503)</f>
        <v>12127</v>
      </c>
      <c r="E26" s="14">
        <f>SUM(76+107+93+86+99+80+99+114+119)</f>
        <v>873</v>
      </c>
      <c r="F26" s="15">
        <f t="shared" si="0"/>
        <v>13.891179839633448</v>
      </c>
      <c r="G26" s="14">
        <v>9</v>
      </c>
      <c r="H26" s="14">
        <v>3</v>
      </c>
      <c r="I26" s="14"/>
      <c r="J26" s="14"/>
      <c r="K26" s="14"/>
      <c r="L26" s="14">
        <v>32.5</v>
      </c>
      <c r="M26" s="16">
        <v>5</v>
      </c>
    </row>
    <row r="27" spans="1:13" ht="18.75" x14ac:dyDescent="0.3">
      <c r="A27" s="3">
        <v>26</v>
      </c>
      <c r="B27" s="4" t="s">
        <v>60</v>
      </c>
      <c r="C27" s="4" t="s">
        <v>162</v>
      </c>
      <c r="D27" s="14">
        <f>SUM(1463+1503+1503+1447+1363+1487+1262+1395+1397+1479+1406)</f>
        <v>15705</v>
      </c>
      <c r="E27" s="14">
        <f>SUM(126+108+109+100+85+95+82+116+110+104+96)</f>
        <v>1131</v>
      </c>
      <c r="F27" s="15">
        <f t="shared" si="0"/>
        <v>13.885941644562335</v>
      </c>
      <c r="G27" s="14">
        <v>11</v>
      </c>
      <c r="H27" s="14">
        <v>7</v>
      </c>
      <c r="I27" s="14"/>
      <c r="J27" s="14"/>
      <c r="K27" s="14"/>
      <c r="L27" s="14">
        <v>33</v>
      </c>
      <c r="M27" s="16"/>
    </row>
    <row r="28" spans="1:13" ht="18.75" x14ac:dyDescent="0.3">
      <c r="A28" s="3">
        <v>27</v>
      </c>
      <c r="B28" s="18" t="s">
        <v>39</v>
      </c>
      <c r="C28" s="8" t="s">
        <v>23</v>
      </c>
      <c r="D28" s="14">
        <f>SUM(1332+1373+1492+1499+1481+1245+1220+1503+1503+1503+1439+1432+1487)</f>
        <v>18509</v>
      </c>
      <c r="E28" s="14">
        <f>SUM(84+96+119+109+119+86+78+117+105+124+93+100+103)</f>
        <v>1333</v>
      </c>
      <c r="F28" s="15">
        <f t="shared" si="0"/>
        <v>13.885221305326331</v>
      </c>
      <c r="G28" s="14">
        <v>13</v>
      </c>
      <c r="H28" s="14">
        <v>4</v>
      </c>
      <c r="I28" s="14"/>
      <c r="J28" s="14"/>
      <c r="K28" s="14"/>
      <c r="L28" s="14">
        <v>38</v>
      </c>
      <c r="M28" s="16"/>
    </row>
    <row r="29" spans="1:13" ht="18.75" x14ac:dyDescent="0.3">
      <c r="A29" s="3">
        <v>28</v>
      </c>
      <c r="B29" s="4" t="s">
        <v>157</v>
      </c>
      <c r="C29" s="4" t="s">
        <v>12</v>
      </c>
      <c r="D29" s="14">
        <f>SUM(1361+1497+1376+1453+1379+1503+1313+1379+1501+1499+1453)</f>
        <v>15714</v>
      </c>
      <c r="E29" s="14">
        <f>SUM(83+112+96+107+105+101+95+87+115+118+115)</f>
        <v>1134</v>
      </c>
      <c r="F29" s="15">
        <f t="shared" si="0"/>
        <v>13.857142857142858</v>
      </c>
      <c r="G29" s="14">
        <v>11</v>
      </c>
      <c r="H29" s="14">
        <v>6</v>
      </c>
      <c r="I29" s="14"/>
      <c r="J29" s="14"/>
      <c r="K29" s="14"/>
      <c r="L29" s="14">
        <v>34.5</v>
      </c>
      <c r="M29" s="16"/>
    </row>
    <row r="30" spans="1:13" ht="18.75" x14ac:dyDescent="0.3">
      <c r="A30" s="3">
        <v>29</v>
      </c>
      <c r="B30" s="8" t="s">
        <v>44</v>
      </c>
      <c r="C30" s="4" t="s">
        <v>12</v>
      </c>
      <c r="D30" s="14">
        <f>SUM(1479+1503+1483+1474+1349+1471+1503+1458+1493+1471+1500+1459)</f>
        <v>17643</v>
      </c>
      <c r="E30" s="14">
        <f>SUM(130+97+96+123+86+87+114+116+153+83+107+90)</f>
        <v>1282</v>
      </c>
      <c r="F30" s="15">
        <f t="shared" si="0"/>
        <v>13.762090483619344</v>
      </c>
      <c r="G30" s="14">
        <v>12</v>
      </c>
      <c r="H30" s="14">
        <v>10</v>
      </c>
      <c r="I30" s="14"/>
      <c r="J30" s="14"/>
      <c r="K30" s="14"/>
      <c r="L30" s="14">
        <v>48</v>
      </c>
      <c r="M30" s="16"/>
    </row>
    <row r="31" spans="1:13" ht="18.75" x14ac:dyDescent="0.3">
      <c r="A31" s="3">
        <v>30</v>
      </c>
      <c r="B31" s="8" t="s">
        <v>35</v>
      </c>
      <c r="C31" s="4" t="s">
        <v>16</v>
      </c>
      <c r="D31" s="14">
        <f>SUM(1471+1503+1330+1362+1251)</f>
        <v>6917</v>
      </c>
      <c r="E31" s="14">
        <f>SUM(104+123+105+89+85)</f>
        <v>506</v>
      </c>
      <c r="F31" s="15">
        <f t="shared" si="0"/>
        <v>13.669960474308301</v>
      </c>
      <c r="G31" s="14">
        <v>5</v>
      </c>
      <c r="H31" s="14">
        <v>3</v>
      </c>
      <c r="I31" s="14"/>
      <c r="J31" s="14"/>
      <c r="K31" s="14"/>
      <c r="L31" s="14">
        <v>16</v>
      </c>
      <c r="M31" s="16">
        <v>5</v>
      </c>
    </row>
    <row r="32" spans="1:13" ht="18.75" x14ac:dyDescent="0.3">
      <c r="A32" s="3">
        <v>31</v>
      </c>
      <c r="B32" s="8" t="s">
        <v>64</v>
      </c>
      <c r="C32" s="4" t="s">
        <v>48</v>
      </c>
      <c r="D32" s="14">
        <f>SUM(1322+1462+1409+1497+1486+1453+1329+1503+1503+1503+1432+1382+1483)</f>
        <v>18764</v>
      </c>
      <c r="E32" s="14">
        <f>SUM(111+98+102+120+98+106+97+118+122+87+98+93+127)</f>
        <v>1377</v>
      </c>
      <c r="F32" s="15">
        <f t="shared" si="0"/>
        <v>13.626724763979666</v>
      </c>
      <c r="G32" s="14">
        <v>13</v>
      </c>
      <c r="H32" s="14">
        <v>4</v>
      </c>
      <c r="I32" s="14"/>
      <c r="J32" s="14"/>
      <c r="K32" s="14"/>
      <c r="L32" s="14">
        <v>33</v>
      </c>
      <c r="M32" s="16">
        <v>5</v>
      </c>
    </row>
    <row r="33" spans="1:13" ht="18.75" x14ac:dyDescent="0.3">
      <c r="A33" s="3">
        <v>32</v>
      </c>
      <c r="B33" s="10" t="s">
        <v>69</v>
      </c>
      <c r="C33" s="4" t="s">
        <v>162</v>
      </c>
      <c r="D33" s="14">
        <f>SUM(1503+1457+1466+1503+1408+1180+1418+1426+1495+1180+1503+1436)</f>
        <v>16975</v>
      </c>
      <c r="E33" s="14">
        <f>SUM(123+117+121+103+121+81+107+105+89+95+95+101)</f>
        <v>1258</v>
      </c>
      <c r="F33" s="15">
        <f t="shared" si="0"/>
        <v>13.493640699523052</v>
      </c>
      <c r="G33" s="14">
        <v>12</v>
      </c>
      <c r="H33" s="14">
        <v>6</v>
      </c>
      <c r="I33" s="14"/>
      <c r="J33" s="14"/>
      <c r="K33" s="14"/>
      <c r="L33" s="14">
        <v>33.5</v>
      </c>
      <c r="M33" s="16"/>
    </row>
    <row r="34" spans="1:13" ht="18.75" x14ac:dyDescent="0.3">
      <c r="A34" s="3">
        <v>33</v>
      </c>
      <c r="B34" s="40" t="s">
        <v>20</v>
      </c>
      <c r="C34" s="4" t="s">
        <v>21</v>
      </c>
      <c r="D34" s="14">
        <f>SUM(1243+1262+1307+1213+1469+1468+1415+1376+1452+1320+1455)</f>
        <v>14980</v>
      </c>
      <c r="E34" s="14">
        <f>SUM(94+86+87+120+106+109+104+99+117+83+106)</f>
        <v>1111</v>
      </c>
      <c r="F34" s="15">
        <f t="shared" ref="F34:F65" si="1">SUM(D34/E34)</f>
        <v>13.483348334833483</v>
      </c>
      <c r="G34" s="14">
        <v>11</v>
      </c>
      <c r="H34" s="14">
        <v>3</v>
      </c>
      <c r="I34" s="14"/>
      <c r="J34" s="14"/>
      <c r="K34" s="14"/>
      <c r="L34" s="14">
        <v>27</v>
      </c>
      <c r="M34" s="16"/>
    </row>
    <row r="35" spans="1:13" ht="18.75" x14ac:dyDescent="0.3">
      <c r="A35" s="3">
        <v>34</v>
      </c>
      <c r="B35" s="8" t="s">
        <v>26</v>
      </c>
      <c r="C35" s="4" t="s">
        <v>19</v>
      </c>
      <c r="D35" s="14">
        <f>SUM(1480+1503+1495+1352+1496+1503+1501+1465+1501)</f>
        <v>13296</v>
      </c>
      <c r="E35" s="14">
        <f>SUM(128+118+124+108+107+120+119+94+94)</f>
        <v>1012</v>
      </c>
      <c r="F35" s="15">
        <f t="shared" si="1"/>
        <v>13.138339920948617</v>
      </c>
      <c r="G35" s="14">
        <v>9</v>
      </c>
      <c r="H35" s="14">
        <v>6</v>
      </c>
      <c r="I35" s="14"/>
      <c r="J35" s="14"/>
      <c r="K35" s="14"/>
      <c r="L35" s="14">
        <v>36.5</v>
      </c>
      <c r="M35" s="16"/>
    </row>
    <row r="36" spans="1:13" ht="18.75" x14ac:dyDescent="0.3">
      <c r="A36" s="3">
        <v>35</v>
      </c>
      <c r="B36" s="41" t="s">
        <v>183</v>
      </c>
      <c r="C36" s="9" t="s">
        <v>14</v>
      </c>
      <c r="D36" s="14">
        <f>SUM(1480+1178+1148)</f>
        <v>3806</v>
      </c>
      <c r="E36" s="14">
        <f>SUM(111+108+75)</f>
        <v>294</v>
      </c>
      <c r="F36" s="15">
        <f t="shared" si="1"/>
        <v>12.945578231292517</v>
      </c>
      <c r="G36" s="14">
        <v>3</v>
      </c>
      <c r="H36" s="14"/>
      <c r="I36" s="14"/>
      <c r="J36" s="14"/>
      <c r="K36" s="14"/>
      <c r="L36" s="14">
        <v>4.5</v>
      </c>
      <c r="M36" s="16"/>
    </row>
    <row r="37" spans="1:13" ht="18.75" x14ac:dyDescent="0.3">
      <c r="A37" s="3">
        <v>36</v>
      </c>
      <c r="B37" s="8" t="s">
        <v>30</v>
      </c>
      <c r="C37" s="8" t="s">
        <v>19</v>
      </c>
      <c r="D37" s="14">
        <f>SUM(1434+1354+1503+1495+1363+1374+1503+1443+1440+1499+1501)</f>
        <v>15909</v>
      </c>
      <c r="E37" s="14">
        <f>SUM(100+90+162+135+108+88+123+100+111+99+121)</f>
        <v>1237</v>
      </c>
      <c r="F37" s="15">
        <f t="shared" si="1"/>
        <v>12.860953920776071</v>
      </c>
      <c r="G37" s="14">
        <v>11</v>
      </c>
      <c r="H37" s="14">
        <v>7</v>
      </c>
      <c r="I37" s="14"/>
      <c r="J37" s="14"/>
      <c r="K37" s="14"/>
      <c r="L37" s="14">
        <v>34</v>
      </c>
      <c r="M37" s="16"/>
    </row>
    <row r="38" spans="1:13" ht="18.75" x14ac:dyDescent="0.3">
      <c r="A38" s="3">
        <v>37</v>
      </c>
      <c r="B38" s="11" t="s">
        <v>29</v>
      </c>
      <c r="C38" s="8" t="s">
        <v>23</v>
      </c>
      <c r="D38" s="14">
        <f>SUM(1204+1459+1145+1498+1408+1456+1499+1480+1503+1465+1309)</f>
        <v>15426</v>
      </c>
      <c r="E38" s="14">
        <f>SUM(99+135+102+104+101+97+143+130+104+93+96)</f>
        <v>1204</v>
      </c>
      <c r="F38" s="15">
        <f t="shared" si="1"/>
        <v>12.812292358803987</v>
      </c>
      <c r="G38" s="14">
        <v>11</v>
      </c>
      <c r="H38" s="14">
        <v>5</v>
      </c>
      <c r="I38" s="14"/>
      <c r="J38" s="14"/>
      <c r="K38" s="14"/>
      <c r="L38" s="14">
        <v>30</v>
      </c>
      <c r="M38" s="16"/>
    </row>
    <row r="39" spans="1:13" ht="18.75" x14ac:dyDescent="0.3">
      <c r="A39" s="3">
        <v>38</v>
      </c>
      <c r="B39" s="19" t="s">
        <v>41</v>
      </c>
      <c r="C39" s="9" t="s">
        <v>28</v>
      </c>
      <c r="D39" s="14">
        <f>SUM(1487+1499+1483+1499+1503+1498+1463+1483+1483+1483+1237+1503+1503)</f>
        <v>19124</v>
      </c>
      <c r="E39" s="14">
        <f>SUM(120+141+99+139+108+105+106+118+142+113+117+110+109)</f>
        <v>1527</v>
      </c>
      <c r="F39" s="15">
        <f t="shared" si="1"/>
        <v>12.523903077930584</v>
      </c>
      <c r="G39" s="14">
        <v>13</v>
      </c>
      <c r="H39" s="14">
        <v>11</v>
      </c>
      <c r="I39" s="14"/>
      <c r="J39" s="14"/>
      <c r="K39" s="14"/>
      <c r="L39" s="14">
        <v>47.5</v>
      </c>
      <c r="M39" s="16">
        <v>5</v>
      </c>
    </row>
    <row r="40" spans="1:13" ht="18.75" x14ac:dyDescent="0.3">
      <c r="A40" s="3">
        <v>39</v>
      </c>
      <c r="B40" s="11" t="s">
        <v>182</v>
      </c>
      <c r="C40" s="4" t="s">
        <v>14</v>
      </c>
      <c r="D40" s="14">
        <f>SUM(1479+1405)</f>
        <v>2884</v>
      </c>
      <c r="E40" s="14">
        <f>SUM(125+106)</f>
        <v>231</v>
      </c>
      <c r="F40" s="15">
        <f t="shared" si="1"/>
        <v>12.484848484848484</v>
      </c>
      <c r="G40" s="14">
        <v>2</v>
      </c>
      <c r="H40" s="14"/>
      <c r="I40" s="14"/>
      <c r="J40" s="14"/>
      <c r="K40" s="14"/>
      <c r="L40" s="14">
        <v>3.5</v>
      </c>
      <c r="M40" s="16"/>
    </row>
    <row r="41" spans="1:13" ht="18.75" x14ac:dyDescent="0.3">
      <c r="A41" s="3">
        <v>40</v>
      </c>
      <c r="B41" s="19" t="s">
        <v>40</v>
      </c>
      <c r="C41" s="8" t="s">
        <v>14</v>
      </c>
      <c r="D41" s="14">
        <f>SUM(1351+1493+1429+1206+1475+1484+1478+1387+1424+1353+1373+1480)</f>
        <v>16933</v>
      </c>
      <c r="E41" s="14">
        <f>SUM(100+138+96+96+129+115+149+96+99+103+118+121)</f>
        <v>1360</v>
      </c>
      <c r="F41" s="15">
        <f t="shared" si="1"/>
        <v>12.450735294117647</v>
      </c>
      <c r="G41" s="14">
        <v>12</v>
      </c>
      <c r="H41" s="14">
        <v>3</v>
      </c>
      <c r="I41" s="14"/>
      <c r="J41" s="14"/>
      <c r="K41" s="14">
        <v>1</v>
      </c>
      <c r="L41" s="14">
        <v>31</v>
      </c>
      <c r="M41" s="16"/>
    </row>
    <row r="42" spans="1:13" ht="18.75" x14ac:dyDescent="0.3">
      <c r="A42" s="3">
        <v>41</v>
      </c>
      <c r="B42" s="11" t="s">
        <v>38</v>
      </c>
      <c r="C42" s="8" t="s">
        <v>28</v>
      </c>
      <c r="D42" s="14">
        <f>SUM(1503+1456+1500+1493+1179+1395+1495+1458+1492+1503+1308+1425)</f>
        <v>17207</v>
      </c>
      <c r="E42" s="14">
        <f>SUM(107+134+103+122+81+108+127+113+127+129+109+135)</f>
        <v>1395</v>
      </c>
      <c r="F42" s="15">
        <f t="shared" si="1"/>
        <v>12.334767025089606</v>
      </c>
      <c r="G42" s="14">
        <v>12</v>
      </c>
      <c r="H42" s="14">
        <v>9</v>
      </c>
      <c r="I42" s="14"/>
      <c r="J42" s="14"/>
      <c r="K42" s="14"/>
      <c r="L42" s="14">
        <v>41.5</v>
      </c>
      <c r="M42" s="16">
        <v>5</v>
      </c>
    </row>
    <row r="43" spans="1:13" ht="18.75" x14ac:dyDescent="0.3">
      <c r="A43" s="3">
        <v>42</v>
      </c>
      <c r="B43" s="11" t="s">
        <v>53</v>
      </c>
      <c r="C43" s="8" t="s">
        <v>54</v>
      </c>
      <c r="D43" s="14">
        <f>SUM(1503+1413+1348+1220+1173+1417+1195+1350+1147+845+1226+1435)</f>
        <v>15272</v>
      </c>
      <c r="E43" s="14">
        <f>SUM(111+108+106+105+81+114+93+114+87+75+129+117)</f>
        <v>1240</v>
      </c>
      <c r="F43" s="15">
        <f t="shared" si="1"/>
        <v>12.316129032258065</v>
      </c>
      <c r="G43" s="14">
        <v>12</v>
      </c>
      <c r="H43" s="14">
        <v>1</v>
      </c>
      <c r="I43" s="14"/>
      <c r="J43" s="14"/>
      <c r="K43" s="14"/>
      <c r="L43" s="14">
        <v>9.5</v>
      </c>
      <c r="M43" s="16"/>
    </row>
    <row r="44" spans="1:13" ht="18.75" x14ac:dyDescent="0.3">
      <c r="A44" s="3">
        <v>43</v>
      </c>
      <c r="B44" s="19" t="s">
        <v>45</v>
      </c>
      <c r="C44" s="8" t="s">
        <v>162</v>
      </c>
      <c r="D44" s="14">
        <f>SUM(1375+1355+1020+1503+1483+1440+1375+1415+1415+1463+1210+1491+1483)</f>
        <v>18028</v>
      </c>
      <c r="E44" s="14">
        <f>SUM(106+108+111+122+121+116+105+92+101+100+100+153+130)</f>
        <v>1465</v>
      </c>
      <c r="F44" s="15">
        <f t="shared" si="1"/>
        <v>12.305802047781571</v>
      </c>
      <c r="G44" s="14">
        <v>13</v>
      </c>
      <c r="H44" s="14">
        <v>7</v>
      </c>
      <c r="I44" s="14"/>
      <c r="J44" s="14"/>
      <c r="K44" s="14"/>
      <c r="L44" s="14">
        <v>33</v>
      </c>
      <c r="M44" s="16"/>
    </row>
    <row r="45" spans="1:13" ht="18.75" x14ac:dyDescent="0.3">
      <c r="A45" s="3">
        <v>44</v>
      </c>
      <c r="B45" s="11" t="s">
        <v>61</v>
      </c>
      <c r="C45" s="8" t="s">
        <v>54</v>
      </c>
      <c r="D45" s="14">
        <f>SUM(1098+1207+1409+1390+1416+1444+1373+1009+1044+1057+1324+1455+1498)</f>
        <v>16724</v>
      </c>
      <c r="E45" s="14">
        <f>SUM(87+93+129+99+124+132+113+105+81+81+96+107+114)</f>
        <v>1361</v>
      </c>
      <c r="F45" s="15">
        <f t="shared" si="1"/>
        <v>12.288023512123438</v>
      </c>
      <c r="G45" s="14">
        <v>13</v>
      </c>
      <c r="H45" s="14">
        <v>1</v>
      </c>
      <c r="I45" s="14"/>
      <c r="J45" s="14"/>
      <c r="K45" s="14"/>
      <c r="L45" s="14">
        <v>12.5</v>
      </c>
      <c r="M45" s="16"/>
    </row>
    <row r="46" spans="1:13" ht="18.75" x14ac:dyDescent="0.3">
      <c r="A46" s="3">
        <v>45</v>
      </c>
      <c r="B46" s="19" t="s">
        <v>34</v>
      </c>
      <c r="C46" s="4" t="s">
        <v>32</v>
      </c>
      <c r="D46" s="14">
        <f>SUM(1204+1501+1396+1414+1498+1481+1501+1483+1481+1490+1503+1500)</f>
        <v>17452</v>
      </c>
      <c r="E46" s="14">
        <f>SUM(88+140+97+90+105+117+158+129+130+138+108+121)</f>
        <v>1421</v>
      </c>
      <c r="F46" s="15">
        <f t="shared" si="1"/>
        <v>12.28149190710767</v>
      </c>
      <c r="G46" s="14">
        <v>12</v>
      </c>
      <c r="H46" s="14">
        <v>7</v>
      </c>
      <c r="I46" s="14"/>
      <c r="J46" s="14"/>
      <c r="K46" s="14"/>
      <c r="L46" s="14">
        <v>45.5</v>
      </c>
      <c r="M46" s="16"/>
    </row>
    <row r="47" spans="1:13" ht="18.75" x14ac:dyDescent="0.3">
      <c r="A47" s="3">
        <v>46</v>
      </c>
      <c r="B47" s="11" t="s">
        <v>188</v>
      </c>
      <c r="C47" s="8" t="s">
        <v>14</v>
      </c>
      <c r="D47" s="14">
        <f>SUM(1359)</f>
        <v>1359</v>
      </c>
      <c r="E47" s="14">
        <f>SUM(111)</f>
        <v>111</v>
      </c>
      <c r="F47" s="15">
        <f t="shared" si="1"/>
        <v>12.243243243243244</v>
      </c>
      <c r="G47" s="14">
        <v>1</v>
      </c>
      <c r="H47" s="14"/>
      <c r="I47" s="14"/>
      <c r="J47" s="14"/>
      <c r="K47" s="14"/>
      <c r="L47" s="14">
        <v>1</v>
      </c>
      <c r="M47" s="16"/>
    </row>
    <row r="48" spans="1:13" ht="18.75" x14ac:dyDescent="0.3">
      <c r="A48" s="3">
        <v>47</v>
      </c>
      <c r="B48" s="42" t="s">
        <v>51</v>
      </c>
      <c r="C48" s="4" t="s">
        <v>43</v>
      </c>
      <c r="D48" s="14">
        <f>SUM(1503+1083+1503+1401+1481+1497+1501+1196+1485+1363+1499+1388)</f>
        <v>16900</v>
      </c>
      <c r="E48" s="14">
        <f>SUM(137+81+126+109+117+135+149+91+99+92+117+130)</f>
        <v>1383</v>
      </c>
      <c r="F48" s="15">
        <f t="shared" si="1"/>
        <v>12.219812002892263</v>
      </c>
      <c r="G48" s="14">
        <v>12</v>
      </c>
      <c r="H48" s="14">
        <v>6</v>
      </c>
      <c r="I48" s="14"/>
      <c r="J48" s="14">
        <v>1</v>
      </c>
      <c r="K48" s="14"/>
      <c r="L48" s="14">
        <v>35</v>
      </c>
      <c r="M48" s="16">
        <v>5</v>
      </c>
    </row>
    <row r="49" spans="1:13" ht="18.75" x14ac:dyDescent="0.3">
      <c r="A49" s="3">
        <v>48</v>
      </c>
      <c r="B49" s="4" t="s">
        <v>178</v>
      </c>
      <c r="C49" s="4" t="s">
        <v>23</v>
      </c>
      <c r="D49" s="14">
        <f>SUM(1173)</f>
        <v>1173</v>
      </c>
      <c r="E49" s="14">
        <f>SUM(96)</f>
        <v>96</v>
      </c>
      <c r="F49" s="15">
        <f t="shared" si="1"/>
        <v>12.21875</v>
      </c>
      <c r="G49" s="14">
        <v>1</v>
      </c>
      <c r="H49" s="14"/>
      <c r="I49" s="14"/>
      <c r="J49" s="14"/>
      <c r="K49" s="14"/>
      <c r="L49" s="14"/>
      <c r="M49" s="16"/>
    </row>
    <row r="50" spans="1:13" ht="18.75" x14ac:dyDescent="0.3">
      <c r="A50" s="3">
        <v>49</v>
      </c>
      <c r="B50" s="4" t="s">
        <v>179</v>
      </c>
      <c r="C50" s="20" t="s">
        <v>54</v>
      </c>
      <c r="D50" s="14">
        <f>SUM(1244)</f>
        <v>1244</v>
      </c>
      <c r="E50" s="14">
        <f>SUM(102)</f>
        <v>102</v>
      </c>
      <c r="F50" s="15">
        <f t="shared" si="1"/>
        <v>12.196078431372548</v>
      </c>
      <c r="G50" s="14">
        <v>1</v>
      </c>
      <c r="H50" s="14"/>
      <c r="I50" s="14"/>
      <c r="J50" s="14"/>
      <c r="K50" s="14"/>
      <c r="L50" s="14"/>
      <c r="M50" s="16"/>
    </row>
    <row r="51" spans="1:13" ht="18.75" x14ac:dyDescent="0.3">
      <c r="A51" s="3">
        <v>50</v>
      </c>
      <c r="B51" s="18" t="s">
        <v>66</v>
      </c>
      <c r="C51" s="4" t="s">
        <v>21</v>
      </c>
      <c r="D51" s="14">
        <f>SUM(1452+1495+1498+1503+1492+1410+1342+1280+1503)</f>
        <v>12975</v>
      </c>
      <c r="E51" s="14">
        <f>SUM(135+120+143+139+128+98+90+99+155)</f>
        <v>1107</v>
      </c>
      <c r="F51" s="15">
        <f t="shared" si="1"/>
        <v>11.720867208672086</v>
      </c>
      <c r="G51" s="14">
        <v>9</v>
      </c>
      <c r="H51" s="14">
        <v>5</v>
      </c>
      <c r="I51" s="14"/>
      <c r="J51" s="14"/>
      <c r="K51" s="14"/>
      <c r="L51" s="14">
        <v>28</v>
      </c>
      <c r="M51" s="16"/>
    </row>
    <row r="52" spans="1:13" ht="18.75" x14ac:dyDescent="0.3">
      <c r="A52" s="3">
        <v>51</v>
      </c>
      <c r="B52" s="4" t="s">
        <v>180</v>
      </c>
      <c r="C52" s="4" t="s">
        <v>54</v>
      </c>
      <c r="D52" s="14">
        <f>SUM(1312)</f>
        <v>1312</v>
      </c>
      <c r="E52" s="14">
        <f>SUM(113)</f>
        <v>113</v>
      </c>
      <c r="F52" s="15">
        <f t="shared" si="1"/>
        <v>11.610619469026549</v>
      </c>
      <c r="G52" s="14">
        <v>1</v>
      </c>
      <c r="H52" s="14"/>
      <c r="I52" s="14"/>
      <c r="J52" s="14"/>
      <c r="K52" s="14"/>
      <c r="L52" s="14">
        <v>1</v>
      </c>
      <c r="M52" s="16"/>
    </row>
    <row r="53" spans="1:13" ht="18.75" x14ac:dyDescent="0.3">
      <c r="A53" s="3">
        <v>52</v>
      </c>
      <c r="B53" s="18" t="s">
        <v>67</v>
      </c>
      <c r="C53" s="4" t="s">
        <v>54</v>
      </c>
      <c r="D53" s="14">
        <f>SUM(496+1498+1461+1497+1433+1359+1474+1409+1281)</f>
        <v>11908</v>
      </c>
      <c r="E53" s="14">
        <f>SUM(45+156+130+134+114+102+147+112+98)</f>
        <v>1038</v>
      </c>
      <c r="F53" s="15">
        <f t="shared" si="1"/>
        <v>11.472061657032755</v>
      </c>
      <c r="G53" s="14">
        <v>9</v>
      </c>
      <c r="H53" s="14">
        <v>2</v>
      </c>
      <c r="I53" s="14"/>
      <c r="J53" s="14"/>
      <c r="K53" s="14"/>
      <c r="L53" s="14">
        <v>16</v>
      </c>
      <c r="M53" s="16"/>
    </row>
    <row r="54" spans="1:13" ht="18.75" x14ac:dyDescent="0.3">
      <c r="A54" s="3">
        <v>53</v>
      </c>
      <c r="B54" s="18" t="s">
        <v>63</v>
      </c>
      <c r="C54" s="4" t="s">
        <v>48</v>
      </c>
      <c r="D54" s="14">
        <f>SUM(1477+1291+1469+1471+1480+1218+1331+1359+1415+1473+1464+1498+1489)</f>
        <v>18435</v>
      </c>
      <c r="E54" s="14">
        <f>SUM(126+87+136+98+131+94+111+114+114+146+162+154+134)</f>
        <v>1607</v>
      </c>
      <c r="F54" s="15">
        <f t="shared" si="1"/>
        <v>11.471686372121967</v>
      </c>
      <c r="G54" s="14">
        <v>13</v>
      </c>
      <c r="H54" s="14">
        <v>3</v>
      </c>
      <c r="I54" s="14"/>
      <c r="J54" s="14"/>
      <c r="K54" s="14"/>
      <c r="L54" s="14">
        <v>29</v>
      </c>
      <c r="M54" s="16"/>
    </row>
    <row r="55" spans="1:13" ht="18.75" x14ac:dyDescent="0.3">
      <c r="A55" s="3">
        <v>54</v>
      </c>
      <c r="B55" s="4" t="s">
        <v>171</v>
      </c>
      <c r="C55" s="20" t="s">
        <v>54</v>
      </c>
      <c r="D55" s="14">
        <f>SUM(1341)</f>
        <v>1341</v>
      </c>
      <c r="E55" s="14">
        <f>SUM(117)</f>
        <v>117</v>
      </c>
      <c r="F55" s="15">
        <f t="shared" si="1"/>
        <v>11.461538461538462</v>
      </c>
      <c r="G55" s="14">
        <v>1</v>
      </c>
      <c r="H55" s="14"/>
      <c r="I55" s="14"/>
      <c r="J55" s="14"/>
      <c r="K55" s="14"/>
      <c r="L55" s="14"/>
      <c r="M55" s="16"/>
    </row>
    <row r="56" spans="1:13" ht="18.75" x14ac:dyDescent="0.3">
      <c r="A56" s="3">
        <v>55</v>
      </c>
      <c r="B56" s="18" t="s">
        <v>62</v>
      </c>
      <c r="C56" s="20" t="s">
        <v>54</v>
      </c>
      <c r="D56" s="14">
        <f>SUM(1368+1501+1274)</f>
        <v>4143</v>
      </c>
      <c r="E56" s="14">
        <f>SUM(122+148+96)</f>
        <v>366</v>
      </c>
      <c r="F56" s="15">
        <f t="shared" si="1"/>
        <v>11.319672131147541</v>
      </c>
      <c r="G56" s="14">
        <v>3</v>
      </c>
      <c r="H56" s="14">
        <v>2</v>
      </c>
      <c r="I56" s="14"/>
      <c r="J56" s="14"/>
      <c r="K56" s="14"/>
      <c r="L56" s="14">
        <v>6.5</v>
      </c>
      <c r="M56" s="16"/>
    </row>
    <row r="57" spans="1:13" ht="18.75" x14ac:dyDescent="0.3">
      <c r="A57" s="3">
        <v>56</v>
      </c>
      <c r="B57" s="18" t="s">
        <v>165</v>
      </c>
      <c r="C57" s="4" t="s">
        <v>21</v>
      </c>
      <c r="D57" s="14">
        <f>SUM(1467)</f>
        <v>1467</v>
      </c>
      <c r="E57" s="14">
        <f>SUM(130)</f>
        <v>130</v>
      </c>
      <c r="F57" s="15">
        <f t="shared" si="1"/>
        <v>11.284615384615385</v>
      </c>
      <c r="G57" s="14">
        <v>1</v>
      </c>
      <c r="H57" s="14">
        <v>1</v>
      </c>
      <c r="I57" s="14"/>
      <c r="J57" s="14"/>
      <c r="K57" s="14"/>
      <c r="L57" s="14">
        <v>4</v>
      </c>
      <c r="M57" s="16"/>
    </row>
    <row r="58" spans="1:13" ht="18.75" x14ac:dyDescent="0.3">
      <c r="A58" s="3">
        <v>57</v>
      </c>
      <c r="B58" s="18" t="s">
        <v>161</v>
      </c>
      <c r="C58" s="8" t="s">
        <v>43</v>
      </c>
      <c r="D58" s="14">
        <f>SUM(1484+1490+1474+1452+1499+1435+1499+1463+1469+1503+1254+1403+1483)</f>
        <v>18908</v>
      </c>
      <c r="E58" s="14">
        <f>SUM(126+139+150+165+106+132+146+114+150+135+108+108+119)</f>
        <v>1698</v>
      </c>
      <c r="F58" s="15">
        <f t="shared" si="1"/>
        <v>11.135453474676089</v>
      </c>
      <c r="G58" s="14">
        <v>13</v>
      </c>
      <c r="H58" s="14">
        <v>5</v>
      </c>
      <c r="I58" s="14"/>
      <c r="J58" s="14"/>
      <c r="K58" s="14"/>
      <c r="L58" s="14">
        <v>37.5</v>
      </c>
      <c r="M58" s="16"/>
    </row>
    <row r="59" spans="1:13" ht="18.75" x14ac:dyDescent="0.3">
      <c r="A59" s="3">
        <v>58</v>
      </c>
      <c r="B59" s="4" t="s">
        <v>59</v>
      </c>
      <c r="C59" s="4" t="s">
        <v>162</v>
      </c>
      <c r="D59" s="14">
        <f>SUM(1248+1064+1400+1411+1387+1347+1413+1320+1224+1440+1322)</f>
        <v>14576</v>
      </c>
      <c r="E59" s="14">
        <f>SUM(105+84+133+141+150+112+108+117+113+153+105)</f>
        <v>1321</v>
      </c>
      <c r="F59" s="15">
        <f t="shared" si="1"/>
        <v>11.034065102195306</v>
      </c>
      <c r="G59" s="14">
        <v>11</v>
      </c>
      <c r="H59" s="14"/>
      <c r="I59" s="14"/>
      <c r="J59" s="14"/>
      <c r="K59" s="14"/>
      <c r="L59" s="14">
        <v>14.5</v>
      </c>
      <c r="M59" s="16"/>
    </row>
    <row r="60" spans="1:13" ht="18.75" x14ac:dyDescent="0.3">
      <c r="A60" s="3">
        <v>59</v>
      </c>
      <c r="B60" s="4" t="s">
        <v>52</v>
      </c>
      <c r="C60" s="39" t="s">
        <v>14</v>
      </c>
      <c r="D60" s="14">
        <f>SUM(1394+1122+1067+1482+1376+1498+1402+1456)</f>
        <v>10797</v>
      </c>
      <c r="E60" s="14">
        <f>SUM(93+86+81+162+144+145+150+125)</f>
        <v>986</v>
      </c>
      <c r="F60" s="15">
        <f t="shared" si="1"/>
        <v>10.950304259634889</v>
      </c>
      <c r="G60" s="14">
        <v>8</v>
      </c>
      <c r="H60" s="14">
        <v>1</v>
      </c>
      <c r="I60" s="14"/>
      <c r="J60" s="14"/>
      <c r="K60" s="14"/>
      <c r="L60" s="14">
        <v>15.5</v>
      </c>
      <c r="M60" s="16"/>
    </row>
    <row r="61" spans="1:13" ht="18.75" x14ac:dyDescent="0.3">
      <c r="A61" s="3">
        <v>60</v>
      </c>
      <c r="B61" s="18" t="s">
        <v>166</v>
      </c>
      <c r="C61" s="4" t="s">
        <v>162</v>
      </c>
      <c r="D61" s="14">
        <f>SUM(1150+1237+1485+1478+1185)</f>
        <v>6535</v>
      </c>
      <c r="E61" s="14">
        <f>SUM(90+108+153+148+99)</f>
        <v>598</v>
      </c>
      <c r="F61" s="15">
        <f t="shared" si="1"/>
        <v>10.92809364548495</v>
      </c>
      <c r="G61" s="14">
        <v>5</v>
      </c>
      <c r="H61" s="14">
        <v>1</v>
      </c>
      <c r="I61" s="14"/>
      <c r="J61" s="14"/>
      <c r="K61" s="14"/>
      <c r="L61" s="14">
        <v>8.5</v>
      </c>
      <c r="M61" s="16"/>
    </row>
    <row r="62" spans="1:13" ht="18.75" x14ac:dyDescent="0.3">
      <c r="A62" s="3">
        <v>61</v>
      </c>
      <c r="B62" s="4" t="s">
        <v>57</v>
      </c>
      <c r="C62" s="8" t="s">
        <v>43</v>
      </c>
      <c r="D62" s="14">
        <f>SUM(1309)</f>
        <v>1309</v>
      </c>
      <c r="E62" s="14">
        <f>SUM(120)</f>
        <v>120</v>
      </c>
      <c r="F62" s="15">
        <f t="shared" si="1"/>
        <v>10.908333333333333</v>
      </c>
      <c r="G62" s="14">
        <v>1</v>
      </c>
      <c r="H62" s="14"/>
      <c r="I62" s="14"/>
      <c r="J62" s="14"/>
      <c r="K62" s="14"/>
      <c r="L62" s="14">
        <v>0.5</v>
      </c>
      <c r="M62" s="16"/>
    </row>
    <row r="63" spans="1:13" ht="18.75" x14ac:dyDescent="0.3">
      <c r="A63" s="3">
        <v>62</v>
      </c>
      <c r="B63" s="4" t="s">
        <v>172</v>
      </c>
      <c r="C63" s="8" t="s">
        <v>28</v>
      </c>
      <c r="D63" s="14">
        <f>SUM(1416)</f>
        <v>1416</v>
      </c>
      <c r="E63" s="14">
        <f>SUM(132)</f>
        <v>132</v>
      </c>
      <c r="F63" s="15">
        <f t="shared" si="1"/>
        <v>10.727272727272727</v>
      </c>
      <c r="G63" s="14">
        <v>1</v>
      </c>
      <c r="H63" s="14"/>
      <c r="I63" s="14"/>
      <c r="J63" s="14"/>
      <c r="K63" s="14"/>
      <c r="L63" s="14">
        <v>1</v>
      </c>
      <c r="M63" s="16"/>
    </row>
    <row r="64" spans="1:13" ht="18.75" x14ac:dyDescent="0.3">
      <c r="A64" s="3">
        <v>63</v>
      </c>
      <c r="B64" s="18" t="s">
        <v>169</v>
      </c>
      <c r="C64" s="8" t="s">
        <v>21</v>
      </c>
      <c r="D64" s="14">
        <f>SUM(1250+1503+1491+1315+1503+1431)</f>
        <v>8493</v>
      </c>
      <c r="E64" s="14">
        <f>SUM(109+145+155+119+159+106)</f>
        <v>793</v>
      </c>
      <c r="F64" s="15">
        <f t="shared" si="1"/>
        <v>10.709962168978562</v>
      </c>
      <c r="G64" s="14">
        <v>6</v>
      </c>
      <c r="H64" s="14">
        <v>3</v>
      </c>
      <c r="I64" s="14"/>
      <c r="J64" s="14"/>
      <c r="K64" s="14"/>
      <c r="L64" s="14">
        <v>17.5</v>
      </c>
      <c r="M64" s="16"/>
    </row>
    <row r="65" spans="1:18" ht="18.75" x14ac:dyDescent="0.3">
      <c r="A65" s="3">
        <v>64</v>
      </c>
      <c r="B65" s="4" t="s">
        <v>55</v>
      </c>
      <c r="C65" s="4" t="s">
        <v>48</v>
      </c>
      <c r="D65" s="14">
        <f>SUM(1478+1353+1503+1472+1448+1079+1478+1286+1374+1483)</f>
        <v>13954</v>
      </c>
      <c r="E65" s="14">
        <f>SUM(126+139+133+123+135+93+143+117+144+150)</f>
        <v>1303</v>
      </c>
      <c r="F65" s="15">
        <f t="shared" si="1"/>
        <v>10.709132770529548</v>
      </c>
      <c r="G65" s="14">
        <v>10</v>
      </c>
      <c r="H65" s="14">
        <v>4</v>
      </c>
      <c r="I65" s="14"/>
      <c r="J65" s="14"/>
      <c r="K65" s="14"/>
      <c r="L65" s="14">
        <v>25.5</v>
      </c>
      <c r="M65" s="16"/>
    </row>
    <row r="66" spans="1:18" ht="18.75" x14ac:dyDescent="0.3">
      <c r="A66" s="3">
        <v>65</v>
      </c>
      <c r="B66" s="4" t="s">
        <v>185</v>
      </c>
      <c r="C66" s="8" t="s">
        <v>14</v>
      </c>
      <c r="D66" s="14">
        <f>SUM(1486)</f>
        <v>1486</v>
      </c>
      <c r="E66" s="14">
        <f>SUM(139)</f>
        <v>139</v>
      </c>
      <c r="F66" s="15">
        <f t="shared" ref="F66:F97" si="2">SUM(D66/E66)</f>
        <v>10.690647482014388</v>
      </c>
      <c r="G66" s="14">
        <v>1</v>
      </c>
      <c r="H66" s="14">
        <v>1</v>
      </c>
      <c r="I66" s="14"/>
      <c r="J66" s="14"/>
      <c r="K66" s="14"/>
      <c r="L66" s="14">
        <v>3.5</v>
      </c>
      <c r="M66" s="16"/>
    </row>
    <row r="67" spans="1:18" ht="18.75" x14ac:dyDescent="0.3">
      <c r="A67" s="3">
        <v>66</v>
      </c>
      <c r="B67" s="18" t="s">
        <v>56</v>
      </c>
      <c r="C67" s="8" t="s">
        <v>54</v>
      </c>
      <c r="D67" s="14">
        <f>SUM(1363+1275+1471+1473+1503+1072+1459+1448+1449+1458)</f>
        <v>13971</v>
      </c>
      <c r="E67" s="14">
        <f>SUM(123+117+156+148+117+87+131+174+110+153)</f>
        <v>1316</v>
      </c>
      <c r="F67" s="15">
        <f t="shared" si="2"/>
        <v>10.616261398176292</v>
      </c>
      <c r="G67" s="14">
        <v>10</v>
      </c>
      <c r="H67" s="14">
        <v>4</v>
      </c>
      <c r="I67" s="14"/>
      <c r="J67" s="14"/>
      <c r="K67" s="14"/>
      <c r="L67" s="14">
        <v>19.5</v>
      </c>
      <c r="M67" s="16"/>
    </row>
    <row r="68" spans="1:18" ht="18.75" x14ac:dyDescent="0.3">
      <c r="A68" s="3">
        <v>67</v>
      </c>
      <c r="B68" s="4" t="s">
        <v>58</v>
      </c>
      <c r="C68" s="8" t="s">
        <v>43</v>
      </c>
      <c r="D68" s="14">
        <f>SUM(1477+1499+1258)</f>
        <v>4234</v>
      </c>
      <c r="E68" s="14">
        <f>SUM(152+138+111)</f>
        <v>401</v>
      </c>
      <c r="F68" s="15">
        <f t="shared" si="2"/>
        <v>10.558603491271821</v>
      </c>
      <c r="G68" s="14">
        <v>3</v>
      </c>
      <c r="H68" s="14">
        <v>2</v>
      </c>
      <c r="I68" s="14"/>
      <c r="J68" s="14"/>
      <c r="K68" s="14"/>
      <c r="L68" s="14">
        <v>8</v>
      </c>
      <c r="M68" s="16"/>
    </row>
    <row r="69" spans="1:18" ht="18.75" x14ac:dyDescent="0.3">
      <c r="A69" s="3">
        <v>68</v>
      </c>
      <c r="B69" s="18" t="s">
        <v>186</v>
      </c>
      <c r="C69" s="8" t="s">
        <v>54</v>
      </c>
      <c r="D69" s="14">
        <f>SUM(1129)</f>
        <v>1129</v>
      </c>
      <c r="E69" s="14">
        <f>SUM(108)</f>
        <v>108</v>
      </c>
      <c r="F69" s="15">
        <f t="shared" si="2"/>
        <v>10.453703703703704</v>
      </c>
      <c r="G69" s="14">
        <v>1</v>
      </c>
      <c r="H69" s="14"/>
      <c r="I69" s="14"/>
      <c r="J69" s="14"/>
      <c r="K69" s="14"/>
      <c r="L69" s="14"/>
      <c r="M69" s="16"/>
    </row>
    <row r="70" spans="1:18" ht="18.75" x14ac:dyDescent="0.3">
      <c r="A70" s="3">
        <v>69</v>
      </c>
      <c r="B70" s="18" t="s">
        <v>190</v>
      </c>
      <c r="C70" s="8" t="s">
        <v>23</v>
      </c>
      <c r="D70" s="14">
        <f>SUM(1278)</f>
        <v>1278</v>
      </c>
      <c r="E70" s="14">
        <f>SUM(126)</f>
        <v>126</v>
      </c>
      <c r="F70" s="15">
        <f t="shared" si="2"/>
        <v>10.142857142857142</v>
      </c>
      <c r="G70" s="14">
        <v>1</v>
      </c>
      <c r="H70" s="14"/>
      <c r="I70" s="14"/>
      <c r="J70" s="14"/>
      <c r="K70" s="14"/>
      <c r="L70" s="14">
        <v>1.5</v>
      </c>
      <c r="M70" s="16"/>
    </row>
    <row r="71" spans="1:18" ht="18.75" x14ac:dyDescent="0.3">
      <c r="A71" s="3">
        <v>70</v>
      </c>
      <c r="B71" s="18" t="s">
        <v>175</v>
      </c>
      <c r="C71" s="8" t="s">
        <v>14</v>
      </c>
      <c r="D71" s="14">
        <f>SUM(1489+1487+1493)</f>
        <v>4469</v>
      </c>
      <c r="E71" s="14">
        <f>SUM(134+150+161)</f>
        <v>445</v>
      </c>
      <c r="F71" s="15">
        <f t="shared" si="2"/>
        <v>10.042696629213482</v>
      </c>
      <c r="G71" s="14">
        <v>3</v>
      </c>
      <c r="H71" s="14">
        <v>3</v>
      </c>
      <c r="I71" s="14"/>
      <c r="J71" s="14"/>
      <c r="K71" s="14"/>
      <c r="L71" s="14">
        <v>11</v>
      </c>
      <c r="M71" s="16"/>
    </row>
    <row r="72" spans="1:18" ht="18.75" x14ac:dyDescent="0.3">
      <c r="A72" s="3">
        <v>71</v>
      </c>
      <c r="B72" s="18" t="s">
        <v>163</v>
      </c>
      <c r="C72" s="4" t="s">
        <v>48</v>
      </c>
      <c r="D72" s="14">
        <f>SUM(1376+1488+1323)</f>
        <v>4187</v>
      </c>
      <c r="E72" s="14">
        <f>SUM(138+171+121)</f>
        <v>430</v>
      </c>
      <c r="F72" s="15">
        <f t="shared" si="2"/>
        <v>9.7372093023255815</v>
      </c>
      <c r="G72" s="14">
        <v>3</v>
      </c>
      <c r="H72" s="14"/>
      <c r="I72" s="14"/>
      <c r="J72" s="14"/>
      <c r="K72" s="14"/>
      <c r="L72" s="14">
        <v>6.5</v>
      </c>
      <c r="M72" s="16"/>
    </row>
    <row r="73" spans="1:18" ht="18.75" x14ac:dyDescent="0.3">
      <c r="A73" s="3">
        <v>72</v>
      </c>
      <c r="B73" s="4" t="s">
        <v>181</v>
      </c>
      <c r="C73" s="4" t="s">
        <v>54</v>
      </c>
      <c r="D73" s="14">
        <f>SUM(1376)</f>
        <v>1376</v>
      </c>
      <c r="E73" s="14">
        <f>SUM(157)</f>
        <v>157</v>
      </c>
      <c r="F73" s="15">
        <f t="shared" si="2"/>
        <v>8.7643312101910826</v>
      </c>
      <c r="G73" s="14">
        <v>1</v>
      </c>
      <c r="H73" s="14"/>
      <c r="I73" s="14"/>
      <c r="J73" s="14"/>
      <c r="K73" s="14"/>
      <c r="L73" s="14"/>
      <c r="M73" s="16"/>
    </row>
    <row r="74" spans="1:18" ht="18.75" x14ac:dyDescent="0.3">
      <c r="A74" s="3">
        <v>73</v>
      </c>
      <c r="B74" s="24" t="s">
        <v>184</v>
      </c>
      <c r="C74" s="17" t="s">
        <v>23</v>
      </c>
      <c r="D74" s="14">
        <f>SUM(1284)</f>
        <v>1284</v>
      </c>
      <c r="E74" s="14">
        <f>SUM(153)</f>
        <v>153</v>
      </c>
      <c r="F74" s="15">
        <f t="shared" si="2"/>
        <v>8.3921568627450984</v>
      </c>
      <c r="G74" s="14">
        <v>1</v>
      </c>
      <c r="H74" s="14"/>
      <c r="I74" s="14"/>
      <c r="J74" s="14"/>
      <c r="K74" s="14"/>
      <c r="L74" s="14">
        <v>1</v>
      </c>
      <c r="M74" s="16"/>
    </row>
    <row r="75" spans="1:18" ht="17.25" customHeight="1" thickBo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8" ht="19.5" customHeight="1" thickBot="1" x14ac:dyDescent="0.35">
      <c r="A76" s="5"/>
      <c r="B76" s="43" t="s">
        <v>189</v>
      </c>
      <c r="C76" s="30" t="s">
        <v>70</v>
      </c>
      <c r="D76" s="31" t="s">
        <v>71</v>
      </c>
      <c r="E76" s="32" t="s">
        <v>72</v>
      </c>
      <c r="F76" s="23" t="s">
        <v>158</v>
      </c>
      <c r="G76" s="33" t="s">
        <v>73</v>
      </c>
      <c r="I76" s="54" t="s">
        <v>74</v>
      </c>
      <c r="J76" s="55"/>
      <c r="K76" s="55"/>
      <c r="L76" s="55"/>
      <c r="M76" s="55"/>
      <c r="N76" s="55"/>
      <c r="O76" s="55"/>
      <c r="P76" s="55"/>
      <c r="Q76" s="55"/>
      <c r="R76" s="56"/>
    </row>
    <row r="77" spans="1:18" ht="18.75" x14ac:dyDescent="0.3">
      <c r="A77" s="5"/>
      <c r="B77" s="44"/>
      <c r="C77" s="20" t="s">
        <v>87</v>
      </c>
      <c r="D77" s="8">
        <v>13</v>
      </c>
      <c r="E77" s="25">
        <v>0</v>
      </c>
      <c r="F77" s="18"/>
      <c r="G77" s="26">
        <v>224</v>
      </c>
      <c r="I77" s="46" t="s">
        <v>75</v>
      </c>
      <c r="J77" s="47"/>
      <c r="K77" s="47"/>
      <c r="L77" s="47"/>
      <c r="M77" s="47"/>
      <c r="N77" s="57" t="s">
        <v>173</v>
      </c>
      <c r="O77" s="57"/>
      <c r="P77" s="57"/>
      <c r="Q77" s="57"/>
      <c r="R77" s="58"/>
    </row>
    <row r="78" spans="1:18" ht="18.75" x14ac:dyDescent="0.3">
      <c r="A78" s="5"/>
      <c r="B78" s="44"/>
      <c r="C78" s="20" t="s">
        <v>82</v>
      </c>
      <c r="D78" s="8">
        <v>11</v>
      </c>
      <c r="E78" s="25">
        <v>2</v>
      </c>
      <c r="F78" s="18"/>
      <c r="G78" s="26">
        <v>196</v>
      </c>
      <c r="I78" s="48" t="s">
        <v>77</v>
      </c>
      <c r="J78" s="49"/>
      <c r="K78" s="49"/>
      <c r="L78" s="49"/>
      <c r="M78" s="49"/>
      <c r="N78" s="52" t="s">
        <v>193</v>
      </c>
      <c r="O78" s="52"/>
      <c r="P78" s="52"/>
      <c r="Q78" s="52"/>
      <c r="R78" s="53"/>
    </row>
    <row r="79" spans="1:18" ht="18.75" x14ac:dyDescent="0.3">
      <c r="A79" s="5"/>
      <c r="B79" s="44"/>
      <c r="C79" s="21" t="s">
        <v>88</v>
      </c>
      <c r="D79" s="10">
        <v>10</v>
      </c>
      <c r="E79" s="11">
        <v>3</v>
      </c>
      <c r="F79" s="18"/>
      <c r="G79" s="21">
        <v>185</v>
      </c>
      <c r="I79" s="48" t="s">
        <v>79</v>
      </c>
      <c r="J79" s="49"/>
      <c r="K79" s="49"/>
      <c r="L79" s="49"/>
      <c r="M79" s="49"/>
      <c r="N79" s="52" t="s">
        <v>192</v>
      </c>
      <c r="O79" s="52"/>
      <c r="P79" s="52"/>
      <c r="Q79" s="52"/>
      <c r="R79" s="53"/>
    </row>
    <row r="80" spans="1:18" ht="18.75" x14ac:dyDescent="0.3">
      <c r="A80" s="6"/>
      <c r="B80" s="44"/>
      <c r="C80" s="20" t="s">
        <v>90</v>
      </c>
      <c r="D80" s="8">
        <v>9</v>
      </c>
      <c r="E80" s="25">
        <v>4</v>
      </c>
      <c r="F80" s="18"/>
      <c r="G80" s="26">
        <v>184</v>
      </c>
      <c r="I80" s="48" t="s">
        <v>81</v>
      </c>
      <c r="J80" s="49"/>
      <c r="K80" s="49"/>
      <c r="L80" s="49"/>
      <c r="M80" s="49"/>
      <c r="N80" s="52" t="s">
        <v>191</v>
      </c>
      <c r="O80" s="52"/>
      <c r="P80" s="52"/>
      <c r="Q80" s="52"/>
      <c r="R80" s="53"/>
    </row>
    <row r="81" spans="1:18" ht="18" customHeight="1" x14ac:dyDescent="0.3">
      <c r="A81" s="6"/>
      <c r="B81" s="44"/>
      <c r="C81" s="20" t="s">
        <v>76</v>
      </c>
      <c r="D81" s="8">
        <v>8</v>
      </c>
      <c r="E81" s="19">
        <v>5</v>
      </c>
      <c r="F81" s="18"/>
      <c r="G81" s="20">
        <v>179</v>
      </c>
      <c r="I81" s="48" t="s">
        <v>83</v>
      </c>
      <c r="J81" s="49"/>
      <c r="K81" s="49"/>
      <c r="L81" s="49"/>
      <c r="M81" s="49"/>
      <c r="N81" s="52" t="s">
        <v>187</v>
      </c>
      <c r="O81" s="52"/>
      <c r="P81" s="52"/>
      <c r="Q81" s="52"/>
      <c r="R81" s="53"/>
    </row>
    <row r="82" spans="1:18" ht="18" customHeight="1" thickBot="1" x14ac:dyDescent="0.35">
      <c r="A82" s="6"/>
      <c r="B82" s="44"/>
      <c r="C82" s="21" t="s">
        <v>84</v>
      </c>
      <c r="D82" s="10">
        <v>5</v>
      </c>
      <c r="E82" s="11">
        <v>8</v>
      </c>
      <c r="F82" s="18"/>
      <c r="G82" s="21">
        <v>152</v>
      </c>
      <c r="I82" s="50" t="s">
        <v>85</v>
      </c>
      <c r="J82" s="51"/>
      <c r="K82" s="51"/>
      <c r="L82" s="51"/>
      <c r="M82" s="51"/>
      <c r="N82" s="52" t="s">
        <v>174</v>
      </c>
      <c r="O82" s="52"/>
      <c r="P82" s="52"/>
      <c r="Q82" s="52"/>
      <c r="R82" s="53"/>
    </row>
    <row r="83" spans="1:18" ht="18.75" x14ac:dyDescent="0.3">
      <c r="A83" s="6"/>
      <c r="B83" s="44"/>
      <c r="C83" s="20" t="s">
        <v>86</v>
      </c>
      <c r="D83" s="8">
        <v>5</v>
      </c>
      <c r="E83" s="19">
        <v>8</v>
      </c>
      <c r="F83" s="18"/>
      <c r="G83" s="20">
        <v>150</v>
      </c>
      <c r="H83" s="6"/>
      <c r="I83" s="6"/>
    </row>
    <row r="84" spans="1:18" ht="18.75" x14ac:dyDescent="0.3">
      <c r="A84" s="6"/>
      <c r="B84" s="44"/>
      <c r="C84" s="20" t="s">
        <v>78</v>
      </c>
      <c r="D84" s="8">
        <v>5</v>
      </c>
      <c r="E84" s="25">
        <v>8</v>
      </c>
      <c r="F84" s="18"/>
      <c r="G84" s="26">
        <v>133</v>
      </c>
      <c r="H84" s="6"/>
    </row>
    <row r="85" spans="1:18" ht="18.75" x14ac:dyDescent="0.3">
      <c r="B85" s="44"/>
      <c r="C85" s="20" t="s">
        <v>80</v>
      </c>
      <c r="D85" s="8">
        <v>4</v>
      </c>
      <c r="E85" s="25">
        <v>9</v>
      </c>
      <c r="F85" s="18"/>
      <c r="G85" s="26">
        <v>142</v>
      </c>
    </row>
    <row r="86" spans="1:18" ht="18.75" x14ac:dyDescent="0.3">
      <c r="B86" s="44"/>
      <c r="C86" s="21" t="s">
        <v>91</v>
      </c>
      <c r="D86" s="10">
        <v>4</v>
      </c>
      <c r="E86" s="11">
        <v>9</v>
      </c>
      <c r="F86" s="18"/>
      <c r="G86" s="21">
        <v>138</v>
      </c>
    </row>
    <row r="87" spans="1:18" ht="18.75" x14ac:dyDescent="0.3">
      <c r="B87" s="44"/>
      <c r="C87" s="22" t="s">
        <v>164</v>
      </c>
      <c r="D87" s="17">
        <v>4</v>
      </c>
      <c r="E87" s="24">
        <v>9</v>
      </c>
      <c r="F87" s="29"/>
      <c r="G87" s="22">
        <v>124</v>
      </c>
    </row>
    <row r="88" spans="1:18" ht="19.5" thickBot="1" x14ac:dyDescent="0.35">
      <c r="B88" s="45"/>
      <c r="C88" s="21" t="s">
        <v>89</v>
      </c>
      <c r="D88" s="10">
        <v>0</v>
      </c>
      <c r="E88" s="11">
        <v>13</v>
      </c>
      <c r="F88" s="18"/>
      <c r="G88" s="21">
        <v>65</v>
      </c>
    </row>
    <row r="89" spans="1:18" ht="15.75" thickBot="1" x14ac:dyDescent="0.3"/>
    <row r="90" spans="1:18" ht="19.5" thickBot="1" x14ac:dyDescent="0.35">
      <c r="C90" s="30" t="s">
        <v>92</v>
      </c>
      <c r="D90" s="31" t="s">
        <v>71</v>
      </c>
      <c r="E90" s="31" t="s">
        <v>72</v>
      </c>
      <c r="F90" s="23" t="s">
        <v>158</v>
      </c>
      <c r="G90" s="34" t="s">
        <v>73</v>
      </c>
    </row>
    <row r="91" spans="1:18" ht="18.75" x14ac:dyDescent="0.3">
      <c r="C91" s="17" t="s">
        <v>87</v>
      </c>
      <c r="D91" s="17">
        <v>13</v>
      </c>
      <c r="E91" s="27">
        <v>0</v>
      </c>
      <c r="F91" s="18"/>
      <c r="G91" s="28">
        <v>224</v>
      </c>
    </row>
    <row r="92" spans="1:18" ht="18.75" x14ac:dyDescent="0.3">
      <c r="C92" s="8" t="s">
        <v>82</v>
      </c>
      <c r="D92" s="8">
        <v>11</v>
      </c>
      <c r="E92" s="25">
        <v>2</v>
      </c>
      <c r="F92" s="18"/>
      <c r="G92" s="26">
        <v>196</v>
      </c>
    </row>
    <row r="93" spans="1:18" ht="18.75" x14ac:dyDescent="0.3">
      <c r="C93" s="17" t="s">
        <v>76</v>
      </c>
      <c r="D93" s="17">
        <v>8</v>
      </c>
      <c r="E93" s="24">
        <v>5</v>
      </c>
      <c r="F93" s="29"/>
      <c r="G93" s="22">
        <v>179</v>
      </c>
    </row>
    <row r="94" spans="1:18" ht="18.75" x14ac:dyDescent="0.3">
      <c r="C94" s="17" t="s">
        <v>80</v>
      </c>
      <c r="D94" s="17">
        <v>4</v>
      </c>
      <c r="E94" s="27">
        <v>9</v>
      </c>
      <c r="F94" s="29"/>
      <c r="G94" s="28">
        <v>142</v>
      </c>
    </row>
    <row r="95" spans="1:18" ht="15.75" thickBot="1" x14ac:dyDescent="0.3"/>
    <row r="96" spans="1:18" ht="19.5" thickBot="1" x14ac:dyDescent="0.35">
      <c r="C96" s="30" t="s">
        <v>93</v>
      </c>
      <c r="D96" s="31" t="s">
        <v>71</v>
      </c>
      <c r="E96" s="31" t="s">
        <v>72</v>
      </c>
      <c r="F96" s="23" t="s">
        <v>158</v>
      </c>
      <c r="G96" s="34" t="s">
        <v>73</v>
      </c>
    </row>
    <row r="97" spans="3:7" ht="18.75" x14ac:dyDescent="0.3">
      <c r="C97" s="10" t="s">
        <v>88</v>
      </c>
      <c r="D97" s="10">
        <v>10</v>
      </c>
      <c r="E97" s="11">
        <v>3</v>
      </c>
      <c r="F97" s="18"/>
      <c r="G97" s="21">
        <v>185</v>
      </c>
    </row>
    <row r="98" spans="3:7" ht="18.75" x14ac:dyDescent="0.3">
      <c r="C98" s="8" t="s">
        <v>90</v>
      </c>
      <c r="D98" s="8">
        <v>9</v>
      </c>
      <c r="E98" s="25">
        <v>4</v>
      </c>
      <c r="F98" s="18"/>
      <c r="G98" s="26">
        <v>184</v>
      </c>
    </row>
    <row r="99" spans="3:7" ht="18.75" x14ac:dyDescent="0.3">
      <c r="C99" s="10" t="s">
        <v>84</v>
      </c>
      <c r="D99" s="10">
        <v>5</v>
      </c>
      <c r="E99" s="11">
        <v>8</v>
      </c>
      <c r="F99" s="18"/>
      <c r="G99" s="21">
        <v>152</v>
      </c>
    </row>
    <row r="100" spans="3:7" ht="18.75" x14ac:dyDescent="0.3">
      <c r="C100" s="17" t="s">
        <v>164</v>
      </c>
      <c r="D100" s="17">
        <v>4</v>
      </c>
      <c r="E100" s="24">
        <v>9</v>
      </c>
      <c r="F100" s="29"/>
      <c r="G100" s="22">
        <v>124</v>
      </c>
    </row>
    <row r="101" spans="3:7" ht="15.75" thickBot="1" x14ac:dyDescent="0.3"/>
    <row r="102" spans="3:7" ht="19.5" thickBot="1" x14ac:dyDescent="0.35">
      <c r="C102" s="35" t="s">
        <v>94</v>
      </c>
      <c r="D102" s="36" t="s">
        <v>71</v>
      </c>
      <c r="E102" s="36" t="s">
        <v>72</v>
      </c>
      <c r="F102" s="23" t="s">
        <v>158</v>
      </c>
      <c r="G102" s="37" t="s">
        <v>73</v>
      </c>
    </row>
    <row r="103" spans="3:7" ht="18.75" x14ac:dyDescent="0.3">
      <c r="C103" s="8" t="s">
        <v>86</v>
      </c>
      <c r="D103" s="8">
        <v>5</v>
      </c>
      <c r="E103" s="19">
        <v>8</v>
      </c>
      <c r="F103" s="18"/>
      <c r="G103" s="20">
        <v>150</v>
      </c>
    </row>
    <row r="104" spans="3:7" ht="18.75" x14ac:dyDescent="0.3">
      <c r="C104" s="17" t="s">
        <v>78</v>
      </c>
      <c r="D104" s="17">
        <v>5</v>
      </c>
      <c r="E104" s="27">
        <v>8</v>
      </c>
      <c r="F104" s="18"/>
      <c r="G104" s="28">
        <v>133</v>
      </c>
    </row>
    <row r="105" spans="3:7" ht="18.75" x14ac:dyDescent="0.3">
      <c r="C105" s="10" t="s">
        <v>91</v>
      </c>
      <c r="D105" s="10">
        <v>4</v>
      </c>
      <c r="E105" s="11">
        <v>9</v>
      </c>
      <c r="F105" s="18"/>
      <c r="G105" s="21">
        <v>138</v>
      </c>
    </row>
    <row r="106" spans="3:7" ht="18.75" x14ac:dyDescent="0.3">
      <c r="C106" s="10" t="s">
        <v>89</v>
      </c>
      <c r="D106" s="10">
        <v>0</v>
      </c>
      <c r="E106" s="11">
        <v>13</v>
      </c>
      <c r="F106" s="18"/>
      <c r="G106" s="21">
        <v>65</v>
      </c>
    </row>
  </sheetData>
  <sortState ref="A2:M74">
    <sortCondition descending="1" ref="F2:F74"/>
  </sortState>
  <mergeCells count="14">
    <mergeCell ref="N82:R82"/>
    <mergeCell ref="I76:R76"/>
    <mergeCell ref="N77:R77"/>
    <mergeCell ref="N78:R78"/>
    <mergeCell ref="N79:R79"/>
    <mergeCell ref="N80:R80"/>
    <mergeCell ref="N81:R81"/>
    <mergeCell ref="B76:B88"/>
    <mergeCell ref="I77:M77"/>
    <mergeCell ref="I78:M78"/>
    <mergeCell ref="I79:M79"/>
    <mergeCell ref="I80:M80"/>
    <mergeCell ref="I81:M81"/>
    <mergeCell ref="I82:M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6"/>
  <sheetViews>
    <sheetView workbookViewId="0">
      <selection activeCell="D50" sqref="D50"/>
    </sheetView>
  </sheetViews>
  <sheetFormatPr defaultRowHeight="15" x14ac:dyDescent="0.25"/>
  <cols>
    <col min="1" max="1" width="10.28515625" bestFit="1" customWidth="1"/>
    <col min="2" max="2" width="5.85546875" bestFit="1" customWidth="1"/>
    <col min="3" max="3" width="6.5703125" bestFit="1" customWidth="1"/>
    <col min="4" max="4" width="12.5703125" bestFit="1" customWidth="1"/>
    <col min="5" max="5" width="11.140625" bestFit="1" customWidth="1"/>
    <col min="6" max="6" width="7.140625" bestFit="1" customWidth="1"/>
    <col min="7" max="7" width="5.42578125" bestFit="1" customWidth="1"/>
    <col min="8" max="8" width="16.85546875" bestFit="1" customWidth="1"/>
    <col min="9" max="9" width="5.85546875" bestFit="1" customWidth="1"/>
    <col min="10" max="10" width="6.5703125" bestFit="1" customWidth="1"/>
    <col min="11" max="11" width="12.5703125" bestFit="1" customWidth="1"/>
    <col min="12" max="12" width="11.140625" bestFit="1" customWidth="1"/>
    <col min="13" max="13" width="7.140625" bestFit="1" customWidth="1"/>
    <col min="14" max="14" width="15.140625" bestFit="1" customWidth="1"/>
    <col min="16" max="16" width="14.85546875" bestFit="1" customWidth="1"/>
    <col min="17" max="17" width="5.85546875" bestFit="1" customWidth="1"/>
    <col min="18" max="18" width="6.5703125" bestFit="1" customWidth="1"/>
    <col min="19" max="19" width="12.5703125" bestFit="1" customWidth="1"/>
    <col min="20" max="20" width="11.140625" bestFit="1" customWidth="1"/>
    <col min="21" max="21" width="7.140625" bestFit="1" customWidth="1"/>
    <col min="22" max="22" width="5.42578125" bestFit="1" customWidth="1"/>
    <col min="23" max="23" width="13" bestFit="1" customWidth="1"/>
    <col min="24" max="24" width="5.85546875" bestFit="1" customWidth="1"/>
    <col min="25" max="25" width="6.5703125" bestFit="1" customWidth="1"/>
    <col min="26" max="26" width="12.5703125" bestFit="1" customWidth="1"/>
    <col min="27" max="27" width="11.140625" bestFit="1" customWidth="1"/>
    <col min="28" max="28" width="7.140625" bestFit="1" customWidth="1"/>
    <col min="29" max="29" width="13.5703125" bestFit="1" customWidth="1"/>
  </cols>
  <sheetData>
    <row r="2" spans="1:29" x14ac:dyDescent="0.25">
      <c r="A2" s="59" t="s">
        <v>95</v>
      </c>
      <c r="B2" s="59"/>
      <c r="C2" s="59"/>
      <c r="D2" s="59"/>
      <c r="E2" s="59"/>
      <c r="F2" s="59"/>
      <c r="G2" s="7"/>
      <c r="H2" s="59" t="s">
        <v>96</v>
      </c>
      <c r="I2" s="59"/>
      <c r="J2" s="59"/>
      <c r="K2" s="59"/>
      <c r="L2" s="59"/>
      <c r="M2" s="59"/>
      <c r="N2" s="7"/>
      <c r="O2" s="7"/>
      <c r="P2" s="59" t="s">
        <v>97</v>
      </c>
      <c r="Q2" s="59"/>
      <c r="R2" s="59"/>
      <c r="S2" s="59"/>
      <c r="T2" s="59"/>
      <c r="U2" s="59"/>
      <c r="W2" s="7" t="s">
        <v>98</v>
      </c>
      <c r="X2" s="7"/>
      <c r="Y2" s="7"/>
      <c r="Z2" s="7"/>
      <c r="AA2" s="7"/>
      <c r="AB2" s="7"/>
    </row>
    <row r="3" spans="1:29" x14ac:dyDescent="0.25">
      <c r="A3" s="7"/>
      <c r="B3" s="7" t="s">
        <v>99</v>
      </c>
      <c r="C3" s="7" t="s">
        <v>73</v>
      </c>
      <c r="D3" s="7" t="s">
        <v>100</v>
      </c>
      <c r="E3" s="7" t="s">
        <v>101</v>
      </c>
      <c r="F3" s="7" t="s">
        <v>102</v>
      </c>
      <c r="G3" s="7"/>
      <c r="H3" s="7"/>
      <c r="I3" s="7" t="s">
        <v>99</v>
      </c>
      <c r="J3" s="7" t="s">
        <v>73</v>
      </c>
      <c r="K3" s="7" t="s">
        <v>100</v>
      </c>
      <c r="L3" s="7" t="s">
        <v>101</v>
      </c>
      <c r="M3" s="7" t="s">
        <v>102</v>
      </c>
      <c r="N3" s="7"/>
      <c r="O3" s="7"/>
      <c r="P3" s="7"/>
      <c r="Q3" s="7" t="s">
        <v>99</v>
      </c>
      <c r="R3" s="7" t="s">
        <v>73</v>
      </c>
      <c r="S3" s="7" t="s">
        <v>100</v>
      </c>
      <c r="T3" s="7" t="s">
        <v>101</v>
      </c>
      <c r="U3" s="7" t="s">
        <v>102</v>
      </c>
      <c r="W3" s="7"/>
      <c r="X3" s="7" t="s">
        <v>99</v>
      </c>
      <c r="Y3" s="7" t="s">
        <v>73</v>
      </c>
      <c r="Z3" s="7" t="s">
        <v>100</v>
      </c>
      <c r="AA3" s="7" t="s">
        <v>101</v>
      </c>
      <c r="AB3" s="7" t="s">
        <v>102</v>
      </c>
    </row>
    <row r="4" spans="1:29" x14ac:dyDescent="0.25">
      <c r="A4" s="7" t="s">
        <v>103</v>
      </c>
      <c r="B4" s="7">
        <v>114</v>
      </c>
      <c r="C4" s="7">
        <v>1503</v>
      </c>
      <c r="D4" s="7">
        <f>SUM(C4/B4)</f>
        <v>13.184210526315789</v>
      </c>
      <c r="E4" s="7">
        <v>3.5</v>
      </c>
      <c r="F4" s="7">
        <v>1</v>
      </c>
      <c r="G4" s="7"/>
      <c r="H4" s="7" t="s">
        <v>104</v>
      </c>
      <c r="I4" s="7">
        <v>117</v>
      </c>
      <c r="J4" s="7">
        <v>1482</v>
      </c>
      <c r="K4" s="7">
        <f>SUM(J4/I4)</f>
        <v>12.666666666666666</v>
      </c>
      <c r="L4" s="7">
        <v>2.5</v>
      </c>
      <c r="M4" s="7"/>
      <c r="N4" s="7"/>
      <c r="O4" s="7"/>
      <c r="P4" s="7" t="s">
        <v>42</v>
      </c>
      <c r="Q4" s="7">
        <v>120</v>
      </c>
      <c r="R4" s="7">
        <v>1497</v>
      </c>
      <c r="S4" s="7">
        <f>SUM(R4/Q4)</f>
        <v>12.475</v>
      </c>
      <c r="T4" s="7">
        <v>1</v>
      </c>
      <c r="U4" s="7"/>
      <c r="W4" s="7" t="s">
        <v>105</v>
      </c>
      <c r="X4" s="7">
        <v>121</v>
      </c>
      <c r="Y4" s="7">
        <v>1408</v>
      </c>
      <c r="Z4" s="7">
        <f>SUM(Y4/X4)</f>
        <v>11.636363636363637</v>
      </c>
      <c r="AA4" s="7">
        <v>5</v>
      </c>
      <c r="AB4" s="7">
        <v>1</v>
      </c>
    </row>
    <row r="5" spans="1:29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W5" s="7"/>
      <c r="X5" s="7"/>
      <c r="Y5" s="7"/>
      <c r="Z5" s="7"/>
      <c r="AA5" s="7"/>
      <c r="AB5" s="7"/>
    </row>
    <row r="6" spans="1:29" x14ac:dyDescent="0.25">
      <c r="A6" s="7" t="s">
        <v>106</v>
      </c>
      <c r="B6" s="7">
        <v>78</v>
      </c>
      <c r="C6" s="7">
        <v>984</v>
      </c>
      <c r="D6" s="7">
        <f t="shared" ref="D6:D10" si="0">SUM(C6/B6)</f>
        <v>12.615384615384615</v>
      </c>
      <c r="E6" s="7">
        <v>1.5</v>
      </c>
      <c r="F6" s="7"/>
      <c r="G6" s="7"/>
      <c r="H6" s="7" t="s">
        <v>107</v>
      </c>
      <c r="I6" s="7">
        <v>82</v>
      </c>
      <c r="J6" s="7">
        <v>1493</v>
      </c>
      <c r="K6" s="7">
        <f t="shared" ref="K6:K10" si="1">SUM(J6/I6)</f>
        <v>18.207317073170731</v>
      </c>
      <c r="L6" s="7">
        <v>4.5</v>
      </c>
      <c r="M6" s="7">
        <v>1</v>
      </c>
      <c r="N6" s="12" t="s">
        <v>108</v>
      </c>
      <c r="O6" s="7"/>
      <c r="P6" s="7" t="s">
        <v>51</v>
      </c>
      <c r="Q6" s="7">
        <v>125</v>
      </c>
      <c r="R6" s="7">
        <v>1416</v>
      </c>
      <c r="S6" s="7">
        <f t="shared" ref="S6:S10" si="2">SUM(R6/Q6)</f>
        <v>11.327999999999999</v>
      </c>
      <c r="T6" s="7">
        <v>1</v>
      </c>
      <c r="U6" s="7"/>
      <c r="W6" s="7" t="s">
        <v>109</v>
      </c>
      <c r="X6" s="7">
        <v>124</v>
      </c>
      <c r="Y6" s="7">
        <v>1498</v>
      </c>
      <c r="Z6" s="7">
        <f t="shared" ref="Z6:Z10" si="3">SUM(Y6/X6)</f>
        <v>12.080645161290322</v>
      </c>
      <c r="AA6" s="7">
        <v>5</v>
      </c>
      <c r="AB6" s="7">
        <v>1</v>
      </c>
    </row>
    <row r="7" spans="1:29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110</v>
      </c>
      <c r="O7" s="7"/>
      <c r="P7" s="7"/>
      <c r="Q7" s="7"/>
      <c r="R7" s="7"/>
      <c r="S7" s="7"/>
      <c r="T7" s="7"/>
      <c r="U7" s="7"/>
      <c r="W7" s="7"/>
      <c r="X7" s="7"/>
      <c r="Y7" s="7"/>
      <c r="Z7" s="7"/>
      <c r="AA7" s="7"/>
      <c r="AB7" s="7"/>
    </row>
    <row r="8" spans="1:29" x14ac:dyDescent="0.25">
      <c r="A8" s="7" t="s">
        <v>111</v>
      </c>
      <c r="B8" s="7">
        <v>96</v>
      </c>
      <c r="C8" s="7">
        <v>1400</v>
      </c>
      <c r="D8" s="7">
        <f t="shared" si="0"/>
        <v>14.583333333333334</v>
      </c>
      <c r="E8" s="7">
        <v>2.5</v>
      </c>
      <c r="F8" s="7">
        <v>1</v>
      </c>
      <c r="G8" s="7"/>
      <c r="H8" s="7" t="s">
        <v>112</v>
      </c>
      <c r="I8" s="7">
        <v>91</v>
      </c>
      <c r="J8" s="7">
        <v>1475</v>
      </c>
      <c r="K8" s="7">
        <f t="shared" si="1"/>
        <v>16.208791208791208</v>
      </c>
      <c r="L8" s="7">
        <v>3.5</v>
      </c>
      <c r="M8" s="7"/>
      <c r="N8" s="7"/>
      <c r="O8" s="7"/>
      <c r="P8" s="7" t="s">
        <v>58</v>
      </c>
      <c r="Q8" s="7">
        <v>159</v>
      </c>
      <c r="R8" s="7">
        <v>1493</v>
      </c>
      <c r="S8" s="7">
        <f t="shared" si="2"/>
        <v>9.3899371069182394</v>
      </c>
      <c r="T8" s="7">
        <v>1</v>
      </c>
      <c r="U8" s="7"/>
      <c r="W8" s="7" t="s">
        <v>113</v>
      </c>
      <c r="X8" s="7">
        <v>162</v>
      </c>
      <c r="Y8" s="7">
        <v>1501</v>
      </c>
      <c r="Z8" s="7">
        <f t="shared" si="3"/>
        <v>9.2654320987654319</v>
      </c>
      <c r="AA8" s="7">
        <v>5</v>
      </c>
      <c r="AB8" s="7">
        <v>1</v>
      </c>
      <c r="AC8" s="13" t="s">
        <v>114</v>
      </c>
    </row>
    <row r="9" spans="1:29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W9" s="7"/>
      <c r="X9" s="7"/>
      <c r="Y9" s="7"/>
      <c r="Z9" s="7"/>
      <c r="AA9" s="7"/>
      <c r="AB9" s="7"/>
    </row>
    <row r="10" spans="1:29" x14ac:dyDescent="0.25">
      <c r="A10" s="7" t="s">
        <v>50</v>
      </c>
      <c r="B10" s="7">
        <v>132</v>
      </c>
      <c r="C10" s="7">
        <v>1501</v>
      </c>
      <c r="D10" s="7">
        <f t="shared" si="0"/>
        <v>11.371212121212121</v>
      </c>
      <c r="E10" s="7">
        <v>2.5</v>
      </c>
      <c r="F10" s="7">
        <v>1</v>
      </c>
      <c r="G10" s="7"/>
      <c r="H10" s="7" t="s">
        <v>52</v>
      </c>
      <c r="I10" s="7">
        <v>128</v>
      </c>
      <c r="J10" s="7">
        <v>1431</v>
      </c>
      <c r="K10" s="7">
        <f t="shared" si="1"/>
        <v>11.1796875</v>
      </c>
      <c r="L10" s="7">
        <v>3.5</v>
      </c>
      <c r="M10" s="7"/>
      <c r="N10" s="7"/>
      <c r="O10" s="7"/>
      <c r="P10" s="7" t="s">
        <v>57</v>
      </c>
      <c r="Q10" s="7">
        <v>156</v>
      </c>
      <c r="R10" s="7">
        <v>1468</v>
      </c>
      <c r="S10" s="7">
        <f t="shared" si="2"/>
        <v>9.4102564102564106</v>
      </c>
      <c r="T10" s="7">
        <v>1</v>
      </c>
      <c r="U10" s="7"/>
      <c r="W10" s="7" t="s">
        <v>115</v>
      </c>
      <c r="X10" s="7">
        <v>158</v>
      </c>
      <c r="Y10" s="7">
        <v>1474</v>
      </c>
      <c r="Z10" s="7">
        <f t="shared" si="3"/>
        <v>9.3291139240506329</v>
      </c>
      <c r="AA10" s="7">
        <v>3.5</v>
      </c>
      <c r="AB10" s="7">
        <v>1</v>
      </c>
    </row>
    <row r="11" spans="1:2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29" x14ac:dyDescent="0.25">
      <c r="N12" s="7"/>
      <c r="O12" s="7"/>
      <c r="W12" t="s">
        <v>69</v>
      </c>
      <c r="AA12">
        <v>1.5</v>
      </c>
    </row>
    <row r="13" spans="1:29" x14ac:dyDescent="0.25">
      <c r="N13" s="7"/>
      <c r="O13" s="7"/>
    </row>
    <row r="14" spans="1:29" x14ac:dyDescent="0.25">
      <c r="A14" s="59" t="s">
        <v>116</v>
      </c>
      <c r="B14" s="59"/>
      <c r="C14" s="59"/>
      <c r="D14" s="59"/>
      <c r="E14" s="59"/>
      <c r="F14" s="59"/>
      <c r="G14" s="7"/>
      <c r="H14" s="59" t="s">
        <v>117</v>
      </c>
      <c r="I14" s="59"/>
      <c r="J14" s="59"/>
      <c r="K14" s="59"/>
      <c r="L14" s="59"/>
      <c r="M14" s="59"/>
      <c r="N14" s="7"/>
      <c r="O14" s="7"/>
      <c r="P14" s="59" t="s">
        <v>118</v>
      </c>
      <c r="Q14" s="59"/>
      <c r="R14" s="59"/>
      <c r="S14" s="59"/>
      <c r="T14" s="59"/>
      <c r="U14" s="59"/>
      <c r="V14" s="7"/>
      <c r="W14" s="59" t="s">
        <v>119</v>
      </c>
      <c r="X14" s="59"/>
      <c r="Y14" s="59"/>
      <c r="Z14" s="59"/>
      <c r="AA14" s="59"/>
      <c r="AB14" s="59"/>
    </row>
    <row r="15" spans="1:29" x14ac:dyDescent="0.25">
      <c r="A15" s="7"/>
      <c r="B15" s="7" t="s">
        <v>99</v>
      </c>
      <c r="C15" s="7" t="s">
        <v>73</v>
      </c>
      <c r="D15" s="7" t="s">
        <v>100</v>
      </c>
      <c r="E15" s="7" t="s">
        <v>101</v>
      </c>
      <c r="F15" s="7" t="s">
        <v>102</v>
      </c>
      <c r="G15" s="7"/>
      <c r="H15" s="7"/>
      <c r="I15" s="7" t="s">
        <v>99</v>
      </c>
      <c r="J15" s="7" t="s">
        <v>73</v>
      </c>
      <c r="K15" s="7" t="s">
        <v>100</v>
      </c>
      <c r="L15" s="7" t="s">
        <v>101</v>
      </c>
      <c r="M15" s="7" t="s">
        <v>102</v>
      </c>
      <c r="N15" s="7"/>
      <c r="O15" s="7"/>
      <c r="P15" s="7"/>
      <c r="Q15" s="7" t="s">
        <v>99</v>
      </c>
      <c r="R15" s="7" t="s">
        <v>73</v>
      </c>
      <c r="S15" s="7" t="s">
        <v>100</v>
      </c>
      <c r="T15" s="7" t="s">
        <v>101</v>
      </c>
      <c r="U15" s="7" t="s">
        <v>102</v>
      </c>
      <c r="V15" s="7"/>
      <c r="W15" s="7"/>
      <c r="X15" s="7" t="s">
        <v>99</v>
      </c>
      <c r="Y15" s="7" t="s">
        <v>73</v>
      </c>
      <c r="Z15" s="7" t="s">
        <v>100</v>
      </c>
      <c r="AA15" s="7" t="s">
        <v>101</v>
      </c>
      <c r="AB15" s="7" t="s">
        <v>102</v>
      </c>
    </row>
    <row r="16" spans="1:29" x14ac:dyDescent="0.25">
      <c r="A16" s="7" t="s">
        <v>120</v>
      </c>
      <c r="B16" s="7">
        <v>111</v>
      </c>
      <c r="C16" s="7">
        <v>1489</v>
      </c>
      <c r="D16">
        <f>SUM(C16/B16)</f>
        <v>13.414414414414415</v>
      </c>
      <c r="E16" s="7">
        <v>4</v>
      </c>
      <c r="F16" s="7">
        <v>1</v>
      </c>
      <c r="G16" s="7"/>
      <c r="H16" s="7" t="s">
        <v>35</v>
      </c>
      <c r="I16" s="7">
        <v>108</v>
      </c>
      <c r="J16" s="7">
        <v>1472</v>
      </c>
      <c r="K16" s="7">
        <f>SUM(J16/I16)</f>
        <v>13.62962962962963</v>
      </c>
      <c r="L16" s="7">
        <v>3</v>
      </c>
      <c r="M16" s="7"/>
      <c r="N16" s="7"/>
      <c r="O16" s="7"/>
      <c r="P16" s="7" t="s">
        <v>61</v>
      </c>
      <c r="Q16" s="7">
        <v>177</v>
      </c>
      <c r="R16" s="7">
        <v>1493</v>
      </c>
      <c r="S16" s="7">
        <f>SUM(R16/Q16)</f>
        <v>8.4350282485875709</v>
      </c>
      <c r="T16" s="7">
        <v>2</v>
      </c>
      <c r="U16" s="7">
        <v>1</v>
      </c>
      <c r="V16" s="7"/>
      <c r="W16" s="7" t="s">
        <v>121</v>
      </c>
      <c r="X16" s="7">
        <v>180</v>
      </c>
      <c r="Y16" s="7">
        <v>1480</v>
      </c>
      <c r="Z16" s="7">
        <f>SUM(Y16/X16)</f>
        <v>8.2222222222222214</v>
      </c>
      <c r="AA16" s="7">
        <v>1.5</v>
      </c>
      <c r="AB16" s="7"/>
    </row>
    <row r="17" spans="1:29" x14ac:dyDescent="0.25">
      <c r="A17" s="7"/>
      <c r="B17" s="7"/>
      <c r="C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9" x14ac:dyDescent="0.25">
      <c r="A18" s="7" t="s">
        <v>122</v>
      </c>
      <c r="B18" s="7">
        <v>99</v>
      </c>
      <c r="C18" s="7">
        <v>1197</v>
      </c>
      <c r="D18">
        <f t="shared" ref="D18:D22" si="4">SUM(C18/B18)</f>
        <v>12.090909090909092</v>
      </c>
      <c r="E18" s="7">
        <v>3</v>
      </c>
      <c r="F18" s="7"/>
      <c r="G18" s="7"/>
      <c r="H18" s="7" t="s">
        <v>123</v>
      </c>
      <c r="I18" s="7">
        <v>100</v>
      </c>
      <c r="J18">
        <v>1497</v>
      </c>
      <c r="K18" s="7">
        <f>SUM(J18/I18)</f>
        <v>14.97</v>
      </c>
      <c r="L18" s="7">
        <v>3.5</v>
      </c>
      <c r="M18" s="7">
        <v>1</v>
      </c>
      <c r="N18" s="12" t="s">
        <v>124</v>
      </c>
      <c r="O18" s="7"/>
      <c r="P18" s="7" t="s">
        <v>53</v>
      </c>
      <c r="Q18" s="7">
        <v>137</v>
      </c>
      <c r="R18" s="7">
        <v>1495</v>
      </c>
      <c r="S18" s="7">
        <f t="shared" ref="S18:S22" si="5">SUM(R18/Q18)</f>
        <v>10.912408759124087</v>
      </c>
      <c r="T18" s="7">
        <v>1</v>
      </c>
      <c r="U18" s="7"/>
      <c r="V18" s="7"/>
      <c r="W18" s="7" t="s">
        <v>125</v>
      </c>
      <c r="X18" s="7">
        <v>136</v>
      </c>
      <c r="Y18" s="7">
        <v>1483</v>
      </c>
      <c r="Z18" s="7">
        <f t="shared" ref="Z18:Z22" si="6">SUM(Y18/X18)</f>
        <v>10.904411764705882</v>
      </c>
      <c r="AA18" s="7">
        <v>4.5</v>
      </c>
      <c r="AB18" s="7">
        <v>1</v>
      </c>
    </row>
    <row r="19" spans="1:29" x14ac:dyDescent="0.25">
      <c r="A19" s="7"/>
      <c r="B19" s="7"/>
      <c r="C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9" x14ac:dyDescent="0.25">
      <c r="A20" s="7" t="s">
        <v>126</v>
      </c>
      <c r="B20" s="7">
        <v>104</v>
      </c>
      <c r="C20" s="7">
        <v>1235</v>
      </c>
      <c r="D20">
        <f t="shared" si="4"/>
        <v>11.875</v>
      </c>
      <c r="E20" s="7">
        <v>2.5</v>
      </c>
      <c r="F20" s="7"/>
      <c r="G20" s="7"/>
      <c r="H20" s="7" t="s">
        <v>127</v>
      </c>
      <c r="I20" s="7">
        <v>107</v>
      </c>
      <c r="J20" s="7">
        <v>1483</v>
      </c>
      <c r="K20" s="7">
        <f t="shared" ref="K20:K22" si="7">SUM(J20/I20)</f>
        <v>13.859813084112149</v>
      </c>
      <c r="L20" s="7">
        <v>3</v>
      </c>
      <c r="M20" s="7">
        <v>1</v>
      </c>
      <c r="N20" s="7" t="s">
        <v>128</v>
      </c>
      <c r="O20" s="7"/>
      <c r="P20" s="7" t="s">
        <v>62</v>
      </c>
      <c r="Q20" s="7">
        <v>156</v>
      </c>
      <c r="R20" s="7">
        <v>1297</v>
      </c>
      <c r="S20" s="7">
        <f t="shared" si="5"/>
        <v>8.3141025641025639</v>
      </c>
      <c r="T20" s="7">
        <v>2.5</v>
      </c>
      <c r="U20" s="7">
        <v>1</v>
      </c>
      <c r="V20" s="7" t="s">
        <v>129</v>
      </c>
      <c r="W20" s="7" t="s">
        <v>130</v>
      </c>
      <c r="X20" s="7">
        <v>158</v>
      </c>
      <c r="Y20" s="7">
        <v>1498</v>
      </c>
      <c r="Z20" s="7">
        <f t="shared" si="6"/>
        <v>9.4810126582278489</v>
      </c>
      <c r="AA20" s="7">
        <v>2.5</v>
      </c>
      <c r="AB20" s="7"/>
    </row>
    <row r="21" spans="1:29" x14ac:dyDescent="0.25">
      <c r="A21" s="7"/>
      <c r="B21" s="7"/>
      <c r="C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9" x14ac:dyDescent="0.25">
      <c r="A22" s="7" t="s">
        <v>131</v>
      </c>
      <c r="B22" s="7">
        <v>76</v>
      </c>
      <c r="C22" s="7">
        <v>1471</v>
      </c>
      <c r="D22">
        <f t="shared" si="4"/>
        <v>19.355263157894736</v>
      </c>
      <c r="E22" s="7">
        <v>3.5</v>
      </c>
      <c r="F22" s="7">
        <v>1</v>
      </c>
      <c r="G22" s="7"/>
      <c r="H22" s="7" t="s">
        <v>15</v>
      </c>
      <c r="I22" s="7">
        <v>80</v>
      </c>
      <c r="J22" s="7">
        <v>1350</v>
      </c>
      <c r="K22" s="7">
        <f t="shared" si="7"/>
        <v>16.875</v>
      </c>
      <c r="L22" s="7">
        <v>1.5</v>
      </c>
      <c r="M22" s="7"/>
      <c r="N22" s="7"/>
      <c r="O22" s="7"/>
      <c r="P22" s="7" t="s">
        <v>56</v>
      </c>
      <c r="Q22" s="7">
        <v>123</v>
      </c>
      <c r="R22" s="7">
        <v>1264</v>
      </c>
      <c r="S22" s="7">
        <f t="shared" si="5"/>
        <v>10.276422764227643</v>
      </c>
      <c r="T22" s="7">
        <v>0.5</v>
      </c>
      <c r="U22" s="7"/>
      <c r="W22" s="7" t="s">
        <v>47</v>
      </c>
      <c r="X22" s="7">
        <v>129</v>
      </c>
      <c r="Y22" s="7">
        <v>1503</v>
      </c>
      <c r="Z22" s="7">
        <f t="shared" si="6"/>
        <v>11.651162790697674</v>
      </c>
      <c r="AA22" s="7">
        <v>6</v>
      </c>
      <c r="AB22" s="7">
        <v>1</v>
      </c>
      <c r="AC22" t="s">
        <v>132</v>
      </c>
    </row>
    <row r="23" spans="1:29" x14ac:dyDescent="0.25">
      <c r="N23" s="7"/>
      <c r="O23" s="7"/>
      <c r="P23" s="7" t="s">
        <v>67</v>
      </c>
      <c r="R23" s="7"/>
      <c r="S23" s="7"/>
      <c r="T23" s="7">
        <v>1</v>
      </c>
      <c r="U23" s="7"/>
      <c r="V23" s="7"/>
      <c r="W23" s="7"/>
      <c r="X23" s="7"/>
      <c r="Y23" s="7"/>
      <c r="Z23" s="7"/>
      <c r="AA23" s="7"/>
      <c r="AB23" s="7"/>
    </row>
    <row r="24" spans="1:2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68</v>
      </c>
      <c r="Q24" s="7"/>
      <c r="R24" s="7"/>
      <c r="S24" s="7"/>
      <c r="T24" s="7">
        <v>1</v>
      </c>
      <c r="U24" s="7"/>
      <c r="V24" s="7"/>
      <c r="W24" s="7" t="s">
        <v>133</v>
      </c>
      <c r="X24" s="7"/>
      <c r="Y24" s="7"/>
      <c r="Z24" s="7"/>
      <c r="AA24" s="7">
        <v>1.5</v>
      </c>
      <c r="AB24" s="7"/>
    </row>
    <row r="25" spans="1:29" x14ac:dyDescent="0.25">
      <c r="N25" s="7"/>
      <c r="O25" s="7"/>
    </row>
    <row r="26" spans="1:29" x14ac:dyDescent="0.25">
      <c r="N26" s="7"/>
      <c r="O26" s="7"/>
    </row>
    <row r="27" spans="1:29" x14ac:dyDescent="0.25">
      <c r="A27" s="59" t="s">
        <v>134</v>
      </c>
      <c r="B27" s="59"/>
      <c r="C27" s="59"/>
      <c r="D27" s="59"/>
      <c r="E27" s="59"/>
      <c r="F27" s="59"/>
      <c r="G27" s="7"/>
      <c r="H27" s="59" t="s">
        <v>135</v>
      </c>
      <c r="I27" s="59"/>
      <c r="J27" s="59"/>
      <c r="K27" s="59"/>
      <c r="L27" s="59"/>
      <c r="M27" s="59"/>
      <c r="N27" s="7"/>
      <c r="O27" s="7"/>
      <c r="P27" s="59" t="s">
        <v>136</v>
      </c>
      <c r="Q27" s="59"/>
      <c r="R27" s="59"/>
      <c r="S27" s="59"/>
      <c r="T27" s="59"/>
      <c r="U27" s="59"/>
      <c r="V27" s="7"/>
      <c r="W27" s="59" t="s">
        <v>137</v>
      </c>
      <c r="X27" s="59"/>
      <c r="Y27" s="59"/>
      <c r="Z27" s="59"/>
      <c r="AA27" s="59"/>
      <c r="AB27" s="59"/>
    </row>
    <row r="28" spans="1:29" x14ac:dyDescent="0.25">
      <c r="A28" s="7"/>
      <c r="B28" s="7" t="s">
        <v>99</v>
      </c>
      <c r="C28" s="7" t="s">
        <v>73</v>
      </c>
      <c r="D28" s="7" t="s">
        <v>100</v>
      </c>
      <c r="E28" s="7" t="s">
        <v>101</v>
      </c>
      <c r="F28" s="7" t="s">
        <v>102</v>
      </c>
      <c r="G28" s="7"/>
      <c r="H28" s="7"/>
      <c r="I28" s="7" t="s">
        <v>99</v>
      </c>
      <c r="J28" s="7" t="s">
        <v>73</v>
      </c>
      <c r="K28" s="7" t="s">
        <v>100</v>
      </c>
      <c r="L28" s="7" t="s">
        <v>101</v>
      </c>
      <c r="M28" s="7" t="s">
        <v>102</v>
      </c>
      <c r="N28" s="7"/>
      <c r="O28" s="7"/>
      <c r="P28" s="7"/>
      <c r="Q28" s="7" t="s">
        <v>99</v>
      </c>
      <c r="R28" s="7" t="s">
        <v>73</v>
      </c>
      <c r="S28" s="7" t="s">
        <v>100</v>
      </c>
      <c r="T28" s="7" t="s">
        <v>101</v>
      </c>
      <c r="U28" s="7" t="s">
        <v>102</v>
      </c>
      <c r="V28" s="7"/>
      <c r="W28" s="7"/>
      <c r="X28" s="7" t="s">
        <v>99</v>
      </c>
      <c r="Y28" s="7" t="s">
        <v>73</v>
      </c>
      <c r="Z28" s="7" t="s">
        <v>100</v>
      </c>
      <c r="AA28" s="7" t="s">
        <v>101</v>
      </c>
      <c r="AB28" s="7" t="s">
        <v>102</v>
      </c>
    </row>
    <row r="29" spans="1:29" x14ac:dyDescent="0.25">
      <c r="A29" s="7" t="s">
        <v>138</v>
      </c>
      <c r="B29" s="7">
        <v>120</v>
      </c>
      <c r="C29" s="7">
        <v>1499</v>
      </c>
      <c r="D29" s="7">
        <f>SUM(C29/B29)</f>
        <v>12.491666666666667</v>
      </c>
      <c r="E29" s="7">
        <v>3.5</v>
      </c>
      <c r="F29" s="7">
        <v>1</v>
      </c>
      <c r="G29" s="7"/>
      <c r="H29" s="7" t="s">
        <v>139</v>
      </c>
      <c r="I29" s="7">
        <v>122</v>
      </c>
      <c r="J29" s="7">
        <v>1418</v>
      </c>
      <c r="K29" s="7">
        <f>SUM(J29/I29)</f>
        <v>11.622950819672131</v>
      </c>
      <c r="L29" s="7">
        <v>2.5</v>
      </c>
      <c r="M29" s="7"/>
      <c r="P29" s="7" t="s">
        <v>104</v>
      </c>
      <c r="Q29" s="7">
        <v>90</v>
      </c>
      <c r="R29" s="7">
        <v>1179</v>
      </c>
      <c r="S29" s="7">
        <f>SUM(R29/Q29)</f>
        <v>13.1</v>
      </c>
      <c r="T29" s="7">
        <v>0.5</v>
      </c>
      <c r="U29" s="7"/>
      <c r="V29" s="7"/>
      <c r="W29" s="7" t="s">
        <v>140</v>
      </c>
      <c r="X29" s="7">
        <v>96</v>
      </c>
      <c r="Y29" s="7">
        <v>1503</v>
      </c>
      <c r="Z29" s="7">
        <f>SUM(Y29/X29)</f>
        <v>15.65625</v>
      </c>
      <c r="AA29" s="7">
        <v>5</v>
      </c>
      <c r="AB29" s="7">
        <v>1</v>
      </c>
    </row>
    <row r="30" spans="1:29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9" x14ac:dyDescent="0.25">
      <c r="A31" s="7" t="s">
        <v>141</v>
      </c>
      <c r="B31" s="7">
        <v>103</v>
      </c>
      <c r="C31" s="7">
        <v>1485</v>
      </c>
      <c r="D31" s="7">
        <f t="shared" ref="D31:D35" si="8">SUM(C31/B31)</f>
        <v>14.41747572815534</v>
      </c>
      <c r="E31" s="7">
        <v>3</v>
      </c>
      <c r="F31" s="7">
        <v>1</v>
      </c>
      <c r="G31" s="7" t="s">
        <v>142</v>
      </c>
      <c r="H31" s="7" t="s">
        <v>143</v>
      </c>
      <c r="I31" s="7">
        <v>105</v>
      </c>
      <c r="J31" s="7">
        <v>1453</v>
      </c>
      <c r="K31" s="7">
        <f t="shared" ref="K31:K35" si="9">SUM(J31/I31)</f>
        <v>13.838095238095239</v>
      </c>
      <c r="L31" s="7">
        <v>1.5</v>
      </c>
      <c r="M31" s="7"/>
      <c r="N31" s="7"/>
      <c r="O31" s="7"/>
      <c r="P31" s="7" t="s">
        <v>144</v>
      </c>
      <c r="Q31" s="7">
        <v>111</v>
      </c>
      <c r="R31" s="7">
        <v>1487</v>
      </c>
      <c r="S31" s="7">
        <f t="shared" ref="S31:S35" si="10">SUM(R31/Q31)</f>
        <v>13.396396396396396</v>
      </c>
      <c r="T31" s="7">
        <v>3</v>
      </c>
      <c r="U31" s="7">
        <v>1</v>
      </c>
      <c r="V31" s="7"/>
      <c r="W31" s="7" t="s">
        <v>107</v>
      </c>
      <c r="X31" s="7">
        <v>110</v>
      </c>
      <c r="Y31" s="7">
        <v>1446</v>
      </c>
      <c r="Z31" s="7">
        <f t="shared" ref="Z31:Z35" si="11">SUM(Y31/X31)</f>
        <v>13.145454545454545</v>
      </c>
      <c r="AA31" s="7">
        <v>3</v>
      </c>
      <c r="AB31" s="7"/>
    </row>
    <row r="32" spans="1:29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 t="s">
        <v>145</v>
      </c>
      <c r="B33" s="7">
        <v>102</v>
      </c>
      <c r="C33" s="7">
        <v>1491</v>
      </c>
      <c r="D33" s="7">
        <f t="shared" si="8"/>
        <v>14.617647058823529</v>
      </c>
      <c r="E33" s="7">
        <v>3.5</v>
      </c>
      <c r="F33" s="7">
        <v>1</v>
      </c>
      <c r="G33" s="7"/>
      <c r="H33" s="7" t="s">
        <v>146</v>
      </c>
      <c r="I33" s="7">
        <v>97</v>
      </c>
      <c r="J33" s="7">
        <v>1375</v>
      </c>
      <c r="K33" s="7">
        <f t="shared" si="9"/>
        <v>14.175257731958762</v>
      </c>
      <c r="L33" s="7">
        <v>2.5</v>
      </c>
      <c r="M33" s="7"/>
      <c r="N33" s="7"/>
      <c r="O33" s="7"/>
      <c r="P33" s="7" t="s">
        <v>147</v>
      </c>
      <c r="Q33" s="7">
        <v>96</v>
      </c>
      <c r="R33" s="7">
        <v>1503</v>
      </c>
      <c r="S33" s="7">
        <f t="shared" si="10"/>
        <v>15.65625</v>
      </c>
      <c r="T33" s="7">
        <v>4.5</v>
      </c>
      <c r="U33" s="7">
        <v>1</v>
      </c>
      <c r="V33" s="12" t="s">
        <v>148</v>
      </c>
      <c r="W33" s="7" t="s">
        <v>149</v>
      </c>
      <c r="X33" s="7">
        <v>90</v>
      </c>
      <c r="Y33" s="7">
        <v>1302</v>
      </c>
      <c r="Z33" s="7">
        <f t="shared" si="11"/>
        <v>14.466666666666667</v>
      </c>
      <c r="AA33" s="7">
        <v>1.5</v>
      </c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 t="s">
        <v>150</v>
      </c>
      <c r="B35" s="7">
        <v>93</v>
      </c>
      <c r="C35" s="7">
        <v>1503</v>
      </c>
      <c r="D35" s="7">
        <f t="shared" si="8"/>
        <v>16.161290322580644</v>
      </c>
      <c r="E35" s="7">
        <v>4.5</v>
      </c>
      <c r="F35" s="7">
        <v>1</v>
      </c>
      <c r="G35" s="7"/>
      <c r="H35" s="7" t="s">
        <v>151</v>
      </c>
      <c r="I35" s="7">
        <v>96</v>
      </c>
      <c r="J35" s="7">
        <v>1125</v>
      </c>
      <c r="K35" s="7">
        <f t="shared" si="9"/>
        <v>11.71875</v>
      </c>
      <c r="L35" s="7">
        <v>0.5</v>
      </c>
      <c r="M35" s="7"/>
      <c r="N35" s="7"/>
      <c r="O35" s="7"/>
      <c r="P35" s="7" t="s">
        <v>152</v>
      </c>
      <c r="Q35" s="7">
        <v>88</v>
      </c>
      <c r="R35" s="7">
        <v>1301</v>
      </c>
      <c r="S35" s="7">
        <f t="shared" si="10"/>
        <v>14.784090909090908</v>
      </c>
      <c r="T35" s="7">
        <v>2</v>
      </c>
      <c r="U35" s="7"/>
      <c r="V35" s="7" t="s">
        <v>153</v>
      </c>
      <c r="W35" s="7" t="s">
        <v>154</v>
      </c>
      <c r="X35" s="7">
        <v>93</v>
      </c>
      <c r="Y35" s="7">
        <v>1408</v>
      </c>
      <c r="Z35" s="7">
        <f t="shared" si="11"/>
        <v>15.13978494623656</v>
      </c>
      <c r="AA35" s="7">
        <v>3.5</v>
      </c>
      <c r="AB35" s="7">
        <v>1</v>
      </c>
    </row>
    <row r="36" spans="1:28" x14ac:dyDescent="0.25">
      <c r="A36" s="7"/>
      <c r="B36" s="7"/>
      <c r="C36" s="7"/>
      <c r="D36" s="7"/>
      <c r="E36" s="7"/>
      <c r="F36" s="7"/>
      <c r="G36" s="7"/>
      <c r="N36" s="7"/>
      <c r="O36" s="7"/>
    </row>
    <row r="37" spans="1:28" x14ac:dyDescent="0.25">
      <c r="A37" s="7" t="s">
        <v>155</v>
      </c>
      <c r="B37" s="7"/>
      <c r="C37" s="7"/>
      <c r="D37" s="7"/>
      <c r="E37" s="7">
        <v>2.5</v>
      </c>
      <c r="F37" s="7"/>
      <c r="G37" s="7"/>
      <c r="N37" s="7"/>
      <c r="O37" s="7"/>
      <c r="P37" t="s">
        <v>156</v>
      </c>
      <c r="T37">
        <v>1</v>
      </c>
    </row>
    <row r="38" spans="1:28" x14ac:dyDescent="0.25">
      <c r="N38" s="7"/>
      <c r="O38" s="7"/>
    </row>
    <row r="39" spans="1:28" x14ac:dyDescent="0.25">
      <c r="N39" s="7"/>
      <c r="O39" s="7"/>
    </row>
    <row r="40" spans="1:28" x14ac:dyDescent="0.25">
      <c r="N40" s="7"/>
      <c r="O40" s="7"/>
    </row>
    <row r="41" spans="1:28" x14ac:dyDescent="0.25">
      <c r="N41" s="7"/>
      <c r="O41" s="7"/>
    </row>
    <row r="42" spans="1:28" x14ac:dyDescent="0.25">
      <c r="N42" s="7"/>
      <c r="O42" s="7"/>
    </row>
    <row r="43" spans="1:28" x14ac:dyDescent="0.25">
      <c r="N43" s="7"/>
      <c r="O43" s="7"/>
    </row>
    <row r="44" spans="1:28" x14ac:dyDescent="0.25">
      <c r="N44" s="7"/>
      <c r="O44" s="7"/>
    </row>
    <row r="45" spans="1:28" x14ac:dyDescent="0.25">
      <c r="N45" s="7"/>
      <c r="O45" s="7"/>
    </row>
    <row r="46" spans="1:28" x14ac:dyDescent="0.25">
      <c r="N46" s="7"/>
      <c r="O46" s="7"/>
    </row>
  </sheetData>
  <mergeCells count="11">
    <mergeCell ref="P27:U27"/>
    <mergeCell ref="W27:AB27"/>
    <mergeCell ref="P14:U14"/>
    <mergeCell ref="P2:U2"/>
    <mergeCell ref="A27:F27"/>
    <mergeCell ref="W14:AB14"/>
    <mergeCell ref="H2:M2"/>
    <mergeCell ref="A14:F14"/>
    <mergeCell ref="H14:M14"/>
    <mergeCell ref="H27:M27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Sam</dc:creator>
  <cp:keywords/>
  <dc:description/>
  <cp:lastModifiedBy>Mellie, Gabriella</cp:lastModifiedBy>
  <cp:revision/>
  <dcterms:created xsi:type="dcterms:W3CDTF">2023-09-18T23:48:25Z</dcterms:created>
  <dcterms:modified xsi:type="dcterms:W3CDTF">2025-04-23T16:51:54Z</dcterms:modified>
  <cp:category/>
  <cp:contentStatus/>
</cp:coreProperties>
</file>