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vuhsc-my.sharepoint.com/personal/samuel_powers_wvumedicine_org/Documents/Desktop/D/26 Fall/"/>
    </mc:Choice>
  </mc:AlternateContent>
  <xr:revisionPtr revIDLastSave="1232" documentId="8_{E2894200-570D-4AB3-BCA7-89F81A2F3058}" xr6:coauthVersionLast="47" xr6:coauthVersionMax="47" xr10:uidLastSave="{58467E44-5271-4186-8F1F-1BCB78A61167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  <sheet name="Sheet2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D25" i="1"/>
  <c r="E14" i="1"/>
  <c r="D14" i="1"/>
  <c r="E28" i="1"/>
  <c r="D28" i="1"/>
  <c r="E6" i="1"/>
  <c r="D6" i="1"/>
  <c r="E45" i="1"/>
  <c r="D45" i="1"/>
  <c r="E31" i="1"/>
  <c r="D31" i="1"/>
  <c r="E37" i="1"/>
  <c r="D37" i="1"/>
  <c r="E12" i="1"/>
  <c r="D12" i="1"/>
  <c r="E13" i="1"/>
  <c r="D13" i="1"/>
  <c r="F13" i="1" s="1"/>
  <c r="E46" i="1"/>
  <c r="D46" i="1"/>
  <c r="E30" i="1"/>
  <c r="D30" i="1"/>
  <c r="E21" i="1"/>
  <c r="D21" i="1"/>
  <c r="E42" i="1"/>
  <c r="D42" i="1"/>
  <c r="E43" i="1"/>
  <c r="D43" i="1"/>
  <c r="E17" i="1"/>
  <c r="D17" i="1"/>
  <c r="E10" i="1"/>
  <c r="D10" i="1"/>
  <c r="E26" i="1"/>
  <c r="D26" i="1"/>
  <c r="E23" i="1"/>
  <c r="D23" i="1"/>
  <c r="E20" i="1"/>
  <c r="D20" i="1"/>
  <c r="E3" i="1"/>
  <c r="D3" i="1"/>
  <c r="E35" i="1"/>
  <c r="D35" i="1"/>
  <c r="E16" i="1"/>
  <c r="D16" i="1"/>
  <c r="E11" i="1"/>
  <c r="D11" i="1"/>
  <c r="E2" i="1"/>
  <c r="D2" i="1"/>
  <c r="F2" i="1" s="1"/>
  <c r="E44" i="1"/>
  <c r="D44" i="1"/>
  <c r="E27" i="1"/>
  <c r="D27" i="1"/>
  <c r="E15" i="1"/>
  <c r="D15" i="1"/>
  <c r="E9" i="1"/>
  <c r="D9" i="1"/>
  <c r="E50" i="1"/>
  <c r="D50" i="1"/>
  <c r="E39" i="1"/>
  <c r="D39" i="1"/>
  <c r="E29" i="1"/>
  <c r="D29" i="1"/>
  <c r="E19" i="1"/>
  <c r="D19" i="1"/>
  <c r="E34" i="1"/>
  <c r="D34" i="1"/>
  <c r="E36" i="1"/>
  <c r="D36" i="1"/>
  <c r="E22" i="1"/>
  <c r="D22" i="1"/>
  <c r="E4" i="1"/>
  <c r="D4" i="1"/>
  <c r="E48" i="1"/>
  <c r="D48" i="1"/>
  <c r="F48" i="1" s="1"/>
  <c r="E5" i="1"/>
  <c r="D5" i="1"/>
  <c r="E54" i="1"/>
  <c r="D54" i="1"/>
  <c r="E38" i="1"/>
  <c r="D38" i="1"/>
  <c r="E40" i="1"/>
  <c r="D40" i="1"/>
  <c r="E32" i="1"/>
  <c r="D32" i="1"/>
  <c r="E8" i="1"/>
  <c r="D8" i="1"/>
  <c r="E47" i="1"/>
  <c r="D47" i="1"/>
  <c r="E51" i="1"/>
  <c r="D51" i="1"/>
  <c r="E41" i="1"/>
  <c r="D41" i="1"/>
  <c r="E24" i="1"/>
  <c r="D24" i="1"/>
  <c r="E33" i="1"/>
  <c r="D33" i="1"/>
  <c r="E53" i="1"/>
  <c r="D53" i="1"/>
  <c r="F53" i="1" s="1"/>
  <c r="F5" i="1" l="1"/>
  <c r="E18" i="1"/>
  <c r="D18" i="1"/>
  <c r="E52" i="1"/>
  <c r="D52" i="1"/>
  <c r="F52" i="1" s="1"/>
  <c r="E49" i="1"/>
  <c r="D49" i="1"/>
  <c r="F47" i="1"/>
  <c r="F24" i="1"/>
  <c r="F41" i="1" l="1"/>
  <c r="F51" i="1"/>
  <c r="F40" i="1"/>
  <c r="F34" i="1" l="1"/>
  <c r="F44" i="1"/>
  <c r="F29" i="1" l="1"/>
  <c r="F28" i="1"/>
  <c r="F45" i="1"/>
  <c r="F49" i="1"/>
  <c r="F12" i="1" l="1"/>
  <c r="F54" i="1" l="1"/>
  <c r="F23" i="1"/>
  <c r="F26" i="1" l="1"/>
  <c r="F21" i="1"/>
  <c r="F20" i="1"/>
  <c r="F3" i="1"/>
  <c r="F22" i="1" l="1"/>
  <c r="F7" i="1"/>
  <c r="F25" i="1"/>
  <c r="F9" i="1"/>
  <c r="F11" i="1"/>
  <c r="F35" i="1"/>
  <c r="F31" i="1"/>
  <c r="F43" i="1"/>
  <c r="F42" i="1"/>
  <c r="F17" i="1"/>
  <c r="F8" i="1"/>
  <c r="F18" i="1"/>
  <c r="F32" i="1"/>
  <c r="F19" i="1"/>
  <c r="F46" i="1"/>
  <c r="F38" i="1"/>
  <c r="F10" i="1" l="1"/>
  <c r="F30" i="1"/>
  <c r="F33" i="1"/>
  <c r="F37" i="1"/>
  <c r="F6" i="1"/>
  <c r="F16" i="1"/>
  <c r="F27" i="1"/>
  <c r="F4" i="1"/>
  <c r="F36" i="1"/>
  <c r="F50" i="1"/>
  <c r="F14" i="1"/>
  <c r="F39" i="1"/>
  <c r="F15" i="1"/>
  <c r="F54" i="3"/>
  <c r="E54" i="3"/>
  <c r="D54" i="3"/>
  <c r="F53" i="3"/>
  <c r="E53" i="3"/>
  <c r="D53" i="3"/>
  <c r="E52" i="3"/>
  <c r="D52" i="3"/>
  <c r="F52" i="3" s="1"/>
  <c r="E51" i="3"/>
  <c r="D51" i="3"/>
  <c r="F51" i="3" s="1"/>
  <c r="F50" i="3"/>
  <c r="E50" i="3"/>
  <c r="D50" i="3"/>
  <c r="F49" i="3"/>
  <c r="E49" i="3"/>
  <c r="D49" i="3"/>
  <c r="F48" i="3"/>
  <c r="E48" i="3"/>
  <c r="D48" i="3"/>
  <c r="E47" i="3"/>
  <c r="D47" i="3"/>
  <c r="F47" i="3" s="1"/>
  <c r="F46" i="3"/>
  <c r="E46" i="3"/>
  <c r="D46" i="3"/>
  <c r="F45" i="3"/>
  <c r="E45" i="3"/>
  <c r="D45" i="3"/>
  <c r="E44" i="3"/>
  <c r="D44" i="3"/>
  <c r="F44" i="3" s="1"/>
  <c r="E43" i="3"/>
  <c r="D43" i="3"/>
  <c r="F43" i="3" s="1"/>
  <c r="F42" i="3"/>
  <c r="E42" i="3"/>
  <c r="D42" i="3"/>
  <c r="F41" i="3"/>
  <c r="E41" i="3"/>
  <c r="D41" i="3"/>
  <c r="F40" i="3"/>
  <c r="E40" i="3"/>
  <c r="D40" i="3"/>
  <c r="E39" i="3"/>
  <c r="D39" i="3"/>
  <c r="F39" i="3" s="1"/>
  <c r="F38" i="3"/>
  <c r="E38" i="3"/>
  <c r="D38" i="3"/>
  <c r="F37" i="3"/>
  <c r="E37" i="3"/>
  <c r="D37" i="3"/>
  <c r="E36" i="3"/>
  <c r="D36" i="3"/>
  <c r="F36" i="3" s="1"/>
  <c r="E35" i="3"/>
  <c r="D35" i="3"/>
  <c r="F35" i="3" s="1"/>
  <c r="F34" i="3"/>
  <c r="E34" i="3"/>
  <c r="D34" i="3"/>
  <c r="F33" i="3"/>
  <c r="E33" i="3"/>
  <c r="D33" i="3"/>
  <c r="E32" i="3"/>
  <c r="D32" i="3"/>
  <c r="F32" i="3" s="1"/>
  <c r="E31" i="3"/>
  <c r="D31" i="3"/>
  <c r="F31" i="3" s="1"/>
  <c r="F30" i="3"/>
  <c r="E30" i="3"/>
  <c r="D30" i="3"/>
  <c r="F29" i="3"/>
  <c r="E29" i="3"/>
  <c r="D29" i="3"/>
  <c r="E28" i="3"/>
  <c r="D28" i="3"/>
  <c r="F28" i="3" s="1"/>
  <c r="E27" i="3"/>
  <c r="D27" i="3"/>
  <c r="F27" i="3" s="1"/>
  <c r="F26" i="3"/>
  <c r="E26" i="3"/>
  <c r="D26" i="3"/>
  <c r="F25" i="3"/>
  <c r="E25" i="3"/>
  <c r="D25" i="3"/>
  <c r="E24" i="3"/>
  <c r="D24" i="3"/>
  <c r="F24" i="3" s="1"/>
  <c r="E23" i="3"/>
  <c r="D23" i="3"/>
  <c r="F23" i="3" s="1"/>
  <c r="F22" i="3"/>
  <c r="E22" i="3"/>
  <c r="D22" i="3"/>
  <c r="F21" i="3"/>
  <c r="E21" i="3"/>
  <c r="D21" i="3"/>
  <c r="F20" i="3"/>
  <c r="E20" i="3"/>
  <c r="D20" i="3"/>
  <c r="E19" i="3"/>
  <c r="D19" i="3"/>
  <c r="F19" i="3" s="1"/>
  <c r="F18" i="3"/>
  <c r="E18" i="3"/>
  <c r="D18" i="3"/>
  <c r="F17" i="3"/>
  <c r="E17" i="3"/>
  <c r="D17" i="3"/>
  <c r="F16" i="3"/>
  <c r="E16" i="3"/>
  <c r="D16" i="3"/>
  <c r="E15" i="3"/>
  <c r="D15" i="3"/>
  <c r="F15" i="3" s="1"/>
  <c r="F14" i="3"/>
  <c r="E14" i="3"/>
  <c r="D14" i="3"/>
  <c r="F13" i="3"/>
  <c r="E13" i="3"/>
  <c r="D13" i="3"/>
  <c r="F12" i="3"/>
  <c r="E12" i="3"/>
  <c r="D12" i="3"/>
  <c r="E11" i="3"/>
  <c r="D11" i="3"/>
  <c r="F11" i="3" s="1"/>
  <c r="F10" i="3"/>
  <c r="E10" i="3"/>
  <c r="D10" i="3"/>
  <c r="F9" i="3"/>
  <c r="E9" i="3"/>
  <c r="D9" i="3"/>
  <c r="F8" i="3"/>
  <c r="E8" i="3"/>
  <c r="D8" i="3"/>
  <c r="E7" i="3"/>
  <c r="D7" i="3"/>
  <c r="F7" i="3" s="1"/>
  <c r="F6" i="3"/>
  <c r="E6" i="3"/>
  <c r="D6" i="3"/>
  <c r="F5" i="3"/>
  <c r="E5" i="3"/>
  <c r="D5" i="3"/>
  <c r="F4" i="3"/>
  <c r="E4" i="3"/>
  <c r="D4" i="3"/>
  <c r="E3" i="3"/>
  <c r="D3" i="3"/>
  <c r="F3" i="3" s="1"/>
  <c r="F2" i="3"/>
  <c r="E2" i="3"/>
  <c r="D2" i="3"/>
  <c r="Z6" i="2" l="1"/>
  <c r="Z8" i="2"/>
  <c r="Z10" i="2"/>
  <c r="Z4" i="2"/>
  <c r="S6" i="2"/>
  <c r="S8" i="2"/>
  <c r="S10" i="2"/>
  <c r="S4" i="2"/>
  <c r="S18" i="2"/>
  <c r="S20" i="2"/>
  <c r="S22" i="2"/>
  <c r="S16" i="2"/>
  <c r="Z18" i="2"/>
  <c r="Z20" i="2"/>
  <c r="Z22" i="2"/>
  <c r="Z16" i="2"/>
  <c r="Z31" i="2"/>
  <c r="Z33" i="2"/>
  <c r="Z35" i="2"/>
  <c r="Z29" i="2"/>
  <c r="S31" i="2"/>
  <c r="S33" i="2"/>
  <c r="S35" i="2"/>
  <c r="S29" i="2"/>
  <c r="K18" i="2"/>
  <c r="K31" i="2"/>
  <c r="K33" i="2"/>
  <c r="K35" i="2"/>
  <c r="K29" i="2"/>
  <c r="D31" i="2"/>
  <c r="D33" i="2"/>
  <c r="D35" i="2"/>
  <c r="D29" i="2"/>
  <c r="K20" i="2"/>
  <c r="K22" i="2"/>
  <c r="K16" i="2"/>
  <c r="D18" i="2"/>
  <c r="D20" i="2"/>
  <c r="D22" i="2"/>
  <c r="D16" i="2"/>
  <c r="K6" i="2"/>
  <c r="K8" i="2"/>
  <c r="K10" i="2"/>
  <c r="K4" i="2"/>
  <c r="D6" i="2"/>
  <c r="D8" i="2"/>
  <c r="D10" i="2"/>
  <c r="D4" i="2"/>
</calcChain>
</file>

<file path=xl/sharedStrings.xml><?xml version="1.0" encoding="utf-8"?>
<sst xmlns="http://schemas.openxmlformats.org/spreadsheetml/2006/main" count="464" uniqueCount="217">
  <si>
    <t>Rank</t>
  </si>
  <si>
    <t>Player</t>
  </si>
  <si>
    <t>Team</t>
  </si>
  <si>
    <t>Total Points</t>
  </si>
  <si>
    <t>Total Darts</t>
  </si>
  <si>
    <t>Total PPD</t>
  </si>
  <si>
    <t>Wks Played</t>
  </si>
  <si>
    <t>501 BP</t>
  </si>
  <si>
    <t>RON</t>
  </si>
  <si>
    <t xml:space="preserve"> MVP Pts</t>
  </si>
  <si>
    <t>Payout</t>
  </si>
  <si>
    <t>Richie Thomas</t>
  </si>
  <si>
    <t>Luigi's Loose Change</t>
  </si>
  <si>
    <t>Ed Davis</t>
  </si>
  <si>
    <t>VFW 1589 Bad Monkeys</t>
  </si>
  <si>
    <t>Larry Jenkins</t>
  </si>
  <si>
    <t xml:space="preserve">Purple Cow 1  </t>
  </si>
  <si>
    <t>Pat Nabors</t>
  </si>
  <si>
    <t>Elks Wiseguys</t>
  </si>
  <si>
    <t>Matt Nacarate</t>
  </si>
  <si>
    <t>Steve Stockett</t>
  </si>
  <si>
    <t>Jimmy Smith</t>
  </si>
  <si>
    <t>Legion Post 174 Snipers</t>
  </si>
  <si>
    <t xml:space="preserve">Sam Powers </t>
  </si>
  <si>
    <t>Richard Whisler</t>
  </si>
  <si>
    <t>Josh Jenkins</t>
  </si>
  <si>
    <t>Beaver Galusky</t>
  </si>
  <si>
    <t>Rob Cicchino</t>
  </si>
  <si>
    <t>Andy Beck</t>
  </si>
  <si>
    <t>Elks Jolly</t>
  </si>
  <si>
    <t>Zach Barlow</t>
  </si>
  <si>
    <t>Travis Ruckle</t>
  </si>
  <si>
    <t>John Powers</t>
  </si>
  <si>
    <t>Griffin Wilcox</t>
  </si>
  <si>
    <t>VFW 1589 Dissapointers</t>
  </si>
  <si>
    <t>Ryan Swaniger</t>
  </si>
  <si>
    <t>Nate Cope</t>
  </si>
  <si>
    <t>Jon Kline</t>
  </si>
  <si>
    <t>Michaela Headley</t>
  </si>
  <si>
    <t>Frank Mellie</t>
  </si>
  <si>
    <t>Gabbie Mellie</t>
  </si>
  <si>
    <t>Billy Anderson</t>
  </si>
  <si>
    <t>Gary Bechdolt</t>
  </si>
  <si>
    <t>Steve Root</t>
  </si>
  <si>
    <t>Barb Hardy</t>
  </si>
  <si>
    <t>Kevin Ruckle</t>
  </si>
  <si>
    <t>Alex Keenan</t>
  </si>
  <si>
    <t>BJ Trickett</t>
  </si>
  <si>
    <t>JL Brown</t>
  </si>
  <si>
    <t>Joe White</t>
  </si>
  <si>
    <t>Marshall Jenkins</t>
  </si>
  <si>
    <t>Alex Rice</t>
  </si>
  <si>
    <t>Brian Keown</t>
  </si>
  <si>
    <t>Landon Trickett</t>
  </si>
  <si>
    <t>Bryant Losh</t>
  </si>
  <si>
    <t xml:space="preserve">Teams - Overall </t>
  </si>
  <si>
    <t>Wins</t>
  </si>
  <si>
    <t>Lose</t>
  </si>
  <si>
    <t>Points</t>
  </si>
  <si>
    <t>Weekly Payouts and Season High's</t>
  </si>
  <si>
    <t xml:space="preserve">Season Best Game 501:  </t>
  </si>
  <si>
    <t xml:space="preserve">PURPLE COW 1 </t>
  </si>
  <si>
    <t xml:space="preserve">High Average for Week:   </t>
  </si>
  <si>
    <t>VFW 1589 DISSAPOINTERS</t>
  </si>
  <si>
    <t xml:space="preserve">High in 301 for the week: </t>
  </si>
  <si>
    <t xml:space="preserve">High Out for the week: </t>
  </si>
  <si>
    <t>LUIGI'S LOOSE CHANGE</t>
  </si>
  <si>
    <t xml:space="preserve">Season High In for 301:  </t>
  </si>
  <si>
    <t xml:space="preserve">Season High Out:    </t>
  </si>
  <si>
    <t>ELKS WISEGUYS</t>
  </si>
  <si>
    <t>VFW 1589 BAD MONKEYS</t>
  </si>
  <si>
    <t>LEGION POST 174 SNIPERS</t>
  </si>
  <si>
    <t>ELKS JOLLY</t>
  </si>
  <si>
    <t>Pop 2 10</t>
  </si>
  <si>
    <t>Pop 1 14</t>
  </si>
  <si>
    <t>Elks Jolly 4</t>
  </si>
  <si>
    <t>Cow 2 20</t>
  </si>
  <si>
    <t>Darts</t>
  </si>
  <si>
    <t>Average</t>
  </si>
  <si>
    <t>MVP points</t>
  </si>
  <si>
    <t>BP 501</t>
  </si>
  <si>
    <t>Billy</t>
  </si>
  <si>
    <t>Doug</t>
  </si>
  <si>
    <t>April</t>
  </si>
  <si>
    <t>Tammy</t>
  </si>
  <si>
    <t>Jeff</t>
  </si>
  <si>
    <t>180, 14 D Game</t>
  </si>
  <si>
    <t>Travis</t>
  </si>
  <si>
    <t>100 in</t>
  </si>
  <si>
    <t>Seth</t>
  </si>
  <si>
    <t>Bob</t>
  </si>
  <si>
    <t>Kevin</t>
  </si>
  <si>
    <t>98 Out, 101 In</t>
  </si>
  <si>
    <t>Barb</t>
  </si>
  <si>
    <t>Luigis 13</t>
  </si>
  <si>
    <t>Bad Monkeys 11</t>
  </si>
  <si>
    <t>VFW Vets 8</t>
  </si>
  <si>
    <t>Disappointers 16</t>
  </si>
  <si>
    <t>Beaver</t>
  </si>
  <si>
    <t>JL</t>
  </si>
  <si>
    <t>Zach</t>
  </si>
  <si>
    <t>Matt</t>
  </si>
  <si>
    <t>101 in</t>
  </si>
  <si>
    <t>Gabbie</t>
  </si>
  <si>
    <t>Ken</t>
  </si>
  <si>
    <t>Sam</t>
  </si>
  <si>
    <t>78 Out</t>
  </si>
  <si>
    <t>85 In</t>
  </si>
  <si>
    <t>Thom</t>
  </si>
  <si>
    <t>Richie</t>
  </si>
  <si>
    <t>66 Out</t>
  </si>
  <si>
    <t>Joe</t>
  </si>
  <si>
    <t>Purple Cow 1 17</t>
  </si>
  <si>
    <t>Snipers 7</t>
  </si>
  <si>
    <t>Morgantown Elks Wiseguys 11</t>
  </si>
  <si>
    <t>Misfits 13</t>
  </si>
  <si>
    <t>Gigs</t>
  </si>
  <si>
    <t>Ryan</t>
  </si>
  <si>
    <t>Jerry</t>
  </si>
  <si>
    <t>Steve</t>
  </si>
  <si>
    <t>76 In</t>
  </si>
  <si>
    <t>Richard</t>
  </si>
  <si>
    <t>Rob</t>
  </si>
  <si>
    <t>Justin</t>
  </si>
  <si>
    <t>Jimmy</t>
  </si>
  <si>
    <t>Pat</t>
  </si>
  <si>
    <t>T80</t>
  </si>
  <si>
    <t>Tim</t>
  </si>
  <si>
    <t>Larry</t>
  </si>
  <si>
    <t>John</t>
  </si>
  <si>
    <t>Todd</t>
  </si>
  <si>
    <t>92 in</t>
  </si>
  <si>
    <t>Allen</t>
  </si>
  <si>
    <t>Marshall</t>
  </si>
  <si>
    <t>Alex</t>
  </si>
  <si>
    <t>Tie</t>
  </si>
  <si>
    <t>Stephen Thurbon</t>
  </si>
  <si>
    <t>Gary Daft</t>
  </si>
  <si>
    <t>Alwyn Thurbon</t>
  </si>
  <si>
    <t>Purple Cow Tippers</t>
  </si>
  <si>
    <t>Angela Bell</t>
  </si>
  <si>
    <t>PURPLE COW TIPPERS</t>
  </si>
  <si>
    <t>Timmy Frymyer</t>
  </si>
  <si>
    <t>Doug Himes</t>
  </si>
  <si>
    <t>Tom Gallegly</t>
  </si>
  <si>
    <t>Kenny Goldsborough</t>
  </si>
  <si>
    <t xml:space="preserve">POP A TOP </t>
  </si>
  <si>
    <t>Harley Hall</t>
  </si>
  <si>
    <t>Teams - Tungsten Division</t>
  </si>
  <si>
    <t>Teams - Wood Division</t>
  </si>
  <si>
    <t>Todd Wotring</t>
  </si>
  <si>
    <t>Seth Boyles</t>
  </si>
  <si>
    <t>Tammy Allen</t>
  </si>
  <si>
    <t>Bob Fox</t>
  </si>
  <si>
    <t>Shawn Cole</t>
  </si>
  <si>
    <t>Thom Douglas</t>
  </si>
  <si>
    <t>Tim Rosati</t>
  </si>
  <si>
    <t>Allen Collins</t>
  </si>
  <si>
    <t>Matt Nacarate 20 Dart Game</t>
  </si>
  <si>
    <t>Pop A Top</t>
  </si>
  <si>
    <t>Carter Kline</t>
  </si>
  <si>
    <t>John Sinclair</t>
  </si>
  <si>
    <t>Doug Tennant</t>
  </si>
  <si>
    <t>Classics Rocks</t>
  </si>
  <si>
    <t>CLASSICS ROCKS</t>
  </si>
  <si>
    <t>Jerry Shiflett</t>
  </si>
  <si>
    <t>Tammy Allen 160 In</t>
  </si>
  <si>
    <t>Josh Stegmaier</t>
  </si>
  <si>
    <t>Dave Novotney</t>
  </si>
  <si>
    <t>Joe White 134 Out</t>
  </si>
  <si>
    <t>Brandi Naylor</t>
  </si>
  <si>
    <t>Jimmy Scudiere</t>
  </si>
  <si>
    <t>Alwyn Thurbon 106 In</t>
  </si>
  <si>
    <t>Week 10</t>
  </si>
  <si>
    <t>Matt Nacarate 20.09</t>
  </si>
  <si>
    <t>Kevin Ruckle 112 Out</t>
  </si>
  <si>
    <t>Chase Freeman</t>
  </si>
  <si>
    <t>Bye Week</t>
  </si>
  <si>
    <t>Losses</t>
  </si>
  <si>
    <t>LUIGI'S SPARTANS</t>
  </si>
  <si>
    <t>Alex Ruscin</t>
  </si>
  <si>
    <t>CJ Ruscin</t>
  </si>
  <si>
    <t>Scott Williams</t>
  </si>
  <si>
    <t>Luigi's Spartans</t>
  </si>
  <si>
    <t>Lee Besse</t>
  </si>
  <si>
    <t>Legion Post 174 Sharpshooters</t>
  </si>
  <si>
    <t>Purple Cow Phantoms</t>
  </si>
  <si>
    <t>PURPLE COW PHANTOMS</t>
  </si>
  <si>
    <t>LEGION POST 174 SHARPSHOOTERS</t>
  </si>
  <si>
    <t>Nathan Carter</t>
  </si>
  <si>
    <t>Carlos Mosley</t>
  </si>
  <si>
    <t>Jeff Schliffka</t>
  </si>
  <si>
    <t>CJ Ruscin 19 Dart Game</t>
  </si>
  <si>
    <t>Ryan Swaniger 122 In</t>
  </si>
  <si>
    <t>1,12</t>
  </si>
  <si>
    <t>3,15</t>
  </si>
  <si>
    <t>4,16</t>
  </si>
  <si>
    <t>5,17</t>
  </si>
  <si>
    <t>7,21</t>
  </si>
  <si>
    <t>8,22</t>
  </si>
  <si>
    <t>6,20</t>
  </si>
  <si>
    <t>9,23</t>
  </si>
  <si>
    <t>11,25</t>
  </si>
  <si>
    <t>10,24</t>
  </si>
  <si>
    <t>2,13</t>
  </si>
  <si>
    <t>Ken Goldsborough</t>
  </si>
  <si>
    <t>CJ Ruscin 138 Out</t>
  </si>
  <si>
    <t>CLASSICS LEFTOVERS</t>
  </si>
  <si>
    <t>Classics Leftovers</t>
  </si>
  <si>
    <t>Cody Higinbotham</t>
  </si>
  <si>
    <t>Kathyrn Elgin</t>
  </si>
  <si>
    <t>Justin Shine</t>
  </si>
  <si>
    <t>Week 5</t>
  </si>
  <si>
    <t>Jerry Shiflett 112 in</t>
  </si>
  <si>
    <t>Allen Collins 17.45</t>
  </si>
  <si>
    <t>Joe White 112 out</t>
  </si>
  <si>
    <t>Russ Reid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</si>
</sst>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5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1" xfId="0" applyFont="1" applyFill="1" applyBorder="1" applyAlignment="1">
      <alignment textRotation="73"/>
    </xf>
    <xf numFmtId="0" fontId="1" fillId="2" borderId="1" xfId="0" applyFont="1" applyFill="1" applyBorder="1" applyAlignment="1">
      <alignment textRotation="73" wrapText="1"/>
    </xf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3" xfId="0" applyFont="1" applyBorder="1"/>
    <xf numFmtId="0" fontId="1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3" fillId="4" borderId="0" xfId="0" applyFont="1" applyFill="1"/>
    <xf numFmtId="0" fontId="0" fillId="4" borderId="0" xfId="0" applyFill="1"/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" fillId="0" borderId="6" xfId="0" applyFont="1" applyBorder="1"/>
    <xf numFmtId="0" fontId="4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4" fillId="0" borderId="7" xfId="0" applyFont="1" applyBorder="1"/>
    <xf numFmtId="0" fontId="1" fillId="0" borderId="8" xfId="0" applyFont="1" applyBorder="1"/>
    <xf numFmtId="0" fontId="1" fillId="5" borderId="9" xfId="0" applyFont="1" applyFill="1" applyBorder="1"/>
    <xf numFmtId="0" fontId="2" fillId="0" borderId="5" xfId="0" applyFont="1" applyBorder="1"/>
    <xf numFmtId="0" fontId="2" fillId="0" borderId="7" xfId="0" applyFont="1" applyBorder="1"/>
    <xf numFmtId="0" fontId="2" fillId="0" borderId="10" xfId="0" applyFont="1" applyBorder="1"/>
    <xf numFmtId="0" fontId="4" fillId="0" borderId="11" xfId="0" applyFont="1" applyBorder="1"/>
    <xf numFmtId="0" fontId="1" fillId="5" borderId="12" xfId="0" applyFont="1" applyFill="1" applyBorder="1"/>
    <xf numFmtId="0" fontId="1" fillId="5" borderId="13" xfId="0" applyFont="1" applyFill="1" applyBorder="1"/>
    <xf numFmtId="0" fontId="1" fillId="5" borderId="14" xfId="0" applyFont="1" applyFill="1" applyBorder="1"/>
    <xf numFmtId="0" fontId="1" fillId="5" borderId="15" xfId="0" applyFont="1" applyFill="1" applyBorder="1"/>
    <xf numFmtId="0" fontId="1" fillId="5" borderId="16" xfId="0" applyFont="1" applyFill="1" applyBorder="1"/>
    <xf numFmtId="0" fontId="1" fillId="0" borderId="19" xfId="0" applyFont="1" applyBorder="1"/>
    <xf numFmtId="0" fontId="1" fillId="0" borderId="20" xfId="0" applyFont="1" applyBorder="1"/>
    <xf numFmtId="0" fontId="4" fillId="0" borderId="19" xfId="0" applyFont="1" applyBorder="1"/>
    <xf numFmtId="0" fontId="4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22" xfId="0" applyFont="1" applyBorder="1"/>
    <xf numFmtId="0" fontId="4" fillId="0" borderId="22" xfId="0" applyFont="1" applyBorder="1"/>
    <xf numFmtId="0" fontId="2" fillId="0" borderId="23" xfId="0" applyFont="1" applyBorder="1"/>
    <xf numFmtId="0" fontId="1" fillId="0" borderId="24" xfId="0" applyFont="1" applyBorder="1"/>
    <xf numFmtId="0" fontId="2" fillId="0" borderId="25" xfId="0" applyFont="1" applyBorder="1"/>
    <xf numFmtId="0" fontId="1" fillId="0" borderId="26" xfId="0" applyFont="1" applyBorder="1"/>
    <xf numFmtId="0" fontId="2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4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11" xfId="0" applyFont="1" applyBorder="1"/>
    <xf numFmtId="0" fontId="1" fillId="0" borderId="34" xfId="0" applyFont="1" applyBorder="1"/>
    <xf numFmtId="0" fontId="1" fillId="5" borderId="42" xfId="0" applyFont="1" applyFill="1" applyBorder="1"/>
    <xf numFmtId="0" fontId="4" fillId="0" borderId="4" xfId="0" applyFont="1" applyBorder="1"/>
    <xf numFmtId="0" fontId="1" fillId="0" borderId="17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5" borderId="50" xfId="0" applyFont="1" applyFill="1" applyBorder="1" applyAlignment="1">
      <alignment horizontal="center"/>
    </xf>
    <xf numFmtId="0" fontId="1" fillId="5" borderId="51" xfId="0" applyFont="1" applyFill="1" applyBorder="1" applyAlignment="1">
      <alignment horizontal="center"/>
    </xf>
    <xf numFmtId="0" fontId="1" fillId="5" borderId="51" xfId="0" applyFont="1" applyFill="1" applyBorder="1"/>
    <xf numFmtId="0" fontId="1" fillId="5" borderId="52" xfId="0" applyFont="1" applyFill="1" applyBorder="1"/>
    <xf numFmtId="0" fontId="1" fillId="0" borderId="45" xfId="0" applyFont="1" applyBorder="1"/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/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3" borderId="18" xfId="0" applyFont="1" applyFill="1" applyBorder="1" applyAlignment="1">
      <alignment horizontal="center" vertical="center" textRotation="90" wrapText="1"/>
    </xf>
    <xf numFmtId="0" fontId="1" fillId="3" borderId="48" xfId="0" applyFont="1" applyFill="1" applyBorder="1" applyAlignment="1">
      <alignment horizontal="center" vertical="center" textRotation="90" wrapText="1"/>
    </xf>
    <xf numFmtId="0" fontId="1" fillId="3" borderId="49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3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 textRotation="90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5.42578125" bestFit="1" customWidth="1"/>
    <col min="2" max="2" width="23.85546875" bestFit="1" customWidth="1"/>
    <col min="3" max="3" width="42.140625" bestFit="1" customWidth="1"/>
    <col min="4" max="5" width="10.7109375" bestFit="1" customWidth="1"/>
    <col min="6" max="6" width="7.7109375" bestFit="1" customWidth="1"/>
    <col min="7" max="7" width="12.140625" bestFit="1" customWidth="1"/>
    <col min="8" max="11" width="5.7109375" customWidth="1"/>
    <col min="12" max="12" width="7.7109375" bestFit="1" customWidth="1"/>
    <col min="13" max="13" width="10.85546875" bestFit="1" customWidth="1"/>
    <col min="18" max="18" width="38.5703125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75" x14ac:dyDescent="0.3">
      <c r="A2" s="3">
        <v>1</v>
      </c>
      <c r="B2" s="4" t="s">
        <v>157</v>
      </c>
      <c r="C2" s="4" t="s">
        <v>34</v>
      </c>
      <c r="D2" s="14">
        <f>SUM(1503+1391+1431)</f>
        <v>4325</v>
      </c>
      <c r="E2" s="14">
        <f>SUM(84+86+82)</f>
        <v>252</v>
      </c>
      <c r="F2" s="15">
        <f>D2/E2</f>
        <v>17.162698412698411</v>
      </c>
      <c r="G2" s="14">
        <v>3</v>
      </c>
      <c r="H2" s="14">
        <v>3</v>
      </c>
      <c r="I2" s="14"/>
      <c r="J2" s="14"/>
      <c r="K2" s="14"/>
      <c r="L2" s="14">
        <v>13</v>
      </c>
      <c r="M2" s="16">
        <v>10</v>
      </c>
    </row>
    <row r="3" spans="1:13" ht="18.75" x14ac:dyDescent="0.3">
      <c r="A3" s="3">
        <v>2</v>
      </c>
      <c r="B3" s="18" t="s">
        <v>181</v>
      </c>
      <c r="C3" s="4" t="s">
        <v>183</v>
      </c>
      <c r="D3" s="14">
        <f>SUM(1501+1503+1503+1490+1400)</f>
        <v>7397</v>
      </c>
      <c r="E3" s="14">
        <f>SUM(90+73+90+96+84)</f>
        <v>433</v>
      </c>
      <c r="F3" s="15">
        <f>D3/E3</f>
        <v>17.083140877598151</v>
      </c>
      <c r="G3" s="14">
        <v>5</v>
      </c>
      <c r="H3" s="14">
        <v>3</v>
      </c>
      <c r="I3" s="14"/>
      <c r="J3" s="14"/>
      <c r="K3" s="14">
        <v>1</v>
      </c>
      <c r="L3" s="14">
        <v>17.5</v>
      </c>
      <c r="M3" s="16">
        <v>15</v>
      </c>
    </row>
    <row r="4" spans="1:13" ht="18.75" x14ac:dyDescent="0.3">
      <c r="A4" s="3">
        <v>3</v>
      </c>
      <c r="B4" s="4" t="s">
        <v>176</v>
      </c>
      <c r="C4" s="4" t="s">
        <v>186</v>
      </c>
      <c r="D4" s="14">
        <f>SUM(1503+1292+1503+1503+1478)</f>
        <v>7279</v>
      </c>
      <c r="E4" s="14">
        <f>SUM(85+69+96+84+97)</f>
        <v>431</v>
      </c>
      <c r="F4" s="15">
        <f>D4/E4</f>
        <v>16.888631090487237</v>
      </c>
      <c r="G4" s="14">
        <v>5</v>
      </c>
      <c r="H4" s="14">
        <v>4</v>
      </c>
      <c r="I4" s="14"/>
      <c r="J4" s="14"/>
      <c r="K4" s="14"/>
      <c r="L4" s="14">
        <v>19.5</v>
      </c>
      <c r="M4" s="16">
        <v>10</v>
      </c>
    </row>
    <row r="5" spans="1:13" ht="18.75" x14ac:dyDescent="0.3">
      <c r="A5" s="3">
        <v>4</v>
      </c>
      <c r="B5" s="4" t="s">
        <v>27</v>
      </c>
      <c r="C5" s="4" t="s">
        <v>18</v>
      </c>
      <c r="D5" s="14">
        <f>SUM(1479+1443)</f>
        <v>2922</v>
      </c>
      <c r="E5" s="14">
        <f>SUM(91+89)</f>
        <v>180</v>
      </c>
      <c r="F5" s="15">
        <f>D5/E5</f>
        <v>16.233333333333334</v>
      </c>
      <c r="G5" s="14">
        <v>2</v>
      </c>
      <c r="H5" s="14"/>
      <c r="I5" s="14"/>
      <c r="J5" s="14"/>
      <c r="K5" s="14"/>
      <c r="L5" s="14">
        <v>4.5</v>
      </c>
      <c r="M5" s="16"/>
    </row>
    <row r="6" spans="1:13" ht="18.75" x14ac:dyDescent="0.3">
      <c r="A6" s="3">
        <v>5</v>
      </c>
      <c r="B6" s="18" t="s">
        <v>142</v>
      </c>
      <c r="C6" s="4" t="s">
        <v>185</v>
      </c>
      <c r="D6" s="14">
        <f>SUM(1499+1503+1356+1475)</f>
        <v>5833</v>
      </c>
      <c r="E6" s="14">
        <f>SUM(92+86+95+99)</f>
        <v>372</v>
      </c>
      <c r="F6" s="15">
        <f>D6/E6</f>
        <v>15.68010752688172</v>
      </c>
      <c r="G6" s="14">
        <v>4</v>
      </c>
      <c r="H6" s="14">
        <v>3</v>
      </c>
      <c r="I6" s="14"/>
      <c r="J6" s="14"/>
      <c r="K6" s="14"/>
      <c r="L6" s="14">
        <v>16.5</v>
      </c>
      <c r="M6" s="16"/>
    </row>
    <row r="7" spans="1:13" ht="18.75" x14ac:dyDescent="0.3">
      <c r="A7" s="3">
        <v>6</v>
      </c>
      <c r="B7" s="4" t="s">
        <v>20</v>
      </c>
      <c r="C7" s="4" t="s">
        <v>186</v>
      </c>
      <c r="D7" s="14">
        <v>1320</v>
      </c>
      <c r="E7" s="14">
        <v>85</v>
      </c>
      <c r="F7" s="15">
        <f>D7/E7</f>
        <v>15.529411764705882</v>
      </c>
      <c r="G7" s="14">
        <v>1</v>
      </c>
      <c r="H7" s="14"/>
      <c r="I7" s="14"/>
      <c r="J7" s="14"/>
      <c r="K7" s="14"/>
      <c r="L7" s="14">
        <v>8</v>
      </c>
      <c r="M7" s="16"/>
    </row>
    <row r="8" spans="1:13" ht="18.75" x14ac:dyDescent="0.3">
      <c r="A8" s="3">
        <v>7</v>
      </c>
      <c r="B8" s="4" t="s">
        <v>11</v>
      </c>
      <c r="C8" s="4" t="s">
        <v>12</v>
      </c>
      <c r="D8" s="14">
        <f>SUM(1503+1489+1298+1429)</f>
        <v>5719</v>
      </c>
      <c r="E8" s="14">
        <f>SUM(104+92+96+77)</f>
        <v>369</v>
      </c>
      <c r="F8" s="15">
        <f>D8/E8</f>
        <v>15.498644986449865</v>
      </c>
      <c r="G8" s="14">
        <v>4</v>
      </c>
      <c r="H8" s="14">
        <v>2</v>
      </c>
      <c r="I8" s="14"/>
      <c r="J8" s="14"/>
      <c r="K8" s="14"/>
      <c r="L8" s="14">
        <v>14.5</v>
      </c>
      <c r="M8" s="16">
        <v>5</v>
      </c>
    </row>
    <row r="9" spans="1:13" ht="18.75" x14ac:dyDescent="0.3">
      <c r="A9" s="3">
        <v>8</v>
      </c>
      <c r="B9" s="3" t="s">
        <v>35</v>
      </c>
      <c r="C9" s="4" t="s">
        <v>22</v>
      </c>
      <c r="D9" s="14">
        <f>SUM(1463+1318+1503+1472+1503)</f>
        <v>7259</v>
      </c>
      <c r="E9" s="14">
        <f>SUM(96+92+105+98+99)</f>
        <v>490</v>
      </c>
      <c r="F9" s="15">
        <f>D9/E9</f>
        <v>14.814285714285715</v>
      </c>
      <c r="G9" s="14">
        <v>5</v>
      </c>
      <c r="H9" s="14">
        <v>4</v>
      </c>
      <c r="I9" s="14"/>
      <c r="J9" s="14"/>
      <c r="K9" s="14"/>
      <c r="L9" s="14">
        <v>19</v>
      </c>
      <c r="M9" s="16">
        <v>5</v>
      </c>
    </row>
    <row r="10" spans="1:13" ht="18.75" x14ac:dyDescent="0.3">
      <c r="A10" s="3">
        <v>9</v>
      </c>
      <c r="B10" s="10" t="s">
        <v>137</v>
      </c>
      <c r="C10" s="4" t="s">
        <v>29</v>
      </c>
      <c r="D10" s="14">
        <f>SUM(1319+1503+1471+1343+1424)</f>
        <v>7060</v>
      </c>
      <c r="E10" s="14">
        <f>SUM(92+113+95+81+100)</f>
        <v>481</v>
      </c>
      <c r="F10" s="15">
        <f>D10/E10</f>
        <v>14.677754677754677</v>
      </c>
      <c r="G10" s="14">
        <v>5</v>
      </c>
      <c r="H10" s="14">
        <v>3</v>
      </c>
      <c r="I10" s="14"/>
      <c r="J10" s="14"/>
      <c r="K10" s="14"/>
      <c r="L10" s="14">
        <v>15</v>
      </c>
      <c r="M10" s="16">
        <v>5</v>
      </c>
    </row>
    <row r="11" spans="1:13" ht="18.75" x14ac:dyDescent="0.3">
      <c r="A11" s="3">
        <v>10</v>
      </c>
      <c r="B11" s="8" t="s">
        <v>165</v>
      </c>
      <c r="C11" s="4" t="s">
        <v>34</v>
      </c>
      <c r="D11" s="14">
        <f>SUM(1464+1437+1499+1288)</f>
        <v>5688</v>
      </c>
      <c r="E11" s="14">
        <f>SUM(86+113+97+93)</f>
        <v>389</v>
      </c>
      <c r="F11" s="15">
        <f>D11/E11</f>
        <v>14.622107969151671</v>
      </c>
      <c r="G11" s="14">
        <v>4</v>
      </c>
      <c r="H11" s="14">
        <v>2</v>
      </c>
      <c r="I11" s="14"/>
      <c r="J11" s="14"/>
      <c r="K11" s="14"/>
      <c r="L11" s="14">
        <v>12.5</v>
      </c>
      <c r="M11" s="16">
        <v>5</v>
      </c>
    </row>
    <row r="12" spans="1:13" ht="18.75" x14ac:dyDescent="0.3">
      <c r="A12" s="3">
        <v>11</v>
      </c>
      <c r="B12" s="10" t="s">
        <v>13</v>
      </c>
      <c r="C12" s="4" t="s">
        <v>14</v>
      </c>
      <c r="D12" s="14">
        <f>SUM(1246+1394+1479)</f>
        <v>4119</v>
      </c>
      <c r="E12" s="14">
        <f>SUM(88+96+101)</f>
        <v>285</v>
      </c>
      <c r="F12" s="15">
        <f>D12/E12</f>
        <v>14.452631578947368</v>
      </c>
      <c r="G12" s="14">
        <v>3</v>
      </c>
      <c r="H12" s="14">
        <v>1</v>
      </c>
      <c r="I12" s="14"/>
      <c r="J12" s="14"/>
      <c r="K12" s="14"/>
      <c r="L12" s="14">
        <v>10</v>
      </c>
      <c r="M12" s="16"/>
    </row>
    <row r="13" spans="1:13" ht="18.75" x14ac:dyDescent="0.3">
      <c r="A13" s="3">
        <v>12</v>
      </c>
      <c r="B13" s="8" t="s">
        <v>151</v>
      </c>
      <c r="C13" s="4" t="s">
        <v>18</v>
      </c>
      <c r="D13" s="14">
        <f>SUM(1503)</f>
        <v>1503</v>
      </c>
      <c r="E13" s="14">
        <f>SUM(104)</f>
        <v>104</v>
      </c>
      <c r="F13" s="15">
        <f>D13/E13</f>
        <v>14.451923076923077</v>
      </c>
      <c r="G13" s="14">
        <v>1</v>
      </c>
      <c r="H13" s="14">
        <v>1</v>
      </c>
      <c r="I13" s="14"/>
      <c r="J13" s="14"/>
      <c r="K13" s="14"/>
      <c r="L13" s="14">
        <v>4.5</v>
      </c>
      <c r="M13" s="16"/>
    </row>
    <row r="14" spans="1:13" ht="18.75" x14ac:dyDescent="0.3">
      <c r="A14" s="3">
        <v>13</v>
      </c>
      <c r="B14" s="8" t="s">
        <v>23</v>
      </c>
      <c r="C14" s="4" t="s">
        <v>185</v>
      </c>
      <c r="D14" s="14">
        <f>SUM(1499+1489+1489+1478)</f>
        <v>5955</v>
      </c>
      <c r="E14" s="14">
        <f>SUM(94+119+104+97)</f>
        <v>414</v>
      </c>
      <c r="F14" s="15">
        <f>D14/E14</f>
        <v>14.384057971014492</v>
      </c>
      <c r="G14" s="14">
        <v>4</v>
      </c>
      <c r="H14" s="14">
        <v>4</v>
      </c>
      <c r="I14" s="14"/>
      <c r="J14" s="14"/>
      <c r="K14" s="14"/>
      <c r="L14" s="14">
        <v>18.5</v>
      </c>
      <c r="M14" s="16"/>
    </row>
    <row r="15" spans="1:13" ht="18.75" x14ac:dyDescent="0.3">
      <c r="A15" s="3">
        <v>14</v>
      </c>
      <c r="B15" s="71" t="s">
        <v>21</v>
      </c>
      <c r="C15" s="4" t="s">
        <v>22</v>
      </c>
      <c r="D15" s="14">
        <f>SUM(1317+1503+1235+1501+1503)</f>
        <v>7059</v>
      </c>
      <c r="E15" s="14">
        <f>SUM(94+102+92+105+99)</f>
        <v>492</v>
      </c>
      <c r="F15" s="15">
        <f>D15/E15</f>
        <v>14.347560975609756</v>
      </c>
      <c r="G15" s="14">
        <v>5</v>
      </c>
      <c r="H15" s="14">
        <v>3</v>
      </c>
      <c r="I15" s="14"/>
      <c r="J15" s="14"/>
      <c r="K15" s="14"/>
      <c r="L15" s="14">
        <v>19.5</v>
      </c>
      <c r="M15" s="16"/>
    </row>
    <row r="16" spans="1:13" ht="18.75" x14ac:dyDescent="0.3">
      <c r="A16" s="3">
        <v>15</v>
      </c>
      <c r="B16" s="72" t="s">
        <v>49</v>
      </c>
      <c r="C16" s="4" t="s">
        <v>34</v>
      </c>
      <c r="D16" s="14">
        <f>SUM(1222+1440+1419+1350)</f>
        <v>5431</v>
      </c>
      <c r="E16" s="14">
        <f>SUM(84+89+113+96)</f>
        <v>382</v>
      </c>
      <c r="F16" s="15">
        <f>D16/E16</f>
        <v>14.217277486910994</v>
      </c>
      <c r="G16" s="14">
        <v>4</v>
      </c>
      <c r="H16" s="14">
        <v>1</v>
      </c>
      <c r="I16" s="14"/>
      <c r="J16" s="14"/>
      <c r="K16" s="14"/>
      <c r="L16" s="14">
        <v>11</v>
      </c>
      <c r="M16" s="16">
        <v>5</v>
      </c>
    </row>
    <row r="17" spans="1:13" ht="18.75" x14ac:dyDescent="0.3">
      <c r="A17" s="3">
        <v>16</v>
      </c>
      <c r="B17" s="10" t="s">
        <v>136</v>
      </c>
      <c r="C17" s="8" t="s">
        <v>29</v>
      </c>
      <c r="D17" s="14">
        <f>SUM(1469+1503+1465)</f>
        <v>4437</v>
      </c>
      <c r="E17" s="14">
        <f>SUM(98+108+108)</f>
        <v>314</v>
      </c>
      <c r="F17" s="15">
        <f>D17/E17</f>
        <v>14.130573248407643</v>
      </c>
      <c r="G17" s="14">
        <v>3</v>
      </c>
      <c r="H17" s="14">
        <v>2</v>
      </c>
      <c r="I17" s="14"/>
      <c r="J17" s="14"/>
      <c r="K17" s="14"/>
      <c r="L17" s="14">
        <v>9</v>
      </c>
      <c r="M17" s="16"/>
    </row>
    <row r="18" spans="1:13" ht="18.75" x14ac:dyDescent="0.3">
      <c r="A18" s="3">
        <v>17</v>
      </c>
      <c r="B18" s="19" t="s">
        <v>26</v>
      </c>
      <c r="C18" s="4" t="s">
        <v>12</v>
      </c>
      <c r="D18" s="14">
        <f>SUM(1487+1497+1489)</f>
        <v>4473</v>
      </c>
      <c r="E18" s="14">
        <f>SUM(92+109+116)</f>
        <v>317</v>
      </c>
      <c r="F18" s="15">
        <f>D18/E18</f>
        <v>14.110410094637224</v>
      </c>
      <c r="G18" s="14">
        <v>3</v>
      </c>
      <c r="H18" s="14">
        <v>3</v>
      </c>
      <c r="I18" s="14"/>
      <c r="J18" s="14"/>
      <c r="K18" s="14">
        <v>1</v>
      </c>
      <c r="L18" s="14">
        <v>11.5</v>
      </c>
      <c r="M18" s="16"/>
    </row>
    <row r="19" spans="1:13" ht="18.75" x14ac:dyDescent="0.3">
      <c r="A19" s="3">
        <v>18</v>
      </c>
      <c r="B19" s="19" t="s">
        <v>31</v>
      </c>
      <c r="C19" s="8" t="s">
        <v>139</v>
      </c>
      <c r="D19" s="14">
        <f>SUM(1461+1324+1203+1495+1369)</f>
        <v>6852</v>
      </c>
      <c r="E19" s="14">
        <f>SUM(103+81+87+123+93)</f>
        <v>487</v>
      </c>
      <c r="F19" s="15">
        <f>D19/E19</f>
        <v>14.069815195071868</v>
      </c>
      <c r="G19" s="14">
        <v>5</v>
      </c>
      <c r="H19" s="14">
        <v>1</v>
      </c>
      <c r="I19" s="14"/>
      <c r="J19" s="14"/>
      <c r="K19" s="14"/>
      <c r="L19" s="14">
        <v>8.5</v>
      </c>
      <c r="M19" s="16"/>
    </row>
    <row r="20" spans="1:13" ht="18.75" x14ac:dyDescent="0.3">
      <c r="A20" s="3">
        <v>19</v>
      </c>
      <c r="B20" s="11" t="s">
        <v>180</v>
      </c>
      <c r="C20" s="8" t="s">
        <v>183</v>
      </c>
      <c r="D20" s="14">
        <f>SUM(1471+1361+1424+1355+1266)</f>
        <v>6877</v>
      </c>
      <c r="E20" s="14">
        <f>SUM(108+90+92+109+93)</f>
        <v>492</v>
      </c>
      <c r="F20" s="15">
        <f>D20/E20</f>
        <v>13.977642276422765</v>
      </c>
      <c r="G20" s="14">
        <v>5</v>
      </c>
      <c r="H20" s="14">
        <v>3</v>
      </c>
      <c r="I20" s="14"/>
      <c r="J20" s="14"/>
      <c r="K20" s="14"/>
      <c r="L20" s="14">
        <v>14.5</v>
      </c>
      <c r="M20" s="16"/>
    </row>
    <row r="21" spans="1:13" ht="18.75" x14ac:dyDescent="0.3">
      <c r="A21" s="3">
        <v>20</v>
      </c>
      <c r="B21" s="19" t="s">
        <v>17</v>
      </c>
      <c r="C21" s="8" t="s">
        <v>18</v>
      </c>
      <c r="D21" s="14">
        <f>SUM(1499+1406+1453)</f>
        <v>4358</v>
      </c>
      <c r="E21" s="14">
        <f>SUM(122+91+101)</f>
        <v>314</v>
      </c>
      <c r="F21" s="15">
        <f>D21/E21</f>
        <v>13.878980891719745</v>
      </c>
      <c r="G21" s="14">
        <v>3</v>
      </c>
      <c r="H21" s="14">
        <v>1</v>
      </c>
      <c r="I21" s="14"/>
      <c r="J21" s="14"/>
      <c r="K21" s="14"/>
      <c r="L21" s="14">
        <v>7</v>
      </c>
      <c r="M21" s="16"/>
    </row>
    <row r="22" spans="1:13" ht="18.75" x14ac:dyDescent="0.3">
      <c r="A22" s="3">
        <v>21</v>
      </c>
      <c r="B22" s="4" t="s">
        <v>50</v>
      </c>
      <c r="C22" s="8" t="s">
        <v>186</v>
      </c>
      <c r="D22" s="14">
        <f>SUM(1468+1503+1495+1493+1473)</f>
        <v>7432</v>
      </c>
      <c r="E22" s="14">
        <f>SUM(109+110+119+104+94)</f>
        <v>536</v>
      </c>
      <c r="F22" s="15">
        <f>D22/E22</f>
        <v>13.865671641791044</v>
      </c>
      <c r="G22" s="14">
        <v>5</v>
      </c>
      <c r="H22" s="14">
        <v>5</v>
      </c>
      <c r="I22" s="14"/>
      <c r="J22" s="14"/>
      <c r="K22" s="14"/>
      <c r="L22" s="14">
        <v>21</v>
      </c>
      <c r="M22" s="16"/>
    </row>
    <row r="23" spans="1:13" ht="18.75" x14ac:dyDescent="0.3">
      <c r="A23" s="3">
        <v>22</v>
      </c>
      <c r="B23" s="4" t="s">
        <v>156</v>
      </c>
      <c r="C23" s="4" t="s">
        <v>183</v>
      </c>
      <c r="D23" s="14">
        <f>SUM(1409+1486+1383+1362)</f>
        <v>5640</v>
      </c>
      <c r="E23" s="14">
        <f>SUM(114+120+81+95)</f>
        <v>410</v>
      </c>
      <c r="F23" s="15">
        <f>D23/E23</f>
        <v>13.75609756097561</v>
      </c>
      <c r="G23" s="14">
        <v>4</v>
      </c>
      <c r="H23" s="14">
        <v>3</v>
      </c>
      <c r="I23" s="14"/>
      <c r="J23" s="14"/>
      <c r="K23" s="14"/>
      <c r="L23" s="14">
        <v>10.5</v>
      </c>
      <c r="M23" s="16"/>
    </row>
    <row r="24" spans="1:13" ht="18.75" x14ac:dyDescent="0.3">
      <c r="A24" s="3">
        <v>23</v>
      </c>
      <c r="B24" s="4" t="s">
        <v>144</v>
      </c>
      <c r="C24" s="4" t="s">
        <v>208</v>
      </c>
      <c r="D24" s="14">
        <f>SUM(1368+1503+1261)</f>
        <v>4132</v>
      </c>
      <c r="E24" s="14">
        <f>SUM(111+116+74)</f>
        <v>301</v>
      </c>
      <c r="F24" s="15">
        <f>D24/E24</f>
        <v>13.727574750830565</v>
      </c>
      <c r="G24" s="14">
        <v>3</v>
      </c>
      <c r="H24" s="14">
        <v>1</v>
      </c>
      <c r="I24" s="14"/>
      <c r="J24" s="14"/>
      <c r="K24" s="14">
        <v>1</v>
      </c>
      <c r="L24" s="14">
        <v>7</v>
      </c>
      <c r="M24" s="16"/>
    </row>
    <row r="25" spans="1:13" ht="18.75" x14ac:dyDescent="0.3">
      <c r="A25" s="3">
        <v>24</v>
      </c>
      <c r="B25" s="18" t="s">
        <v>32</v>
      </c>
      <c r="C25" s="4" t="s">
        <v>185</v>
      </c>
      <c r="D25" s="14">
        <f>SUM(1417+1492+1495+1503)</f>
        <v>5907</v>
      </c>
      <c r="E25" s="14">
        <f>SUM(102+129+99+108)</f>
        <v>438</v>
      </c>
      <c r="F25" s="15">
        <f>D25/E25</f>
        <v>13.486301369863014</v>
      </c>
      <c r="G25" s="14">
        <v>4</v>
      </c>
      <c r="H25" s="14">
        <v>3</v>
      </c>
      <c r="I25" s="14"/>
      <c r="J25" s="14"/>
      <c r="K25" s="14"/>
      <c r="L25" s="14">
        <v>14.5</v>
      </c>
      <c r="M25" s="16"/>
    </row>
    <row r="26" spans="1:13" ht="18.75" x14ac:dyDescent="0.3">
      <c r="A26" s="3">
        <v>25</v>
      </c>
      <c r="B26" s="18" t="s">
        <v>182</v>
      </c>
      <c r="C26" s="4" t="s">
        <v>183</v>
      </c>
      <c r="D26" s="14">
        <f>SUM(1503+1488+1374+1501)</f>
        <v>5866</v>
      </c>
      <c r="E26" s="14">
        <f>SUM(102+108+116+109)</f>
        <v>435</v>
      </c>
      <c r="F26" s="15">
        <f>D26/E26</f>
        <v>13.485057471264367</v>
      </c>
      <c r="G26" s="14">
        <v>4</v>
      </c>
      <c r="H26" s="14">
        <v>2</v>
      </c>
      <c r="I26" s="14"/>
      <c r="J26" s="14"/>
      <c r="K26" s="14"/>
      <c r="L26" s="14">
        <v>8</v>
      </c>
      <c r="M26" s="16"/>
    </row>
    <row r="27" spans="1:13" ht="18.75" x14ac:dyDescent="0.3">
      <c r="A27" s="3">
        <v>26</v>
      </c>
      <c r="B27" s="4" t="s">
        <v>24</v>
      </c>
      <c r="C27" s="4" t="s">
        <v>22</v>
      </c>
      <c r="D27" s="14">
        <f>SUM(1489+1322+1463+1501+1503)</f>
        <v>7278</v>
      </c>
      <c r="E27" s="14">
        <f>SUM(120+80+119+113+108)</f>
        <v>540</v>
      </c>
      <c r="F27" s="15">
        <f>D27/E27</f>
        <v>13.477777777777778</v>
      </c>
      <c r="G27" s="14">
        <v>5</v>
      </c>
      <c r="H27" s="14">
        <v>3</v>
      </c>
      <c r="I27" s="14"/>
      <c r="J27" s="14"/>
      <c r="K27" s="14"/>
      <c r="L27" s="14">
        <v>18.5</v>
      </c>
      <c r="M27" s="16"/>
    </row>
    <row r="28" spans="1:13" ht="18.75" x14ac:dyDescent="0.3">
      <c r="A28" s="3">
        <v>27</v>
      </c>
      <c r="B28" s="4" t="s">
        <v>171</v>
      </c>
      <c r="C28" s="4" t="s">
        <v>185</v>
      </c>
      <c r="D28" s="14">
        <f>SUM(1503+1369+1499)</f>
        <v>4371</v>
      </c>
      <c r="E28" s="14">
        <f>SUM(96+92+138)</f>
        <v>326</v>
      </c>
      <c r="F28" s="15">
        <f>D28/E28</f>
        <v>13.407975460122699</v>
      </c>
      <c r="G28" s="14">
        <v>3</v>
      </c>
      <c r="H28" s="14">
        <v>2</v>
      </c>
      <c r="I28" s="14"/>
      <c r="J28" s="14"/>
      <c r="K28" s="14"/>
      <c r="L28" s="14">
        <v>14</v>
      </c>
      <c r="M28" s="16"/>
    </row>
    <row r="29" spans="1:13" ht="18.75" x14ac:dyDescent="0.3">
      <c r="A29" s="3">
        <v>28</v>
      </c>
      <c r="B29" s="4" t="s">
        <v>190</v>
      </c>
      <c r="C29" s="4" t="s">
        <v>139</v>
      </c>
      <c r="D29" s="14">
        <f>SUM(1202+1481+1391+1450+1288)</f>
        <v>6812</v>
      </c>
      <c r="E29" s="14">
        <f>SUM(89+118+90+120+96)</f>
        <v>513</v>
      </c>
      <c r="F29" s="15">
        <f>D29/E29</f>
        <v>13.278752436647174</v>
      </c>
      <c r="G29" s="14">
        <v>5</v>
      </c>
      <c r="H29" s="14"/>
      <c r="I29" s="14"/>
      <c r="J29" s="14"/>
      <c r="K29" s="14"/>
      <c r="L29" s="14">
        <v>10.5</v>
      </c>
      <c r="M29" s="16"/>
    </row>
    <row r="30" spans="1:13" ht="18.75" x14ac:dyDescent="0.3">
      <c r="A30" s="3">
        <v>29</v>
      </c>
      <c r="B30" s="4" t="s">
        <v>150</v>
      </c>
      <c r="C30" s="4" t="s">
        <v>18</v>
      </c>
      <c r="D30" s="14">
        <f>SUM(1485+1500+1446+1400)</f>
        <v>5831</v>
      </c>
      <c r="E30" s="14">
        <f>SUM(94+126+112+109)</f>
        <v>441</v>
      </c>
      <c r="F30" s="15">
        <f>D30/E30</f>
        <v>13.222222222222221</v>
      </c>
      <c r="G30" s="14">
        <v>4</v>
      </c>
      <c r="H30" s="14">
        <v>3</v>
      </c>
      <c r="I30" s="14"/>
      <c r="J30" s="14"/>
      <c r="K30" s="14"/>
      <c r="L30" s="14">
        <v>11.5</v>
      </c>
      <c r="M30" s="16"/>
    </row>
    <row r="31" spans="1:13" ht="18.75" x14ac:dyDescent="0.3">
      <c r="A31" s="3">
        <v>30</v>
      </c>
      <c r="B31" s="4" t="s">
        <v>25</v>
      </c>
      <c r="C31" s="4" t="s">
        <v>14</v>
      </c>
      <c r="D31" s="14">
        <f>SUM(1301+1503+1399+1365)</f>
        <v>5568</v>
      </c>
      <c r="E31" s="14">
        <f>SUM(104+101+123+95)</f>
        <v>423</v>
      </c>
      <c r="F31" s="15">
        <f>D31/E31</f>
        <v>13.163120567375886</v>
      </c>
      <c r="G31" s="14">
        <v>4</v>
      </c>
      <c r="H31" s="14">
        <v>2</v>
      </c>
      <c r="I31" s="14"/>
      <c r="J31" s="14"/>
      <c r="K31" s="14"/>
      <c r="L31" s="14">
        <v>14.5</v>
      </c>
      <c r="M31" s="16"/>
    </row>
    <row r="32" spans="1:13" ht="18.75" x14ac:dyDescent="0.3">
      <c r="A32" s="3">
        <v>31</v>
      </c>
      <c r="B32" s="4" t="s">
        <v>161</v>
      </c>
      <c r="C32" s="4" t="s">
        <v>12</v>
      </c>
      <c r="D32" s="14">
        <f>SUM(1494+1495+1503)</f>
        <v>4492</v>
      </c>
      <c r="E32" s="14">
        <f>SUM(103+118+122)</f>
        <v>343</v>
      </c>
      <c r="F32" s="15">
        <f>D32/E32</f>
        <v>13.096209912536443</v>
      </c>
      <c r="G32" s="14">
        <v>3</v>
      </c>
      <c r="H32" s="14">
        <v>2</v>
      </c>
      <c r="I32" s="14"/>
      <c r="J32" s="14"/>
      <c r="K32" s="14"/>
      <c r="L32" s="14">
        <v>11.5</v>
      </c>
      <c r="M32" s="16"/>
    </row>
    <row r="33" spans="1:13" ht="18.75" x14ac:dyDescent="0.3">
      <c r="A33" s="3">
        <v>32</v>
      </c>
      <c r="B33" s="18" t="s">
        <v>51</v>
      </c>
      <c r="C33" s="4" t="s">
        <v>18</v>
      </c>
      <c r="D33" s="14">
        <f>SUM(1341+1422)</f>
        <v>2763</v>
      </c>
      <c r="E33" s="14">
        <f>SUM(100+114)</f>
        <v>214</v>
      </c>
      <c r="F33" s="15">
        <f>D33/E33</f>
        <v>12.911214953271028</v>
      </c>
      <c r="G33" s="14">
        <v>2</v>
      </c>
      <c r="H33" s="14"/>
      <c r="I33" s="14"/>
      <c r="J33" s="14"/>
      <c r="K33" s="14"/>
      <c r="L33" s="14">
        <v>4</v>
      </c>
      <c r="M33" s="16"/>
    </row>
    <row r="34" spans="1:13" ht="18.75" x14ac:dyDescent="0.3">
      <c r="A34" s="3">
        <v>33</v>
      </c>
      <c r="B34" s="4" t="s">
        <v>167</v>
      </c>
      <c r="C34" s="4" t="s">
        <v>186</v>
      </c>
      <c r="D34" s="14">
        <f>SUM(1497+1396+1501+1451)</f>
        <v>5845</v>
      </c>
      <c r="E34" s="14">
        <f>SUM(122+105+128+100)</f>
        <v>455</v>
      </c>
      <c r="F34" s="15">
        <f>D34/E34</f>
        <v>12.846153846153847</v>
      </c>
      <c r="G34" s="14">
        <v>4</v>
      </c>
      <c r="H34" s="14">
        <v>2</v>
      </c>
      <c r="I34" s="14"/>
      <c r="J34" s="14"/>
      <c r="K34" s="14"/>
      <c r="L34" s="14">
        <v>10.5</v>
      </c>
      <c r="M34" s="16"/>
    </row>
    <row r="35" spans="1:13" ht="18.75" x14ac:dyDescent="0.3">
      <c r="A35" s="3">
        <v>34</v>
      </c>
      <c r="B35" s="18" t="s">
        <v>33</v>
      </c>
      <c r="C35" s="4" t="s">
        <v>34</v>
      </c>
      <c r="D35" s="14">
        <f>SUM(1355+1483+1503+1437)</f>
        <v>5778</v>
      </c>
      <c r="E35" s="14">
        <f>SUM(107+131+104+108)</f>
        <v>450</v>
      </c>
      <c r="F35" s="15">
        <f>D35/E35</f>
        <v>12.84</v>
      </c>
      <c r="G35" s="14">
        <v>4</v>
      </c>
      <c r="H35" s="14">
        <v>1</v>
      </c>
      <c r="I35" s="14"/>
      <c r="J35" s="14"/>
      <c r="K35" s="14"/>
      <c r="L35" s="14">
        <v>14.5</v>
      </c>
      <c r="M35" s="16"/>
    </row>
    <row r="36" spans="1:13" ht="18.75" x14ac:dyDescent="0.3">
      <c r="A36" s="3">
        <v>35</v>
      </c>
      <c r="B36" s="4" t="s">
        <v>15</v>
      </c>
      <c r="C36" s="4" t="s">
        <v>186</v>
      </c>
      <c r="D36" s="14">
        <f>SUM(1503+1493+1483+1500+1464)</f>
        <v>7443</v>
      </c>
      <c r="E36" s="14">
        <f>SUM(128+90+118+142+103)</f>
        <v>581</v>
      </c>
      <c r="F36" s="15">
        <f>D36/E36</f>
        <v>12.810671256454389</v>
      </c>
      <c r="G36" s="14">
        <v>5</v>
      </c>
      <c r="H36" s="14">
        <v>3</v>
      </c>
      <c r="I36" s="14"/>
      <c r="J36" s="14"/>
      <c r="K36" s="14"/>
      <c r="L36" s="14">
        <v>16</v>
      </c>
      <c r="M36" s="16">
        <v>5</v>
      </c>
    </row>
    <row r="37" spans="1:13" ht="18.75" x14ac:dyDescent="0.3">
      <c r="A37" s="3">
        <v>36</v>
      </c>
      <c r="B37" s="4" t="s">
        <v>19</v>
      </c>
      <c r="C37" s="4" t="s">
        <v>14</v>
      </c>
      <c r="D37" s="14">
        <f>SUM(1503+1499+1487+1359)</f>
        <v>5848</v>
      </c>
      <c r="E37" s="14">
        <f>SUM(119+80+125+135)</f>
        <v>459</v>
      </c>
      <c r="F37" s="15">
        <f>D37/E37</f>
        <v>12.74074074074074</v>
      </c>
      <c r="G37" s="14">
        <v>4</v>
      </c>
      <c r="H37" s="14">
        <v>2</v>
      </c>
      <c r="I37" s="14"/>
      <c r="J37" s="14"/>
      <c r="K37" s="14"/>
      <c r="L37" s="14">
        <v>11</v>
      </c>
      <c r="M37" s="16">
        <v>5</v>
      </c>
    </row>
    <row r="38" spans="1:13" ht="18.75" x14ac:dyDescent="0.3">
      <c r="A38" s="3">
        <v>37</v>
      </c>
      <c r="B38" s="4" t="s">
        <v>30</v>
      </c>
      <c r="C38" s="4" t="s">
        <v>12</v>
      </c>
      <c r="D38" s="14">
        <f>SUM(1476+1398+1440+1443)</f>
        <v>5757</v>
      </c>
      <c r="E38" s="14">
        <f>SUM(129+127+104+99)</f>
        <v>459</v>
      </c>
      <c r="F38" s="15">
        <f>D38/E38</f>
        <v>12.542483660130719</v>
      </c>
      <c r="G38" s="14">
        <v>4</v>
      </c>
      <c r="H38" s="14">
        <v>2</v>
      </c>
      <c r="I38" s="14"/>
      <c r="J38" s="14"/>
      <c r="K38" s="14"/>
      <c r="L38" s="14">
        <v>13.5</v>
      </c>
      <c r="M38" s="16"/>
    </row>
    <row r="39" spans="1:13" ht="18.75" x14ac:dyDescent="0.3">
      <c r="A39" s="3">
        <v>38</v>
      </c>
      <c r="B39" s="18" t="s">
        <v>54</v>
      </c>
      <c r="C39" s="4" t="s">
        <v>139</v>
      </c>
      <c r="D39" s="14">
        <f>SUM(1485+1493+1501+1503+1245)</f>
        <v>7227</v>
      </c>
      <c r="E39" s="14">
        <f>SUM(126+131+120+102+108)</f>
        <v>587</v>
      </c>
      <c r="F39" s="15">
        <f>D39/E39</f>
        <v>12.31175468483816</v>
      </c>
      <c r="G39" s="14">
        <v>5</v>
      </c>
      <c r="H39" s="14">
        <v>2</v>
      </c>
      <c r="I39" s="14"/>
      <c r="J39" s="14"/>
      <c r="K39" s="14"/>
      <c r="L39" s="14">
        <v>14</v>
      </c>
      <c r="M39" s="16">
        <v>5</v>
      </c>
    </row>
    <row r="40" spans="1:13" ht="18.75" x14ac:dyDescent="0.3">
      <c r="A40" s="3">
        <v>39</v>
      </c>
      <c r="B40" s="4" t="s">
        <v>205</v>
      </c>
      <c r="C40" s="4" t="s">
        <v>12</v>
      </c>
      <c r="D40" s="14">
        <f>SUM(1503+1487)</f>
        <v>2990</v>
      </c>
      <c r="E40" s="14">
        <f>SUM(116+128)</f>
        <v>244</v>
      </c>
      <c r="F40" s="15">
        <f>D40/E40</f>
        <v>12.254098360655737</v>
      </c>
      <c r="G40" s="14">
        <v>2</v>
      </c>
      <c r="H40" s="14">
        <v>2</v>
      </c>
      <c r="I40" s="14"/>
      <c r="J40" s="14"/>
      <c r="K40" s="14"/>
      <c r="L40" s="14">
        <v>9</v>
      </c>
      <c r="M40" s="16"/>
    </row>
    <row r="41" spans="1:13" ht="18.75" x14ac:dyDescent="0.3">
      <c r="A41" s="3">
        <v>40</v>
      </c>
      <c r="B41" s="4" t="s">
        <v>46</v>
      </c>
      <c r="C41" s="4" t="s">
        <v>208</v>
      </c>
      <c r="D41" s="14">
        <f>SUM(1396+1461+1429)</f>
        <v>4286</v>
      </c>
      <c r="E41" s="14">
        <f>SUM(111+122+120)</f>
        <v>353</v>
      </c>
      <c r="F41" s="15">
        <f>D41/E41</f>
        <v>12.141643059490084</v>
      </c>
      <c r="G41" s="14">
        <v>3</v>
      </c>
      <c r="H41" s="14"/>
      <c r="I41" s="14"/>
      <c r="J41" s="14"/>
      <c r="K41" s="14"/>
      <c r="L41" s="14">
        <v>4.5</v>
      </c>
      <c r="M41" s="16"/>
    </row>
    <row r="42" spans="1:13" ht="18.75" x14ac:dyDescent="0.3">
      <c r="A42" s="3">
        <v>41</v>
      </c>
      <c r="B42" s="18" t="s">
        <v>37</v>
      </c>
      <c r="C42" s="4" t="s">
        <v>29</v>
      </c>
      <c r="D42" s="14">
        <f>SUM(1341+1166+1469+1398)</f>
        <v>5374</v>
      </c>
      <c r="E42" s="14">
        <f>SUM(94+105+146+102)</f>
        <v>447</v>
      </c>
      <c r="F42" s="15">
        <f>D42/E42</f>
        <v>12.022371364653244</v>
      </c>
      <c r="G42" s="14">
        <v>4</v>
      </c>
      <c r="H42" s="14"/>
      <c r="I42" s="14"/>
      <c r="J42" s="14"/>
      <c r="K42" s="14"/>
      <c r="L42" s="14">
        <v>8.5</v>
      </c>
      <c r="M42" s="16"/>
    </row>
    <row r="43" spans="1:13" ht="18.75" x14ac:dyDescent="0.3">
      <c r="A43" s="3">
        <v>42</v>
      </c>
      <c r="B43" s="18" t="s">
        <v>138</v>
      </c>
      <c r="C43" s="4" t="s">
        <v>29</v>
      </c>
      <c r="D43" s="14">
        <f>SUM(1315+1501+1438+1268+1497)</f>
        <v>7019</v>
      </c>
      <c r="E43" s="14">
        <f>SUM(90+152+119+99+124)</f>
        <v>584</v>
      </c>
      <c r="F43" s="15">
        <f>D43/E43</f>
        <v>12.018835616438356</v>
      </c>
      <c r="G43" s="14">
        <v>5</v>
      </c>
      <c r="H43" s="14">
        <v>2</v>
      </c>
      <c r="I43" s="14"/>
      <c r="J43" s="14"/>
      <c r="K43" s="14"/>
      <c r="L43" s="14">
        <v>7.5</v>
      </c>
      <c r="M43" s="16"/>
    </row>
    <row r="44" spans="1:13" ht="18.75" x14ac:dyDescent="0.3">
      <c r="A44" s="3">
        <v>43</v>
      </c>
      <c r="B44" s="4" t="s">
        <v>191</v>
      </c>
      <c r="C44" s="4" t="s">
        <v>22</v>
      </c>
      <c r="D44" s="14">
        <f>SUM(1478+1428+1496+1276+1470)</f>
        <v>7148</v>
      </c>
      <c r="E44" s="14">
        <f>SUM(121+96+161+84+133)</f>
        <v>595</v>
      </c>
      <c r="F44" s="15">
        <f>D44/E44</f>
        <v>12.01344537815126</v>
      </c>
      <c r="G44" s="14">
        <v>5</v>
      </c>
      <c r="H44" s="14">
        <v>1</v>
      </c>
      <c r="I44" s="14"/>
      <c r="J44" s="14"/>
      <c r="K44" s="14"/>
      <c r="L44" s="14">
        <v>12</v>
      </c>
      <c r="M44" s="16"/>
    </row>
    <row r="45" spans="1:13" ht="18.75" x14ac:dyDescent="0.3">
      <c r="A45" s="3">
        <v>44</v>
      </c>
      <c r="B45" s="4" t="s">
        <v>189</v>
      </c>
      <c r="C45" s="4" t="s">
        <v>14</v>
      </c>
      <c r="D45" s="14">
        <f>SUM(1274+1289+1473+1325)</f>
        <v>5361</v>
      </c>
      <c r="E45" s="14">
        <f>SUM(99+99+145+105)</f>
        <v>448</v>
      </c>
      <c r="F45" s="15">
        <f>D45/E45</f>
        <v>11.966517857142858</v>
      </c>
      <c r="G45" s="14">
        <v>4</v>
      </c>
      <c r="H45" s="14"/>
      <c r="I45" s="14"/>
      <c r="J45" s="14"/>
      <c r="K45" s="14"/>
      <c r="L45" s="14">
        <v>6</v>
      </c>
      <c r="M45" s="16"/>
    </row>
    <row r="46" spans="1:13" ht="18.75" x14ac:dyDescent="0.3">
      <c r="A46" s="3">
        <v>45</v>
      </c>
      <c r="B46" s="18" t="s">
        <v>143</v>
      </c>
      <c r="C46" s="4" t="s">
        <v>18</v>
      </c>
      <c r="D46" s="14">
        <f>SUM(1500+1422+1236+1400)</f>
        <v>5558</v>
      </c>
      <c r="E46" s="14">
        <f>SUM(119+129+99+122)</f>
        <v>469</v>
      </c>
      <c r="F46" s="15">
        <f>D46/E46</f>
        <v>11.850746268656716</v>
      </c>
      <c r="G46" s="14">
        <v>4</v>
      </c>
      <c r="H46" s="14">
        <v>1</v>
      </c>
      <c r="I46" s="14"/>
      <c r="J46" s="14"/>
      <c r="K46" s="14"/>
      <c r="L46" s="14">
        <v>8</v>
      </c>
      <c r="M46" s="16"/>
    </row>
    <row r="47" spans="1:13" ht="18.75" x14ac:dyDescent="0.3">
      <c r="A47" s="3">
        <v>46</v>
      </c>
      <c r="B47" s="4" t="s">
        <v>168</v>
      </c>
      <c r="C47" s="4" t="s">
        <v>208</v>
      </c>
      <c r="D47" s="14">
        <f>SUM(1503+1503+1471)</f>
        <v>4477</v>
      </c>
      <c r="E47" s="14">
        <f>SUM(147+133+99)</f>
        <v>379</v>
      </c>
      <c r="F47" s="15">
        <f>D47/E47</f>
        <v>11.812664907651715</v>
      </c>
      <c r="G47" s="14">
        <v>3</v>
      </c>
      <c r="H47" s="14">
        <v>3</v>
      </c>
      <c r="I47" s="14"/>
      <c r="J47" s="14"/>
      <c r="K47" s="14"/>
      <c r="L47" s="14">
        <v>11.5</v>
      </c>
      <c r="M47" s="16"/>
    </row>
    <row r="48" spans="1:13" ht="18.75" x14ac:dyDescent="0.3">
      <c r="A48" s="3">
        <v>47</v>
      </c>
      <c r="B48" s="4" t="s">
        <v>211</v>
      </c>
      <c r="C48" s="4" t="s">
        <v>14</v>
      </c>
      <c r="D48" s="14">
        <f>SUM(1148)</f>
        <v>1148</v>
      </c>
      <c r="E48" s="14">
        <f>SUM(99)</f>
        <v>99</v>
      </c>
      <c r="F48" s="15">
        <f>D48/E48</f>
        <v>11.595959595959595</v>
      </c>
      <c r="G48" s="14">
        <v>1</v>
      </c>
      <c r="H48" s="14"/>
      <c r="I48" s="14"/>
      <c r="J48" s="14"/>
      <c r="K48" s="14"/>
      <c r="L48" s="14">
        <v>1.5</v>
      </c>
      <c r="M48" s="16"/>
    </row>
    <row r="49" spans="1:18" ht="18.75" x14ac:dyDescent="0.3">
      <c r="A49" s="3">
        <v>48</v>
      </c>
      <c r="B49" s="4" t="s">
        <v>140</v>
      </c>
      <c r="C49" s="4" t="s">
        <v>34</v>
      </c>
      <c r="D49" s="14">
        <f>SUM(1315+1348)</f>
        <v>2663</v>
      </c>
      <c r="E49" s="14">
        <f>SUM(123+111)</f>
        <v>234</v>
      </c>
      <c r="F49" s="15">
        <f>D49/E49</f>
        <v>11.380341880341881</v>
      </c>
      <c r="G49" s="14">
        <v>2</v>
      </c>
      <c r="H49" s="14"/>
      <c r="I49" s="14"/>
      <c r="J49" s="14"/>
      <c r="K49" s="14"/>
      <c r="L49" s="14">
        <v>0</v>
      </c>
      <c r="M49" s="16"/>
    </row>
    <row r="50" spans="1:18" ht="18.75" x14ac:dyDescent="0.3">
      <c r="A50" s="3">
        <v>49</v>
      </c>
      <c r="B50" s="4" t="s">
        <v>45</v>
      </c>
      <c r="C50" s="8" t="s">
        <v>139</v>
      </c>
      <c r="D50" s="14">
        <f>SUM(1242+1342+1140+1486+1499)</f>
        <v>6709</v>
      </c>
      <c r="E50" s="14">
        <f>SUM(99+124+81+150+136)</f>
        <v>590</v>
      </c>
      <c r="F50" s="15">
        <f>D50/E50</f>
        <v>11.371186440677967</v>
      </c>
      <c r="G50" s="14">
        <v>5</v>
      </c>
      <c r="H50" s="14">
        <v>3</v>
      </c>
      <c r="I50" s="14"/>
      <c r="J50" s="14"/>
      <c r="K50" s="14"/>
      <c r="L50" s="14">
        <v>12</v>
      </c>
      <c r="M50" s="16"/>
    </row>
    <row r="51" spans="1:18" ht="18.75" x14ac:dyDescent="0.3">
      <c r="A51" s="3">
        <v>50</v>
      </c>
      <c r="B51" s="4" t="s">
        <v>48</v>
      </c>
      <c r="C51" s="8" t="s">
        <v>208</v>
      </c>
      <c r="D51" s="14">
        <f>SUM(1477+1252+1456)</f>
        <v>4185</v>
      </c>
      <c r="E51" s="14">
        <f>SUM(151+94+130)</f>
        <v>375</v>
      </c>
      <c r="F51" s="15">
        <f>D51/E51</f>
        <v>11.16</v>
      </c>
      <c r="G51" s="14">
        <v>3</v>
      </c>
      <c r="H51" s="14">
        <v>1</v>
      </c>
      <c r="I51" s="14"/>
      <c r="J51" s="14"/>
      <c r="K51" s="14"/>
      <c r="L51" s="14">
        <v>8</v>
      </c>
      <c r="M51" s="16"/>
    </row>
    <row r="52" spans="1:18" ht="18.75" x14ac:dyDescent="0.3">
      <c r="A52" s="3">
        <v>51</v>
      </c>
      <c r="B52" s="4" t="s">
        <v>209</v>
      </c>
      <c r="C52" s="4" t="s">
        <v>185</v>
      </c>
      <c r="D52" s="14">
        <f>SUM(1488)</f>
        <v>1488</v>
      </c>
      <c r="E52" s="14">
        <f>SUM(135)</f>
        <v>135</v>
      </c>
      <c r="F52" s="15">
        <f>D52/E52</f>
        <v>11.022222222222222</v>
      </c>
      <c r="G52" s="14">
        <v>1</v>
      </c>
      <c r="H52" s="14">
        <v>1</v>
      </c>
      <c r="I52" s="14"/>
      <c r="J52" s="14"/>
      <c r="K52" s="14"/>
      <c r="L52" s="14">
        <v>3.5</v>
      </c>
      <c r="M52" s="16"/>
    </row>
    <row r="53" spans="1:18" ht="18.75" x14ac:dyDescent="0.3">
      <c r="A53" s="3">
        <v>52</v>
      </c>
      <c r="B53" s="4" t="s">
        <v>210</v>
      </c>
      <c r="C53" s="8" t="s">
        <v>183</v>
      </c>
      <c r="D53" s="14">
        <f>SUM(1201)</f>
        <v>1201</v>
      </c>
      <c r="E53" s="14">
        <f>SUM(117)</f>
        <v>117</v>
      </c>
      <c r="F53" s="15">
        <f>D53/E53</f>
        <v>10.264957264957266</v>
      </c>
      <c r="G53" s="14">
        <v>1</v>
      </c>
      <c r="H53" s="14"/>
      <c r="I53" s="14"/>
      <c r="J53" s="14"/>
      <c r="K53" s="14"/>
      <c r="L53" s="14">
        <v>1</v>
      </c>
      <c r="M53" s="16"/>
    </row>
    <row r="54" spans="1:18" ht="18.75" x14ac:dyDescent="0.3">
      <c r="A54" s="3">
        <v>53</v>
      </c>
      <c r="B54" s="4" t="s">
        <v>184</v>
      </c>
      <c r="C54" s="4" t="s">
        <v>29</v>
      </c>
      <c r="D54" s="14">
        <f>SUM(1460+1477+1346)</f>
        <v>4283</v>
      </c>
      <c r="E54" s="14">
        <f>SUM(147+156+126)</f>
        <v>429</v>
      </c>
      <c r="F54" s="15">
        <f>D54/E54</f>
        <v>9.9836829836829839</v>
      </c>
      <c r="G54" s="14">
        <v>3</v>
      </c>
      <c r="H54" s="14"/>
      <c r="I54" s="14"/>
      <c r="J54" s="14"/>
      <c r="K54" s="14"/>
      <c r="L54" s="14">
        <v>4</v>
      </c>
      <c r="M54" s="16"/>
    </row>
    <row r="55" spans="1:18" ht="18.75" x14ac:dyDescent="0.3">
      <c r="A55" s="3">
        <v>54</v>
      </c>
      <c r="B55" s="4" t="s">
        <v>216</v>
      </c>
      <c r="C55" s="4" t="s">
        <v>18</v>
      </c>
      <c r="D55" s="14"/>
      <c r="E55" s="14"/>
      <c r="F55" s="15"/>
      <c r="G55" s="14"/>
      <c r="H55" s="14"/>
      <c r="I55" s="14"/>
      <c r="J55" s="14"/>
      <c r="K55" s="14"/>
      <c r="L55" s="14">
        <v>0.5</v>
      </c>
      <c r="M55" s="16"/>
    </row>
    <row r="56" spans="1:18" ht="18.75" x14ac:dyDescent="0.3">
      <c r="A56" s="3">
        <v>55</v>
      </c>
      <c r="B56" s="4" t="s">
        <v>40</v>
      </c>
      <c r="C56" s="4" t="s">
        <v>34</v>
      </c>
      <c r="D56" s="14"/>
      <c r="E56" s="14"/>
      <c r="F56" s="15"/>
      <c r="G56" s="14"/>
      <c r="H56" s="14"/>
      <c r="I56" s="14"/>
      <c r="J56" s="14"/>
      <c r="K56" s="14"/>
      <c r="L56" s="14">
        <v>0.5</v>
      </c>
      <c r="M56" s="16"/>
    </row>
    <row r="57" spans="1:18" ht="17.25" customHeight="1" thickBot="1" x14ac:dyDescent="0.35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8" ht="19.5" customHeight="1" thickBot="1" x14ac:dyDescent="0.35">
      <c r="A58" s="5"/>
      <c r="B58" s="75" t="s">
        <v>212</v>
      </c>
      <c r="C58" s="61" t="s">
        <v>55</v>
      </c>
      <c r="D58" s="62" t="s">
        <v>56</v>
      </c>
      <c r="E58" s="62" t="s">
        <v>178</v>
      </c>
      <c r="F58" s="63" t="s">
        <v>58</v>
      </c>
      <c r="G58" s="64" t="s">
        <v>177</v>
      </c>
      <c r="I58" s="80" t="s">
        <v>59</v>
      </c>
      <c r="J58" s="81"/>
      <c r="K58" s="81"/>
      <c r="L58" s="81"/>
      <c r="M58" s="81"/>
      <c r="N58" s="81"/>
      <c r="O58" s="81"/>
      <c r="P58" s="81"/>
      <c r="Q58" s="81"/>
      <c r="R58" s="82"/>
    </row>
    <row r="59" spans="1:18" ht="18.75" x14ac:dyDescent="0.3">
      <c r="A59" s="5"/>
      <c r="B59" s="76"/>
      <c r="C59" s="33" t="s">
        <v>188</v>
      </c>
      <c r="D59" s="57">
        <v>4</v>
      </c>
      <c r="E59" s="14">
        <v>0</v>
      </c>
      <c r="F59" s="14">
        <v>67</v>
      </c>
      <c r="G59" s="59" t="s">
        <v>196</v>
      </c>
      <c r="I59" s="85" t="s">
        <v>60</v>
      </c>
      <c r="J59" s="86"/>
      <c r="K59" s="86"/>
      <c r="L59" s="86"/>
      <c r="M59" s="86"/>
      <c r="N59" s="83" t="s">
        <v>192</v>
      </c>
      <c r="O59" s="83"/>
      <c r="P59" s="83"/>
      <c r="Q59" s="83"/>
      <c r="R59" s="84"/>
    </row>
    <row r="60" spans="1:18" ht="19.5" thickBot="1" x14ac:dyDescent="0.35">
      <c r="A60" s="5"/>
      <c r="B60" s="76"/>
      <c r="C60" s="33" t="s">
        <v>187</v>
      </c>
      <c r="D60" s="57">
        <v>4</v>
      </c>
      <c r="E60" s="57">
        <v>1</v>
      </c>
      <c r="F60" s="57">
        <v>74</v>
      </c>
      <c r="G60" s="59" t="s">
        <v>198</v>
      </c>
      <c r="I60" s="87" t="s">
        <v>62</v>
      </c>
      <c r="J60" s="88"/>
      <c r="K60" s="88"/>
      <c r="L60" s="88"/>
      <c r="M60" s="88"/>
      <c r="N60" s="78" t="s">
        <v>214</v>
      </c>
      <c r="O60" s="78"/>
      <c r="P60" s="78"/>
      <c r="Q60" s="78"/>
      <c r="R60" s="79"/>
    </row>
    <row r="61" spans="1:18" ht="18.75" x14ac:dyDescent="0.3">
      <c r="A61" s="5"/>
      <c r="B61" s="76"/>
      <c r="C61" s="65" t="s">
        <v>66</v>
      </c>
      <c r="D61" s="66">
        <v>3</v>
      </c>
      <c r="E61" s="67">
        <v>1</v>
      </c>
      <c r="F61" s="67">
        <v>60</v>
      </c>
      <c r="G61" s="68" t="s">
        <v>197</v>
      </c>
      <c r="I61" s="87" t="s">
        <v>64</v>
      </c>
      <c r="J61" s="88"/>
      <c r="K61" s="88"/>
      <c r="L61" s="88"/>
      <c r="M61" s="88"/>
      <c r="N61" s="78" t="s">
        <v>213</v>
      </c>
      <c r="O61" s="78"/>
      <c r="P61" s="78"/>
      <c r="Q61" s="78"/>
      <c r="R61" s="79"/>
    </row>
    <row r="62" spans="1:18" ht="18.75" x14ac:dyDescent="0.3">
      <c r="A62" s="6"/>
      <c r="B62" s="76"/>
      <c r="C62" s="33" t="s">
        <v>71</v>
      </c>
      <c r="D62" s="57">
        <v>3</v>
      </c>
      <c r="E62" s="14">
        <v>2</v>
      </c>
      <c r="F62" s="14">
        <v>69</v>
      </c>
      <c r="G62" s="59" t="s">
        <v>199</v>
      </c>
      <c r="I62" s="87" t="s">
        <v>65</v>
      </c>
      <c r="J62" s="88"/>
      <c r="K62" s="88"/>
      <c r="L62" s="88"/>
      <c r="M62" s="88"/>
      <c r="N62" s="78" t="s">
        <v>215</v>
      </c>
      <c r="O62" s="78"/>
      <c r="P62" s="78"/>
      <c r="Q62" s="78"/>
      <c r="R62" s="79"/>
    </row>
    <row r="63" spans="1:18" ht="18" customHeight="1" x14ac:dyDescent="0.3">
      <c r="A63" s="6"/>
      <c r="B63" s="76"/>
      <c r="C63" s="33" t="s">
        <v>70</v>
      </c>
      <c r="D63" s="57">
        <v>2</v>
      </c>
      <c r="E63" s="14">
        <v>2</v>
      </c>
      <c r="F63" s="14">
        <v>43</v>
      </c>
      <c r="G63" s="59" t="s">
        <v>201</v>
      </c>
      <c r="I63" s="87" t="s">
        <v>67</v>
      </c>
      <c r="J63" s="88"/>
      <c r="K63" s="88"/>
      <c r="L63" s="88"/>
      <c r="M63" s="88"/>
      <c r="N63" s="78" t="s">
        <v>193</v>
      </c>
      <c r="O63" s="78"/>
      <c r="P63" s="78"/>
      <c r="Q63" s="78"/>
      <c r="R63" s="79"/>
    </row>
    <row r="64" spans="1:18" ht="18" customHeight="1" thickBot="1" x14ac:dyDescent="0.35">
      <c r="A64" s="6"/>
      <c r="B64" s="76"/>
      <c r="C64" s="33" t="s">
        <v>63</v>
      </c>
      <c r="D64" s="57">
        <v>2</v>
      </c>
      <c r="E64" s="14">
        <v>2</v>
      </c>
      <c r="F64" s="14">
        <v>46</v>
      </c>
      <c r="G64" s="59" t="s">
        <v>195</v>
      </c>
      <c r="I64" s="73" t="s">
        <v>68</v>
      </c>
      <c r="J64" s="74"/>
      <c r="K64" s="74"/>
      <c r="L64" s="74"/>
      <c r="M64" s="74"/>
      <c r="N64" s="78" t="s">
        <v>206</v>
      </c>
      <c r="O64" s="78"/>
      <c r="P64" s="78"/>
      <c r="Q64" s="78"/>
      <c r="R64" s="79"/>
    </row>
    <row r="65" spans="1:9" ht="18.75" x14ac:dyDescent="0.3">
      <c r="A65" s="6"/>
      <c r="B65" s="76"/>
      <c r="C65" s="35" t="s">
        <v>72</v>
      </c>
      <c r="D65" s="58">
        <v>2</v>
      </c>
      <c r="E65" s="58">
        <v>3</v>
      </c>
      <c r="F65" s="58">
        <v>44</v>
      </c>
      <c r="G65" s="59" t="s">
        <v>202</v>
      </c>
      <c r="H65" s="6"/>
      <c r="I65" s="6"/>
    </row>
    <row r="66" spans="1:9" ht="19.5" thickBot="1" x14ac:dyDescent="0.35">
      <c r="A66" s="6"/>
      <c r="B66" s="76"/>
      <c r="C66" s="69" t="s">
        <v>207</v>
      </c>
      <c r="D66" s="70">
        <v>1</v>
      </c>
      <c r="E66" s="70">
        <v>2</v>
      </c>
      <c r="F66" s="70">
        <v>31</v>
      </c>
      <c r="G66" s="60" t="s">
        <v>194</v>
      </c>
      <c r="H66" s="6"/>
    </row>
    <row r="67" spans="1:9" ht="18.75" x14ac:dyDescent="0.3">
      <c r="B67" s="76"/>
      <c r="C67" s="33" t="s">
        <v>69</v>
      </c>
      <c r="D67" s="57">
        <v>1</v>
      </c>
      <c r="E67" s="57">
        <v>3</v>
      </c>
      <c r="F67" s="57">
        <v>40</v>
      </c>
      <c r="G67" s="59" t="s">
        <v>204</v>
      </c>
    </row>
    <row r="68" spans="1:9" ht="18.75" x14ac:dyDescent="0.3">
      <c r="B68" s="76"/>
      <c r="C68" s="33" t="s">
        <v>179</v>
      </c>
      <c r="D68" s="58">
        <v>1</v>
      </c>
      <c r="E68" s="58">
        <v>4</v>
      </c>
      <c r="F68" s="58">
        <v>57</v>
      </c>
      <c r="G68" s="59" t="s">
        <v>200</v>
      </c>
    </row>
    <row r="69" spans="1:9" ht="19.5" thickBot="1" x14ac:dyDescent="0.35">
      <c r="B69" s="77"/>
      <c r="C69" s="33" t="s">
        <v>141</v>
      </c>
      <c r="D69" s="58">
        <v>1</v>
      </c>
      <c r="E69" s="58">
        <v>4</v>
      </c>
      <c r="F69" s="58">
        <v>45</v>
      </c>
      <c r="G69" s="59" t="s">
        <v>203</v>
      </c>
    </row>
  </sheetData>
  <sortState xmlns:xlrd2="http://schemas.microsoft.com/office/spreadsheetml/2017/richdata2" ref="A2:M56">
    <sortCondition descending="1" ref="F2:F56"/>
  </sortState>
  <mergeCells count="14">
    <mergeCell ref="I64:M64"/>
    <mergeCell ref="B58:B69"/>
    <mergeCell ref="N64:R64"/>
    <mergeCell ref="I58:R58"/>
    <mergeCell ref="N59:R59"/>
    <mergeCell ref="N60:R60"/>
    <mergeCell ref="N61:R61"/>
    <mergeCell ref="N62:R62"/>
    <mergeCell ref="N63:R63"/>
    <mergeCell ref="I59:M59"/>
    <mergeCell ref="I60:M60"/>
    <mergeCell ref="I61:M61"/>
    <mergeCell ref="I62:M62"/>
    <mergeCell ref="I63:M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98FA8-C5E6-4CD5-A451-3F608BF5F1E1}">
  <dimension ref="A1:R80"/>
  <sheetViews>
    <sheetView workbookViewId="0">
      <selection activeCell="D5" sqref="D5"/>
    </sheetView>
  </sheetViews>
  <sheetFormatPr defaultRowHeight="15" x14ac:dyDescent="0.25"/>
  <cols>
    <col min="1" max="1" width="5.42578125" bestFit="1" customWidth="1"/>
    <col min="2" max="2" width="23.85546875" bestFit="1" customWidth="1"/>
    <col min="3" max="3" width="31.140625" bestFit="1" customWidth="1"/>
    <col min="4" max="5" width="10.7109375" bestFit="1" customWidth="1"/>
    <col min="6" max="6" width="7.7109375" bestFit="1" customWidth="1"/>
    <col min="7" max="7" width="8.140625" bestFit="1" customWidth="1"/>
    <col min="8" max="11" width="5.7109375" customWidth="1"/>
    <col min="12" max="12" width="7.7109375" bestFit="1" customWidth="1"/>
    <col min="13" max="13" width="10.85546875" bestFit="1" customWidth="1"/>
    <col min="18" max="18" width="18.85546875" customWidth="1"/>
  </cols>
  <sheetData>
    <row r="1" spans="1:13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75" x14ac:dyDescent="0.3">
      <c r="A2" s="3">
        <v>1</v>
      </c>
      <c r="B2" s="4" t="s">
        <v>171</v>
      </c>
      <c r="C2" s="4" t="s">
        <v>22</v>
      </c>
      <c r="D2" s="14">
        <f>SUM(1503)</f>
        <v>1503</v>
      </c>
      <c r="E2" s="14">
        <f>SUM(83)</f>
        <v>83</v>
      </c>
      <c r="F2" s="15">
        <f t="shared" ref="F2:F33" si="0">SUM(D2/E2)</f>
        <v>18.108433734939759</v>
      </c>
      <c r="G2" s="14">
        <v>1</v>
      </c>
      <c r="H2" s="14">
        <v>1</v>
      </c>
      <c r="I2" s="14"/>
      <c r="J2" s="14"/>
      <c r="K2" s="14"/>
      <c r="L2" s="14">
        <v>6</v>
      </c>
      <c r="M2" s="16"/>
    </row>
    <row r="3" spans="1:13" ht="18.75" x14ac:dyDescent="0.3">
      <c r="A3" s="3">
        <v>2</v>
      </c>
      <c r="B3" s="4" t="s">
        <v>19</v>
      </c>
      <c r="C3" s="4" t="s">
        <v>14</v>
      </c>
      <c r="D3" s="14">
        <f>SUM(1503+1501+1499+1401+1471+1481+1487)</f>
        <v>10343</v>
      </c>
      <c r="E3" s="14">
        <f>SUM(88+78+80+76+97+122+74)</f>
        <v>615</v>
      </c>
      <c r="F3" s="15">
        <f t="shared" si="0"/>
        <v>16.817886178861787</v>
      </c>
      <c r="G3" s="14">
        <v>7</v>
      </c>
      <c r="H3" s="14">
        <v>6</v>
      </c>
      <c r="I3" s="14"/>
      <c r="J3" s="14"/>
      <c r="K3" s="14"/>
      <c r="L3" s="14">
        <v>32.5</v>
      </c>
      <c r="M3" s="16">
        <v>20</v>
      </c>
    </row>
    <row r="4" spans="1:13" ht="18.75" x14ac:dyDescent="0.3">
      <c r="A4" s="3">
        <v>3</v>
      </c>
      <c r="B4" s="4" t="s">
        <v>23</v>
      </c>
      <c r="C4" s="4" t="s">
        <v>14</v>
      </c>
      <c r="D4" s="14">
        <f>SUM(1503+1503+1503+1479+1498+1336+1503+1501+1479)</f>
        <v>13305</v>
      </c>
      <c r="E4" s="14">
        <f>SUM(93+102+87+75+85+80+94+92+94)</f>
        <v>802</v>
      </c>
      <c r="F4" s="15">
        <f t="shared" si="0"/>
        <v>16.589775561097255</v>
      </c>
      <c r="G4" s="14">
        <v>9</v>
      </c>
      <c r="H4" s="14">
        <v>7</v>
      </c>
      <c r="I4" s="14">
        <v>1</v>
      </c>
      <c r="J4" s="14"/>
      <c r="K4" s="14">
        <v>1</v>
      </c>
      <c r="L4" s="14">
        <v>39</v>
      </c>
      <c r="M4" s="16">
        <v>5</v>
      </c>
    </row>
    <row r="5" spans="1:13" ht="18.75" x14ac:dyDescent="0.3">
      <c r="A5" s="3">
        <v>4</v>
      </c>
      <c r="B5" s="4" t="s">
        <v>13</v>
      </c>
      <c r="C5" s="4" t="s">
        <v>14</v>
      </c>
      <c r="D5" s="14">
        <f>SUM(1503+1493+1483+1503+1347+1503+1471+1503+1428)</f>
        <v>13234</v>
      </c>
      <c r="E5" s="14">
        <f>SUM(87+94+89+105+89+91+89+89+89)</f>
        <v>822</v>
      </c>
      <c r="F5" s="15">
        <f t="shared" si="0"/>
        <v>16.099756690997566</v>
      </c>
      <c r="G5" s="14">
        <v>9</v>
      </c>
      <c r="H5" s="14">
        <v>8</v>
      </c>
      <c r="I5" s="14"/>
      <c r="J5" s="14"/>
      <c r="K5" s="14"/>
      <c r="L5" s="14">
        <v>40.5</v>
      </c>
      <c r="M5" s="16">
        <v>5</v>
      </c>
    </row>
    <row r="6" spans="1:13" ht="18.75" x14ac:dyDescent="0.3">
      <c r="A6" s="3">
        <v>5</v>
      </c>
      <c r="B6" s="4" t="s">
        <v>15</v>
      </c>
      <c r="C6" s="4" t="s">
        <v>16</v>
      </c>
      <c r="D6" s="14">
        <f>SUM(1439+1494+1469+1433+1433+1403+1360+1481+1457)</f>
        <v>12969</v>
      </c>
      <c r="E6" s="14">
        <f>SUM(83+92+88+91+92+75+104+114+90)</f>
        <v>829</v>
      </c>
      <c r="F6" s="15">
        <f t="shared" si="0"/>
        <v>15.644149577804583</v>
      </c>
      <c r="G6" s="14">
        <v>9</v>
      </c>
      <c r="H6" s="14">
        <v>3</v>
      </c>
      <c r="I6" s="14"/>
      <c r="J6" s="14"/>
      <c r="K6" s="14"/>
      <c r="L6" s="14">
        <v>24.5</v>
      </c>
      <c r="M6" s="16">
        <v>5</v>
      </c>
    </row>
    <row r="7" spans="1:13" ht="18.75" x14ac:dyDescent="0.3">
      <c r="A7" s="3">
        <v>6</v>
      </c>
      <c r="B7" s="4" t="s">
        <v>11</v>
      </c>
      <c r="C7" s="4" t="s">
        <v>12</v>
      </c>
      <c r="D7" s="14">
        <f>SUM(1434+1499+1503+1463+1490+1467+1348+1437)</f>
        <v>11641</v>
      </c>
      <c r="E7" s="14">
        <f>SUM(78+102+87+91+93+109+93+93)</f>
        <v>746</v>
      </c>
      <c r="F7" s="15">
        <f t="shared" si="0"/>
        <v>15.60455764075067</v>
      </c>
      <c r="G7" s="14">
        <v>8</v>
      </c>
      <c r="H7" s="14">
        <v>5</v>
      </c>
      <c r="I7" s="14">
        <v>1</v>
      </c>
      <c r="J7" s="14"/>
      <c r="K7" s="14"/>
      <c r="L7" s="14">
        <v>27.5</v>
      </c>
      <c r="M7" s="16">
        <v>15</v>
      </c>
    </row>
    <row r="8" spans="1:13" ht="18.75" x14ac:dyDescent="0.3">
      <c r="A8" s="3">
        <v>7</v>
      </c>
      <c r="B8" s="4" t="s">
        <v>27</v>
      </c>
      <c r="C8" s="4" t="s">
        <v>18</v>
      </c>
      <c r="D8" s="14">
        <f>SUM(1501+1503+1503+1491+1412+1503+1462+1503)</f>
        <v>11878</v>
      </c>
      <c r="E8" s="14">
        <f>SUM(125+90+100+97+76+91+89+98)</f>
        <v>766</v>
      </c>
      <c r="F8" s="15">
        <f t="shared" si="0"/>
        <v>15.506527415143603</v>
      </c>
      <c r="G8" s="14">
        <v>8</v>
      </c>
      <c r="H8" s="14">
        <v>6</v>
      </c>
      <c r="I8" s="14"/>
      <c r="J8" s="14"/>
      <c r="K8" s="14">
        <v>1</v>
      </c>
      <c r="L8" s="14">
        <v>31.5</v>
      </c>
      <c r="M8" s="16">
        <v>15</v>
      </c>
    </row>
    <row r="9" spans="1:13" ht="18.75" x14ac:dyDescent="0.3">
      <c r="A9" s="3">
        <v>8</v>
      </c>
      <c r="B9" s="4" t="s">
        <v>50</v>
      </c>
      <c r="C9" s="4" t="s">
        <v>16</v>
      </c>
      <c r="D9" s="14">
        <f>SUM(1305+1155+1497+1433+1488+1439+1495+1503+1503)</f>
        <v>12818</v>
      </c>
      <c r="E9" s="14">
        <f>SUM(82+73+109+98+104+100+102+79+98)</f>
        <v>845</v>
      </c>
      <c r="F9" s="15">
        <f t="shared" si="0"/>
        <v>15.169230769230769</v>
      </c>
      <c r="G9" s="14">
        <v>9</v>
      </c>
      <c r="H9" s="14">
        <v>7</v>
      </c>
      <c r="I9" s="14"/>
      <c r="J9" s="14"/>
      <c r="K9" s="14"/>
      <c r="L9" s="14">
        <v>35</v>
      </c>
      <c r="M9" s="16">
        <v>5</v>
      </c>
    </row>
    <row r="10" spans="1:13" ht="18.75" x14ac:dyDescent="0.3">
      <c r="A10" s="3">
        <v>9</v>
      </c>
      <c r="B10" s="4" t="s">
        <v>165</v>
      </c>
      <c r="C10" s="4" t="s">
        <v>163</v>
      </c>
      <c r="D10" s="14">
        <f>SUM(1503+1473+1444+1426+1498+1392)</f>
        <v>8736</v>
      </c>
      <c r="E10" s="14">
        <f>SUM(115+100+87+93+103+86)</f>
        <v>584</v>
      </c>
      <c r="F10" s="15">
        <f t="shared" si="0"/>
        <v>14.95890410958904</v>
      </c>
      <c r="G10" s="14">
        <v>6</v>
      </c>
      <c r="H10" s="14">
        <v>4</v>
      </c>
      <c r="I10" s="14"/>
      <c r="J10" s="14"/>
      <c r="K10" s="14"/>
      <c r="L10" s="14">
        <v>18</v>
      </c>
      <c r="M10" s="16"/>
    </row>
    <row r="11" spans="1:13" ht="18.75" x14ac:dyDescent="0.3">
      <c r="A11" s="3">
        <v>10</v>
      </c>
      <c r="B11" s="4" t="s">
        <v>26</v>
      </c>
      <c r="C11" s="4" t="s">
        <v>12</v>
      </c>
      <c r="D11" s="14">
        <f>SUM(1124+1503+1455+1463+1431+1419+1263+1357)</f>
        <v>11015</v>
      </c>
      <c r="E11" s="14">
        <f>SUM(81+82+115+97+102+100+96+80)</f>
        <v>753</v>
      </c>
      <c r="F11" s="15">
        <f t="shared" si="0"/>
        <v>14.628154050464808</v>
      </c>
      <c r="G11" s="14">
        <v>8</v>
      </c>
      <c r="H11" s="14">
        <v>3</v>
      </c>
      <c r="I11" s="14"/>
      <c r="J11" s="14">
        <v>1</v>
      </c>
      <c r="K11" s="14"/>
      <c r="L11" s="14">
        <v>23</v>
      </c>
      <c r="M11" s="16">
        <v>5</v>
      </c>
    </row>
    <row r="12" spans="1:13" ht="18.75" x14ac:dyDescent="0.3">
      <c r="A12" s="3">
        <v>11</v>
      </c>
      <c r="B12" s="18" t="s">
        <v>33</v>
      </c>
      <c r="C12" s="4" t="s">
        <v>34</v>
      </c>
      <c r="D12" s="14">
        <f>SUM(1463+1440+1348+1483+1155+1501+1486+1449+1503)</f>
        <v>12828</v>
      </c>
      <c r="E12" s="14">
        <f>SUM(87+90+90+101+80+109+137+80+104)</f>
        <v>878</v>
      </c>
      <c r="F12" s="15">
        <f t="shared" si="0"/>
        <v>14.610478359908884</v>
      </c>
      <c r="G12" s="14">
        <v>9</v>
      </c>
      <c r="H12" s="14">
        <v>5</v>
      </c>
      <c r="I12" s="14"/>
      <c r="J12" s="14"/>
      <c r="K12" s="14">
        <v>1</v>
      </c>
      <c r="L12" s="14">
        <v>25.5</v>
      </c>
      <c r="M12" s="16">
        <v>20</v>
      </c>
    </row>
    <row r="13" spans="1:13" ht="18.75" x14ac:dyDescent="0.3">
      <c r="A13" s="3">
        <v>12</v>
      </c>
      <c r="B13" s="18" t="s">
        <v>137</v>
      </c>
      <c r="C13" s="4" t="s">
        <v>29</v>
      </c>
      <c r="D13" s="14">
        <f>SUM(1501+1463+1503+1285+1296+1461+1463+1403)</f>
        <v>11375</v>
      </c>
      <c r="E13" s="14">
        <f>SUM(113+99+115+86+72+103+96+102)</f>
        <v>786</v>
      </c>
      <c r="F13" s="15">
        <f t="shared" si="0"/>
        <v>14.472010178117049</v>
      </c>
      <c r="G13" s="14">
        <v>8</v>
      </c>
      <c r="H13" s="14">
        <v>3</v>
      </c>
      <c r="I13" s="14"/>
      <c r="J13" s="14"/>
      <c r="K13" s="14"/>
      <c r="L13" s="14">
        <v>22</v>
      </c>
      <c r="M13" s="16">
        <v>5</v>
      </c>
    </row>
    <row r="14" spans="1:13" ht="18.75" x14ac:dyDescent="0.3">
      <c r="A14" s="3">
        <v>13</v>
      </c>
      <c r="B14" s="18" t="s">
        <v>153</v>
      </c>
      <c r="C14" s="4" t="s">
        <v>159</v>
      </c>
      <c r="D14" s="14">
        <f>SUM(1431+1330+1465+1356+1495+1483+1453+1410+1431)</f>
        <v>12854</v>
      </c>
      <c r="E14" s="14">
        <f>SUM(111+103+105+76+116+100+108+82+93)</f>
        <v>894</v>
      </c>
      <c r="F14" s="15">
        <f t="shared" si="0"/>
        <v>14.378076062639821</v>
      </c>
      <c r="G14" s="14">
        <v>9</v>
      </c>
      <c r="H14" s="14">
        <v>6</v>
      </c>
      <c r="I14" s="14"/>
      <c r="J14" s="14"/>
      <c r="K14" s="14"/>
      <c r="L14" s="14">
        <v>28</v>
      </c>
      <c r="M14" s="16"/>
    </row>
    <row r="15" spans="1:13" ht="18.75" x14ac:dyDescent="0.3">
      <c r="A15" s="3">
        <v>14</v>
      </c>
      <c r="B15" s="3" t="s">
        <v>17</v>
      </c>
      <c r="C15" s="8" t="s">
        <v>18</v>
      </c>
      <c r="D15" s="14">
        <f>SUM(1503+1238+1475+1503+1447+1455+1297+1438+1503)</f>
        <v>12859</v>
      </c>
      <c r="E15" s="14">
        <f>SUM(101+96+104+93+109+100+96+98+117)</f>
        <v>914</v>
      </c>
      <c r="F15" s="15">
        <f t="shared" si="0"/>
        <v>14.068927789934355</v>
      </c>
      <c r="G15" s="14">
        <v>9</v>
      </c>
      <c r="H15" s="14">
        <v>4</v>
      </c>
      <c r="I15" s="14"/>
      <c r="J15" s="14"/>
      <c r="K15" s="14"/>
      <c r="L15" s="14">
        <v>28.5</v>
      </c>
      <c r="M15" s="16"/>
    </row>
    <row r="16" spans="1:13" ht="18.75" x14ac:dyDescent="0.3">
      <c r="A16" s="3">
        <v>15</v>
      </c>
      <c r="B16" s="3" t="s">
        <v>21</v>
      </c>
      <c r="C16" s="4" t="s">
        <v>22</v>
      </c>
      <c r="D16" s="14">
        <f>SUM(1399+1503+1274+1463+1443+1165+1500+1475+1335)</f>
        <v>12557</v>
      </c>
      <c r="E16" s="14">
        <f>SUM(82+109+87+114+103+86+141+97+93)</f>
        <v>912</v>
      </c>
      <c r="F16" s="15">
        <f t="shared" si="0"/>
        <v>13.768640350877194</v>
      </c>
      <c r="G16" s="14">
        <v>9</v>
      </c>
      <c r="H16" s="14">
        <v>3</v>
      </c>
      <c r="I16" s="14"/>
      <c r="J16" s="14"/>
      <c r="K16" s="14"/>
      <c r="L16" s="14">
        <v>29.5</v>
      </c>
      <c r="M16" s="16"/>
    </row>
    <row r="17" spans="1:13" ht="18.75" x14ac:dyDescent="0.3">
      <c r="A17" s="3">
        <v>16</v>
      </c>
      <c r="B17" s="18" t="s">
        <v>157</v>
      </c>
      <c r="C17" s="4" t="s">
        <v>163</v>
      </c>
      <c r="D17" s="14">
        <f>SUM(1503+1503+1471+1501+1469+1503+1499+1503)</f>
        <v>11952</v>
      </c>
      <c r="E17" s="14">
        <f>SUM(97+85+93+158+100+121+119+98)</f>
        <v>871</v>
      </c>
      <c r="F17" s="15">
        <f t="shared" si="0"/>
        <v>13.722158438576349</v>
      </c>
      <c r="G17" s="14">
        <v>8</v>
      </c>
      <c r="H17" s="14">
        <v>7</v>
      </c>
      <c r="I17" s="14">
        <v>1</v>
      </c>
      <c r="J17" s="14"/>
      <c r="K17" s="14"/>
      <c r="L17" s="14">
        <v>32.5</v>
      </c>
      <c r="M17" s="16"/>
    </row>
    <row r="18" spans="1:13" ht="18.75" x14ac:dyDescent="0.3">
      <c r="A18" s="3">
        <v>17</v>
      </c>
      <c r="B18" s="3" t="s">
        <v>35</v>
      </c>
      <c r="C18" s="4" t="s">
        <v>22</v>
      </c>
      <c r="D18" s="14">
        <f>SUM(1385+1499+1356+1205+1499+1449+1503+1259+1262)</f>
        <v>12417</v>
      </c>
      <c r="E18" s="14">
        <f>SUM(79+109+82+81+141+120+114+89+93)</f>
        <v>908</v>
      </c>
      <c r="F18" s="15">
        <f t="shared" si="0"/>
        <v>13.67511013215859</v>
      </c>
      <c r="G18" s="14">
        <v>9</v>
      </c>
      <c r="H18" s="14">
        <v>5</v>
      </c>
      <c r="I18" s="14"/>
      <c r="J18" s="14"/>
      <c r="K18" s="14"/>
      <c r="L18" s="14">
        <v>31.5</v>
      </c>
      <c r="M18" s="16"/>
    </row>
    <row r="19" spans="1:13" ht="18.75" x14ac:dyDescent="0.3">
      <c r="A19" s="3">
        <v>18</v>
      </c>
      <c r="B19" s="4" t="s">
        <v>161</v>
      </c>
      <c r="C19" s="4" t="s">
        <v>12</v>
      </c>
      <c r="D19" s="14">
        <f>SUM(1503+1484+1456+1503+1447+1225+1487+1433)</f>
        <v>11538</v>
      </c>
      <c r="E19" s="14">
        <f>SUM(116+103+94+129+108+88+131+86)</f>
        <v>855</v>
      </c>
      <c r="F19" s="15">
        <f t="shared" si="0"/>
        <v>13.494736842105263</v>
      </c>
      <c r="G19" s="14">
        <v>8</v>
      </c>
      <c r="H19" s="14">
        <v>4</v>
      </c>
      <c r="I19" s="14"/>
      <c r="J19" s="14"/>
      <c r="K19" s="14"/>
      <c r="L19" s="14">
        <v>28.5</v>
      </c>
      <c r="M19" s="16">
        <v>5</v>
      </c>
    </row>
    <row r="20" spans="1:13" ht="18.75" x14ac:dyDescent="0.3">
      <c r="A20" s="3">
        <v>19</v>
      </c>
      <c r="B20" s="4" t="s">
        <v>150</v>
      </c>
      <c r="C20" s="4" t="s">
        <v>18</v>
      </c>
      <c r="D20" s="14">
        <f>SUM(1503+1488+1478+1211+1473+1495+1492)</f>
        <v>10140</v>
      </c>
      <c r="E20" s="14">
        <f>SUM(102+160+117+90+93+96+94)</f>
        <v>752</v>
      </c>
      <c r="F20" s="15">
        <f t="shared" si="0"/>
        <v>13.48404255319149</v>
      </c>
      <c r="G20" s="14">
        <v>7</v>
      </c>
      <c r="H20" s="14">
        <v>3</v>
      </c>
      <c r="I20" s="14"/>
      <c r="J20" s="14"/>
      <c r="K20" s="14"/>
      <c r="L20" s="14">
        <v>14.5</v>
      </c>
      <c r="M20" s="16"/>
    </row>
    <row r="21" spans="1:13" ht="18.75" x14ac:dyDescent="0.3">
      <c r="A21" s="3">
        <v>20</v>
      </c>
      <c r="B21" s="4" t="s">
        <v>49</v>
      </c>
      <c r="C21" s="4" t="s">
        <v>34</v>
      </c>
      <c r="D21" s="14">
        <f>SUM(1263+1432+1503+1311+1403+1503+1326+1463+1503)</f>
        <v>12707</v>
      </c>
      <c r="E21" s="14">
        <f>SUM(96+111+111+126+84+109+114+94+101)</f>
        <v>946</v>
      </c>
      <c r="F21" s="15">
        <f t="shared" si="0"/>
        <v>13.432346723044397</v>
      </c>
      <c r="G21" s="14">
        <v>9</v>
      </c>
      <c r="H21" s="14">
        <v>5</v>
      </c>
      <c r="I21" s="14"/>
      <c r="J21" s="14"/>
      <c r="K21" s="14"/>
      <c r="L21" s="14">
        <v>24</v>
      </c>
      <c r="M21" s="16">
        <v>5</v>
      </c>
    </row>
    <row r="22" spans="1:13" ht="18.75" x14ac:dyDescent="0.3">
      <c r="A22" s="3">
        <v>21</v>
      </c>
      <c r="B22" s="18" t="s">
        <v>32</v>
      </c>
      <c r="C22" s="4" t="s">
        <v>22</v>
      </c>
      <c r="D22" s="14">
        <f>SUM(1503+1285+1503+1425+1495+1503+1494+1331)</f>
        <v>11539</v>
      </c>
      <c r="E22" s="14">
        <f>SUM(109+111+88+114+109+111+122+96)</f>
        <v>860</v>
      </c>
      <c r="F22" s="15">
        <f t="shared" si="0"/>
        <v>13.417441860465116</v>
      </c>
      <c r="G22" s="14">
        <v>8</v>
      </c>
      <c r="H22" s="14">
        <v>5</v>
      </c>
      <c r="I22" s="14"/>
      <c r="J22" s="14"/>
      <c r="K22" s="14"/>
      <c r="L22" s="14">
        <v>26.5</v>
      </c>
      <c r="M22" s="16">
        <v>5</v>
      </c>
    </row>
    <row r="23" spans="1:13" ht="18.75" x14ac:dyDescent="0.3">
      <c r="A23" s="3">
        <v>22</v>
      </c>
      <c r="B23" s="4" t="s">
        <v>24</v>
      </c>
      <c r="C23" s="4" t="s">
        <v>22</v>
      </c>
      <c r="D23" s="14">
        <f>SUM(1465+1469+1456+1497+1481+1470+1495+1478+1463)</f>
        <v>13274</v>
      </c>
      <c r="E23" s="14">
        <f>SUM(109+117+124+101+127+93+115+98+107)</f>
        <v>991</v>
      </c>
      <c r="F23" s="15">
        <f t="shared" si="0"/>
        <v>13.394550958627649</v>
      </c>
      <c r="G23" s="14">
        <v>9</v>
      </c>
      <c r="H23" s="14">
        <v>4</v>
      </c>
      <c r="I23" s="14"/>
      <c r="J23" s="14"/>
      <c r="K23" s="14"/>
      <c r="L23" s="14">
        <v>29.5</v>
      </c>
      <c r="M23" s="16"/>
    </row>
    <row r="24" spans="1:13" ht="18.75" x14ac:dyDescent="0.3">
      <c r="A24" s="3">
        <v>23</v>
      </c>
      <c r="B24" s="18" t="s">
        <v>138</v>
      </c>
      <c r="C24" s="8" t="s">
        <v>29</v>
      </c>
      <c r="D24" s="14">
        <f>SUM(1423+1499+1489+1368+1469+1306+1295+1430)</f>
        <v>11279</v>
      </c>
      <c r="E24" s="14">
        <f>SUM(103+114+104+113+102+86+125+99)</f>
        <v>846</v>
      </c>
      <c r="F24" s="15">
        <f t="shared" si="0"/>
        <v>13.332151300236406</v>
      </c>
      <c r="G24" s="14">
        <v>8</v>
      </c>
      <c r="H24" s="14">
        <v>7</v>
      </c>
      <c r="I24" s="14"/>
      <c r="J24" s="14"/>
      <c r="K24" s="14">
        <v>1</v>
      </c>
      <c r="L24" s="14">
        <v>25</v>
      </c>
      <c r="M24" s="16">
        <v>5</v>
      </c>
    </row>
    <row r="25" spans="1:13" ht="18.75" x14ac:dyDescent="0.3">
      <c r="A25" s="3">
        <v>24</v>
      </c>
      <c r="B25" s="18" t="s">
        <v>144</v>
      </c>
      <c r="C25" s="4" t="s">
        <v>16</v>
      </c>
      <c r="D25" s="14">
        <f>SUM(1373+1159+1501+1471+1503+1503+1258+1503)</f>
        <v>11271</v>
      </c>
      <c r="E25" s="14">
        <f>SUM(111+99+117+102+95+133+96+95)</f>
        <v>848</v>
      </c>
      <c r="F25" s="15">
        <f t="shared" si="0"/>
        <v>13.29127358490566</v>
      </c>
      <c r="G25" s="14">
        <v>8</v>
      </c>
      <c r="H25" s="14">
        <v>5</v>
      </c>
      <c r="I25" s="14"/>
      <c r="J25" s="14"/>
      <c r="K25" s="14"/>
      <c r="L25" s="14">
        <v>21.5</v>
      </c>
      <c r="M25" s="16"/>
    </row>
    <row r="26" spans="1:13" ht="18.75" x14ac:dyDescent="0.3">
      <c r="A26" s="3">
        <v>25</v>
      </c>
      <c r="B26" s="10" t="s">
        <v>154</v>
      </c>
      <c r="C26" s="4" t="s">
        <v>159</v>
      </c>
      <c r="D26" s="14">
        <f>SUM(1451+1138+1313+1427+1430+1357+1305+1159)</f>
        <v>10580</v>
      </c>
      <c r="E26" s="14">
        <f>SUM(115+81+108+114+112+96+90+90)</f>
        <v>806</v>
      </c>
      <c r="F26" s="15">
        <f t="shared" si="0"/>
        <v>13.126550868486353</v>
      </c>
      <c r="G26" s="14">
        <v>8</v>
      </c>
      <c r="H26" s="14">
        <v>3</v>
      </c>
      <c r="I26" s="14"/>
      <c r="J26" s="14"/>
      <c r="K26" s="14"/>
      <c r="L26" s="14">
        <v>20</v>
      </c>
      <c r="M26" s="16"/>
    </row>
    <row r="27" spans="1:13" ht="18.75" x14ac:dyDescent="0.3">
      <c r="A27" s="3">
        <v>26</v>
      </c>
      <c r="B27" s="8" t="s">
        <v>31</v>
      </c>
      <c r="C27" s="4" t="s">
        <v>139</v>
      </c>
      <c r="D27" s="14">
        <f>SUM(1467+1499+1403+1499+1276+1487+1439+1503+1305)</f>
        <v>12878</v>
      </c>
      <c r="E27" s="14">
        <f>SUM(129+121+106+120+102+101+99+117+93)</f>
        <v>988</v>
      </c>
      <c r="F27" s="15">
        <f t="shared" si="0"/>
        <v>13.034412955465587</v>
      </c>
      <c r="G27" s="14">
        <v>9</v>
      </c>
      <c r="H27" s="14">
        <v>5</v>
      </c>
      <c r="I27" s="14"/>
      <c r="J27" s="14"/>
      <c r="K27" s="14"/>
      <c r="L27" s="14">
        <v>23</v>
      </c>
      <c r="M27" s="16">
        <v>5</v>
      </c>
    </row>
    <row r="28" spans="1:13" ht="18.75" x14ac:dyDescent="0.3">
      <c r="A28" s="3">
        <v>27</v>
      </c>
      <c r="B28" s="8" t="s">
        <v>156</v>
      </c>
      <c r="C28" s="4" t="s">
        <v>163</v>
      </c>
      <c r="D28" s="14">
        <f>SUM(1385+1489+1228+1410+1447+1440+1360+1503)</f>
        <v>11262</v>
      </c>
      <c r="E28" s="14">
        <f>SUM(107+126+87+126+108+106+96+113)</f>
        <v>869</v>
      </c>
      <c r="F28" s="15">
        <f t="shared" si="0"/>
        <v>12.959723820483314</v>
      </c>
      <c r="G28" s="14">
        <v>8</v>
      </c>
      <c r="H28" s="14">
        <v>1</v>
      </c>
      <c r="I28" s="14"/>
      <c r="J28" s="14"/>
      <c r="K28" s="14"/>
      <c r="L28" s="14">
        <v>15</v>
      </c>
      <c r="M28" s="16"/>
    </row>
    <row r="29" spans="1:13" ht="18.75" x14ac:dyDescent="0.3">
      <c r="A29" s="3">
        <v>28</v>
      </c>
      <c r="B29" s="10" t="s">
        <v>142</v>
      </c>
      <c r="C29" s="4" t="s">
        <v>14</v>
      </c>
      <c r="D29" s="14">
        <f>SUM(1497+1503+1455+1503+1487+1463+1503+1439)</f>
        <v>11850</v>
      </c>
      <c r="E29" s="14">
        <f>SUM(119+89+126+118+133+86+148+105)</f>
        <v>924</v>
      </c>
      <c r="F29" s="15">
        <f t="shared" si="0"/>
        <v>12.824675324675324</v>
      </c>
      <c r="G29" s="14">
        <v>8</v>
      </c>
      <c r="H29" s="14">
        <v>6</v>
      </c>
      <c r="I29" s="14"/>
      <c r="J29" s="14"/>
      <c r="K29" s="14"/>
      <c r="L29" s="14">
        <v>33.5</v>
      </c>
      <c r="M29" s="16"/>
    </row>
    <row r="30" spans="1:13" ht="18.75" x14ac:dyDescent="0.3">
      <c r="A30" s="3">
        <v>29</v>
      </c>
      <c r="B30" s="8" t="s">
        <v>20</v>
      </c>
      <c r="C30" s="4" t="s">
        <v>16</v>
      </c>
      <c r="D30" s="14">
        <f>SUM(1316+1259+1404+1356+1498+1491)</f>
        <v>8324</v>
      </c>
      <c r="E30" s="14">
        <f>SUM(107+90+101+97+152+107)</f>
        <v>654</v>
      </c>
      <c r="F30" s="15">
        <f t="shared" si="0"/>
        <v>12.727828746177369</v>
      </c>
      <c r="G30" s="14">
        <v>6</v>
      </c>
      <c r="H30" s="14">
        <v>2</v>
      </c>
      <c r="I30" s="14"/>
      <c r="J30" s="14"/>
      <c r="K30" s="14"/>
      <c r="L30" s="14">
        <v>21</v>
      </c>
      <c r="M30" s="16"/>
    </row>
    <row r="31" spans="1:13" ht="18.75" x14ac:dyDescent="0.3">
      <c r="A31" s="3">
        <v>30</v>
      </c>
      <c r="B31" s="8" t="s">
        <v>30</v>
      </c>
      <c r="C31" s="4" t="s">
        <v>12</v>
      </c>
      <c r="D31" s="14">
        <f>SUM(1228+1398+1503+1422+1503+1501+1252+1503+1503)</f>
        <v>12813</v>
      </c>
      <c r="E31" s="14">
        <f>SUM(90+96+119+100+121+136+110+130+110)</f>
        <v>1012</v>
      </c>
      <c r="F31" s="15">
        <f t="shared" si="0"/>
        <v>12.661067193675889</v>
      </c>
      <c r="G31" s="14">
        <v>9</v>
      </c>
      <c r="H31" s="14">
        <v>5</v>
      </c>
      <c r="I31" s="14"/>
      <c r="J31" s="14"/>
      <c r="K31" s="14"/>
      <c r="L31" s="14">
        <v>24.5</v>
      </c>
      <c r="M31" s="16"/>
    </row>
    <row r="32" spans="1:13" ht="18.75" x14ac:dyDescent="0.3">
      <c r="A32" s="3">
        <v>31</v>
      </c>
      <c r="B32" s="55" t="s">
        <v>145</v>
      </c>
      <c r="C32" s="9" t="s">
        <v>12</v>
      </c>
      <c r="D32" s="14">
        <f>SUM(1409+1503+1471)</f>
        <v>4383</v>
      </c>
      <c r="E32" s="14">
        <f>SUM(119+107+121)</f>
        <v>347</v>
      </c>
      <c r="F32" s="15">
        <f t="shared" si="0"/>
        <v>12.631123919308358</v>
      </c>
      <c r="G32" s="14">
        <v>3</v>
      </c>
      <c r="H32" s="14">
        <v>1</v>
      </c>
      <c r="I32" s="14"/>
      <c r="J32" s="14"/>
      <c r="K32" s="14"/>
      <c r="L32" s="14">
        <v>9.5</v>
      </c>
      <c r="M32" s="16"/>
    </row>
    <row r="33" spans="1:13" ht="18.75" x14ac:dyDescent="0.3">
      <c r="A33" s="3">
        <v>32</v>
      </c>
      <c r="B33" s="10" t="s">
        <v>136</v>
      </c>
      <c r="C33" s="8" t="s">
        <v>29</v>
      </c>
      <c r="D33" s="14">
        <f>SUM(1424+1501+1501+1473+1429+1406+1479+1503)</f>
        <v>11716</v>
      </c>
      <c r="E33" s="14">
        <f>SUM(90+147+123+91+148+90+118+133)</f>
        <v>940</v>
      </c>
      <c r="F33" s="15">
        <f t="shared" si="0"/>
        <v>12.463829787234042</v>
      </c>
      <c r="G33" s="14">
        <v>8</v>
      </c>
      <c r="H33" s="14">
        <v>6</v>
      </c>
      <c r="I33" s="14"/>
      <c r="J33" s="14"/>
      <c r="K33" s="14"/>
      <c r="L33" s="14">
        <v>26.5</v>
      </c>
      <c r="M33" s="16"/>
    </row>
    <row r="34" spans="1:13" ht="18.75" x14ac:dyDescent="0.3">
      <c r="A34" s="3">
        <v>33</v>
      </c>
      <c r="B34" s="19" t="s">
        <v>151</v>
      </c>
      <c r="C34" s="8" t="s">
        <v>159</v>
      </c>
      <c r="D34" s="14">
        <f>SUM(1393+1406+1309+1237+1494+1503+1495+1501+1305)</f>
        <v>12643</v>
      </c>
      <c r="E34" s="14">
        <f>SUM(111+98+89+99+156+103+139+117+120)</f>
        <v>1032</v>
      </c>
      <c r="F34" s="15">
        <f t="shared" ref="F34:F54" si="1">SUM(D34/E34)</f>
        <v>12.250968992248062</v>
      </c>
      <c r="G34" s="14">
        <v>9</v>
      </c>
      <c r="H34" s="14">
        <v>5</v>
      </c>
      <c r="I34" s="14"/>
      <c r="J34" s="14"/>
      <c r="K34" s="14"/>
      <c r="L34" s="14">
        <v>25</v>
      </c>
      <c r="M34" s="16">
        <v>5</v>
      </c>
    </row>
    <row r="35" spans="1:13" ht="18.75" x14ac:dyDescent="0.3">
      <c r="A35" s="3">
        <v>34</v>
      </c>
      <c r="B35" s="18" t="s">
        <v>37</v>
      </c>
      <c r="C35" s="4" t="s">
        <v>29</v>
      </c>
      <c r="D35" s="14">
        <f>SUM(1315+1435+1406+1490+1393+1184+1448+1481)</f>
        <v>11152</v>
      </c>
      <c r="E35" s="14">
        <f>SUM(90+109+99+157+128+86+96+146)</f>
        <v>911</v>
      </c>
      <c r="F35" s="15">
        <f t="shared" si="1"/>
        <v>12.241492864983535</v>
      </c>
      <c r="G35" s="14">
        <v>8</v>
      </c>
      <c r="H35" s="14">
        <v>6</v>
      </c>
      <c r="I35" s="14"/>
      <c r="J35" s="14"/>
      <c r="K35" s="14"/>
      <c r="L35" s="14">
        <v>25</v>
      </c>
      <c r="M35" s="16"/>
    </row>
    <row r="36" spans="1:13" ht="18.75" x14ac:dyDescent="0.3">
      <c r="A36" s="3">
        <v>35</v>
      </c>
      <c r="B36" s="19" t="s">
        <v>43</v>
      </c>
      <c r="C36" s="4" t="s">
        <v>29</v>
      </c>
      <c r="D36" s="14">
        <f>SUM(1343)</f>
        <v>1343</v>
      </c>
      <c r="E36" s="14">
        <f>SUM(110)</f>
        <v>110</v>
      </c>
      <c r="F36" s="15">
        <f t="shared" si="1"/>
        <v>12.209090909090909</v>
      </c>
      <c r="G36" s="14">
        <v>1</v>
      </c>
      <c r="H36" s="14"/>
      <c r="I36" s="14"/>
      <c r="J36" s="14"/>
      <c r="K36" s="14"/>
      <c r="L36" s="14">
        <v>1.5</v>
      </c>
      <c r="M36" s="16"/>
    </row>
    <row r="37" spans="1:13" ht="18.75" x14ac:dyDescent="0.3">
      <c r="A37" s="3">
        <v>36</v>
      </c>
      <c r="B37" s="11" t="s">
        <v>54</v>
      </c>
      <c r="C37" s="8" t="s">
        <v>139</v>
      </c>
      <c r="D37" s="14">
        <f>SUM(1252+1503+1201+1498+1182+1482+1183+1503+1393)</f>
        <v>12197</v>
      </c>
      <c r="E37" s="14">
        <f>SUM(120+142+91+137+104+119+89+94+117)</f>
        <v>1013</v>
      </c>
      <c r="F37" s="15">
        <f t="shared" si="1"/>
        <v>12.040473840078974</v>
      </c>
      <c r="G37" s="14">
        <v>9</v>
      </c>
      <c r="H37" s="14">
        <v>3</v>
      </c>
      <c r="I37" s="14"/>
      <c r="J37" s="14"/>
      <c r="K37" s="14"/>
      <c r="L37" s="14">
        <v>21.5</v>
      </c>
      <c r="M37" s="16">
        <v>5</v>
      </c>
    </row>
    <row r="38" spans="1:13" ht="18.75" x14ac:dyDescent="0.3">
      <c r="A38" s="3">
        <v>37</v>
      </c>
      <c r="B38" s="19" t="s">
        <v>45</v>
      </c>
      <c r="C38" s="8" t="s">
        <v>139</v>
      </c>
      <c r="D38" s="14">
        <f>SUM(1218+1106+1372+1315+1297+1210+1169+832+1252)</f>
        <v>10771</v>
      </c>
      <c r="E38" s="14">
        <f>SUM(96+84+120+102+141+96+93+72+96)</f>
        <v>900</v>
      </c>
      <c r="F38" s="15">
        <f t="shared" si="1"/>
        <v>11.967777777777778</v>
      </c>
      <c r="G38" s="14">
        <v>9</v>
      </c>
      <c r="H38" s="14"/>
      <c r="I38" s="14"/>
      <c r="J38" s="14"/>
      <c r="K38" s="14"/>
      <c r="L38" s="14">
        <v>10.5</v>
      </c>
      <c r="M38" s="16"/>
    </row>
    <row r="39" spans="1:13" ht="18.75" x14ac:dyDescent="0.3">
      <c r="A39" s="3">
        <v>38</v>
      </c>
      <c r="B39" s="19" t="s">
        <v>25</v>
      </c>
      <c r="C39" s="8" t="s">
        <v>14</v>
      </c>
      <c r="D39" s="14">
        <f>SUM(1081+1364+1494)</f>
        <v>3939</v>
      </c>
      <c r="E39" s="14">
        <f>SUM(81+113+137)</f>
        <v>331</v>
      </c>
      <c r="F39" s="15">
        <f t="shared" si="1"/>
        <v>11.900302114803626</v>
      </c>
      <c r="G39" s="14">
        <v>3</v>
      </c>
      <c r="H39" s="14"/>
      <c r="I39" s="14"/>
      <c r="J39" s="14"/>
      <c r="K39" s="14"/>
      <c r="L39" s="14">
        <v>4.5</v>
      </c>
      <c r="M39" s="16"/>
    </row>
    <row r="40" spans="1:13" ht="18.75" x14ac:dyDescent="0.3">
      <c r="A40" s="3">
        <v>39</v>
      </c>
      <c r="B40" s="11" t="s">
        <v>51</v>
      </c>
      <c r="C40" s="8" t="s">
        <v>18</v>
      </c>
      <c r="D40" s="14">
        <f>SUM(1503+1503+1497+1499+1503)</f>
        <v>7505</v>
      </c>
      <c r="E40" s="14">
        <f>SUM(133+134+132+103+137)</f>
        <v>639</v>
      </c>
      <c r="F40" s="15">
        <f t="shared" si="1"/>
        <v>11.744913928012519</v>
      </c>
      <c r="G40" s="14">
        <v>5</v>
      </c>
      <c r="H40" s="14">
        <v>5</v>
      </c>
      <c r="I40" s="14"/>
      <c r="J40" s="14"/>
      <c r="K40" s="14"/>
      <c r="L40" s="14">
        <v>23.5</v>
      </c>
      <c r="M40" s="16"/>
    </row>
    <row r="41" spans="1:13" ht="18.75" x14ac:dyDescent="0.3">
      <c r="A41" s="3">
        <v>40</v>
      </c>
      <c r="B41" s="19" t="s">
        <v>168</v>
      </c>
      <c r="C41" s="8" t="s">
        <v>16</v>
      </c>
      <c r="D41" s="14">
        <f>SUM(1286+1395+1503)</f>
        <v>4184</v>
      </c>
      <c r="E41" s="14">
        <f>SUM(104+105+148)</f>
        <v>357</v>
      </c>
      <c r="F41" s="15">
        <f t="shared" si="1"/>
        <v>11.719887955182072</v>
      </c>
      <c r="G41" s="14">
        <v>3</v>
      </c>
      <c r="H41" s="14">
        <v>1</v>
      </c>
      <c r="I41" s="14"/>
      <c r="J41" s="14"/>
      <c r="K41" s="14"/>
      <c r="L41" s="14">
        <v>8.5</v>
      </c>
      <c r="M41" s="16"/>
    </row>
    <row r="42" spans="1:13" ht="18.75" x14ac:dyDescent="0.3">
      <c r="A42" s="3">
        <v>41</v>
      </c>
      <c r="B42" s="11" t="s">
        <v>167</v>
      </c>
      <c r="C42" s="8" t="s">
        <v>16</v>
      </c>
      <c r="D42" s="14">
        <f>SUM(1499)</f>
        <v>1499</v>
      </c>
      <c r="E42" s="14">
        <f>SUM(128)</f>
        <v>128</v>
      </c>
      <c r="F42" s="15">
        <f t="shared" si="1"/>
        <v>11.7109375</v>
      </c>
      <c r="G42" s="14">
        <v>1</v>
      </c>
      <c r="H42" s="14"/>
      <c r="I42" s="14"/>
      <c r="J42" s="14"/>
      <c r="K42" s="14"/>
      <c r="L42" s="14">
        <v>3.5</v>
      </c>
      <c r="M42" s="16"/>
    </row>
    <row r="43" spans="1:13" ht="18.75" x14ac:dyDescent="0.3">
      <c r="A43" s="3">
        <v>42</v>
      </c>
      <c r="B43" s="56" t="s">
        <v>155</v>
      </c>
      <c r="C43" s="8" t="s">
        <v>163</v>
      </c>
      <c r="D43" s="14">
        <f>SUM(1448+1487+1481+1487+1483+1498)</f>
        <v>8884</v>
      </c>
      <c r="E43" s="14">
        <f>SUM(144+138+128+104+138+107)</f>
        <v>759</v>
      </c>
      <c r="F43" s="15">
        <f t="shared" si="1"/>
        <v>11.704874835309617</v>
      </c>
      <c r="G43" s="14">
        <v>6</v>
      </c>
      <c r="H43" s="14">
        <v>4</v>
      </c>
      <c r="I43" s="14"/>
      <c r="J43" s="14"/>
      <c r="K43" s="14"/>
      <c r="L43" s="14">
        <v>17</v>
      </c>
      <c r="M43" s="16"/>
    </row>
    <row r="44" spans="1:13" ht="18.75" x14ac:dyDescent="0.3">
      <c r="A44" s="3">
        <v>43</v>
      </c>
      <c r="B44" s="18" t="s">
        <v>46</v>
      </c>
      <c r="C44" s="8" t="s">
        <v>163</v>
      </c>
      <c r="D44" s="14">
        <f>SUM(1214+1381+1209+1331+1260+1475+1467+1004)</f>
        <v>10341</v>
      </c>
      <c r="E44" s="14">
        <f>SUM(116+115+105+126+116+93+129+84)</f>
        <v>884</v>
      </c>
      <c r="F44" s="15">
        <f t="shared" si="1"/>
        <v>11.697963800904978</v>
      </c>
      <c r="G44" s="14">
        <v>8</v>
      </c>
      <c r="H44" s="14"/>
      <c r="I44" s="14"/>
      <c r="J44" s="14"/>
      <c r="K44" s="14"/>
      <c r="L44" s="14">
        <v>10.5</v>
      </c>
      <c r="M44" s="16"/>
    </row>
    <row r="45" spans="1:13" ht="18.75" x14ac:dyDescent="0.3">
      <c r="A45" s="3">
        <v>44</v>
      </c>
      <c r="B45" s="18" t="s">
        <v>48</v>
      </c>
      <c r="C45" s="4" t="s">
        <v>34</v>
      </c>
      <c r="D45" s="14">
        <f>SUM(1397+971+1477+1493+1123+1483+1497+1425+1454)</f>
        <v>12320</v>
      </c>
      <c r="E45" s="14">
        <f>SUM(109+84+128+136+89+135+128+120+126)</f>
        <v>1055</v>
      </c>
      <c r="F45" s="15">
        <f t="shared" si="1"/>
        <v>11.677725118483412</v>
      </c>
      <c r="G45" s="14">
        <v>9</v>
      </c>
      <c r="H45" s="14"/>
      <c r="I45" s="14"/>
      <c r="J45" s="14"/>
      <c r="K45" s="14"/>
      <c r="L45" s="14">
        <v>16.5</v>
      </c>
      <c r="M45" s="16"/>
    </row>
    <row r="46" spans="1:13" ht="18.75" x14ac:dyDescent="0.3">
      <c r="A46" s="3">
        <v>45</v>
      </c>
      <c r="B46" s="18" t="s">
        <v>143</v>
      </c>
      <c r="C46" s="4" t="s">
        <v>18</v>
      </c>
      <c r="D46" s="14">
        <f>SUM(1487+1277+1280+1499+1476+1485+1074)</f>
        <v>9578</v>
      </c>
      <c r="E46" s="14">
        <f>SUM(122+115+117+128+151+113+84)</f>
        <v>830</v>
      </c>
      <c r="F46" s="15">
        <f t="shared" si="1"/>
        <v>11.539759036144579</v>
      </c>
      <c r="G46" s="14">
        <v>7</v>
      </c>
      <c r="H46" s="14">
        <v>3</v>
      </c>
      <c r="I46" s="14"/>
      <c r="J46" s="14"/>
      <c r="K46" s="14"/>
      <c r="L46" s="14">
        <v>21</v>
      </c>
      <c r="M46" s="16"/>
    </row>
    <row r="47" spans="1:13" ht="18.75" x14ac:dyDescent="0.3">
      <c r="A47" s="3">
        <v>46</v>
      </c>
      <c r="B47" s="4" t="s">
        <v>162</v>
      </c>
      <c r="C47" s="9" t="s">
        <v>159</v>
      </c>
      <c r="D47" s="14">
        <f>SUM(1344+1443+1351+1475+1447+1496+1499)</f>
        <v>10055</v>
      </c>
      <c r="E47" s="14">
        <f>SUM(108+114+117+134+119+115+166)</f>
        <v>873</v>
      </c>
      <c r="F47" s="15">
        <f t="shared" si="1"/>
        <v>11.517754868270332</v>
      </c>
      <c r="G47" s="14">
        <v>7</v>
      </c>
      <c r="H47" s="14">
        <v>3</v>
      </c>
      <c r="I47" s="14"/>
      <c r="J47" s="14"/>
      <c r="K47" s="14"/>
      <c r="L47" s="14">
        <v>19.5</v>
      </c>
      <c r="M47" s="16"/>
    </row>
    <row r="48" spans="1:13" ht="18.75" x14ac:dyDescent="0.3">
      <c r="A48" s="3">
        <v>47</v>
      </c>
      <c r="B48" s="4" t="s">
        <v>152</v>
      </c>
      <c r="C48" s="4" t="s">
        <v>159</v>
      </c>
      <c r="D48" s="14">
        <f>SUM(1219+1493+1395)</f>
        <v>4107</v>
      </c>
      <c r="E48" s="14">
        <f>SUM(108+144+107)</f>
        <v>359</v>
      </c>
      <c r="F48" s="15">
        <f t="shared" si="1"/>
        <v>11.440111420612814</v>
      </c>
      <c r="G48" s="14">
        <v>3</v>
      </c>
      <c r="H48" s="14">
        <v>1</v>
      </c>
      <c r="I48" s="14"/>
      <c r="J48" s="14"/>
      <c r="K48" s="14"/>
      <c r="L48" s="14">
        <v>7.5</v>
      </c>
      <c r="M48" s="16">
        <v>10</v>
      </c>
    </row>
    <row r="49" spans="1:18" ht="18.75" x14ac:dyDescent="0.3">
      <c r="A49" s="3">
        <v>48</v>
      </c>
      <c r="B49" s="4" t="s">
        <v>40</v>
      </c>
      <c r="C49" s="4" t="s">
        <v>34</v>
      </c>
      <c r="D49" s="14">
        <f>SUM(1232+1259+1463)</f>
        <v>3954</v>
      </c>
      <c r="E49" s="14">
        <f>SUM(111+114+139)</f>
        <v>364</v>
      </c>
      <c r="F49" s="15">
        <f t="shared" si="1"/>
        <v>10.862637362637363</v>
      </c>
      <c r="G49" s="14">
        <v>3</v>
      </c>
      <c r="H49" s="14"/>
      <c r="I49" s="14"/>
      <c r="J49" s="14"/>
      <c r="K49" s="14"/>
      <c r="L49" s="14">
        <v>9</v>
      </c>
      <c r="M49" s="16"/>
    </row>
    <row r="50" spans="1:18" ht="18.75" x14ac:dyDescent="0.3">
      <c r="A50" s="3">
        <v>49</v>
      </c>
      <c r="B50" s="18" t="s">
        <v>160</v>
      </c>
      <c r="C50" s="4" t="s">
        <v>29</v>
      </c>
      <c r="D50" s="14">
        <f>SUM(1442+1464)</f>
        <v>2906</v>
      </c>
      <c r="E50" s="14">
        <f>SUM(129+141)</f>
        <v>270</v>
      </c>
      <c r="F50" s="15">
        <f t="shared" si="1"/>
        <v>10.762962962962963</v>
      </c>
      <c r="G50" s="14">
        <v>2</v>
      </c>
      <c r="H50" s="14"/>
      <c r="I50" s="14"/>
      <c r="J50" s="14"/>
      <c r="K50" s="14"/>
      <c r="L50" s="14">
        <v>2.5</v>
      </c>
      <c r="M50" s="16"/>
    </row>
    <row r="51" spans="1:18" ht="18.75" x14ac:dyDescent="0.3">
      <c r="A51" s="3">
        <v>50</v>
      </c>
      <c r="B51" s="4" t="s">
        <v>170</v>
      </c>
      <c r="C51" s="8" t="s">
        <v>29</v>
      </c>
      <c r="D51" s="14">
        <f>SUM(1381)</f>
        <v>1381</v>
      </c>
      <c r="E51" s="14">
        <f>SUM(129)</f>
        <v>129</v>
      </c>
      <c r="F51" s="15">
        <f t="shared" si="1"/>
        <v>10.705426356589147</v>
      </c>
      <c r="G51" s="14">
        <v>1</v>
      </c>
      <c r="H51" s="14"/>
      <c r="I51" s="14"/>
      <c r="J51" s="14"/>
      <c r="K51" s="14"/>
      <c r="L51" s="14">
        <v>0.5</v>
      </c>
      <c r="M51" s="16"/>
    </row>
    <row r="52" spans="1:18" ht="18.75" x14ac:dyDescent="0.3">
      <c r="A52" s="3">
        <v>51</v>
      </c>
      <c r="B52" s="4" t="s">
        <v>44</v>
      </c>
      <c r="C52" s="8" t="s">
        <v>139</v>
      </c>
      <c r="D52" s="14">
        <f>SUM(1457+1503+1489+1479+1444+1495+1429+1362)</f>
        <v>11658</v>
      </c>
      <c r="E52" s="14">
        <f>SUM(116+124+152+178+127+147+153+132)</f>
        <v>1129</v>
      </c>
      <c r="F52" s="15">
        <f t="shared" si="1"/>
        <v>10.325952170062001</v>
      </c>
      <c r="G52" s="14">
        <v>8</v>
      </c>
      <c r="H52" s="14">
        <v>2</v>
      </c>
      <c r="I52" s="14"/>
      <c r="J52" s="14"/>
      <c r="K52" s="14"/>
      <c r="L52" s="14">
        <v>14.5</v>
      </c>
      <c r="M52" s="16"/>
    </row>
    <row r="53" spans="1:18" ht="18.75" x14ac:dyDescent="0.3">
      <c r="A53" s="3">
        <v>52</v>
      </c>
      <c r="B53" s="18" t="s">
        <v>140</v>
      </c>
      <c r="C53" s="4" t="s">
        <v>34</v>
      </c>
      <c r="D53" s="14">
        <f>SUM(1261+1230+1487+1434+1097+1454)</f>
        <v>7963</v>
      </c>
      <c r="E53" s="14">
        <f>SUM(102+96+177+137+99+162)</f>
        <v>773</v>
      </c>
      <c r="F53" s="15">
        <f t="shared" si="1"/>
        <v>10.301423027166882</v>
      </c>
      <c r="G53" s="14">
        <v>5</v>
      </c>
      <c r="H53" s="14">
        <v>2</v>
      </c>
      <c r="I53" s="14"/>
      <c r="J53" s="14"/>
      <c r="K53" s="14"/>
      <c r="L53" s="14">
        <v>6</v>
      </c>
      <c r="M53" s="16"/>
    </row>
    <row r="54" spans="1:18" ht="18.75" x14ac:dyDescent="0.3">
      <c r="A54" s="3">
        <v>53</v>
      </c>
      <c r="B54" s="4" t="s">
        <v>147</v>
      </c>
      <c r="C54" s="4" t="s">
        <v>139</v>
      </c>
      <c r="D54" s="14">
        <f>SUM(1266)</f>
        <v>1266</v>
      </c>
      <c r="E54" s="14">
        <f>SUM(141)</f>
        <v>141</v>
      </c>
      <c r="F54" s="15">
        <f t="shared" si="1"/>
        <v>8.9787234042553195</v>
      </c>
      <c r="G54" s="14">
        <v>1</v>
      </c>
      <c r="H54" s="14"/>
      <c r="I54" s="14"/>
      <c r="J54" s="14"/>
      <c r="K54" s="14"/>
      <c r="L54" s="14">
        <v>4.5</v>
      </c>
      <c r="M54" s="16"/>
    </row>
    <row r="55" spans="1:18" ht="17.25" customHeight="1" thickBot="1" x14ac:dyDescent="0.3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8" ht="19.5" customHeight="1" thickBot="1" x14ac:dyDescent="0.35">
      <c r="A56" s="5"/>
      <c r="B56" s="75" t="s">
        <v>173</v>
      </c>
      <c r="C56" s="54" t="s">
        <v>55</v>
      </c>
      <c r="D56" s="29" t="s">
        <v>56</v>
      </c>
      <c r="E56" s="30" t="s">
        <v>57</v>
      </c>
      <c r="F56" s="23" t="s">
        <v>135</v>
      </c>
      <c r="G56" s="31" t="s">
        <v>58</v>
      </c>
      <c r="I56" s="80" t="s">
        <v>59</v>
      </c>
      <c r="J56" s="81"/>
      <c r="K56" s="81"/>
      <c r="L56" s="81"/>
      <c r="M56" s="81"/>
      <c r="N56" s="81"/>
      <c r="O56" s="81"/>
      <c r="P56" s="81"/>
      <c r="Q56" s="81"/>
      <c r="R56" s="82"/>
    </row>
    <row r="57" spans="1:18" ht="18.75" x14ac:dyDescent="0.3">
      <c r="A57" s="5"/>
      <c r="B57" s="89"/>
      <c r="C57" s="20" t="s">
        <v>70</v>
      </c>
      <c r="D57" s="8">
        <v>8</v>
      </c>
      <c r="E57" s="24">
        <v>1</v>
      </c>
      <c r="F57" s="18"/>
      <c r="G57" s="25">
        <v>150</v>
      </c>
      <c r="I57" s="85" t="s">
        <v>60</v>
      </c>
      <c r="J57" s="86"/>
      <c r="K57" s="86"/>
      <c r="L57" s="86"/>
      <c r="M57" s="86"/>
      <c r="N57" s="83" t="s">
        <v>158</v>
      </c>
      <c r="O57" s="83"/>
      <c r="P57" s="83"/>
      <c r="Q57" s="83"/>
      <c r="R57" s="84"/>
    </row>
    <row r="58" spans="1:18" ht="18.75" x14ac:dyDescent="0.3">
      <c r="A58" s="5"/>
      <c r="B58" s="89"/>
      <c r="C58" s="20" t="s">
        <v>66</v>
      </c>
      <c r="D58" s="8">
        <v>7</v>
      </c>
      <c r="E58" s="24">
        <v>2</v>
      </c>
      <c r="F58" s="18"/>
      <c r="G58" s="25">
        <v>123</v>
      </c>
      <c r="I58" s="87" t="s">
        <v>62</v>
      </c>
      <c r="J58" s="88"/>
      <c r="K58" s="88"/>
      <c r="L58" s="88"/>
      <c r="M58" s="88"/>
      <c r="N58" s="78" t="s">
        <v>174</v>
      </c>
      <c r="O58" s="78"/>
      <c r="P58" s="78"/>
      <c r="Q58" s="78"/>
      <c r="R58" s="79"/>
    </row>
    <row r="59" spans="1:18" ht="18.75" x14ac:dyDescent="0.3">
      <c r="A59" s="5"/>
      <c r="B59" s="89"/>
      <c r="C59" s="20" t="s">
        <v>71</v>
      </c>
      <c r="D59" s="8">
        <v>6</v>
      </c>
      <c r="E59" s="24">
        <v>3</v>
      </c>
      <c r="F59" s="18"/>
      <c r="G59" s="25">
        <v>123</v>
      </c>
      <c r="I59" s="87" t="s">
        <v>64</v>
      </c>
      <c r="J59" s="88"/>
      <c r="K59" s="88"/>
      <c r="L59" s="88"/>
      <c r="M59" s="88"/>
      <c r="N59" s="78" t="s">
        <v>172</v>
      </c>
      <c r="O59" s="78"/>
      <c r="P59" s="78"/>
      <c r="Q59" s="78"/>
      <c r="R59" s="79"/>
    </row>
    <row r="60" spans="1:18" ht="18.75" x14ac:dyDescent="0.3">
      <c r="A60" s="6"/>
      <c r="B60" s="89"/>
      <c r="C60" s="20" t="s">
        <v>69</v>
      </c>
      <c r="D60" s="8">
        <v>6</v>
      </c>
      <c r="E60" s="19">
        <v>3</v>
      </c>
      <c r="F60" s="18"/>
      <c r="G60" s="20">
        <v>117</v>
      </c>
      <c r="I60" s="87" t="s">
        <v>65</v>
      </c>
      <c r="J60" s="88"/>
      <c r="K60" s="88"/>
      <c r="L60" s="88"/>
      <c r="M60" s="88"/>
      <c r="N60" s="78" t="s">
        <v>175</v>
      </c>
      <c r="O60" s="78"/>
      <c r="P60" s="78"/>
      <c r="Q60" s="78"/>
      <c r="R60" s="79"/>
    </row>
    <row r="61" spans="1:18" ht="18" customHeight="1" x14ac:dyDescent="0.3">
      <c r="A61" s="6"/>
      <c r="B61" s="89"/>
      <c r="C61" s="20" t="s">
        <v>61</v>
      </c>
      <c r="D61" s="8">
        <v>6</v>
      </c>
      <c r="E61" s="19">
        <v>3</v>
      </c>
      <c r="F61" s="18"/>
      <c r="G61" s="20">
        <v>114</v>
      </c>
      <c r="I61" s="87" t="s">
        <v>67</v>
      </c>
      <c r="J61" s="88"/>
      <c r="K61" s="88"/>
      <c r="L61" s="88"/>
      <c r="M61" s="88"/>
      <c r="N61" s="78" t="s">
        <v>166</v>
      </c>
      <c r="O61" s="78"/>
      <c r="P61" s="78"/>
      <c r="Q61" s="78"/>
      <c r="R61" s="79"/>
    </row>
    <row r="62" spans="1:18" ht="18" customHeight="1" thickBot="1" x14ac:dyDescent="0.35">
      <c r="A62" s="6"/>
      <c r="B62" s="89"/>
      <c r="C62" s="21" t="s">
        <v>72</v>
      </c>
      <c r="D62" s="10">
        <v>4</v>
      </c>
      <c r="E62" s="11">
        <v>5</v>
      </c>
      <c r="F62" s="18"/>
      <c r="G62" s="21">
        <v>103</v>
      </c>
      <c r="I62" s="73" t="s">
        <v>68</v>
      </c>
      <c r="J62" s="74"/>
      <c r="K62" s="74"/>
      <c r="L62" s="74"/>
      <c r="M62" s="74"/>
      <c r="N62" s="78" t="s">
        <v>169</v>
      </c>
      <c r="O62" s="78"/>
      <c r="P62" s="78"/>
      <c r="Q62" s="78"/>
      <c r="R62" s="79"/>
    </row>
    <row r="63" spans="1:18" ht="18.75" x14ac:dyDescent="0.3">
      <c r="A63" s="6"/>
      <c r="B63" s="89"/>
      <c r="C63" s="20" t="s">
        <v>146</v>
      </c>
      <c r="D63" s="8">
        <v>4</v>
      </c>
      <c r="E63" s="24">
        <v>5</v>
      </c>
      <c r="F63" s="18"/>
      <c r="G63" s="25">
        <v>100</v>
      </c>
      <c r="H63" s="6"/>
      <c r="I63" s="6"/>
    </row>
    <row r="64" spans="1:18" ht="18.75" x14ac:dyDescent="0.3">
      <c r="A64" s="6"/>
      <c r="B64" s="89"/>
      <c r="C64" s="22" t="s">
        <v>141</v>
      </c>
      <c r="D64" s="10">
        <v>2</v>
      </c>
      <c r="E64" s="11">
        <v>7</v>
      </c>
      <c r="F64" s="18"/>
      <c r="G64" s="21">
        <v>74</v>
      </c>
      <c r="H64" s="6"/>
    </row>
    <row r="65" spans="2:7" ht="18.75" x14ac:dyDescent="0.3">
      <c r="B65" s="89"/>
      <c r="C65" s="21" t="s">
        <v>164</v>
      </c>
      <c r="D65" s="10">
        <v>1</v>
      </c>
      <c r="E65" s="11">
        <v>8</v>
      </c>
      <c r="F65" s="18"/>
      <c r="G65" s="21">
        <v>93</v>
      </c>
    </row>
    <row r="66" spans="2:7" ht="19.5" thickBot="1" x14ac:dyDescent="0.35">
      <c r="B66" s="90"/>
      <c r="C66" s="20" t="s">
        <v>63</v>
      </c>
      <c r="D66" s="8">
        <v>1</v>
      </c>
      <c r="E66" s="24">
        <v>8</v>
      </c>
      <c r="F66" s="18"/>
      <c r="G66" s="25">
        <v>81</v>
      </c>
    </row>
    <row r="67" spans="2:7" ht="15.75" thickBot="1" x14ac:dyDescent="0.3"/>
    <row r="68" spans="2:7" ht="19.5" thickBot="1" x14ac:dyDescent="0.35">
      <c r="C68" s="28" t="s">
        <v>148</v>
      </c>
      <c r="D68" s="29" t="s">
        <v>56</v>
      </c>
      <c r="E68" s="29" t="s">
        <v>57</v>
      </c>
      <c r="F68" s="23" t="s">
        <v>135</v>
      </c>
      <c r="G68" s="32" t="s">
        <v>58</v>
      </c>
    </row>
    <row r="69" spans="2:7" ht="18.75" x14ac:dyDescent="0.3">
      <c r="C69" s="42" t="s">
        <v>70</v>
      </c>
      <c r="D69" s="17">
        <v>8</v>
      </c>
      <c r="E69" s="26">
        <v>1</v>
      </c>
      <c r="F69" s="18"/>
      <c r="G69" s="43">
        <v>150</v>
      </c>
    </row>
    <row r="70" spans="2:7" ht="18.75" x14ac:dyDescent="0.3">
      <c r="C70" s="44" t="s">
        <v>66</v>
      </c>
      <c r="D70" s="8">
        <v>7</v>
      </c>
      <c r="E70" s="24">
        <v>2</v>
      </c>
      <c r="F70" s="18"/>
      <c r="G70" s="45">
        <v>123</v>
      </c>
    </row>
    <row r="71" spans="2:7" ht="18.75" x14ac:dyDescent="0.3">
      <c r="C71" s="44" t="s">
        <v>71</v>
      </c>
      <c r="D71" s="8">
        <v>6</v>
      </c>
      <c r="E71" s="24">
        <v>3</v>
      </c>
      <c r="F71" s="18"/>
      <c r="G71" s="45">
        <v>123</v>
      </c>
    </row>
    <row r="72" spans="2:7" ht="19.5" thickBot="1" x14ac:dyDescent="0.35">
      <c r="C72" s="46" t="s">
        <v>61</v>
      </c>
      <c r="D72" s="47">
        <v>6</v>
      </c>
      <c r="E72" s="48">
        <v>3</v>
      </c>
      <c r="F72" s="49"/>
      <c r="G72" s="50">
        <v>114</v>
      </c>
    </row>
    <row r="73" spans="2:7" ht="18.75" x14ac:dyDescent="0.3">
      <c r="C73" s="42" t="s">
        <v>146</v>
      </c>
      <c r="D73" s="17">
        <v>4</v>
      </c>
      <c r="E73" s="26">
        <v>5</v>
      </c>
      <c r="F73" s="27"/>
      <c r="G73" s="43">
        <v>100</v>
      </c>
    </row>
    <row r="74" spans="2:7" ht="15.75" thickBot="1" x14ac:dyDescent="0.3"/>
    <row r="75" spans="2:7" ht="19.5" thickBot="1" x14ac:dyDescent="0.35">
      <c r="C75" s="28" t="s">
        <v>149</v>
      </c>
      <c r="D75" s="29" t="s">
        <v>56</v>
      </c>
      <c r="E75" s="29" t="s">
        <v>57</v>
      </c>
      <c r="F75" s="23" t="s">
        <v>135</v>
      </c>
      <c r="G75" s="32" t="s">
        <v>58</v>
      </c>
    </row>
    <row r="76" spans="2:7" ht="18.75" x14ac:dyDescent="0.3">
      <c r="C76" s="51" t="s">
        <v>69</v>
      </c>
      <c r="D76" s="52">
        <v>6</v>
      </c>
      <c r="E76" s="52">
        <v>3</v>
      </c>
      <c r="F76" s="27"/>
      <c r="G76" s="53">
        <v>117</v>
      </c>
    </row>
    <row r="77" spans="2:7" ht="18.75" x14ac:dyDescent="0.3">
      <c r="C77" s="35" t="s">
        <v>72</v>
      </c>
      <c r="D77" s="18">
        <v>4</v>
      </c>
      <c r="E77" s="18">
        <v>5</v>
      </c>
      <c r="F77" s="18"/>
      <c r="G77" s="36">
        <v>103</v>
      </c>
    </row>
    <row r="78" spans="2:7" ht="18.75" x14ac:dyDescent="0.3">
      <c r="C78" s="33" t="s">
        <v>141</v>
      </c>
      <c r="D78" s="4">
        <v>2</v>
      </c>
      <c r="E78" s="4">
        <v>7</v>
      </c>
      <c r="F78" s="18"/>
      <c r="G78" s="34">
        <v>74</v>
      </c>
    </row>
    <row r="79" spans="2:7" ht="18.75" x14ac:dyDescent="0.3">
      <c r="C79" s="35" t="s">
        <v>164</v>
      </c>
      <c r="D79" s="18">
        <v>1</v>
      </c>
      <c r="E79" s="18">
        <v>8</v>
      </c>
      <c r="F79" s="18"/>
      <c r="G79" s="36">
        <v>93</v>
      </c>
    </row>
    <row r="80" spans="2:7" ht="19.5" thickBot="1" x14ac:dyDescent="0.35">
      <c r="C80" s="37" t="s">
        <v>63</v>
      </c>
      <c r="D80" s="38">
        <v>1</v>
      </c>
      <c r="E80" s="39">
        <v>8</v>
      </c>
      <c r="F80" s="40"/>
      <c r="G80" s="41">
        <v>81</v>
      </c>
    </row>
  </sheetData>
  <mergeCells count="14">
    <mergeCell ref="I61:M61"/>
    <mergeCell ref="N61:R61"/>
    <mergeCell ref="I62:M62"/>
    <mergeCell ref="N62:R62"/>
    <mergeCell ref="B56:B66"/>
    <mergeCell ref="I56:R56"/>
    <mergeCell ref="I57:M57"/>
    <mergeCell ref="N57:R57"/>
    <mergeCell ref="I58:M58"/>
    <mergeCell ref="N58:R58"/>
    <mergeCell ref="I59:M59"/>
    <mergeCell ref="N59:R59"/>
    <mergeCell ref="I60:M60"/>
    <mergeCell ref="N60:R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3984-349A-4BC5-A101-21FB6D8D6565}">
  <dimension ref="A2:AC46"/>
  <sheetViews>
    <sheetView workbookViewId="0">
      <selection activeCell="D50" sqref="D50"/>
    </sheetView>
  </sheetViews>
  <sheetFormatPr defaultRowHeight="15" x14ac:dyDescent="0.25"/>
  <cols>
    <col min="1" max="1" width="10.28515625" bestFit="1" customWidth="1"/>
    <col min="2" max="2" width="5.85546875" bestFit="1" customWidth="1"/>
    <col min="3" max="3" width="6.5703125" bestFit="1" customWidth="1"/>
    <col min="4" max="4" width="12.5703125" bestFit="1" customWidth="1"/>
    <col min="5" max="5" width="11.140625" bestFit="1" customWidth="1"/>
    <col min="6" max="6" width="7.140625" bestFit="1" customWidth="1"/>
    <col min="7" max="7" width="5.42578125" bestFit="1" customWidth="1"/>
    <col min="8" max="8" width="16.85546875" bestFit="1" customWidth="1"/>
    <col min="9" max="9" width="5.85546875" bestFit="1" customWidth="1"/>
    <col min="10" max="10" width="6.5703125" bestFit="1" customWidth="1"/>
    <col min="11" max="11" width="12.5703125" bestFit="1" customWidth="1"/>
    <col min="12" max="12" width="11.140625" bestFit="1" customWidth="1"/>
    <col min="13" max="13" width="7.140625" bestFit="1" customWidth="1"/>
    <col min="14" max="14" width="15.140625" bestFit="1" customWidth="1"/>
    <col min="16" max="16" width="14.85546875" bestFit="1" customWidth="1"/>
    <col min="17" max="17" width="5.85546875" bestFit="1" customWidth="1"/>
    <col min="18" max="18" width="6.5703125" bestFit="1" customWidth="1"/>
    <col min="19" max="19" width="12.5703125" bestFit="1" customWidth="1"/>
    <col min="20" max="20" width="11.140625" bestFit="1" customWidth="1"/>
    <col min="21" max="21" width="7.140625" bestFit="1" customWidth="1"/>
    <col min="22" max="22" width="5.42578125" bestFit="1" customWidth="1"/>
    <col min="23" max="23" width="13" bestFit="1" customWidth="1"/>
    <col min="24" max="24" width="5.85546875" bestFit="1" customWidth="1"/>
    <col min="25" max="25" width="6.5703125" bestFit="1" customWidth="1"/>
    <col min="26" max="26" width="12.5703125" bestFit="1" customWidth="1"/>
    <col min="27" max="27" width="11.140625" bestFit="1" customWidth="1"/>
    <col min="28" max="28" width="7.140625" bestFit="1" customWidth="1"/>
    <col min="29" max="29" width="13.5703125" bestFit="1" customWidth="1"/>
  </cols>
  <sheetData>
    <row r="2" spans="1:29" x14ac:dyDescent="0.25">
      <c r="A2" s="91" t="s">
        <v>73</v>
      </c>
      <c r="B2" s="91"/>
      <c r="C2" s="91"/>
      <c r="D2" s="91"/>
      <c r="E2" s="91"/>
      <c r="F2" s="91"/>
      <c r="G2" s="7"/>
      <c r="H2" s="91" t="s">
        <v>74</v>
      </c>
      <c r="I2" s="91"/>
      <c r="J2" s="91"/>
      <c r="K2" s="91"/>
      <c r="L2" s="91"/>
      <c r="M2" s="91"/>
      <c r="N2" s="7"/>
      <c r="O2" s="7"/>
      <c r="P2" s="91" t="s">
        <v>75</v>
      </c>
      <c r="Q2" s="91"/>
      <c r="R2" s="91"/>
      <c r="S2" s="91"/>
      <c r="T2" s="91"/>
      <c r="U2" s="91"/>
      <c r="W2" s="7" t="s">
        <v>76</v>
      </c>
      <c r="X2" s="7"/>
      <c r="Y2" s="7"/>
      <c r="Z2" s="7"/>
      <c r="AA2" s="7"/>
      <c r="AB2" s="7"/>
    </row>
    <row r="3" spans="1:29" x14ac:dyDescent="0.25">
      <c r="A3" s="7"/>
      <c r="B3" s="7" t="s">
        <v>77</v>
      </c>
      <c r="C3" s="7" t="s">
        <v>58</v>
      </c>
      <c r="D3" s="7" t="s">
        <v>78</v>
      </c>
      <c r="E3" s="7" t="s">
        <v>79</v>
      </c>
      <c r="F3" s="7" t="s">
        <v>80</v>
      </c>
      <c r="G3" s="7"/>
      <c r="H3" s="7"/>
      <c r="I3" s="7" t="s">
        <v>77</v>
      </c>
      <c r="J3" s="7" t="s">
        <v>58</v>
      </c>
      <c r="K3" s="7" t="s">
        <v>78</v>
      </c>
      <c r="L3" s="7" t="s">
        <v>79</v>
      </c>
      <c r="M3" s="7" t="s">
        <v>80</v>
      </c>
      <c r="N3" s="7"/>
      <c r="O3" s="7"/>
      <c r="P3" s="7"/>
      <c r="Q3" s="7" t="s">
        <v>77</v>
      </c>
      <c r="R3" s="7" t="s">
        <v>58</v>
      </c>
      <c r="S3" s="7" t="s">
        <v>78</v>
      </c>
      <c r="T3" s="7" t="s">
        <v>79</v>
      </c>
      <c r="U3" s="7" t="s">
        <v>80</v>
      </c>
      <c r="W3" s="7"/>
      <c r="X3" s="7" t="s">
        <v>77</v>
      </c>
      <c r="Y3" s="7" t="s">
        <v>58</v>
      </c>
      <c r="Z3" s="7" t="s">
        <v>78</v>
      </c>
      <c r="AA3" s="7" t="s">
        <v>79</v>
      </c>
      <c r="AB3" s="7" t="s">
        <v>80</v>
      </c>
    </row>
    <row r="4" spans="1:29" x14ac:dyDescent="0.25">
      <c r="A4" s="7" t="s">
        <v>81</v>
      </c>
      <c r="B4" s="7">
        <v>114</v>
      </c>
      <c r="C4" s="7">
        <v>1503</v>
      </c>
      <c r="D4" s="7">
        <f>SUM(C4/B4)</f>
        <v>13.184210526315789</v>
      </c>
      <c r="E4" s="7">
        <v>3.5</v>
      </c>
      <c r="F4" s="7">
        <v>1</v>
      </c>
      <c r="G4" s="7"/>
      <c r="H4" s="7" t="s">
        <v>82</v>
      </c>
      <c r="I4" s="7">
        <v>117</v>
      </c>
      <c r="J4" s="7">
        <v>1482</v>
      </c>
      <c r="K4" s="7">
        <f>SUM(J4/I4)</f>
        <v>12.666666666666666</v>
      </c>
      <c r="L4" s="7">
        <v>2.5</v>
      </c>
      <c r="M4" s="7"/>
      <c r="N4" s="7"/>
      <c r="O4" s="7"/>
      <c r="P4" s="7" t="s">
        <v>28</v>
      </c>
      <c r="Q4" s="7">
        <v>120</v>
      </c>
      <c r="R4" s="7">
        <v>1497</v>
      </c>
      <c r="S4" s="7">
        <f>SUM(R4/Q4)</f>
        <v>12.475</v>
      </c>
      <c r="T4" s="7">
        <v>1</v>
      </c>
      <c r="U4" s="7"/>
      <c r="W4" s="7" t="s">
        <v>83</v>
      </c>
      <c r="X4" s="7">
        <v>121</v>
      </c>
      <c r="Y4" s="7">
        <v>1408</v>
      </c>
      <c r="Z4" s="7">
        <f>SUM(Y4/X4)</f>
        <v>11.636363636363637</v>
      </c>
      <c r="AA4" s="7">
        <v>5</v>
      </c>
      <c r="AB4" s="7">
        <v>1</v>
      </c>
    </row>
    <row r="5" spans="1:29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W5" s="7"/>
      <c r="X5" s="7"/>
      <c r="Y5" s="7"/>
      <c r="Z5" s="7"/>
      <c r="AA5" s="7"/>
      <c r="AB5" s="7"/>
    </row>
    <row r="6" spans="1:29" x14ac:dyDescent="0.25">
      <c r="A6" s="7" t="s">
        <v>84</v>
      </c>
      <c r="B6" s="7">
        <v>78</v>
      </c>
      <c r="C6" s="7">
        <v>984</v>
      </c>
      <c r="D6" s="7">
        <f t="shared" ref="D6:D10" si="0">SUM(C6/B6)</f>
        <v>12.615384615384615</v>
      </c>
      <c r="E6" s="7">
        <v>1.5</v>
      </c>
      <c r="F6" s="7"/>
      <c r="G6" s="7"/>
      <c r="H6" s="7" t="s">
        <v>85</v>
      </c>
      <c r="I6" s="7">
        <v>82</v>
      </c>
      <c r="J6" s="7">
        <v>1493</v>
      </c>
      <c r="K6" s="7">
        <f t="shared" ref="K6:K10" si="1">SUM(J6/I6)</f>
        <v>18.207317073170731</v>
      </c>
      <c r="L6" s="7">
        <v>4.5</v>
      </c>
      <c r="M6" s="7">
        <v>1</v>
      </c>
      <c r="N6" s="12" t="s">
        <v>86</v>
      </c>
      <c r="O6" s="7"/>
      <c r="P6" s="7" t="s">
        <v>37</v>
      </c>
      <c r="Q6" s="7">
        <v>125</v>
      </c>
      <c r="R6" s="7">
        <v>1416</v>
      </c>
      <c r="S6" s="7">
        <f t="shared" ref="S6:S10" si="2">SUM(R6/Q6)</f>
        <v>11.327999999999999</v>
      </c>
      <c r="T6" s="7">
        <v>1</v>
      </c>
      <c r="U6" s="7"/>
      <c r="W6" s="7" t="s">
        <v>87</v>
      </c>
      <c r="X6" s="7">
        <v>124</v>
      </c>
      <c r="Y6" s="7">
        <v>1498</v>
      </c>
      <c r="Z6" s="7">
        <f t="shared" ref="Z6:Z10" si="3">SUM(Y6/X6)</f>
        <v>12.080645161290322</v>
      </c>
      <c r="AA6" s="7">
        <v>5</v>
      </c>
      <c r="AB6" s="7">
        <v>1</v>
      </c>
    </row>
    <row r="7" spans="1:29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 t="s">
        <v>88</v>
      </c>
      <c r="O7" s="7"/>
      <c r="P7" s="7"/>
      <c r="Q7" s="7"/>
      <c r="R7" s="7"/>
      <c r="S7" s="7"/>
      <c r="T7" s="7"/>
      <c r="U7" s="7"/>
      <c r="W7" s="7"/>
      <c r="X7" s="7"/>
      <c r="Y7" s="7"/>
      <c r="Z7" s="7"/>
      <c r="AA7" s="7"/>
      <c r="AB7" s="7"/>
    </row>
    <row r="8" spans="1:29" x14ac:dyDescent="0.25">
      <c r="A8" s="7" t="s">
        <v>89</v>
      </c>
      <c r="B8" s="7">
        <v>96</v>
      </c>
      <c r="C8" s="7">
        <v>1400</v>
      </c>
      <c r="D8" s="7">
        <f t="shared" si="0"/>
        <v>14.583333333333334</v>
      </c>
      <c r="E8" s="7">
        <v>2.5</v>
      </c>
      <c r="F8" s="7">
        <v>1</v>
      </c>
      <c r="G8" s="7"/>
      <c r="H8" s="7" t="s">
        <v>90</v>
      </c>
      <c r="I8" s="7">
        <v>91</v>
      </c>
      <c r="J8" s="7">
        <v>1475</v>
      </c>
      <c r="K8" s="7">
        <f t="shared" si="1"/>
        <v>16.208791208791208</v>
      </c>
      <c r="L8" s="7">
        <v>3.5</v>
      </c>
      <c r="M8" s="7"/>
      <c r="N8" s="7"/>
      <c r="O8" s="7"/>
      <c r="P8" s="7" t="s">
        <v>43</v>
      </c>
      <c r="Q8" s="7">
        <v>159</v>
      </c>
      <c r="R8" s="7">
        <v>1493</v>
      </c>
      <c r="S8" s="7">
        <f t="shared" si="2"/>
        <v>9.3899371069182394</v>
      </c>
      <c r="T8" s="7">
        <v>1</v>
      </c>
      <c r="U8" s="7"/>
      <c r="W8" s="7" t="s">
        <v>91</v>
      </c>
      <c r="X8" s="7">
        <v>162</v>
      </c>
      <c r="Y8" s="7">
        <v>1501</v>
      </c>
      <c r="Z8" s="7">
        <f t="shared" si="3"/>
        <v>9.2654320987654319</v>
      </c>
      <c r="AA8" s="7">
        <v>5</v>
      </c>
      <c r="AB8" s="7">
        <v>1</v>
      </c>
      <c r="AC8" s="13" t="s">
        <v>92</v>
      </c>
    </row>
    <row r="9" spans="1:29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W9" s="7"/>
      <c r="X9" s="7"/>
      <c r="Y9" s="7"/>
      <c r="Z9" s="7"/>
      <c r="AA9" s="7"/>
      <c r="AB9" s="7"/>
    </row>
    <row r="10" spans="1:29" x14ac:dyDescent="0.25">
      <c r="A10" s="7" t="s">
        <v>36</v>
      </c>
      <c r="B10" s="7">
        <v>132</v>
      </c>
      <c r="C10" s="7">
        <v>1501</v>
      </c>
      <c r="D10" s="7">
        <f t="shared" si="0"/>
        <v>11.371212121212121</v>
      </c>
      <c r="E10" s="7">
        <v>2.5</v>
      </c>
      <c r="F10" s="7">
        <v>1</v>
      </c>
      <c r="G10" s="7"/>
      <c r="H10" s="7" t="s">
        <v>38</v>
      </c>
      <c r="I10" s="7">
        <v>128</v>
      </c>
      <c r="J10" s="7">
        <v>1431</v>
      </c>
      <c r="K10" s="7">
        <f t="shared" si="1"/>
        <v>11.1796875</v>
      </c>
      <c r="L10" s="7">
        <v>3.5</v>
      </c>
      <c r="M10" s="7"/>
      <c r="N10" s="7"/>
      <c r="O10" s="7"/>
      <c r="P10" s="7" t="s">
        <v>42</v>
      </c>
      <c r="Q10" s="7">
        <v>156</v>
      </c>
      <c r="R10" s="7">
        <v>1468</v>
      </c>
      <c r="S10" s="7">
        <f t="shared" si="2"/>
        <v>9.4102564102564106</v>
      </c>
      <c r="T10" s="7">
        <v>1</v>
      </c>
      <c r="U10" s="7"/>
      <c r="W10" s="7" t="s">
        <v>93</v>
      </c>
      <c r="X10" s="7">
        <v>158</v>
      </c>
      <c r="Y10" s="7">
        <v>1474</v>
      </c>
      <c r="Z10" s="7">
        <f t="shared" si="3"/>
        <v>9.3291139240506329</v>
      </c>
      <c r="AA10" s="7">
        <v>3.5</v>
      </c>
      <c r="AB10" s="7">
        <v>1</v>
      </c>
    </row>
    <row r="11" spans="1:29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9" x14ac:dyDescent="0.25">
      <c r="N12" s="7"/>
      <c r="O12" s="7"/>
      <c r="W12" t="s">
        <v>54</v>
      </c>
      <c r="AA12">
        <v>1.5</v>
      </c>
    </row>
    <row r="13" spans="1:29" x14ac:dyDescent="0.25">
      <c r="N13" s="7"/>
      <c r="O13" s="7"/>
    </row>
    <row r="14" spans="1:29" x14ac:dyDescent="0.25">
      <c r="A14" s="91" t="s">
        <v>94</v>
      </c>
      <c r="B14" s="91"/>
      <c r="C14" s="91"/>
      <c r="D14" s="91"/>
      <c r="E14" s="91"/>
      <c r="F14" s="91"/>
      <c r="G14" s="7"/>
      <c r="H14" s="91" t="s">
        <v>95</v>
      </c>
      <c r="I14" s="91"/>
      <c r="J14" s="91"/>
      <c r="K14" s="91"/>
      <c r="L14" s="91"/>
      <c r="M14" s="91"/>
      <c r="N14" s="7"/>
      <c r="O14" s="7"/>
      <c r="P14" s="91" t="s">
        <v>96</v>
      </c>
      <c r="Q14" s="91"/>
      <c r="R14" s="91"/>
      <c r="S14" s="91"/>
      <c r="T14" s="91"/>
      <c r="U14" s="91"/>
      <c r="V14" s="7"/>
      <c r="W14" s="91" t="s">
        <v>97</v>
      </c>
      <c r="X14" s="91"/>
      <c r="Y14" s="91"/>
      <c r="Z14" s="91"/>
      <c r="AA14" s="91"/>
      <c r="AB14" s="91"/>
    </row>
    <row r="15" spans="1:29" x14ac:dyDescent="0.25">
      <c r="A15" s="7"/>
      <c r="B15" s="7" t="s">
        <v>77</v>
      </c>
      <c r="C15" s="7" t="s">
        <v>58</v>
      </c>
      <c r="D15" s="7" t="s">
        <v>78</v>
      </c>
      <c r="E15" s="7" t="s">
        <v>79</v>
      </c>
      <c r="F15" s="7" t="s">
        <v>80</v>
      </c>
      <c r="G15" s="7"/>
      <c r="H15" s="7"/>
      <c r="I15" s="7" t="s">
        <v>77</v>
      </c>
      <c r="J15" s="7" t="s">
        <v>58</v>
      </c>
      <c r="K15" s="7" t="s">
        <v>78</v>
      </c>
      <c r="L15" s="7" t="s">
        <v>79</v>
      </c>
      <c r="M15" s="7" t="s">
        <v>80</v>
      </c>
      <c r="N15" s="7"/>
      <c r="O15" s="7"/>
      <c r="P15" s="7"/>
      <c r="Q15" s="7" t="s">
        <v>77</v>
      </c>
      <c r="R15" s="7" t="s">
        <v>58</v>
      </c>
      <c r="S15" s="7" t="s">
        <v>78</v>
      </c>
      <c r="T15" s="7" t="s">
        <v>79</v>
      </c>
      <c r="U15" s="7" t="s">
        <v>80</v>
      </c>
      <c r="V15" s="7"/>
      <c r="W15" s="7"/>
      <c r="X15" s="7" t="s">
        <v>77</v>
      </c>
      <c r="Y15" s="7" t="s">
        <v>58</v>
      </c>
      <c r="Z15" s="7" t="s">
        <v>78</v>
      </c>
      <c r="AA15" s="7" t="s">
        <v>79</v>
      </c>
      <c r="AB15" s="7" t="s">
        <v>80</v>
      </c>
    </row>
    <row r="16" spans="1:29" x14ac:dyDescent="0.25">
      <c r="A16" s="7" t="s">
        <v>98</v>
      </c>
      <c r="B16" s="7">
        <v>111</v>
      </c>
      <c r="C16" s="7">
        <v>1489</v>
      </c>
      <c r="D16">
        <f>SUM(C16/B16)</f>
        <v>13.414414414414415</v>
      </c>
      <c r="E16" s="7">
        <v>4</v>
      </c>
      <c r="F16" s="7">
        <v>1</v>
      </c>
      <c r="G16" s="7"/>
      <c r="H16" s="7" t="s">
        <v>25</v>
      </c>
      <c r="I16" s="7">
        <v>108</v>
      </c>
      <c r="J16" s="7">
        <v>1472</v>
      </c>
      <c r="K16" s="7">
        <f>SUM(J16/I16)</f>
        <v>13.62962962962963</v>
      </c>
      <c r="L16" s="7">
        <v>3</v>
      </c>
      <c r="M16" s="7"/>
      <c r="N16" s="7"/>
      <c r="O16" s="7"/>
      <c r="P16" s="7" t="s">
        <v>46</v>
      </c>
      <c r="Q16" s="7">
        <v>177</v>
      </c>
      <c r="R16" s="7">
        <v>1493</v>
      </c>
      <c r="S16" s="7">
        <f>SUM(R16/Q16)</f>
        <v>8.4350282485875709</v>
      </c>
      <c r="T16" s="7">
        <v>2</v>
      </c>
      <c r="U16" s="7">
        <v>1</v>
      </c>
      <c r="V16" s="7"/>
      <c r="W16" s="7" t="s">
        <v>99</v>
      </c>
      <c r="X16" s="7">
        <v>180</v>
      </c>
      <c r="Y16" s="7">
        <v>1480</v>
      </c>
      <c r="Z16" s="7">
        <f>SUM(Y16/X16)</f>
        <v>8.2222222222222214</v>
      </c>
      <c r="AA16" s="7">
        <v>1.5</v>
      </c>
      <c r="AB16" s="7"/>
    </row>
    <row r="17" spans="1:29" x14ac:dyDescent="0.25">
      <c r="A17" s="7"/>
      <c r="B17" s="7"/>
      <c r="C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9" x14ac:dyDescent="0.25">
      <c r="A18" s="7" t="s">
        <v>100</v>
      </c>
      <c r="B18" s="7">
        <v>99</v>
      </c>
      <c r="C18" s="7">
        <v>1197</v>
      </c>
      <c r="D18">
        <f t="shared" ref="D18:D22" si="4">SUM(C18/B18)</f>
        <v>12.090909090909092</v>
      </c>
      <c r="E18" s="7">
        <v>3</v>
      </c>
      <c r="F18" s="7"/>
      <c r="G18" s="7"/>
      <c r="H18" s="7" t="s">
        <v>101</v>
      </c>
      <c r="I18" s="7">
        <v>100</v>
      </c>
      <c r="J18">
        <v>1497</v>
      </c>
      <c r="K18" s="7">
        <f>SUM(J18/I18)</f>
        <v>14.97</v>
      </c>
      <c r="L18" s="7">
        <v>3.5</v>
      </c>
      <c r="M18" s="7">
        <v>1</v>
      </c>
      <c r="N18" s="12" t="s">
        <v>102</v>
      </c>
      <c r="O18" s="7"/>
      <c r="P18" s="7" t="s">
        <v>39</v>
      </c>
      <c r="Q18" s="7">
        <v>137</v>
      </c>
      <c r="R18" s="7">
        <v>1495</v>
      </c>
      <c r="S18" s="7">
        <f t="shared" ref="S18:S22" si="5">SUM(R18/Q18)</f>
        <v>10.912408759124087</v>
      </c>
      <c r="T18" s="7">
        <v>1</v>
      </c>
      <c r="U18" s="7"/>
      <c r="V18" s="7"/>
      <c r="W18" s="7" t="s">
        <v>103</v>
      </c>
      <c r="X18" s="7">
        <v>136</v>
      </c>
      <c r="Y18" s="7">
        <v>1483</v>
      </c>
      <c r="Z18" s="7">
        <f t="shared" ref="Z18:Z22" si="6">SUM(Y18/X18)</f>
        <v>10.904411764705882</v>
      </c>
      <c r="AA18" s="7">
        <v>4.5</v>
      </c>
      <c r="AB18" s="7">
        <v>1</v>
      </c>
    </row>
    <row r="19" spans="1:29" x14ac:dyDescent="0.25">
      <c r="A19" s="7"/>
      <c r="B19" s="7"/>
      <c r="C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9" x14ac:dyDescent="0.25">
      <c r="A20" s="7" t="s">
        <v>104</v>
      </c>
      <c r="B20" s="7">
        <v>104</v>
      </c>
      <c r="C20" s="7">
        <v>1235</v>
      </c>
      <c r="D20">
        <f t="shared" si="4"/>
        <v>11.875</v>
      </c>
      <c r="E20" s="7">
        <v>2.5</v>
      </c>
      <c r="F20" s="7"/>
      <c r="G20" s="7"/>
      <c r="H20" s="7" t="s">
        <v>105</v>
      </c>
      <c r="I20" s="7">
        <v>107</v>
      </c>
      <c r="J20" s="7">
        <v>1483</v>
      </c>
      <c r="K20" s="7">
        <f t="shared" ref="K20:K22" si="7">SUM(J20/I20)</f>
        <v>13.859813084112149</v>
      </c>
      <c r="L20" s="7">
        <v>3</v>
      </c>
      <c r="M20" s="7">
        <v>1</v>
      </c>
      <c r="N20" s="7" t="s">
        <v>106</v>
      </c>
      <c r="O20" s="7"/>
      <c r="P20" s="7" t="s">
        <v>47</v>
      </c>
      <c r="Q20" s="7">
        <v>156</v>
      </c>
      <c r="R20" s="7">
        <v>1297</v>
      </c>
      <c r="S20" s="7">
        <f t="shared" si="5"/>
        <v>8.3141025641025639</v>
      </c>
      <c r="T20" s="7">
        <v>2.5</v>
      </c>
      <c r="U20" s="7">
        <v>1</v>
      </c>
      <c r="V20" s="7" t="s">
        <v>107</v>
      </c>
      <c r="W20" s="7" t="s">
        <v>108</v>
      </c>
      <c r="X20" s="7">
        <v>158</v>
      </c>
      <c r="Y20" s="7">
        <v>1498</v>
      </c>
      <c r="Z20" s="7">
        <f t="shared" si="6"/>
        <v>9.4810126582278489</v>
      </c>
      <c r="AA20" s="7">
        <v>2.5</v>
      </c>
      <c r="AB20" s="7"/>
    </row>
    <row r="21" spans="1:29" x14ac:dyDescent="0.25">
      <c r="A21" s="7"/>
      <c r="B21" s="7"/>
      <c r="C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9" x14ac:dyDescent="0.25">
      <c r="A22" s="7" t="s">
        <v>109</v>
      </c>
      <c r="B22" s="7">
        <v>76</v>
      </c>
      <c r="C22" s="7">
        <v>1471</v>
      </c>
      <c r="D22">
        <f t="shared" si="4"/>
        <v>19.355263157894736</v>
      </c>
      <c r="E22" s="7">
        <v>3.5</v>
      </c>
      <c r="F22" s="7">
        <v>1</v>
      </c>
      <c r="G22" s="7"/>
      <c r="H22" s="7" t="s">
        <v>13</v>
      </c>
      <c r="I22" s="7">
        <v>80</v>
      </c>
      <c r="J22" s="7">
        <v>1350</v>
      </c>
      <c r="K22" s="7">
        <f t="shared" si="7"/>
        <v>16.875</v>
      </c>
      <c r="L22" s="7">
        <v>1.5</v>
      </c>
      <c r="M22" s="7"/>
      <c r="N22" s="7"/>
      <c r="O22" s="7"/>
      <c r="P22" s="7" t="s">
        <v>41</v>
      </c>
      <c r="Q22" s="7">
        <v>123</v>
      </c>
      <c r="R22" s="7">
        <v>1264</v>
      </c>
      <c r="S22" s="7">
        <f t="shared" si="5"/>
        <v>10.276422764227643</v>
      </c>
      <c r="T22" s="7">
        <v>0.5</v>
      </c>
      <c r="U22" s="7"/>
      <c r="W22" s="7" t="s">
        <v>33</v>
      </c>
      <c r="X22" s="7">
        <v>129</v>
      </c>
      <c r="Y22" s="7">
        <v>1503</v>
      </c>
      <c r="Z22" s="7">
        <f t="shared" si="6"/>
        <v>11.651162790697674</v>
      </c>
      <c r="AA22" s="7">
        <v>6</v>
      </c>
      <c r="AB22" s="7">
        <v>1</v>
      </c>
      <c r="AC22" t="s">
        <v>110</v>
      </c>
    </row>
    <row r="23" spans="1:29" x14ac:dyDescent="0.25">
      <c r="N23" s="7"/>
      <c r="O23" s="7"/>
      <c r="P23" s="7" t="s">
        <v>52</v>
      </c>
      <c r="R23" s="7"/>
      <c r="S23" s="7"/>
      <c r="T23" s="7">
        <v>1</v>
      </c>
      <c r="U23" s="7"/>
      <c r="V23" s="7"/>
      <c r="W23" s="7"/>
      <c r="X23" s="7"/>
      <c r="Y23" s="7"/>
      <c r="Z23" s="7"/>
      <c r="AA23" s="7"/>
      <c r="AB23" s="7"/>
    </row>
    <row r="24" spans="1:29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 t="s">
        <v>53</v>
      </c>
      <c r="Q24" s="7"/>
      <c r="R24" s="7"/>
      <c r="S24" s="7"/>
      <c r="T24" s="7">
        <v>1</v>
      </c>
      <c r="U24" s="7"/>
      <c r="V24" s="7"/>
      <c r="W24" s="7" t="s">
        <v>111</v>
      </c>
      <c r="X24" s="7"/>
      <c r="Y24" s="7"/>
      <c r="Z24" s="7"/>
      <c r="AA24" s="7">
        <v>1.5</v>
      </c>
      <c r="AB24" s="7"/>
    </row>
    <row r="25" spans="1:29" x14ac:dyDescent="0.25">
      <c r="N25" s="7"/>
      <c r="O25" s="7"/>
    </row>
    <row r="26" spans="1:29" x14ac:dyDescent="0.25">
      <c r="N26" s="7"/>
      <c r="O26" s="7"/>
    </row>
    <row r="27" spans="1:29" x14ac:dyDescent="0.25">
      <c r="A27" s="91" t="s">
        <v>112</v>
      </c>
      <c r="B27" s="91"/>
      <c r="C27" s="91"/>
      <c r="D27" s="91"/>
      <c r="E27" s="91"/>
      <c r="F27" s="91"/>
      <c r="G27" s="7"/>
      <c r="H27" s="91" t="s">
        <v>113</v>
      </c>
      <c r="I27" s="91"/>
      <c r="J27" s="91"/>
      <c r="K27" s="91"/>
      <c r="L27" s="91"/>
      <c r="M27" s="91"/>
      <c r="N27" s="7"/>
      <c r="O27" s="7"/>
      <c r="P27" s="91" t="s">
        <v>114</v>
      </c>
      <c r="Q27" s="91"/>
      <c r="R27" s="91"/>
      <c r="S27" s="91"/>
      <c r="T27" s="91"/>
      <c r="U27" s="91"/>
      <c r="V27" s="7"/>
      <c r="W27" s="91" t="s">
        <v>115</v>
      </c>
      <c r="X27" s="91"/>
      <c r="Y27" s="91"/>
      <c r="Z27" s="91"/>
      <c r="AA27" s="91"/>
      <c r="AB27" s="91"/>
    </row>
    <row r="28" spans="1:29" x14ac:dyDescent="0.25">
      <c r="A28" s="7"/>
      <c r="B28" s="7" t="s">
        <v>77</v>
      </c>
      <c r="C28" s="7" t="s">
        <v>58</v>
      </c>
      <c r="D28" s="7" t="s">
        <v>78</v>
      </c>
      <c r="E28" s="7" t="s">
        <v>79</v>
      </c>
      <c r="F28" s="7" t="s">
        <v>80</v>
      </c>
      <c r="G28" s="7"/>
      <c r="H28" s="7"/>
      <c r="I28" s="7" t="s">
        <v>77</v>
      </c>
      <c r="J28" s="7" t="s">
        <v>58</v>
      </c>
      <c r="K28" s="7" t="s">
        <v>78</v>
      </c>
      <c r="L28" s="7" t="s">
        <v>79</v>
      </c>
      <c r="M28" s="7" t="s">
        <v>80</v>
      </c>
      <c r="N28" s="7"/>
      <c r="O28" s="7"/>
      <c r="P28" s="7"/>
      <c r="Q28" s="7" t="s">
        <v>77</v>
      </c>
      <c r="R28" s="7" t="s">
        <v>58</v>
      </c>
      <c r="S28" s="7" t="s">
        <v>78</v>
      </c>
      <c r="T28" s="7" t="s">
        <v>79</v>
      </c>
      <c r="U28" s="7" t="s">
        <v>80</v>
      </c>
      <c r="V28" s="7"/>
      <c r="W28" s="7"/>
      <c r="X28" s="7" t="s">
        <v>77</v>
      </c>
      <c r="Y28" s="7" t="s">
        <v>58</v>
      </c>
      <c r="Z28" s="7" t="s">
        <v>78</v>
      </c>
      <c r="AA28" s="7" t="s">
        <v>79</v>
      </c>
      <c r="AB28" s="7" t="s">
        <v>80</v>
      </c>
    </row>
    <row r="29" spans="1:29" x14ac:dyDescent="0.25">
      <c r="A29" s="7" t="s">
        <v>116</v>
      </c>
      <c r="B29" s="7">
        <v>120</v>
      </c>
      <c r="C29" s="7">
        <v>1499</v>
      </c>
      <c r="D29" s="7">
        <f>SUM(C29/B29)</f>
        <v>12.491666666666667</v>
      </c>
      <c r="E29" s="7">
        <v>3.5</v>
      </c>
      <c r="F29" s="7">
        <v>1</v>
      </c>
      <c r="G29" s="7"/>
      <c r="H29" s="7" t="s">
        <v>117</v>
      </c>
      <c r="I29" s="7">
        <v>122</v>
      </c>
      <c r="J29" s="7">
        <v>1418</v>
      </c>
      <c r="K29" s="7">
        <f>SUM(J29/I29)</f>
        <v>11.622950819672131</v>
      </c>
      <c r="L29" s="7">
        <v>2.5</v>
      </c>
      <c r="M29" s="7"/>
      <c r="P29" s="7" t="s">
        <v>82</v>
      </c>
      <c r="Q29" s="7">
        <v>90</v>
      </c>
      <c r="R29" s="7">
        <v>1179</v>
      </c>
      <c r="S29" s="7">
        <f>SUM(R29/Q29)</f>
        <v>13.1</v>
      </c>
      <c r="T29" s="7">
        <v>0.5</v>
      </c>
      <c r="U29" s="7"/>
      <c r="V29" s="7"/>
      <c r="W29" s="7" t="s">
        <v>118</v>
      </c>
      <c r="X29" s="7">
        <v>96</v>
      </c>
      <c r="Y29" s="7">
        <v>1503</v>
      </c>
      <c r="Z29" s="7">
        <f>SUM(Y29/X29)</f>
        <v>15.65625</v>
      </c>
      <c r="AA29" s="7">
        <v>5</v>
      </c>
      <c r="AB29" s="7">
        <v>1</v>
      </c>
    </row>
    <row r="30" spans="1:29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9" x14ac:dyDescent="0.25">
      <c r="A31" s="7" t="s">
        <v>119</v>
      </c>
      <c r="B31" s="7">
        <v>103</v>
      </c>
      <c r="C31" s="7">
        <v>1485</v>
      </c>
      <c r="D31" s="7">
        <f t="shared" ref="D31:D35" si="8">SUM(C31/B31)</f>
        <v>14.41747572815534</v>
      </c>
      <c r="E31" s="7">
        <v>3</v>
      </c>
      <c r="F31" s="7">
        <v>1</v>
      </c>
      <c r="G31" s="7" t="s">
        <v>120</v>
      </c>
      <c r="H31" s="7" t="s">
        <v>121</v>
      </c>
      <c r="I31" s="7">
        <v>105</v>
      </c>
      <c r="J31" s="7">
        <v>1453</v>
      </c>
      <c r="K31" s="7">
        <f t="shared" ref="K31:K35" si="9">SUM(J31/I31)</f>
        <v>13.838095238095239</v>
      </c>
      <c r="L31" s="7">
        <v>1.5</v>
      </c>
      <c r="M31" s="7"/>
      <c r="N31" s="7"/>
      <c r="O31" s="7"/>
      <c r="P31" s="7" t="s">
        <v>122</v>
      </c>
      <c r="Q31" s="7">
        <v>111</v>
      </c>
      <c r="R31" s="7">
        <v>1487</v>
      </c>
      <c r="S31" s="7">
        <f t="shared" ref="S31:S35" si="10">SUM(R31/Q31)</f>
        <v>13.396396396396396</v>
      </c>
      <c r="T31" s="7">
        <v>3</v>
      </c>
      <c r="U31" s="7">
        <v>1</v>
      </c>
      <c r="V31" s="7"/>
      <c r="W31" s="7" t="s">
        <v>85</v>
      </c>
      <c r="X31" s="7">
        <v>110</v>
      </c>
      <c r="Y31" s="7">
        <v>1446</v>
      </c>
      <c r="Z31" s="7">
        <f t="shared" ref="Z31:Z35" si="11">SUM(Y31/X31)</f>
        <v>13.145454545454545</v>
      </c>
      <c r="AA31" s="7">
        <v>3</v>
      </c>
      <c r="AB31" s="7"/>
    </row>
    <row r="32" spans="1:29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5">
      <c r="A33" s="7" t="s">
        <v>123</v>
      </c>
      <c r="B33" s="7">
        <v>102</v>
      </c>
      <c r="C33" s="7">
        <v>1491</v>
      </c>
      <c r="D33" s="7">
        <f t="shared" si="8"/>
        <v>14.617647058823529</v>
      </c>
      <c r="E33" s="7">
        <v>3.5</v>
      </c>
      <c r="F33" s="7">
        <v>1</v>
      </c>
      <c r="G33" s="7"/>
      <c r="H33" s="7" t="s">
        <v>124</v>
      </c>
      <c r="I33" s="7">
        <v>97</v>
      </c>
      <c r="J33" s="7">
        <v>1375</v>
      </c>
      <c r="K33" s="7">
        <f t="shared" si="9"/>
        <v>14.175257731958762</v>
      </c>
      <c r="L33" s="7">
        <v>2.5</v>
      </c>
      <c r="M33" s="7"/>
      <c r="N33" s="7"/>
      <c r="O33" s="7"/>
      <c r="P33" s="7" t="s">
        <v>125</v>
      </c>
      <c r="Q33" s="7">
        <v>96</v>
      </c>
      <c r="R33" s="7">
        <v>1503</v>
      </c>
      <c r="S33" s="7">
        <f t="shared" si="10"/>
        <v>15.65625</v>
      </c>
      <c r="T33" s="7">
        <v>4.5</v>
      </c>
      <c r="U33" s="7">
        <v>1</v>
      </c>
      <c r="V33" s="12" t="s">
        <v>126</v>
      </c>
      <c r="W33" s="7" t="s">
        <v>127</v>
      </c>
      <c r="X33" s="7">
        <v>90</v>
      </c>
      <c r="Y33" s="7">
        <v>1302</v>
      </c>
      <c r="Z33" s="7">
        <f t="shared" si="11"/>
        <v>14.466666666666667</v>
      </c>
      <c r="AA33" s="7">
        <v>1.5</v>
      </c>
      <c r="AB33" s="7"/>
    </row>
    <row r="34" spans="1:2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5">
      <c r="A35" s="7" t="s">
        <v>128</v>
      </c>
      <c r="B35" s="7">
        <v>93</v>
      </c>
      <c r="C35" s="7">
        <v>1503</v>
      </c>
      <c r="D35" s="7">
        <f t="shared" si="8"/>
        <v>16.161290322580644</v>
      </c>
      <c r="E35" s="7">
        <v>4.5</v>
      </c>
      <c r="F35" s="7">
        <v>1</v>
      </c>
      <c r="G35" s="7"/>
      <c r="H35" s="7" t="s">
        <v>129</v>
      </c>
      <c r="I35" s="7">
        <v>96</v>
      </c>
      <c r="J35" s="7">
        <v>1125</v>
      </c>
      <c r="K35" s="7">
        <f t="shared" si="9"/>
        <v>11.71875</v>
      </c>
      <c r="L35" s="7">
        <v>0.5</v>
      </c>
      <c r="M35" s="7"/>
      <c r="N35" s="7"/>
      <c r="O35" s="7"/>
      <c r="P35" s="7" t="s">
        <v>130</v>
      </c>
      <c r="Q35" s="7">
        <v>88</v>
      </c>
      <c r="R35" s="7">
        <v>1301</v>
      </c>
      <c r="S35" s="7">
        <f t="shared" si="10"/>
        <v>14.784090909090908</v>
      </c>
      <c r="T35" s="7">
        <v>2</v>
      </c>
      <c r="U35" s="7"/>
      <c r="V35" s="7" t="s">
        <v>131</v>
      </c>
      <c r="W35" s="7" t="s">
        <v>132</v>
      </c>
      <c r="X35" s="7">
        <v>93</v>
      </c>
      <c r="Y35" s="7">
        <v>1408</v>
      </c>
      <c r="Z35" s="7">
        <f t="shared" si="11"/>
        <v>15.13978494623656</v>
      </c>
      <c r="AA35" s="7">
        <v>3.5</v>
      </c>
      <c r="AB35" s="7">
        <v>1</v>
      </c>
    </row>
    <row r="36" spans="1:28" x14ac:dyDescent="0.25">
      <c r="A36" s="7"/>
      <c r="B36" s="7"/>
      <c r="C36" s="7"/>
      <c r="D36" s="7"/>
      <c r="E36" s="7"/>
      <c r="F36" s="7"/>
      <c r="G36" s="7"/>
      <c r="N36" s="7"/>
      <c r="O36" s="7"/>
    </row>
    <row r="37" spans="1:28" x14ac:dyDescent="0.25">
      <c r="A37" s="7" t="s">
        <v>133</v>
      </c>
      <c r="B37" s="7"/>
      <c r="C37" s="7"/>
      <c r="D37" s="7"/>
      <c r="E37" s="7">
        <v>2.5</v>
      </c>
      <c r="F37" s="7"/>
      <c r="G37" s="7"/>
      <c r="N37" s="7"/>
      <c r="O37" s="7"/>
      <c r="P37" t="s">
        <v>134</v>
      </c>
      <c r="T37">
        <v>1</v>
      </c>
    </row>
    <row r="38" spans="1:28" x14ac:dyDescent="0.25">
      <c r="N38" s="7"/>
      <c r="O38" s="7"/>
    </row>
    <row r="39" spans="1:28" x14ac:dyDescent="0.25">
      <c r="N39" s="7"/>
      <c r="O39" s="7"/>
    </row>
    <row r="40" spans="1:28" x14ac:dyDescent="0.25">
      <c r="N40" s="7"/>
      <c r="O40" s="7"/>
    </row>
    <row r="41" spans="1:28" x14ac:dyDescent="0.25">
      <c r="N41" s="7"/>
      <c r="O41" s="7"/>
    </row>
    <row r="42" spans="1:28" x14ac:dyDescent="0.25">
      <c r="N42" s="7"/>
      <c r="O42" s="7"/>
    </row>
    <row r="43" spans="1:28" x14ac:dyDescent="0.25">
      <c r="N43" s="7"/>
      <c r="O43" s="7"/>
    </row>
    <row r="44" spans="1:28" x14ac:dyDescent="0.25">
      <c r="N44" s="7"/>
      <c r="O44" s="7"/>
    </row>
    <row r="45" spans="1:28" x14ac:dyDescent="0.25">
      <c r="N45" s="7"/>
      <c r="O45" s="7"/>
    </row>
    <row r="46" spans="1:28" x14ac:dyDescent="0.25">
      <c r="N46" s="7"/>
      <c r="O46" s="7"/>
    </row>
  </sheetData>
  <mergeCells count="11">
    <mergeCell ref="P27:U27"/>
    <mergeCell ref="W27:AB27"/>
    <mergeCell ref="P14:U14"/>
    <mergeCell ref="P2:U2"/>
    <mergeCell ref="A27:F27"/>
    <mergeCell ref="W14:AB14"/>
    <mergeCell ref="H2:M2"/>
    <mergeCell ref="A14:F14"/>
    <mergeCell ref="H14:M14"/>
    <mergeCell ref="H27:M27"/>
    <mergeCell ref="A2:F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1f95f-8510-4424-8ae1-5c596bdbd578}" enabled="0" method="" siteId="{a2d1f95f-8510-4424-8ae1-5c596bdbd5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Powers, Sam</dc:creator>
  <cp:keywords/>
  <dc:description/>
  <cp:lastModifiedBy>Powers, Sam</cp:lastModifiedBy>
  <cp:revision/>
  <dcterms:created xsi:type="dcterms:W3CDTF">2023-09-18T23:48:25Z</dcterms:created>
  <dcterms:modified xsi:type="dcterms:W3CDTF">2026-09-24T10:07:28Z</dcterms:modified>
  <cp:category/>
  <cp:contentStatus/>
</cp:coreProperties>
</file>