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liga1\Desktop\Personal\Darts\"/>
    </mc:Choice>
  </mc:AlternateContent>
  <bookViews>
    <workbookView xWindow="0" yWindow="0" windowWidth="8085" windowHeight="7665"/>
  </bookViews>
  <sheets>
    <sheet name="Week 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E48" i="1" l="1"/>
  <c r="D48" i="1"/>
  <c r="E42" i="1"/>
  <c r="D42" i="1"/>
  <c r="E6" i="1"/>
  <c r="D6" i="1"/>
  <c r="F6" i="1" s="1"/>
  <c r="E47" i="1"/>
  <c r="F47" i="1" s="1"/>
  <c r="D47" i="1"/>
  <c r="E39" i="1"/>
  <c r="D39" i="1"/>
  <c r="E26" i="1"/>
  <c r="D26" i="1"/>
  <c r="E8" i="1"/>
  <c r="D8" i="1"/>
  <c r="E29" i="1"/>
  <c r="D29" i="1"/>
  <c r="E19" i="1"/>
  <c r="D19" i="1"/>
  <c r="E13" i="1"/>
  <c r="D13" i="1"/>
  <c r="E9" i="1"/>
  <c r="D9" i="1"/>
  <c r="E18" i="1"/>
  <c r="F18" i="1" s="1"/>
  <c r="D18" i="1"/>
  <c r="E20" i="1"/>
  <c r="D20" i="1"/>
  <c r="E12" i="1"/>
  <c r="D12" i="1"/>
  <c r="E4" i="1"/>
  <c r="D4" i="1"/>
  <c r="E32" i="1"/>
  <c r="F32" i="1" s="1"/>
  <c r="D32" i="1"/>
  <c r="E25" i="1"/>
  <c r="D25" i="1"/>
  <c r="E30" i="1"/>
  <c r="D30" i="1"/>
  <c r="E16" i="1"/>
  <c r="D16" i="1"/>
  <c r="E35" i="1"/>
  <c r="D35" i="1"/>
  <c r="E21" i="1"/>
  <c r="D21" i="1"/>
  <c r="E10" i="1"/>
  <c r="D10" i="1"/>
  <c r="E3" i="1"/>
  <c r="D3" i="1"/>
  <c r="E45" i="1"/>
  <c r="D45" i="1"/>
  <c r="E37" i="1"/>
  <c r="D37" i="1"/>
  <c r="E41" i="1"/>
  <c r="D41" i="1"/>
  <c r="E36" i="1"/>
  <c r="D36" i="1"/>
  <c r="E27" i="1"/>
  <c r="D27" i="1"/>
  <c r="E24" i="1"/>
  <c r="D24" i="1"/>
  <c r="E33" i="1"/>
  <c r="D33" i="1"/>
  <c r="E17" i="1"/>
  <c r="D17" i="1"/>
  <c r="E34" i="1"/>
  <c r="D34" i="1"/>
  <c r="E22" i="1"/>
  <c r="D22" i="1"/>
  <c r="E23" i="1"/>
  <c r="D23" i="1"/>
  <c r="E7" i="1"/>
  <c r="D7" i="1"/>
  <c r="E5" i="1"/>
  <c r="D5" i="1"/>
  <c r="E44" i="1"/>
  <c r="D44" i="1"/>
  <c r="E40" i="1"/>
  <c r="D40" i="1"/>
  <c r="E15" i="1"/>
  <c r="D15" i="1"/>
  <c r="E14" i="1"/>
  <c r="D14" i="1"/>
  <c r="E46" i="1"/>
  <c r="F46" i="1" s="1"/>
  <c r="D46" i="1"/>
  <c r="E43" i="1"/>
  <c r="D43" i="1"/>
  <c r="F43" i="1" s="1"/>
  <c r="E2" i="1"/>
  <c r="D2" i="1"/>
  <c r="E31" i="1"/>
  <c r="D31" i="1"/>
  <c r="E11" i="1"/>
  <c r="D11" i="1"/>
  <c r="F22" i="1" l="1"/>
  <c r="F11" i="1"/>
  <c r="F25" i="1"/>
  <c r="F42" i="1"/>
  <c r="F34" i="1"/>
  <c r="F48" i="1"/>
  <c r="F30" i="1"/>
  <c r="F16" i="1"/>
  <c r="F35" i="1"/>
  <c r="E38" i="1"/>
  <c r="D38" i="1"/>
  <c r="F23" i="1" l="1"/>
  <c r="F38" i="1"/>
  <c r="F31" i="1"/>
  <c r="F40" i="1"/>
  <c r="F45" i="1"/>
  <c r="F24" i="1"/>
  <c r="F44" i="1"/>
  <c r="F17" i="1"/>
  <c r="F27" i="1"/>
  <c r="F33" i="1"/>
  <c r="F39" i="1"/>
  <c r="F19" i="1"/>
  <c r="F13" i="1"/>
  <c r="F20" i="1"/>
  <c r="F7" i="1"/>
  <c r="F26" i="1"/>
  <c r="F37" i="1"/>
  <c r="F3" i="1" l="1"/>
  <c r="F21" i="1"/>
  <c r="F15" i="1"/>
  <c r="F4" i="1"/>
  <c r="F29" i="1"/>
  <c r="F9" i="1"/>
  <c r="F2" i="1"/>
  <c r="F10" i="1"/>
  <c r="F12" i="1"/>
  <c r="F36" i="1"/>
  <c r="F41" i="1"/>
  <c r="F14" i="1"/>
  <c r="F5" i="1"/>
  <c r="F8" i="1"/>
</calcChain>
</file>

<file path=xl/sharedStrings.xml><?xml version="1.0" encoding="utf-8"?>
<sst xmlns="http://schemas.openxmlformats.org/spreadsheetml/2006/main" count="156" uniqueCount="100">
  <si>
    <t>Rank</t>
  </si>
  <si>
    <t>Player</t>
  </si>
  <si>
    <t>Team</t>
  </si>
  <si>
    <t>Total Points</t>
  </si>
  <si>
    <t>Total Darts</t>
  </si>
  <si>
    <t>Total PPD</t>
  </si>
  <si>
    <t>Wks Played</t>
  </si>
  <si>
    <t>501 BP</t>
  </si>
  <si>
    <t>RON</t>
  </si>
  <si>
    <t xml:space="preserve"> MVP Pts</t>
  </si>
  <si>
    <t>Payout</t>
  </si>
  <si>
    <t>Richie Thomas</t>
  </si>
  <si>
    <t>Luigi's Loose Change</t>
  </si>
  <si>
    <t>Ed Davis</t>
  </si>
  <si>
    <t>VFW 1589 Bad Monkeys</t>
  </si>
  <si>
    <t>Larry Jenkins</t>
  </si>
  <si>
    <t xml:space="preserve">Purple Cow 1  </t>
  </si>
  <si>
    <t>Pat Nabors</t>
  </si>
  <si>
    <t>Elks Wiseguys</t>
  </si>
  <si>
    <t>Matt Nacarate</t>
  </si>
  <si>
    <t>Steve Stockett</t>
  </si>
  <si>
    <t>Jimmy Smith</t>
  </si>
  <si>
    <t>Legion Post 174 Snipers</t>
  </si>
  <si>
    <t xml:space="preserve">Sam Powers </t>
  </si>
  <si>
    <t>Richard Whisler</t>
  </si>
  <si>
    <t>Josh Jenkins</t>
  </si>
  <si>
    <t>Beaver Galusky</t>
  </si>
  <si>
    <t>Rob Cicchino</t>
  </si>
  <si>
    <t>Elks Jolly</t>
  </si>
  <si>
    <t>Zach Barlow</t>
  </si>
  <si>
    <t>Travis Ruckle</t>
  </si>
  <si>
    <t>John Powers</t>
  </si>
  <si>
    <t>Griffin Wilcox</t>
  </si>
  <si>
    <t>VFW 1589 Dissapointers</t>
  </si>
  <si>
    <t>Ryan Swaniger</t>
  </si>
  <si>
    <t>Jon Kline</t>
  </si>
  <si>
    <t>Gabbie Mellie</t>
  </si>
  <si>
    <t>Barb Hardy</t>
  </si>
  <si>
    <t>Kevin Ruckle</t>
  </si>
  <si>
    <t>Alex Keenan</t>
  </si>
  <si>
    <t>JL Brown</t>
  </si>
  <si>
    <t>Joe White</t>
  </si>
  <si>
    <t>Marshall Jenkins</t>
  </si>
  <si>
    <t>Alex Rice</t>
  </si>
  <si>
    <t>Bryant Losh</t>
  </si>
  <si>
    <t xml:space="preserve">Teams - Overall </t>
  </si>
  <si>
    <t>Wins</t>
  </si>
  <si>
    <t>Lose</t>
  </si>
  <si>
    <t>Points</t>
  </si>
  <si>
    <t>Weekly Payouts and Season High's</t>
  </si>
  <si>
    <t xml:space="preserve">Season Best Game 501:  </t>
  </si>
  <si>
    <t xml:space="preserve">PURPLE COW 1 </t>
  </si>
  <si>
    <t xml:space="preserve">High Average for Week:   </t>
  </si>
  <si>
    <t>VFW 1589 DISSAPOINTERS</t>
  </si>
  <si>
    <t xml:space="preserve">High in 301 for the week: </t>
  </si>
  <si>
    <t xml:space="preserve">High Out for the week: </t>
  </si>
  <si>
    <t>LUIGI'S LOOSE CHANGE</t>
  </si>
  <si>
    <t xml:space="preserve">Season High In for 301:  </t>
  </si>
  <si>
    <t xml:space="preserve">Season High Out:    </t>
  </si>
  <si>
    <t>ELKS WISEGUYS</t>
  </si>
  <si>
    <t>VFW 1589 BAD MONKEYS</t>
  </si>
  <si>
    <t>LEGION POST 174 SNIPERS</t>
  </si>
  <si>
    <t>ELKS JOLLY</t>
  </si>
  <si>
    <t>Tie</t>
  </si>
  <si>
    <t>Stephen Thurbon</t>
  </si>
  <si>
    <t>Gary Daft</t>
  </si>
  <si>
    <t>Alwyn Thurbon</t>
  </si>
  <si>
    <t>Purple Cow Tippers</t>
  </si>
  <si>
    <t>Angela Bell</t>
  </si>
  <si>
    <t>PURPLE COW TIPPERS</t>
  </si>
  <si>
    <t>Timmy Frymyer</t>
  </si>
  <si>
    <t>Doug Himes</t>
  </si>
  <si>
    <t>Tom Gallegly</t>
  </si>
  <si>
    <t>Kenny Goldsborough</t>
  </si>
  <si>
    <t xml:space="preserve">POP A TOP </t>
  </si>
  <si>
    <t>Harley Hall</t>
  </si>
  <si>
    <t>Teams - Tungsten Division</t>
  </si>
  <si>
    <t>Teams - Wood Division</t>
  </si>
  <si>
    <t>Todd Wotring</t>
  </si>
  <si>
    <t>Seth Boyles</t>
  </si>
  <si>
    <t>Tammy Allen</t>
  </si>
  <si>
    <t>Bob Fox</t>
  </si>
  <si>
    <t>Shawn Cole</t>
  </si>
  <si>
    <t>Thom Douglas</t>
  </si>
  <si>
    <t>Tim Rosati</t>
  </si>
  <si>
    <t>Allen Collins</t>
  </si>
  <si>
    <t>Rob Cicchino 115 Out</t>
  </si>
  <si>
    <t>Matt Nacarate 20 Dart Game</t>
  </si>
  <si>
    <t>Pop A Top</t>
  </si>
  <si>
    <t>Carter Kline</t>
  </si>
  <si>
    <t>John Sinclair</t>
  </si>
  <si>
    <t>Doug Tennant</t>
  </si>
  <si>
    <t>Classics Rocks</t>
  </si>
  <si>
    <t>CLASSICS ROCKS</t>
  </si>
  <si>
    <t>Bryant Losh 120 In</t>
  </si>
  <si>
    <t>Richie Thomas 17.28</t>
  </si>
  <si>
    <t>Griffin Wilcox 77 Out</t>
  </si>
  <si>
    <t>Jerry Shiflett</t>
  </si>
  <si>
    <t>Week 4</t>
  </si>
  <si>
    <t>Griffin Wilcox/Bryant Losh 120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</si>
</sst>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textRotation="73"/>
    </xf>
    <xf numFmtId="0" fontId="1" fillId="2" borderId="1" xfId="0" applyFont="1" applyFill="1" applyBorder="1" applyAlignment="1">
      <alignment textRotation="73" wrapText="1"/>
    </xf>
    <xf numFmtId="0" fontId="2" fillId="0" borderId="2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6" xfId="0" applyFont="1" applyBorder="1"/>
    <xf numFmtId="0" fontId="3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3" fillId="0" borderId="7" xfId="0" applyFont="1" applyBorder="1"/>
    <xf numFmtId="0" fontId="1" fillId="0" borderId="8" xfId="0" applyFont="1" applyBorder="1"/>
    <xf numFmtId="0" fontId="1" fillId="4" borderId="9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0" borderId="10" xfId="0" applyFont="1" applyBorder="1"/>
    <xf numFmtId="0" fontId="3" fillId="0" borderId="11" xfId="0" applyFont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0" borderId="4" xfId="0" applyFont="1" applyBorder="1"/>
    <xf numFmtId="0" fontId="1" fillId="0" borderId="19" xfId="0" applyFont="1" applyBorder="1"/>
    <xf numFmtId="0" fontId="1" fillId="0" borderId="20" xfId="0" applyFont="1" applyBorder="1"/>
    <xf numFmtId="0" fontId="3" fillId="0" borderId="19" xfId="0" applyFont="1" applyBorder="1"/>
    <xf numFmtId="0" fontId="3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1" fillId="0" borderId="24" xfId="0" applyFont="1" applyBorder="1"/>
    <xf numFmtId="0" fontId="2" fillId="0" borderId="25" xfId="0" applyFont="1" applyBorder="1"/>
    <xf numFmtId="0" fontId="1" fillId="0" borderId="26" xfId="0" applyFont="1" applyBorder="1"/>
    <xf numFmtId="0" fontId="2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3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11" xfId="0" applyFont="1" applyBorder="1"/>
    <xf numFmtId="0" fontId="1" fillId="0" borderId="34" xfId="0" applyFont="1" applyBorder="1"/>
    <xf numFmtId="0" fontId="1" fillId="4" borderId="43" xfId="0" applyFont="1" applyFill="1" applyBorder="1"/>
    <xf numFmtId="0" fontId="1" fillId="0" borderId="17" xfId="0" applyFont="1" applyBorder="1"/>
    <xf numFmtId="0" fontId="1" fillId="3" borderId="18" xfId="0" applyFont="1" applyFill="1" applyBorder="1" applyAlignment="1">
      <alignment horizontal="center" vertical="center" textRotation="90" wrapText="1"/>
    </xf>
    <xf numFmtId="0" fontId="1" fillId="3" borderId="44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workbookViewId="0">
      <pane ySplit="1" topLeftCell="A49" activePane="bottomLeft" state="frozen"/>
      <selection pane="bottomLeft" activeCell="N57" sqref="I52:R57"/>
    </sheetView>
  </sheetViews>
  <sheetFormatPr defaultRowHeight="15" x14ac:dyDescent="0.25"/>
  <cols>
    <col min="1" max="1" width="5.42578125" bestFit="1" customWidth="1"/>
    <col min="2" max="2" width="23.85546875" bestFit="1" customWidth="1"/>
    <col min="3" max="3" width="31.140625" bestFit="1" customWidth="1"/>
    <col min="4" max="5" width="10.7109375" bestFit="1" customWidth="1"/>
    <col min="6" max="6" width="7.7109375" bestFit="1" customWidth="1"/>
    <col min="7" max="7" width="8.140625" bestFit="1" customWidth="1"/>
    <col min="8" max="11" width="5.7109375" customWidth="1"/>
    <col min="12" max="12" width="7.7109375" bestFit="1" customWidth="1"/>
    <col min="13" max="13" width="10.85546875" bestFit="1" customWidth="1"/>
    <col min="18" max="18" width="18.85546875" customWidth="1"/>
  </cols>
  <sheetData>
    <row r="1" spans="1:13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>
        <v>180</v>
      </c>
      <c r="J1" s="1">
        <v>171</v>
      </c>
      <c r="K1" s="1" t="s">
        <v>8</v>
      </c>
      <c r="L1" s="2" t="s">
        <v>9</v>
      </c>
      <c r="M1" s="2" t="s">
        <v>10</v>
      </c>
    </row>
    <row r="2" spans="1:13" ht="18.75" x14ac:dyDescent="0.3">
      <c r="A2" s="3">
        <v>1</v>
      </c>
      <c r="B2" s="4" t="s">
        <v>19</v>
      </c>
      <c r="C2" s="4" t="s">
        <v>14</v>
      </c>
      <c r="D2" s="11">
        <f>SUM(1503+1501)</f>
        <v>3004</v>
      </c>
      <c r="E2" s="11">
        <f>SUM(88+78)</f>
        <v>166</v>
      </c>
      <c r="F2" s="12">
        <f t="shared" ref="F2:F48" si="0">SUM(D2/E2)</f>
        <v>18.096385542168676</v>
      </c>
      <c r="G2" s="11">
        <v>2</v>
      </c>
      <c r="H2" s="11">
        <v>2</v>
      </c>
      <c r="I2" s="11"/>
      <c r="J2" s="11"/>
      <c r="K2" s="11"/>
      <c r="L2" s="11">
        <v>11.5</v>
      </c>
      <c r="M2" s="13">
        <v>5</v>
      </c>
    </row>
    <row r="3" spans="1:13" ht="18.75" x14ac:dyDescent="0.3">
      <c r="A3" s="3">
        <v>2</v>
      </c>
      <c r="B3" s="4" t="s">
        <v>15</v>
      </c>
      <c r="C3" s="4" t="s">
        <v>16</v>
      </c>
      <c r="D3" s="11">
        <f>SUM(1439+1494+1469)</f>
        <v>4402</v>
      </c>
      <c r="E3" s="11">
        <f>SUM(83+92+88)</f>
        <v>263</v>
      </c>
      <c r="F3" s="12">
        <f t="shared" si="0"/>
        <v>16.737642585551331</v>
      </c>
      <c r="G3" s="11">
        <v>3</v>
      </c>
      <c r="H3" s="11">
        <v>1</v>
      </c>
      <c r="I3" s="11"/>
      <c r="J3" s="11"/>
      <c r="K3" s="11"/>
      <c r="L3" s="11">
        <v>7</v>
      </c>
      <c r="M3" s="13"/>
    </row>
    <row r="4" spans="1:13" ht="18.75" x14ac:dyDescent="0.3">
      <c r="A4" s="3">
        <v>3</v>
      </c>
      <c r="B4" s="4" t="s">
        <v>11</v>
      </c>
      <c r="C4" s="4" t="s">
        <v>12</v>
      </c>
      <c r="D4" s="11">
        <f>SUM(1434+1499+1503)</f>
        <v>4436</v>
      </c>
      <c r="E4" s="11">
        <f>SUM(78+102+87)</f>
        <v>267</v>
      </c>
      <c r="F4" s="12">
        <f t="shared" si="0"/>
        <v>16.614232209737828</v>
      </c>
      <c r="G4" s="11">
        <v>3</v>
      </c>
      <c r="H4" s="11">
        <v>2</v>
      </c>
      <c r="I4" s="11">
        <v>1</v>
      </c>
      <c r="J4" s="11"/>
      <c r="K4" s="11"/>
      <c r="L4" s="11">
        <v>9.5</v>
      </c>
      <c r="M4" s="13">
        <v>10</v>
      </c>
    </row>
    <row r="5" spans="1:13" ht="18.75" x14ac:dyDescent="0.3">
      <c r="A5" s="3">
        <v>4</v>
      </c>
      <c r="B5" s="4" t="s">
        <v>13</v>
      </c>
      <c r="C5" s="4" t="s">
        <v>14</v>
      </c>
      <c r="D5" s="11">
        <f>SUM(1503+1493+1483)</f>
        <v>4479</v>
      </c>
      <c r="E5" s="11">
        <f>SUM(87+94+89)</f>
        <v>270</v>
      </c>
      <c r="F5" s="12">
        <f t="shared" si="0"/>
        <v>16.588888888888889</v>
      </c>
      <c r="G5" s="11">
        <v>3</v>
      </c>
      <c r="H5" s="11">
        <v>3</v>
      </c>
      <c r="I5" s="11"/>
      <c r="J5" s="11"/>
      <c r="K5" s="11"/>
      <c r="L5" s="11">
        <v>13.5</v>
      </c>
      <c r="M5" s="13"/>
    </row>
    <row r="6" spans="1:13" ht="18.75" x14ac:dyDescent="0.3">
      <c r="A6" s="3">
        <v>5</v>
      </c>
      <c r="B6" s="15" t="s">
        <v>85</v>
      </c>
      <c r="C6" s="4" t="s">
        <v>92</v>
      </c>
      <c r="D6" s="11">
        <f>SUM(1503+1503+1471)</f>
        <v>4477</v>
      </c>
      <c r="E6" s="11">
        <f>SUM(97+85+93)</f>
        <v>275</v>
      </c>
      <c r="F6" s="12">
        <f t="shared" si="0"/>
        <v>16.28</v>
      </c>
      <c r="G6" s="11">
        <v>3</v>
      </c>
      <c r="H6" s="11">
        <v>3</v>
      </c>
      <c r="I6" s="11">
        <v>1</v>
      </c>
      <c r="J6" s="11"/>
      <c r="K6" s="11"/>
      <c r="L6" s="11">
        <v>13.5</v>
      </c>
      <c r="M6" s="13"/>
    </row>
    <row r="7" spans="1:13" ht="18.75" x14ac:dyDescent="0.3">
      <c r="A7" s="3">
        <v>6</v>
      </c>
      <c r="B7" s="4" t="s">
        <v>23</v>
      </c>
      <c r="C7" s="4" t="s">
        <v>14</v>
      </c>
      <c r="D7" s="11">
        <f>SUM(1503+1503+1503)</f>
        <v>4509</v>
      </c>
      <c r="E7" s="11">
        <f>SUM(93+102+87)</f>
        <v>282</v>
      </c>
      <c r="F7" s="12">
        <f t="shared" si="0"/>
        <v>15.98936170212766</v>
      </c>
      <c r="G7" s="11">
        <v>3</v>
      </c>
      <c r="H7" s="11">
        <v>3</v>
      </c>
      <c r="I7" s="11">
        <v>1</v>
      </c>
      <c r="J7" s="11"/>
      <c r="K7" s="11">
        <v>1</v>
      </c>
      <c r="L7" s="11">
        <v>15</v>
      </c>
      <c r="M7" s="13"/>
    </row>
    <row r="8" spans="1:13" ht="18.75" x14ac:dyDescent="0.3">
      <c r="A8" s="3">
        <v>7</v>
      </c>
      <c r="B8" s="15" t="s">
        <v>32</v>
      </c>
      <c r="C8" s="4" t="s">
        <v>33</v>
      </c>
      <c r="D8" s="11">
        <f>SUM(1463+1440+1348)</f>
        <v>4251</v>
      </c>
      <c r="E8" s="11">
        <f>SUM(87+90+90)</f>
        <v>267</v>
      </c>
      <c r="F8" s="12">
        <f t="shared" si="0"/>
        <v>15.921348314606741</v>
      </c>
      <c r="G8" s="11">
        <v>3</v>
      </c>
      <c r="H8" s="11">
        <v>2</v>
      </c>
      <c r="I8" s="11"/>
      <c r="J8" s="11"/>
      <c r="K8" s="11"/>
      <c r="L8" s="11">
        <v>9.5</v>
      </c>
      <c r="M8" s="13">
        <v>15</v>
      </c>
    </row>
    <row r="9" spans="1:13" ht="18.75" x14ac:dyDescent="0.3">
      <c r="A9" s="3">
        <v>8</v>
      </c>
      <c r="B9" s="3" t="s">
        <v>34</v>
      </c>
      <c r="C9" s="4" t="s">
        <v>22</v>
      </c>
      <c r="D9" s="11">
        <f>SUM(1385+1499+1356+1205)</f>
        <v>5445</v>
      </c>
      <c r="E9" s="11">
        <f>SUM(79+109+82+81)</f>
        <v>351</v>
      </c>
      <c r="F9" s="12">
        <f t="shared" si="0"/>
        <v>15.512820512820513</v>
      </c>
      <c r="G9" s="11">
        <v>4</v>
      </c>
      <c r="H9" s="11">
        <v>2</v>
      </c>
      <c r="I9" s="11"/>
      <c r="J9" s="11"/>
      <c r="K9" s="11"/>
      <c r="L9" s="11">
        <v>12.5</v>
      </c>
      <c r="M9" s="13"/>
    </row>
    <row r="10" spans="1:13" ht="18.75" x14ac:dyDescent="0.3">
      <c r="A10" s="3">
        <v>9</v>
      </c>
      <c r="B10" s="4" t="s">
        <v>42</v>
      </c>
      <c r="C10" s="4" t="s">
        <v>16</v>
      </c>
      <c r="D10" s="11">
        <f>SUM(1305+1155+1497)</f>
        <v>3957</v>
      </c>
      <c r="E10" s="11">
        <f>SUM(82+73+109)</f>
        <v>264</v>
      </c>
      <c r="F10" s="12">
        <f t="shared" si="0"/>
        <v>14.988636363636363</v>
      </c>
      <c r="G10" s="11">
        <v>3</v>
      </c>
      <c r="H10" s="11">
        <v>2</v>
      </c>
      <c r="I10" s="11"/>
      <c r="J10" s="11"/>
      <c r="K10" s="11"/>
      <c r="L10" s="11">
        <v>9.5</v>
      </c>
      <c r="M10" s="13"/>
    </row>
    <row r="11" spans="1:13" ht="18.75" x14ac:dyDescent="0.3">
      <c r="A11" s="3">
        <v>10</v>
      </c>
      <c r="B11" s="4" t="s">
        <v>78</v>
      </c>
      <c r="C11" s="4" t="s">
        <v>18</v>
      </c>
      <c r="D11" s="11">
        <f>SUM(1503)</f>
        <v>1503</v>
      </c>
      <c r="E11" s="11">
        <f>SUM(102)</f>
        <v>102</v>
      </c>
      <c r="F11" s="12">
        <f t="shared" si="0"/>
        <v>14.735294117647058</v>
      </c>
      <c r="G11" s="11">
        <v>1</v>
      </c>
      <c r="H11" s="11">
        <v>1</v>
      </c>
      <c r="I11" s="11"/>
      <c r="J11" s="11"/>
      <c r="K11" s="11"/>
      <c r="L11" s="11">
        <v>5</v>
      </c>
      <c r="M11" s="13"/>
    </row>
    <row r="12" spans="1:13" ht="18.75" x14ac:dyDescent="0.3">
      <c r="A12" s="3">
        <v>11</v>
      </c>
      <c r="B12" s="4" t="s">
        <v>26</v>
      </c>
      <c r="C12" s="4" t="s">
        <v>12</v>
      </c>
      <c r="D12" s="11">
        <f>SUM(1124+1503+1455)</f>
        <v>4082</v>
      </c>
      <c r="E12" s="11">
        <f>SUM(81+82+115)</f>
        <v>278</v>
      </c>
      <c r="F12" s="12">
        <f t="shared" si="0"/>
        <v>14.683453237410072</v>
      </c>
      <c r="G12" s="11">
        <v>3</v>
      </c>
      <c r="H12" s="11">
        <v>1</v>
      </c>
      <c r="I12" s="11"/>
      <c r="J12" s="11">
        <v>1</v>
      </c>
      <c r="K12" s="11"/>
      <c r="L12" s="11">
        <v>8</v>
      </c>
      <c r="M12" s="13">
        <v>5</v>
      </c>
    </row>
    <row r="13" spans="1:13" ht="18.75" x14ac:dyDescent="0.3">
      <c r="A13" s="3">
        <v>12</v>
      </c>
      <c r="B13" s="3" t="s">
        <v>21</v>
      </c>
      <c r="C13" s="4" t="s">
        <v>22</v>
      </c>
      <c r="D13" s="11">
        <f>SUM(1399+1503+1274+1463)</f>
        <v>5639</v>
      </c>
      <c r="E13" s="11">
        <f>SUM(82+109+87+114)</f>
        <v>392</v>
      </c>
      <c r="F13" s="12">
        <f t="shared" si="0"/>
        <v>14.385204081632653</v>
      </c>
      <c r="G13" s="11">
        <v>4</v>
      </c>
      <c r="H13" s="11">
        <v>2</v>
      </c>
      <c r="I13" s="11"/>
      <c r="J13" s="11"/>
      <c r="K13" s="11"/>
      <c r="L13" s="11">
        <v>12</v>
      </c>
      <c r="M13" s="13"/>
    </row>
    <row r="14" spans="1:13" ht="18.75" x14ac:dyDescent="0.3">
      <c r="A14" s="3">
        <v>13</v>
      </c>
      <c r="B14" s="4" t="s">
        <v>27</v>
      </c>
      <c r="C14" s="4" t="s">
        <v>18</v>
      </c>
      <c r="D14" s="11">
        <f>SUM(1501+1503+1503)</f>
        <v>4507</v>
      </c>
      <c r="E14" s="11">
        <f>SUM(125+90+100)</f>
        <v>315</v>
      </c>
      <c r="F14" s="12">
        <f t="shared" si="0"/>
        <v>14.307936507936509</v>
      </c>
      <c r="G14" s="11">
        <v>3</v>
      </c>
      <c r="H14" s="11">
        <v>3</v>
      </c>
      <c r="I14" s="11"/>
      <c r="J14" s="11"/>
      <c r="K14" s="11">
        <v>1</v>
      </c>
      <c r="L14" s="11">
        <v>14.5</v>
      </c>
      <c r="M14" s="13">
        <v>5</v>
      </c>
    </row>
    <row r="15" spans="1:13" ht="18.75" x14ac:dyDescent="0.3">
      <c r="A15" s="3">
        <v>14</v>
      </c>
      <c r="B15" s="3" t="s">
        <v>17</v>
      </c>
      <c r="C15" s="7" t="s">
        <v>18</v>
      </c>
      <c r="D15" s="11">
        <f>SUM(1503+1238+1475)</f>
        <v>4216</v>
      </c>
      <c r="E15" s="11">
        <f>SUM(101+96+104)</f>
        <v>301</v>
      </c>
      <c r="F15" s="12">
        <f t="shared" si="0"/>
        <v>14.006644518272426</v>
      </c>
      <c r="G15" s="11">
        <v>3</v>
      </c>
      <c r="H15" s="11">
        <v>1</v>
      </c>
      <c r="I15" s="11"/>
      <c r="J15" s="11"/>
      <c r="K15" s="11"/>
      <c r="L15" s="11">
        <v>9</v>
      </c>
      <c r="M15" s="13"/>
    </row>
    <row r="16" spans="1:13" ht="18.75" x14ac:dyDescent="0.3">
      <c r="A16" s="3">
        <v>15</v>
      </c>
      <c r="B16" s="4" t="s">
        <v>79</v>
      </c>
      <c r="C16" s="4" t="s">
        <v>88</v>
      </c>
      <c r="D16" s="11">
        <f>SUM(1393+1406+1309)</f>
        <v>4108</v>
      </c>
      <c r="E16" s="11">
        <f>SUM(111+98+89)</f>
        <v>298</v>
      </c>
      <c r="F16" s="12">
        <f t="shared" si="0"/>
        <v>13.785234899328859</v>
      </c>
      <c r="G16" s="11">
        <v>3</v>
      </c>
      <c r="H16" s="11">
        <v>1</v>
      </c>
      <c r="I16" s="11"/>
      <c r="J16" s="11"/>
      <c r="K16" s="11"/>
      <c r="L16" s="11">
        <v>7</v>
      </c>
      <c r="M16" s="13">
        <v>5</v>
      </c>
    </row>
    <row r="17" spans="1:13" ht="18.75" x14ac:dyDescent="0.3">
      <c r="A17" s="3">
        <v>16</v>
      </c>
      <c r="B17" s="15" t="s">
        <v>65</v>
      </c>
      <c r="C17" s="4" t="s">
        <v>28</v>
      </c>
      <c r="D17" s="11">
        <f>SUM(1501+1463+1503)</f>
        <v>4467</v>
      </c>
      <c r="E17" s="11">
        <f>SUM(113+99+115)</f>
        <v>327</v>
      </c>
      <c r="F17" s="12">
        <f t="shared" si="0"/>
        <v>13.660550458715596</v>
      </c>
      <c r="G17" s="11">
        <v>3</v>
      </c>
      <c r="H17" s="11">
        <v>2</v>
      </c>
      <c r="I17" s="11"/>
      <c r="J17" s="11"/>
      <c r="K17" s="11"/>
      <c r="L17" s="11">
        <v>11.5</v>
      </c>
      <c r="M17" s="13">
        <v>5</v>
      </c>
    </row>
    <row r="18" spans="1:13" ht="18.75" x14ac:dyDescent="0.3">
      <c r="A18" s="3">
        <v>17</v>
      </c>
      <c r="B18" s="4" t="s">
        <v>90</v>
      </c>
      <c r="C18" s="4" t="s">
        <v>12</v>
      </c>
      <c r="D18" s="11">
        <f>SUM(1503+1484)</f>
        <v>2987</v>
      </c>
      <c r="E18" s="11">
        <f>SUM(116+103)</f>
        <v>219</v>
      </c>
      <c r="F18" s="12">
        <f t="shared" si="0"/>
        <v>13.639269406392694</v>
      </c>
      <c r="G18" s="11">
        <v>2</v>
      </c>
      <c r="H18" s="11">
        <v>1</v>
      </c>
      <c r="I18" s="11"/>
      <c r="J18" s="11"/>
      <c r="K18" s="11"/>
      <c r="L18" s="11">
        <v>6.5</v>
      </c>
      <c r="M18" s="13"/>
    </row>
    <row r="19" spans="1:13" ht="18.75" x14ac:dyDescent="0.3">
      <c r="A19" s="3">
        <v>18</v>
      </c>
      <c r="B19" s="15" t="s">
        <v>31</v>
      </c>
      <c r="C19" s="4" t="s">
        <v>22</v>
      </c>
      <c r="D19" s="11">
        <f>SUM(1503+1285+1503+1425)</f>
        <v>5716</v>
      </c>
      <c r="E19" s="11">
        <f>SUM(109+111+88+114)</f>
        <v>422</v>
      </c>
      <c r="F19" s="12">
        <f t="shared" si="0"/>
        <v>13.545023696682465</v>
      </c>
      <c r="G19" s="11">
        <v>4</v>
      </c>
      <c r="H19" s="11">
        <v>2</v>
      </c>
      <c r="I19" s="11"/>
      <c r="J19" s="11"/>
      <c r="K19" s="11"/>
      <c r="L19" s="11">
        <v>12</v>
      </c>
      <c r="M19" s="13">
        <v>5</v>
      </c>
    </row>
    <row r="20" spans="1:13" ht="18.75" x14ac:dyDescent="0.3">
      <c r="A20" s="3">
        <v>19</v>
      </c>
      <c r="B20" s="4" t="s">
        <v>29</v>
      </c>
      <c r="C20" s="4" t="s">
        <v>12</v>
      </c>
      <c r="D20" s="11">
        <f>SUM(1228+1398+1503)</f>
        <v>4129</v>
      </c>
      <c r="E20" s="11">
        <f>SUM(90+96+119)</f>
        <v>305</v>
      </c>
      <c r="F20" s="12">
        <f t="shared" si="0"/>
        <v>13.537704918032787</v>
      </c>
      <c r="G20" s="11">
        <v>3</v>
      </c>
      <c r="H20" s="11">
        <v>1</v>
      </c>
      <c r="I20" s="11"/>
      <c r="J20" s="11"/>
      <c r="K20" s="11"/>
      <c r="L20" s="11">
        <v>8.5</v>
      </c>
      <c r="M20" s="13"/>
    </row>
    <row r="21" spans="1:13" ht="18.75" x14ac:dyDescent="0.3">
      <c r="A21" s="3">
        <v>20</v>
      </c>
      <c r="B21" s="4" t="s">
        <v>20</v>
      </c>
      <c r="C21" s="4" t="s">
        <v>16</v>
      </c>
      <c r="D21" s="11">
        <f>SUM(1316+1259+1404)</f>
        <v>3979</v>
      </c>
      <c r="E21" s="11">
        <f>SUM(107+90+101)</f>
        <v>298</v>
      </c>
      <c r="F21" s="12">
        <f t="shared" si="0"/>
        <v>13.35234899328859</v>
      </c>
      <c r="G21" s="11">
        <v>3</v>
      </c>
      <c r="H21" s="11">
        <v>1</v>
      </c>
      <c r="I21" s="11"/>
      <c r="J21" s="11"/>
      <c r="K21" s="11"/>
      <c r="L21" s="11">
        <v>6</v>
      </c>
      <c r="M21" s="13"/>
    </row>
    <row r="22" spans="1:13" ht="18.75" x14ac:dyDescent="0.3">
      <c r="A22" s="3">
        <v>21</v>
      </c>
      <c r="B22" s="4" t="s">
        <v>25</v>
      </c>
      <c r="C22" s="4" t="s">
        <v>14</v>
      </c>
      <c r="D22" s="11">
        <f>SUM(1081)</f>
        <v>1081</v>
      </c>
      <c r="E22" s="11">
        <f>SUM(81)</f>
        <v>81</v>
      </c>
      <c r="F22" s="12">
        <f t="shared" si="0"/>
        <v>13.345679012345679</v>
      </c>
      <c r="G22" s="11">
        <v>1</v>
      </c>
      <c r="H22" s="11"/>
      <c r="I22" s="11"/>
      <c r="J22" s="11"/>
      <c r="K22" s="11"/>
      <c r="L22" s="11">
        <v>0</v>
      </c>
      <c r="M22" s="13"/>
    </row>
    <row r="23" spans="1:13" ht="18.75" x14ac:dyDescent="0.3">
      <c r="A23" s="3">
        <v>22</v>
      </c>
      <c r="B23" s="15" t="s">
        <v>70</v>
      </c>
      <c r="C23" s="4" t="s">
        <v>14</v>
      </c>
      <c r="D23" s="11">
        <f>SUM(1497+1503+1455)</f>
        <v>4455</v>
      </c>
      <c r="E23" s="11">
        <f>SUM(119+89+126)</f>
        <v>334</v>
      </c>
      <c r="F23" s="12">
        <f t="shared" si="0"/>
        <v>13.338323353293413</v>
      </c>
      <c r="G23" s="11">
        <v>3</v>
      </c>
      <c r="H23" s="11">
        <v>3</v>
      </c>
      <c r="I23" s="11"/>
      <c r="J23" s="11"/>
      <c r="K23" s="11"/>
      <c r="L23" s="11">
        <v>13</v>
      </c>
      <c r="M23" s="13"/>
    </row>
    <row r="24" spans="1:13" ht="18.75" x14ac:dyDescent="0.3">
      <c r="A24" s="3">
        <v>23</v>
      </c>
      <c r="B24" s="15" t="s">
        <v>66</v>
      </c>
      <c r="C24" s="7" t="s">
        <v>28</v>
      </c>
      <c r="D24" s="11">
        <f>SUM(1423+1499+1489+1368)</f>
        <v>5779</v>
      </c>
      <c r="E24" s="11">
        <f>SUM(103+114+104+113)</f>
        <v>434</v>
      </c>
      <c r="F24" s="12">
        <f t="shared" si="0"/>
        <v>13.315668202764977</v>
      </c>
      <c r="G24" s="11">
        <v>4</v>
      </c>
      <c r="H24" s="11">
        <v>4</v>
      </c>
      <c r="I24" s="11"/>
      <c r="J24" s="11"/>
      <c r="K24" s="11">
        <v>1</v>
      </c>
      <c r="L24" s="11">
        <v>16</v>
      </c>
      <c r="M24" s="13"/>
    </row>
    <row r="25" spans="1:13" ht="18.75" x14ac:dyDescent="0.3">
      <c r="A25" s="3">
        <v>24</v>
      </c>
      <c r="B25" s="15" t="s">
        <v>81</v>
      </c>
      <c r="C25" s="4" t="s">
        <v>88</v>
      </c>
      <c r="D25" s="11">
        <f>SUM(1431+1330+1465)</f>
        <v>4226</v>
      </c>
      <c r="E25" s="11">
        <f>SUM(111+103+105)</f>
        <v>319</v>
      </c>
      <c r="F25" s="12">
        <f t="shared" si="0"/>
        <v>13.247648902821316</v>
      </c>
      <c r="G25" s="11">
        <v>3</v>
      </c>
      <c r="H25" s="11">
        <v>2</v>
      </c>
      <c r="I25" s="11"/>
      <c r="J25" s="11"/>
      <c r="K25" s="11"/>
      <c r="L25" s="11">
        <v>10</v>
      </c>
      <c r="M25" s="13"/>
    </row>
    <row r="26" spans="1:13" ht="18.75" x14ac:dyDescent="0.3">
      <c r="A26" s="3">
        <v>25</v>
      </c>
      <c r="B26" s="7" t="s">
        <v>41</v>
      </c>
      <c r="C26" s="4" t="s">
        <v>33</v>
      </c>
      <c r="D26" s="11">
        <f>SUM(1263+1432+1503)</f>
        <v>4198</v>
      </c>
      <c r="E26" s="11">
        <f>SUM(96+111+111)</f>
        <v>318</v>
      </c>
      <c r="F26" s="12">
        <f t="shared" si="0"/>
        <v>13.20125786163522</v>
      </c>
      <c r="G26" s="11">
        <v>3</v>
      </c>
      <c r="H26" s="11">
        <v>2</v>
      </c>
      <c r="I26" s="11"/>
      <c r="J26" s="11"/>
      <c r="K26" s="11"/>
      <c r="L26" s="11">
        <v>9</v>
      </c>
      <c r="M26" s="13"/>
    </row>
    <row r="27" spans="1:13" ht="18.75" x14ac:dyDescent="0.3">
      <c r="A27" s="3">
        <v>26</v>
      </c>
      <c r="B27" s="9" t="s">
        <v>64</v>
      </c>
      <c r="C27" s="4" t="s">
        <v>28</v>
      </c>
      <c r="D27" s="11">
        <f>SUM(1424+1501+1501+1473)</f>
        <v>5899</v>
      </c>
      <c r="E27" s="11">
        <f>SUM(90+147+123+91)</f>
        <v>451</v>
      </c>
      <c r="F27" s="12">
        <f t="shared" si="0"/>
        <v>13.079822616407982</v>
      </c>
      <c r="G27" s="11">
        <v>4</v>
      </c>
      <c r="H27" s="11">
        <v>3</v>
      </c>
      <c r="I27" s="11"/>
      <c r="J27" s="11"/>
      <c r="K27" s="11"/>
      <c r="L27" s="11">
        <v>16.5</v>
      </c>
      <c r="M27" s="13"/>
    </row>
    <row r="28" spans="1:13" ht="18.75" x14ac:dyDescent="0.3">
      <c r="A28" s="3">
        <v>27</v>
      </c>
      <c r="B28" s="7" t="s">
        <v>97</v>
      </c>
      <c r="C28" s="4" t="s">
        <v>92</v>
      </c>
      <c r="D28" s="11">
        <f>SUM(1503)</f>
        <v>1503</v>
      </c>
      <c r="E28" s="11">
        <f>SUM(115)</f>
        <v>115</v>
      </c>
      <c r="F28" s="12">
        <f t="shared" si="0"/>
        <v>13.069565217391304</v>
      </c>
      <c r="G28" s="11">
        <v>1</v>
      </c>
      <c r="H28" s="11">
        <v>1</v>
      </c>
      <c r="I28" s="11"/>
      <c r="J28" s="11"/>
      <c r="K28" s="11"/>
      <c r="L28" s="11">
        <v>4</v>
      </c>
      <c r="M28" s="13"/>
    </row>
    <row r="29" spans="1:13" ht="18.75" x14ac:dyDescent="0.3">
      <c r="A29" s="3">
        <v>28</v>
      </c>
      <c r="B29" s="7" t="s">
        <v>24</v>
      </c>
      <c r="C29" s="4" t="s">
        <v>22</v>
      </c>
      <c r="D29" s="11">
        <f>SUM(1465+1469+1456+1497)</f>
        <v>5887</v>
      </c>
      <c r="E29" s="11">
        <f>SUM(109+117+124+101)</f>
        <v>451</v>
      </c>
      <c r="F29" s="12">
        <f t="shared" si="0"/>
        <v>13.053215077605321</v>
      </c>
      <c r="G29" s="11">
        <v>4</v>
      </c>
      <c r="H29" s="11">
        <v>1</v>
      </c>
      <c r="I29" s="11"/>
      <c r="J29" s="11"/>
      <c r="K29" s="11"/>
      <c r="L29" s="11">
        <v>12.5</v>
      </c>
      <c r="M29" s="13"/>
    </row>
    <row r="30" spans="1:13" ht="18.75" x14ac:dyDescent="0.3">
      <c r="A30" s="3">
        <v>29</v>
      </c>
      <c r="B30" s="9" t="s">
        <v>82</v>
      </c>
      <c r="C30" s="4" t="s">
        <v>88</v>
      </c>
      <c r="D30" s="11">
        <f>SUM(1451+1138+1313)</f>
        <v>3902</v>
      </c>
      <c r="E30" s="11">
        <f>SUM(115+81+108)</f>
        <v>304</v>
      </c>
      <c r="F30" s="12">
        <f t="shared" si="0"/>
        <v>12.835526315789474</v>
      </c>
      <c r="G30" s="11">
        <v>3</v>
      </c>
      <c r="H30" s="11">
        <v>1</v>
      </c>
      <c r="I30" s="11"/>
      <c r="J30" s="11"/>
      <c r="K30" s="11"/>
      <c r="L30" s="11">
        <v>8</v>
      </c>
      <c r="M30" s="13"/>
    </row>
    <row r="31" spans="1:13" ht="18.75" x14ac:dyDescent="0.3">
      <c r="A31" s="3">
        <v>30</v>
      </c>
      <c r="B31" s="9" t="s">
        <v>68</v>
      </c>
      <c r="C31" s="4" t="s">
        <v>33</v>
      </c>
      <c r="D31" s="11">
        <f>SUM(1261+1230)</f>
        <v>2491</v>
      </c>
      <c r="E31" s="11">
        <f>SUM(102+96)</f>
        <v>198</v>
      </c>
      <c r="F31" s="12">
        <f t="shared" si="0"/>
        <v>12.580808080808081</v>
      </c>
      <c r="G31" s="11">
        <v>2</v>
      </c>
      <c r="H31" s="11"/>
      <c r="I31" s="11"/>
      <c r="J31" s="11"/>
      <c r="K31" s="11"/>
      <c r="L31" s="11">
        <v>1.5</v>
      </c>
      <c r="M31" s="13"/>
    </row>
    <row r="32" spans="1:13" ht="18.75" x14ac:dyDescent="0.3">
      <c r="A32" s="3">
        <v>31</v>
      </c>
      <c r="B32" s="30" t="s">
        <v>91</v>
      </c>
      <c r="C32" s="8" t="s">
        <v>88</v>
      </c>
      <c r="D32" s="11">
        <f>SUM(1344+1443)</f>
        <v>2787</v>
      </c>
      <c r="E32" s="11">
        <f>SUM(108+114)</f>
        <v>222</v>
      </c>
      <c r="F32" s="12">
        <f t="shared" si="0"/>
        <v>12.554054054054054</v>
      </c>
      <c r="G32" s="11">
        <v>2</v>
      </c>
      <c r="H32" s="11"/>
      <c r="I32" s="11"/>
      <c r="J32" s="11"/>
      <c r="K32" s="11"/>
      <c r="L32" s="11">
        <v>4</v>
      </c>
      <c r="M32" s="13"/>
    </row>
    <row r="33" spans="1:13" ht="18.75" x14ac:dyDescent="0.3">
      <c r="A33" s="3">
        <v>32</v>
      </c>
      <c r="B33" s="9" t="s">
        <v>35</v>
      </c>
      <c r="C33" s="7" t="s">
        <v>28</v>
      </c>
      <c r="D33" s="11">
        <f>SUM(1315+1435+1406+1490)</f>
        <v>5646</v>
      </c>
      <c r="E33" s="11">
        <f>SUM(90+109+99+157)</f>
        <v>455</v>
      </c>
      <c r="F33" s="12">
        <f t="shared" si="0"/>
        <v>12.408791208791209</v>
      </c>
      <c r="G33" s="11">
        <v>4</v>
      </c>
      <c r="H33" s="11">
        <v>3</v>
      </c>
      <c r="I33" s="11"/>
      <c r="J33" s="11"/>
      <c r="K33" s="11"/>
      <c r="L33" s="11">
        <v>13</v>
      </c>
      <c r="M33" s="13"/>
    </row>
    <row r="34" spans="1:13" ht="18.75" x14ac:dyDescent="0.3">
      <c r="A34" s="3">
        <v>33</v>
      </c>
      <c r="B34" s="16" t="s">
        <v>84</v>
      </c>
      <c r="C34" s="7" t="s">
        <v>92</v>
      </c>
      <c r="D34" s="11">
        <f>SUM(1385+1489)</f>
        <v>2874</v>
      </c>
      <c r="E34" s="11">
        <f>SUM(107+126)</f>
        <v>233</v>
      </c>
      <c r="F34" s="12">
        <f t="shared" si="0"/>
        <v>12.334763948497853</v>
      </c>
      <c r="G34" s="11">
        <v>2</v>
      </c>
      <c r="H34" s="11"/>
      <c r="I34" s="11"/>
      <c r="J34" s="11"/>
      <c r="K34" s="11"/>
      <c r="L34" s="11">
        <v>3</v>
      </c>
      <c r="M34" s="13"/>
    </row>
    <row r="35" spans="1:13" ht="18.75" x14ac:dyDescent="0.3">
      <c r="A35" s="3">
        <v>34</v>
      </c>
      <c r="B35" s="15" t="s">
        <v>72</v>
      </c>
      <c r="C35" s="4" t="s">
        <v>16</v>
      </c>
      <c r="D35" s="11">
        <f>SUM(1373+1159+1501)</f>
        <v>4033</v>
      </c>
      <c r="E35" s="11">
        <f>SUM(111+99+117)</f>
        <v>327</v>
      </c>
      <c r="F35" s="12">
        <f t="shared" si="0"/>
        <v>12.333333333333334</v>
      </c>
      <c r="G35" s="11">
        <v>3</v>
      </c>
      <c r="H35" s="11">
        <v>1</v>
      </c>
      <c r="I35" s="11"/>
      <c r="J35" s="11"/>
      <c r="K35" s="11"/>
      <c r="L35" s="11">
        <v>4.5</v>
      </c>
      <c r="M35" s="13"/>
    </row>
    <row r="36" spans="1:13" ht="18.75" x14ac:dyDescent="0.3">
      <c r="A36" s="3">
        <v>35</v>
      </c>
      <c r="B36" s="16" t="s">
        <v>38</v>
      </c>
      <c r="C36" s="4" t="s">
        <v>67</v>
      </c>
      <c r="D36" s="11">
        <f>SUM(1218+1106+1372)</f>
        <v>3696</v>
      </c>
      <c r="E36" s="11">
        <f>SUM(96+84+120)</f>
        <v>300</v>
      </c>
      <c r="F36" s="12">
        <f t="shared" si="0"/>
        <v>12.32</v>
      </c>
      <c r="G36" s="11">
        <v>3</v>
      </c>
      <c r="H36" s="11"/>
      <c r="I36" s="11"/>
      <c r="J36" s="11"/>
      <c r="K36" s="11"/>
      <c r="L36" s="11">
        <v>3</v>
      </c>
      <c r="M36" s="13"/>
    </row>
    <row r="37" spans="1:13" ht="18.75" x14ac:dyDescent="0.3">
      <c r="A37" s="3">
        <v>36</v>
      </c>
      <c r="B37" s="16" t="s">
        <v>30</v>
      </c>
      <c r="C37" s="7" t="s">
        <v>67</v>
      </c>
      <c r="D37" s="11">
        <f>SUM(1467+1499+1403)</f>
        <v>4369</v>
      </c>
      <c r="E37" s="11">
        <f>SUM(129+121+106)</f>
        <v>356</v>
      </c>
      <c r="F37" s="12">
        <f t="shared" si="0"/>
        <v>12.27247191011236</v>
      </c>
      <c r="G37" s="11">
        <v>3</v>
      </c>
      <c r="H37" s="11">
        <v>1</v>
      </c>
      <c r="I37" s="11"/>
      <c r="J37" s="11"/>
      <c r="K37" s="11"/>
      <c r="L37" s="11">
        <v>5.5</v>
      </c>
      <c r="M37" s="13">
        <v>5</v>
      </c>
    </row>
    <row r="38" spans="1:13" ht="18.75" x14ac:dyDescent="0.3">
      <c r="A38" s="3">
        <v>37</v>
      </c>
      <c r="B38" s="10" t="s">
        <v>73</v>
      </c>
      <c r="C38" s="7" t="s">
        <v>12</v>
      </c>
      <c r="D38" s="11">
        <f>SUM(1409)</f>
        <v>1409</v>
      </c>
      <c r="E38" s="11">
        <f>SUM(119)</f>
        <v>119</v>
      </c>
      <c r="F38" s="12">
        <f t="shared" si="0"/>
        <v>11.840336134453782</v>
      </c>
      <c r="G38" s="11">
        <v>1</v>
      </c>
      <c r="H38" s="11"/>
      <c r="I38" s="11"/>
      <c r="J38" s="11"/>
      <c r="K38" s="11"/>
      <c r="L38" s="11">
        <v>1.5</v>
      </c>
      <c r="M38" s="13"/>
    </row>
    <row r="39" spans="1:13" ht="18.75" x14ac:dyDescent="0.3">
      <c r="A39" s="3">
        <v>38</v>
      </c>
      <c r="B39" s="10" t="s">
        <v>40</v>
      </c>
      <c r="C39" s="7" t="s">
        <v>33</v>
      </c>
      <c r="D39" s="11">
        <f>SUM(1397+971+976)</f>
        <v>3344</v>
      </c>
      <c r="E39" s="11">
        <f>SUM(109+84+90)</f>
        <v>283</v>
      </c>
      <c r="F39" s="12">
        <f t="shared" si="0"/>
        <v>11.816254416961131</v>
      </c>
      <c r="G39" s="11">
        <v>3</v>
      </c>
      <c r="H39" s="11"/>
      <c r="I39" s="11"/>
      <c r="J39" s="11"/>
      <c r="K39" s="11"/>
      <c r="L39" s="11">
        <v>6.5</v>
      </c>
      <c r="M39" s="13"/>
    </row>
    <row r="40" spans="1:13" ht="18.75" x14ac:dyDescent="0.3">
      <c r="A40" s="3">
        <v>39</v>
      </c>
      <c r="B40" s="10" t="s">
        <v>71</v>
      </c>
      <c r="C40" s="7" t="s">
        <v>18</v>
      </c>
      <c r="D40" s="11">
        <f>SUM(1487+1277+1280)</f>
        <v>4044</v>
      </c>
      <c r="E40" s="11">
        <f>SUM(122+115+117)</f>
        <v>354</v>
      </c>
      <c r="F40" s="12">
        <f t="shared" si="0"/>
        <v>11.423728813559322</v>
      </c>
      <c r="G40" s="11">
        <v>3</v>
      </c>
      <c r="H40" s="11">
        <v>1</v>
      </c>
      <c r="I40" s="11"/>
      <c r="J40" s="11"/>
      <c r="K40" s="11"/>
      <c r="L40" s="11">
        <v>9</v>
      </c>
      <c r="M40" s="13"/>
    </row>
    <row r="41" spans="1:13" ht="18.75" x14ac:dyDescent="0.3">
      <c r="A41" s="3">
        <v>40</v>
      </c>
      <c r="B41" s="16" t="s">
        <v>37</v>
      </c>
      <c r="C41" s="7" t="s">
        <v>67</v>
      </c>
      <c r="D41" s="11">
        <f>SUM(1457+1503+1489)</f>
        <v>4449</v>
      </c>
      <c r="E41" s="11">
        <f>SUM(116+124+152)</f>
        <v>392</v>
      </c>
      <c r="F41" s="12">
        <f t="shared" si="0"/>
        <v>11.349489795918368</v>
      </c>
      <c r="G41" s="11">
        <v>3</v>
      </c>
      <c r="H41" s="11">
        <v>1</v>
      </c>
      <c r="I41" s="11"/>
      <c r="J41" s="11"/>
      <c r="K41" s="11"/>
      <c r="L41" s="11">
        <v>8</v>
      </c>
      <c r="M41" s="13"/>
    </row>
    <row r="42" spans="1:13" ht="18.75" x14ac:dyDescent="0.3">
      <c r="A42" s="3">
        <v>41</v>
      </c>
      <c r="B42" s="10" t="s">
        <v>39</v>
      </c>
      <c r="C42" s="7" t="s">
        <v>92</v>
      </c>
      <c r="D42" s="11">
        <f>SUM(1214+1381+1209)</f>
        <v>3804</v>
      </c>
      <c r="E42" s="11">
        <f>SUM(116+115+105)</f>
        <v>336</v>
      </c>
      <c r="F42" s="12">
        <f t="shared" si="0"/>
        <v>11.321428571428571</v>
      </c>
      <c r="G42" s="11">
        <v>3</v>
      </c>
      <c r="H42" s="11"/>
      <c r="I42" s="11"/>
      <c r="J42" s="11"/>
      <c r="K42" s="11"/>
      <c r="L42" s="11">
        <v>5</v>
      </c>
      <c r="M42" s="13"/>
    </row>
    <row r="43" spans="1:13" ht="18.75" x14ac:dyDescent="0.3">
      <c r="A43" s="3">
        <v>42</v>
      </c>
      <c r="B43" s="53" t="s">
        <v>80</v>
      </c>
      <c r="C43" s="7" t="s">
        <v>88</v>
      </c>
      <c r="D43" s="11">
        <f>SUM(1219)</f>
        <v>1219</v>
      </c>
      <c r="E43" s="11">
        <f>SUM(108)</f>
        <v>108</v>
      </c>
      <c r="F43" s="12">
        <f t="shared" si="0"/>
        <v>11.287037037037036</v>
      </c>
      <c r="G43" s="11">
        <v>1</v>
      </c>
      <c r="H43" s="11"/>
      <c r="I43" s="11"/>
      <c r="J43" s="11"/>
      <c r="K43" s="11"/>
      <c r="L43" s="11">
        <v>0</v>
      </c>
      <c r="M43" s="13"/>
    </row>
    <row r="44" spans="1:13" ht="18.75" x14ac:dyDescent="0.3">
      <c r="A44" s="3">
        <v>43</v>
      </c>
      <c r="B44" s="15" t="s">
        <v>43</v>
      </c>
      <c r="C44" s="7" t="s">
        <v>18</v>
      </c>
      <c r="D44" s="11">
        <f>SUM(1503+1503)</f>
        <v>3006</v>
      </c>
      <c r="E44" s="11">
        <f>SUM(133+134)</f>
        <v>267</v>
      </c>
      <c r="F44" s="12">
        <f t="shared" si="0"/>
        <v>11.258426966292134</v>
      </c>
      <c r="G44" s="11">
        <v>2</v>
      </c>
      <c r="H44" s="11">
        <v>2</v>
      </c>
      <c r="I44" s="11"/>
      <c r="J44" s="11"/>
      <c r="K44" s="11"/>
      <c r="L44" s="11">
        <v>11.5</v>
      </c>
      <c r="M44" s="13"/>
    </row>
    <row r="45" spans="1:13" ht="18.75" x14ac:dyDescent="0.3">
      <c r="A45" s="3">
        <v>44</v>
      </c>
      <c r="B45" s="15" t="s">
        <v>44</v>
      </c>
      <c r="C45" s="4" t="s">
        <v>67</v>
      </c>
      <c r="D45" s="11">
        <f>SUM(1252+1503+1201)</f>
        <v>3956</v>
      </c>
      <c r="E45" s="11">
        <f>SUM(120+142+91)</f>
        <v>353</v>
      </c>
      <c r="F45" s="12">
        <f t="shared" si="0"/>
        <v>11.206798866855523</v>
      </c>
      <c r="G45" s="11">
        <v>3</v>
      </c>
      <c r="H45" s="11">
        <v>1</v>
      </c>
      <c r="I45" s="11"/>
      <c r="J45" s="11"/>
      <c r="K45" s="11"/>
      <c r="L45" s="11">
        <v>6</v>
      </c>
      <c r="M45" s="13">
        <v>5</v>
      </c>
    </row>
    <row r="46" spans="1:13" ht="18.75" x14ac:dyDescent="0.3">
      <c r="A46" s="3">
        <v>45</v>
      </c>
      <c r="B46" s="15" t="s">
        <v>89</v>
      </c>
      <c r="C46" s="4" t="s">
        <v>28</v>
      </c>
      <c r="D46" s="11">
        <f>SUM(1442)</f>
        <v>1442</v>
      </c>
      <c r="E46" s="11">
        <f>SUM(129)</f>
        <v>129</v>
      </c>
      <c r="F46" s="12">
        <f t="shared" si="0"/>
        <v>11.178294573643411</v>
      </c>
      <c r="G46" s="11">
        <v>1</v>
      </c>
      <c r="H46" s="11"/>
      <c r="I46" s="11"/>
      <c r="J46" s="11"/>
      <c r="K46" s="11"/>
      <c r="L46" s="11">
        <v>1</v>
      </c>
      <c r="M46" s="13"/>
    </row>
    <row r="47" spans="1:13" ht="18.75" x14ac:dyDescent="0.3">
      <c r="A47" s="3">
        <v>46</v>
      </c>
      <c r="B47" s="4" t="s">
        <v>36</v>
      </c>
      <c r="C47" s="8" t="s">
        <v>33</v>
      </c>
      <c r="D47" s="11">
        <f>SUM(1232)</f>
        <v>1232</v>
      </c>
      <c r="E47" s="11">
        <f>SUM(111)</f>
        <v>111</v>
      </c>
      <c r="F47" s="12">
        <f t="shared" si="0"/>
        <v>11.099099099099099</v>
      </c>
      <c r="G47" s="11">
        <v>1</v>
      </c>
      <c r="H47" s="11"/>
      <c r="I47" s="11"/>
      <c r="J47" s="11"/>
      <c r="K47" s="11"/>
      <c r="L47" s="11">
        <v>2.5</v>
      </c>
      <c r="M47" s="13"/>
    </row>
    <row r="48" spans="1:13" ht="18.75" x14ac:dyDescent="0.3">
      <c r="A48" s="3">
        <v>47</v>
      </c>
      <c r="B48" s="4" t="s">
        <v>83</v>
      </c>
      <c r="C48" s="4" t="s">
        <v>92</v>
      </c>
      <c r="D48" s="11">
        <f>SUM(1448+1487+1002)</f>
        <v>3937</v>
      </c>
      <c r="E48" s="11">
        <f>SUM(144+138+92)</f>
        <v>374</v>
      </c>
      <c r="F48" s="12">
        <f t="shared" si="0"/>
        <v>10.526737967914439</v>
      </c>
      <c r="G48" s="11">
        <v>3</v>
      </c>
      <c r="H48" s="11">
        <v>1</v>
      </c>
      <c r="I48" s="11"/>
      <c r="J48" s="11"/>
      <c r="K48" s="11"/>
      <c r="L48" s="11">
        <v>5.5</v>
      </c>
      <c r="M48" s="13"/>
    </row>
    <row r="49" spans="1:18" ht="18.75" x14ac:dyDescent="0.3">
      <c r="A49" s="3">
        <v>48</v>
      </c>
      <c r="B49" s="4" t="s">
        <v>75</v>
      </c>
      <c r="C49" s="4" t="s">
        <v>67</v>
      </c>
      <c r="D49" s="11"/>
      <c r="E49" s="11"/>
      <c r="F49" s="12"/>
      <c r="G49" s="11"/>
      <c r="H49" s="11"/>
      <c r="I49" s="11"/>
      <c r="J49" s="11"/>
      <c r="K49" s="11"/>
      <c r="L49" s="11">
        <v>2.5</v>
      </c>
      <c r="M49" s="13"/>
    </row>
    <row r="50" spans="1:18" ht="17.25" customHeight="1" thickBot="1" x14ac:dyDescent="0.3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8" ht="19.5" customHeight="1" thickBot="1" x14ac:dyDescent="0.35">
      <c r="A51" s="5"/>
      <c r="B51" s="54" t="s">
        <v>98</v>
      </c>
      <c r="C51" s="52" t="s">
        <v>45</v>
      </c>
      <c r="D51" s="26" t="s">
        <v>46</v>
      </c>
      <c r="E51" s="27" t="s">
        <v>47</v>
      </c>
      <c r="F51" s="20" t="s">
        <v>63</v>
      </c>
      <c r="G51" s="28" t="s">
        <v>48</v>
      </c>
      <c r="I51" s="65" t="s">
        <v>49</v>
      </c>
      <c r="J51" s="66"/>
      <c r="K51" s="66"/>
      <c r="L51" s="66"/>
      <c r="M51" s="66"/>
      <c r="N51" s="66"/>
      <c r="O51" s="66"/>
      <c r="P51" s="66"/>
      <c r="Q51" s="66"/>
      <c r="R51" s="67"/>
    </row>
    <row r="52" spans="1:18" ht="18.75" x14ac:dyDescent="0.3">
      <c r="A52" s="5"/>
      <c r="B52" s="55"/>
      <c r="C52" s="18" t="s">
        <v>62</v>
      </c>
      <c r="D52" s="9">
        <v>3</v>
      </c>
      <c r="E52" s="10">
        <v>1</v>
      </c>
      <c r="F52" s="15"/>
      <c r="G52" s="18">
        <v>58</v>
      </c>
      <c r="I52" s="57" t="s">
        <v>50</v>
      </c>
      <c r="J52" s="58"/>
      <c r="K52" s="58"/>
      <c r="L52" s="58"/>
      <c r="M52" s="58"/>
      <c r="N52" s="68" t="s">
        <v>87</v>
      </c>
      <c r="O52" s="68"/>
      <c r="P52" s="68"/>
      <c r="Q52" s="68"/>
      <c r="R52" s="69"/>
    </row>
    <row r="53" spans="1:18" ht="18.75" x14ac:dyDescent="0.3">
      <c r="A53" s="5"/>
      <c r="B53" s="55"/>
      <c r="C53" s="17" t="s">
        <v>60</v>
      </c>
      <c r="D53" s="7">
        <v>3</v>
      </c>
      <c r="E53" s="21">
        <v>0</v>
      </c>
      <c r="F53" s="15"/>
      <c r="G53" s="22">
        <v>53</v>
      </c>
      <c r="I53" s="59" t="s">
        <v>52</v>
      </c>
      <c r="J53" s="60"/>
      <c r="K53" s="60"/>
      <c r="L53" s="60"/>
      <c r="M53" s="60"/>
      <c r="N53" s="70" t="s">
        <v>95</v>
      </c>
      <c r="O53" s="70"/>
      <c r="P53" s="70"/>
      <c r="Q53" s="70"/>
      <c r="R53" s="71"/>
    </row>
    <row r="54" spans="1:18" ht="18.75" x14ac:dyDescent="0.3">
      <c r="A54" s="5"/>
      <c r="B54" s="55"/>
      <c r="C54" s="17" t="s">
        <v>59</v>
      </c>
      <c r="D54" s="7">
        <v>3</v>
      </c>
      <c r="E54" s="16">
        <v>0</v>
      </c>
      <c r="F54" s="15"/>
      <c r="G54" s="17">
        <v>49</v>
      </c>
      <c r="I54" s="59" t="s">
        <v>54</v>
      </c>
      <c r="J54" s="60"/>
      <c r="K54" s="60"/>
      <c r="L54" s="60"/>
      <c r="M54" s="60"/>
      <c r="N54" s="70" t="s">
        <v>94</v>
      </c>
      <c r="O54" s="70"/>
      <c r="P54" s="70"/>
      <c r="Q54" s="70"/>
      <c r="R54" s="71"/>
    </row>
    <row r="55" spans="1:18" ht="18.75" x14ac:dyDescent="0.3">
      <c r="A55" s="6"/>
      <c r="B55" s="55"/>
      <c r="C55" s="17" t="s">
        <v>56</v>
      </c>
      <c r="D55" s="7">
        <v>2</v>
      </c>
      <c r="E55" s="21">
        <v>1</v>
      </c>
      <c r="F55" s="15"/>
      <c r="G55" s="22">
        <v>34</v>
      </c>
      <c r="I55" s="59" t="s">
        <v>55</v>
      </c>
      <c r="J55" s="60"/>
      <c r="K55" s="60"/>
      <c r="L55" s="60"/>
      <c r="M55" s="60"/>
      <c r="N55" s="70" t="s">
        <v>96</v>
      </c>
      <c r="O55" s="70"/>
      <c r="P55" s="70"/>
      <c r="Q55" s="70"/>
      <c r="R55" s="71"/>
    </row>
    <row r="56" spans="1:18" ht="18" customHeight="1" x14ac:dyDescent="0.3">
      <c r="A56" s="6"/>
      <c r="B56" s="55"/>
      <c r="C56" s="17" t="s">
        <v>61</v>
      </c>
      <c r="D56" s="7">
        <v>2</v>
      </c>
      <c r="E56" s="21">
        <v>2</v>
      </c>
      <c r="F56" s="15"/>
      <c r="G56" s="22">
        <v>49</v>
      </c>
      <c r="I56" s="59" t="s">
        <v>57</v>
      </c>
      <c r="J56" s="60"/>
      <c r="K56" s="60"/>
      <c r="L56" s="60"/>
      <c r="M56" s="60"/>
      <c r="N56" s="70" t="s">
        <v>99</v>
      </c>
      <c r="O56" s="70"/>
      <c r="P56" s="70"/>
      <c r="Q56" s="70"/>
      <c r="R56" s="71"/>
    </row>
    <row r="57" spans="1:18" ht="18" customHeight="1" thickBot="1" x14ac:dyDescent="0.35">
      <c r="A57" s="6"/>
      <c r="B57" s="55"/>
      <c r="C57" s="17" t="s">
        <v>53</v>
      </c>
      <c r="D57" s="7">
        <v>1</v>
      </c>
      <c r="E57" s="21">
        <v>2</v>
      </c>
      <c r="F57" s="15"/>
      <c r="G57" s="22">
        <v>29</v>
      </c>
      <c r="I57" s="61" t="s">
        <v>58</v>
      </c>
      <c r="J57" s="62"/>
      <c r="K57" s="62"/>
      <c r="L57" s="62"/>
      <c r="M57" s="62"/>
      <c r="N57" s="63" t="s">
        <v>86</v>
      </c>
      <c r="O57" s="63"/>
      <c r="P57" s="63"/>
      <c r="Q57" s="63"/>
      <c r="R57" s="64"/>
    </row>
    <row r="58" spans="1:18" ht="18.75" x14ac:dyDescent="0.3">
      <c r="A58" s="6"/>
      <c r="B58" s="55"/>
      <c r="C58" s="17" t="s">
        <v>51</v>
      </c>
      <c r="D58" s="7">
        <v>1</v>
      </c>
      <c r="E58" s="16">
        <v>2</v>
      </c>
      <c r="F58" s="15"/>
      <c r="G58" s="17">
        <v>27</v>
      </c>
      <c r="H58" s="6"/>
      <c r="I58" s="6"/>
    </row>
    <row r="59" spans="1:18" ht="18.75" x14ac:dyDescent="0.3">
      <c r="A59" s="6"/>
      <c r="B59" s="55"/>
      <c r="C59" s="19" t="s">
        <v>69</v>
      </c>
      <c r="D59" s="9">
        <v>1</v>
      </c>
      <c r="E59" s="10">
        <v>2</v>
      </c>
      <c r="F59" s="15"/>
      <c r="G59" s="18">
        <v>25</v>
      </c>
      <c r="H59" s="6"/>
    </row>
    <row r="60" spans="1:18" ht="18.75" x14ac:dyDescent="0.3">
      <c r="B60" s="55"/>
      <c r="C60" s="18" t="s">
        <v>93</v>
      </c>
      <c r="D60" s="9">
        <v>0</v>
      </c>
      <c r="E60" s="10">
        <v>3</v>
      </c>
      <c r="F60" s="15"/>
      <c r="G60" s="18">
        <v>31</v>
      </c>
    </row>
    <row r="61" spans="1:18" ht="19.5" thickBot="1" x14ac:dyDescent="0.35">
      <c r="B61" s="56"/>
      <c r="C61" s="17" t="s">
        <v>74</v>
      </c>
      <c r="D61" s="7">
        <v>0</v>
      </c>
      <c r="E61" s="21">
        <v>3</v>
      </c>
      <c r="F61" s="15"/>
      <c r="G61" s="22">
        <v>29</v>
      </c>
    </row>
    <row r="62" spans="1:18" ht="15.75" thickBot="1" x14ac:dyDescent="0.3"/>
    <row r="63" spans="1:18" ht="19.5" thickBot="1" x14ac:dyDescent="0.35">
      <c r="C63" s="25" t="s">
        <v>76</v>
      </c>
      <c r="D63" s="26" t="s">
        <v>46</v>
      </c>
      <c r="E63" s="26" t="s">
        <v>47</v>
      </c>
      <c r="F63" s="20" t="s">
        <v>63</v>
      </c>
      <c r="G63" s="29" t="s">
        <v>48</v>
      </c>
    </row>
    <row r="64" spans="1:18" ht="18.75" x14ac:dyDescent="0.3">
      <c r="C64" s="40" t="s">
        <v>60</v>
      </c>
      <c r="D64" s="14">
        <v>3</v>
      </c>
      <c r="E64" s="23">
        <v>0</v>
      </c>
      <c r="F64" s="15"/>
      <c r="G64" s="41">
        <v>53</v>
      </c>
    </row>
    <row r="65" spans="3:7" ht="18.75" x14ac:dyDescent="0.3">
      <c r="C65" s="42" t="s">
        <v>56</v>
      </c>
      <c r="D65" s="7">
        <v>2</v>
      </c>
      <c r="E65" s="21">
        <v>1</v>
      </c>
      <c r="F65" s="15"/>
      <c r="G65" s="43">
        <v>34</v>
      </c>
    </row>
    <row r="66" spans="3:7" ht="18.75" x14ac:dyDescent="0.3">
      <c r="C66" s="42" t="s">
        <v>61</v>
      </c>
      <c r="D66" s="7">
        <v>2</v>
      </c>
      <c r="E66" s="21">
        <v>2</v>
      </c>
      <c r="F66" s="15"/>
      <c r="G66" s="43">
        <v>49</v>
      </c>
    </row>
    <row r="67" spans="3:7" ht="19.5" thickBot="1" x14ac:dyDescent="0.35">
      <c r="C67" s="44" t="s">
        <v>51</v>
      </c>
      <c r="D67" s="45">
        <v>1</v>
      </c>
      <c r="E67" s="46">
        <v>2</v>
      </c>
      <c r="F67" s="47"/>
      <c r="G67" s="48">
        <v>27</v>
      </c>
    </row>
    <row r="68" spans="3:7" ht="18.75" x14ac:dyDescent="0.3">
      <c r="C68" s="40" t="s">
        <v>74</v>
      </c>
      <c r="D68" s="14">
        <v>0</v>
      </c>
      <c r="E68" s="23">
        <v>3</v>
      </c>
      <c r="F68" s="24"/>
      <c r="G68" s="41">
        <v>29</v>
      </c>
    </row>
    <row r="69" spans="3:7" ht="15.75" thickBot="1" x14ac:dyDescent="0.3"/>
    <row r="70" spans="3:7" ht="19.5" thickBot="1" x14ac:dyDescent="0.35">
      <c r="C70" s="25" t="s">
        <v>77</v>
      </c>
      <c r="D70" s="26" t="s">
        <v>46</v>
      </c>
      <c r="E70" s="26" t="s">
        <v>47</v>
      </c>
      <c r="F70" s="20" t="s">
        <v>63</v>
      </c>
      <c r="G70" s="29" t="s">
        <v>48</v>
      </c>
    </row>
    <row r="71" spans="3:7" ht="18.75" x14ac:dyDescent="0.3">
      <c r="C71" s="33" t="s">
        <v>62</v>
      </c>
      <c r="D71" s="15">
        <v>3</v>
      </c>
      <c r="E71" s="15">
        <v>1</v>
      </c>
      <c r="F71" s="15"/>
      <c r="G71" s="34">
        <v>58</v>
      </c>
    </row>
    <row r="72" spans="3:7" ht="18.75" x14ac:dyDescent="0.3">
      <c r="C72" s="49" t="s">
        <v>59</v>
      </c>
      <c r="D72" s="50">
        <v>3</v>
      </c>
      <c r="E72" s="50">
        <v>0</v>
      </c>
      <c r="F72" s="24"/>
      <c r="G72" s="51">
        <v>49</v>
      </c>
    </row>
    <row r="73" spans="3:7" ht="19.5" thickBot="1" x14ac:dyDescent="0.35">
      <c r="C73" s="35" t="s">
        <v>53</v>
      </c>
      <c r="D73" s="36">
        <v>1</v>
      </c>
      <c r="E73" s="37">
        <v>2</v>
      </c>
      <c r="F73" s="38"/>
      <c r="G73" s="39">
        <v>29</v>
      </c>
    </row>
    <row r="74" spans="3:7" ht="18.75" x14ac:dyDescent="0.3">
      <c r="C74" s="31" t="s">
        <v>69</v>
      </c>
      <c r="D74" s="4">
        <v>1</v>
      </c>
      <c r="E74" s="4">
        <v>2</v>
      </c>
      <c r="F74" s="15"/>
      <c r="G74" s="32">
        <v>25</v>
      </c>
    </row>
    <row r="75" spans="3:7" ht="18.75" x14ac:dyDescent="0.3">
      <c r="C75" s="33" t="s">
        <v>93</v>
      </c>
      <c r="D75" s="15">
        <v>0</v>
      </c>
      <c r="E75" s="15">
        <v>3</v>
      </c>
      <c r="F75" s="15"/>
      <c r="G75" s="34">
        <v>31</v>
      </c>
    </row>
  </sheetData>
  <sortState ref="A2:M49">
    <sortCondition descending="1" ref="F2:F49"/>
  </sortState>
  <mergeCells count="14">
    <mergeCell ref="N57:R57"/>
    <mergeCell ref="I51:R51"/>
    <mergeCell ref="N52:R52"/>
    <mergeCell ref="N53:R53"/>
    <mergeCell ref="N54:R54"/>
    <mergeCell ref="N55:R55"/>
    <mergeCell ref="N56:R56"/>
    <mergeCell ref="B51:B61"/>
    <mergeCell ref="I52:M52"/>
    <mergeCell ref="I53:M53"/>
    <mergeCell ref="I54:M54"/>
    <mergeCell ref="I55:M55"/>
    <mergeCell ref="I56:M56"/>
    <mergeCell ref="I57:M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Sam</dc:creator>
  <cp:keywords/>
  <dc:description/>
  <cp:lastModifiedBy>Mellie, Gabriella</cp:lastModifiedBy>
  <cp:revision/>
  <dcterms:created xsi:type="dcterms:W3CDTF">2023-09-18T23:48:25Z</dcterms:created>
  <dcterms:modified xsi:type="dcterms:W3CDTF">2025-09-10T22:18:36Z</dcterms:modified>
  <cp:category/>
  <cp:contentStatus/>
</cp:coreProperties>
</file>