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liGa\Desktop\Darts\"/>
    </mc:Choice>
  </mc:AlternateContent>
  <bookViews>
    <workbookView xWindow="0" yWindow="0" windowWidth="20490" windowHeight="7755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  <sheet name="Week 6" sheetId="6" r:id="rId6"/>
    <sheet name="Week 7" sheetId="7" r:id="rId7"/>
    <sheet name="Week 8" sheetId="8" r:id="rId8"/>
    <sheet name="Week 9" sheetId="9" r:id="rId9"/>
    <sheet name="Week 10" sheetId="10" r:id="rId10"/>
    <sheet name="Week 11" sheetId="11" r:id="rId11"/>
    <sheet name="Week 12" sheetId="12" r:id="rId12"/>
    <sheet name="Week 13" sheetId="13" r:id="rId13"/>
    <sheet name="Week 14" sheetId="14" r:id="rId14"/>
  </sheets>
  <definedNames>
    <definedName name="_xlnm._FilterDatabase" localSheetId="0" hidden="1">'Week 1'!$A$1:$M$33</definedName>
    <definedName name="_xlnm._FilterDatabase" localSheetId="13" hidden="1">'Week 14'!$A$1:$M$49</definedName>
    <definedName name="_xlnm._FilterDatabase" localSheetId="1" hidden="1">'Week 2'!$A$1:$M$33</definedName>
    <definedName name="_xlnm._FilterDatabase" localSheetId="2" hidden="1">'Week 3'!$A$1:$M$33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4" l="1"/>
  <c r="E2" i="14"/>
  <c r="F2" i="14"/>
  <c r="D3" i="14"/>
  <c r="F3" i="14" s="1"/>
  <c r="E3" i="14"/>
  <c r="D4" i="14"/>
  <c r="F4" i="14" s="1"/>
  <c r="E4" i="14"/>
  <c r="D5" i="14"/>
  <c r="E5" i="14"/>
  <c r="F5" i="14"/>
  <c r="D6" i="14"/>
  <c r="E6" i="14"/>
  <c r="F6" i="14"/>
  <c r="D7" i="14"/>
  <c r="F7" i="14" s="1"/>
  <c r="E7" i="14"/>
  <c r="D8" i="14"/>
  <c r="F8" i="14" s="1"/>
  <c r="E8" i="14"/>
  <c r="D9" i="14"/>
  <c r="E9" i="14"/>
  <c r="F9" i="14"/>
  <c r="D10" i="14"/>
  <c r="E10" i="14"/>
  <c r="F10" i="14"/>
  <c r="D11" i="14"/>
  <c r="F11" i="14" s="1"/>
  <c r="E11" i="14"/>
  <c r="D12" i="14"/>
  <c r="F12" i="14" s="1"/>
  <c r="E12" i="14"/>
  <c r="D13" i="14"/>
  <c r="E13" i="14"/>
  <c r="F13" i="14"/>
  <c r="D14" i="14"/>
  <c r="E14" i="14"/>
  <c r="F14" i="14"/>
  <c r="D15" i="14"/>
  <c r="F15" i="14" s="1"/>
  <c r="E15" i="14"/>
  <c r="D16" i="14"/>
  <c r="F16" i="14" s="1"/>
  <c r="E16" i="14"/>
  <c r="D17" i="14"/>
  <c r="E17" i="14"/>
  <c r="F17" i="14"/>
  <c r="D18" i="14"/>
  <c r="E18" i="14"/>
  <c r="F18" i="14"/>
  <c r="D19" i="14"/>
  <c r="F19" i="14" s="1"/>
  <c r="E19" i="14"/>
  <c r="D20" i="14"/>
  <c r="F20" i="14" s="1"/>
  <c r="E20" i="14"/>
  <c r="D21" i="14"/>
  <c r="E21" i="14"/>
  <c r="F21" i="14"/>
  <c r="D22" i="14"/>
  <c r="E22" i="14"/>
  <c r="F22" i="14"/>
  <c r="D23" i="14"/>
  <c r="F23" i="14" s="1"/>
  <c r="E23" i="14"/>
  <c r="D24" i="14"/>
  <c r="F24" i="14" s="1"/>
  <c r="E24" i="14"/>
  <c r="D25" i="14"/>
  <c r="E25" i="14"/>
  <c r="F25" i="14"/>
  <c r="D26" i="14"/>
  <c r="E26" i="14"/>
  <c r="F26" i="14"/>
  <c r="D27" i="14"/>
  <c r="F27" i="14" s="1"/>
  <c r="E27" i="14"/>
  <c r="D28" i="14"/>
  <c r="F28" i="14" s="1"/>
  <c r="E28" i="14"/>
  <c r="D29" i="14"/>
  <c r="E29" i="14"/>
  <c r="F29" i="14"/>
  <c r="D30" i="14"/>
  <c r="E30" i="14"/>
  <c r="F30" i="14"/>
  <c r="D31" i="14"/>
  <c r="F31" i="14" s="1"/>
  <c r="E31" i="14"/>
  <c r="D32" i="14"/>
  <c r="F32" i="14" s="1"/>
  <c r="E32" i="14"/>
  <c r="D33" i="14"/>
  <c r="E33" i="14"/>
  <c r="F33" i="14"/>
  <c r="D34" i="14"/>
  <c r="E34" i="14"/>
  <c r="F34" i="14"/>
  <c r="D35" i="14"/>
  <c r="F35" i="14" s="1"/>
  <c r="E35" i="14"/>
  <c r="D36" i="14"/>
  <c r="F36" i="14" s="1"/>
  <c r="E36" i="14"/>
  <c r="D37" i="14"/>
  <c r="E37" i="14"/>
  <c r="F37" i="14"/>
  <c r="D38" i="14"/>
  <c r="E38" i="14"/>
  <c r="F38" i="14"/>
  <c r="D39" i="14"/>
  <c r="F39" i="14" s="1"/>
  <c r="E39" i="14"/>
  <c r="D40" i="14"/>
  <c r="F40" i="14" s="1"/>
  <c r="E40" i="14"/>
  <c r="D41" i="14"/>
  <c r="E41" i="14"/>
  <c r="F41" i="14"/>
  <c r="D42" i="14"/>
  <c r="E42" i="14"/>
  <c r="F42" i="14"/>
  <c r="D43" i="14"/>
  <c r="F43" i="14" s="1"/>
  <c r="E43" i="14"/>
  <c r="D44" i="14"/>
  <c r="F44" i="14" s="1"/>
  <c r="E44" i="14"/>
  <c r="D45" i="14"/>
  <c r="E45" i="14"/>
  <c r="F45" i="14"/>
  <c r="F46" i="14"/>
  <c r="D47" i="14"/>
  <c r="E47" i="14"/>
  <c r="F47" i="14"/>
  <c r="F48" i="14"/>
  <c r="F49" i="14"/>
  <c r="D2" i="13" l="1"/>
  <c r="E2" i="13"/>
  <c r="F2" i="13"/>
  <c r="D3" i="13"/>
  <c r="F3" i="13" s="1"/>
  <c r="E3" i="13"/>
  <c r="D4" i="13"/>
  <c r="F4" i="13" s="1"/>
  <c r="E4" i="13"/>
  <c r="D5" i="13"/>
  <c r="E5" i="13"/>
  <c r="F5" i="13"/>
  <c r="D6" i="13"/>
  <c r="E6" i="13"/>
  <c r="F6" i="13"/>
  <c r="D7" i="13"/>
  <c r="F7" i="13" s="1"/>
  <c r="E7" i="13"/>
  <c r="D8" i="13"/>
  <c r="F8" i="13" s="1"/>
  <c r="E8" i="13"/>
  <c r="D9" i="13"/>
  <c r="E9" i="13"/>
  <c r="F9" i="13"/>
  <c r="D10" i="13"/>
  <c r="E10" i="13"/>
  <c r="F10" i="13"/>
  <c r="D11" i="13"/>
  <c r="F11" i="13" s="1"/>
  <c r="E11" i="13"/>
  <c r="D12" i="13"/>
  <c r="F12" i="13" s="1"/>
  <c r="E12" i="13"/>
  <c r="D13" i="13"/>
  <c r="E13" i="13"/>
  <c r="F13" i="13"/>
  <c r="D14" i="13"/>
  <c r="E14" i="13"/>
  <c r="F14" i="13"/>
  <c r="D15" i="13"/>
  <c r="F15" i="13" s="1"/>
  <c r="E15" i="13"/>
  <c r="D16" i="13"/>
  <c r="F16" i="13" s="1"/>
  <c r="E16" i="13"/>
  <c r="D17" i="13"/>
  <c r="E17" i="13"/>
  <c r="F17" i="13"/>
  <c r="D18" i="13"/>
  <c r="E18" i="13"/>
  <c r="F18" i="13"/>
  <c r="D19" i="13"/>
  <c r="F19" i="13" s="1"/>
  <c r="E19" i="13"/>
  <c r="D20" i="13"/>
  <c r="F20" i="13" s="1"/>
  <c r="E20" i="13"/>
  <c r="D21" i="13"/>
  <c r="E21" i="13"/>
  <c r="F21" i="13"/>
  <c r="D22" i="13"/>
  <c r="E22" i="13"/>
  <c r="F22" i="13"/>
  <c r="D23" i="13"/>
  <c r="F23" i="13" s="1"/>
  <c r="E23" i="13"/>
  <c r="D24" i="13"/>
  <c r="F24" i="13" s="1"/>
  <c r="E24" i="13"/>
  <c r="D25" i="13"/>
  <c r="E25" i="13"/>
  <c r="F25" i="13"/>
  <c r="D26" i="13"/>
  <c r="E26" i="13"/>
  <c r="F26" i="13"/>
  <c r="D27" i="13"/>
  <c r="F27" i="13" s="1"/>
  <c r="E27" i="13"/>
  <c r="D28" i="13"/>
  <c r="F28" i="13" s="1"/>
  <c r="E28" i="13"/>
  <c r="D29" i="13"/>
  <c r="E29" i="13"/>
  <c r="F29" i="13"/>
  <c r="D30" i="13"/>
  <c r="E30" i="13"/>
  <c r="F30" i="13" s="1"/>
  <c r="D31" i="13"/>
  <c r="F31" i="13" s="1"/>
  <c r="E31" i="13"/>
  <c r="D32" i="13"/>
  <c r="F32" i="13" s="1"/>
  <c r="E32" i="13"/>
  <c r="D33" i="13"/>
  <c r="E33" i="13"/>
  <c r="F33" i="13"/>
  <c r="D34" i="13"/>
  <c r="E34" i="13"/>
  <c r="F34" i="13" s="1"/>
  <c r="D35" i="13"/>
  <c r="F35" i="13" s="1"/>
  <c r="E35" i="13"/>
  <c r="D36" i="13"/>
  <c r="F36" i="13" s="1"/>
  <c r="E36" i="13"/>
  <c r="D37" i="13"/>
  <c r="E37" i="13"/>
  <c r="F37" i="13"/>
  <c r="D38" i="13"/>
  <c r="E38" i="13"/>
  <c r="F38" i="13" s="1"/>
  <c r="D39" i="13"/>
  <c r="F39" i="13" s="1"/>
  <c r="E39" i="13"/>
  <c r="F40" i="13"/>
  <c r="D41" i="13"/>
  <c r="F41" i="13" s="1"/>
  <c r="E41" i="13"/>
  <c r="D42" i="13"/>
  <c r="F42" i="13" s="1"/>
  <c r="E42" i="13"/>
  <c r="D43" i="13"/>
  <c r="E43" i="13"/>
  <c r="F43" i="13"/>
  <c r="D44" i="13"/>
  <c r="E44" i="13"/>
  <c r="F44" i="13" s="1"/>
  <c r="D45" i="13"/>
  <c r="F45" i="13" s="1"/>
  <c r="E45" i="13"/>
  <c r="D46" i="13"/>
  <c r="F46" i="13" s="1"/>
  <c r="E46" i="13"/>
  <c r="D47" i="13"/>
  <c r="E47" i="13"/>
  <c r="F47" i="13"/>
  <c r="F48" i="13"/>
  <c r="D2" i="12" l="1"/>
  <c r="E2" i="12"/>
  <c r="F2" i="12"/>
  <c r="D3" i="12"/>
  <c r="F3" i="12" s="1"/>
  <c r="E3" i="12"/>
  <c r="D4" i="12"/>
  <c r="F4" i="12" s="1"/>
  <c r="E4" i="12"/>
  <c r="D5" i="12"/>
  <c r="E5" i="12"/>
  <c r="F5" i="12"/>
  <c r="D6" i="12"/>
  <c r="E6" i="12"/>
  <c r="F6" i="12"/>
  <c r="D7" i="12"/>
  <c r="F7" i="12" s="1"/>
  <c r="E7" i="12"/>
  <c r="D8" i="12"/>
  <c r="F8" i="12" s="1"/>
  <c r="E8" i="12"/>
  <c r="D9" i="12"/>
  <c r="E9" i="12"/>
  <c r="F9" i="12"/>
  <c r="D10" i="12"/>
  <c r="E10" i="12"/>
  <c r="F10" i="12"/>
  <c r="D11" i="12"/>
  <c r="F11" i="12" s="1"/>
  <c r="E11" i="12"/>
  <c r="D12" i="12"/>
  <c r="F12" i="12" s="1"/>
  <c r="E12" i="12"/>
  <c r="D13" i="12"/>
  <c r="E13" i="12"/>
  <c r="F13" i="12"/>
  <c r="D14" i="12"/>
  <c r="E14" i="12"/>
  <c r="F14" i="12"/>
  <c r="D15" i="12"/>
  <c r="F15" i="12" s="1"/>
  <c r="E15" i="12"/>
  <c r="D16" i="12"/>
  <c r="F16" i="12" s="1"/>
  <c r="E16" i="12"/>
  <c r="D17" i="12"/>
  <c r="E17" i="12"/>
  <c r="F17" i="12"/>
  <c r="D18" i="12"/>
  <c r="E18" i="12"/>
  <c r="F18" i="12"/>
  <c r="D19" i="12"/>
  <c r="F19" i="12" s="1"/>
  <c r="E19" i="12"/>
  <c r="D20" i="12"/>
  <c r="F20" i="12" s="1"/>
  <c r="E20" i="12"/>
  <c r="D21" i="12"/>
  <c r="E21" i="12"/>
  <c r="F21" i="12"/>
  <c r="D22" i="12"/>
  <c r="E22" i="12"/>
  <c r="F22" i="12"/>
  <c r="D23" i="12"/>
  <c r="F23" i="12" s="1"/>
  <c r="E23" i="12"/>
  <c r="D24" i="12"/>
  <c r="F24" i="12" s="1"/>
  <c r="E24" i="12"/>
  <c r="D25" i="12"/>
  <c r="E25" i="12"/>
  <c r="F25" i="12"/>
  <c r="D26" i="12"/>
  <c r="E26" i="12"/>
  <c r="F26" i="12"/>
  <c r="D27" i="12"/>
  <c r="F27" i="12" s="1"/>
  <c r="E27" i="12"/>
  <c r="D28" i="12"/>
  <c r="F28" i="12" s="1"/>
  <c r="E28" i="12"/>
  <c r="D29" i="12"/>
  <c r="E29" i="12"/>
  <c r="F29" i="12"/>
  <c r="D30" i="12"/>
  <c r="E30" i="12"/>
  <c r="F30" i="12"/>
  <c r="D31" i="12"/>
  <c r="F31" i="12" s="1"/>
  <c r="E31" i="12"/>
  <c r="D32" i="12"/>
  <c r="F32" i="12" s="1"/>
  <c r="E32" i="12"/>
  <c r="D33" i="12"/>
  <c r="E33" i="12"/>
  <c r="F33" i="12"/>
  <c r="D34" i="12"/>
  <c r="E34" i="12"/>
  <c r="F34" i="12"/>
  <c r="D35" i="12"/>
  <c r="F35" i="12" s="1"/>
  <c r="E35" i="12"/>
  <c r="D36" i="12"/>
  <c r="F36" i="12" s="1"/>
  <c r="E36" i="12"/>
  <c r="D37" i="12"/>
  <c r="E37" i="12"/>
  <c r="F37" i="12"/>
  <c r="D38" i="12"/>
  <c r="E38" i="12"/>
  <c r="F38" i="12"/>
  <c r="D39" i="12"/>
  <c r="F39" i="12" s="1"/>
  <c r="E39" i="12"/>
  <c r="D40" i="12"/>
  <c r="F40" i="12" s="1"/>
  <c r="E40" i="12"/>
  <c r="F41" i="12"/>
  <c r="D42" i="12"/>
  <c r="F42" i="12" s="1"/>
  <c r="E42" i="12"/>
  <c r="D43" i="12"/>
  <c r="E43" i="12"/>
  <c r="F43" i="12"/>
  <c r="D44" i="12"/>
  <c r="E44" i="12"/>
  <c r="F44" i="12"/>
  <c r="D45" i="12"/>
  <c r="F45" i="12" s="1"/>
  <c r="E45" i="12"/>
  <c r="D46" i="12"/>
  <c r="F46" i="12" s="1"/>
  <c r="E46" i="12"/>
  <c r="D47" i="12"/>
  <c r="E47" i="12"/>
  <c r="F47" i="12"/>
  <c r="F48" i="12"/>
  <c r="D2" i="11" l="1"/>
  <c r="E2" i="11"/>
  <c r="F2" i="11"/>
  <c r="D3" i="11"/>
  <c r="F3" i="11" s="1"/>
  <c r="E3" i="11"/>
  <c r="D4" i="11"/>
  <c r="F4" i="11" s="1"/>
  <c r="E4" i="11"/>
  <c r="F5" i="11"/>
  <c r="D6" i="11"/>
  <c r="F6" i="11" s="1"/>
  <c r="E6" i="11"/>
  <c r="D7" i="11"/>
  <c r="E7" i="11"/>
  <c r="F7" i="11"/>
  <c r="D8" i="11"/>
  <c r="E8" i="11"/>
  <c r="F8" i="11"/>
  <c r="D9" i="11"/>
  <c r="F9" i="11" s="1"/>
  <c r="E9" i="11"/>
  <c r="D10" i="11"/>
  <c r="F10" i="11" s="1"/>
  <c r="E10" i="11"/>
  <c r="D11" i="11"/>
  <c r="E11" i="11"/>
  <c r="F11" i="11"/>
  <c r="D12" i="11"/>
  <c r="E12" i="11"/>
  <c r="F12" i="11"/>
  <c r="D13" i="11"/>
  <c r="F13" i="11" s="1"/>
  <c r="E13" i="11"/>
  <c r="D14" i="11"/>
  <c r="F14" i="11" s="1"/>
  <c r="E14" i="11"/>
  <c r="D15" i="11"/>
  <c r="E15" i="11"/>
  <c r="F15" i="11"/>
  <c r="D16" i="11"/>
  <c r="E16" i="11"/>
  <c r="F16" i="11"/>
  <c r="D17" i="11"/>
  <c r="F17" i="11" s="1"/>
  <c r="E17" i="11"/>
  <c r="D18" i="11"/>
  <c r="F18" i="11" s="1"/>
  <c r="E18" i="11"/>
  <c r="D19" i="11"/>
  <c r="E19" i="11"/>
  <c r="F19" i="11"/>
  <c r="D20" i="11"/>
  <c r="E20" i="11"/>
  <c r="F20" i="11"/>
  <c r="D21" i="11"/>
  <c r="F21" i="11" s="1"/>
  <c r="E21" i="11"/>
  <c r="D22" i="11"/>
  <c r="F22" i="11" s="1"/>
  <c r="E22" i="11"/>
  <c r="D23" i="11"/>
  <c r="E23" i="11"/>
  <c r="F23" i="11"/>
  <c r="D24" i="11"/>
  <c r="E24" i="11"/>
  <c r="F24" i="11"/>
  <c r="D25" i="11"/>
  <c r="F25" i="11" s="1"/>
  <c r="E25" i="11"/>
  <c r="D26" i="11"/>
  <c r="F26" i="11" s="1"/>
  <c r="E26" i="11"/>
  <c r="D27" i="11"/>
  <c r="E27" i="11"/>
  <c r="F27" i="11"/>
  <c r="D28" i="11"/>
  <c r="E28" i="11"/>
  <c r="F28" i="11"/>
  <c r="D29" i="11"/>
  <c r="F29" i="11" s="1"/>
  <c r="E29" i="11"/>
  <c r="D30" i="11"/>
  <c r="F30" i="11" s="1"/>
  <c r="E30" i="11"/>
  <c r="D31" i="11"/>
  <c r="E31" i="11"/>
  <c r="F31" i="11"/>
  <c r="D32" i="11"/>
  <c r="E32" i="11"/>
  <c r="F32" i="11"/>
  <c r="D33" i="11"/>
  <c r="F33" i="11" s="1"/>
  <c r="E33" i="11"/>
  <c r="D34" i="11"/>
  <c r="F34" i="11" s="1"/>
  <c r="E34" i="11"/>
  <c r="D35" i="11"/>
  <c r="E35" i="11"/>
  <c r="F35" i="11"/>
  <c r="D36" i="11"/>
  <c r="E36" i="11"/>
  <c r="F36" i="11"/>
  <c r="D37" i="11"/>
  <c r="F37" i="11" s="1"/>
  <c r="E37" i="11"/>
  <c r="D38" i="11"/>
  <c r="F38" i="11" s="1"/>
  <c r="E38" i="11"/>
  <c r="F39" i="11"/>
  <c r="D40" i="11"/>
  <c r="F40" i="11" s="1"/>
  <c r="E40" i="11"/>
  <c r="D41" i="11"/>
  <c r="E41" i="11"/>
  <c r="F41" i="11"/>
  <c r="D42" i="11"/>
  <c r="E42" i="11"/>
  <c r="F42" i="11"/>
  <c r="D43" i="11"/>
  <c r="F43" i="11" s="1"/>
  <c r="E43" i="11"/>
  <c r="D44" i="11"/>
  <c r="F44" i="11" s="1"/>
  <c r="E44" i="11"/>
  <c r="D45" i="11"/>
  <c r="E45" i="11"/>
  <c r="F45" i="11"/>
  <c r="D46" i="11"/>
  <c r="E46" i="11"/>
  <c r="F46" i="11"/>
  <c r="F47" i="11"/>
  <c r="D2" i="10" l="1"/>
  <c r="E2" i="10"/>
  <c r="F2" i="10"/>
  <c r="D3" i="10"/>
  <c r="F3" i="10" s="1"/>
  <c r="E3" i="10"/>
  <c r="D4" i="10"/>
  <c r="F4" i="10" s="1"/>
  <c r="E4" i="10"/>
  <c r="D5" i="10"/>
  <c r="E5" i="10"/>
  <c r="F5" i="10"/>
  <c r="F6" i="10"/>
  <c r="D7" i="10"/>
  <c r="E7" i="10"/>
  <c r="F7" i="10"/>
  <c r="D8" i="10"/>
  <c r="E8" i="10"/>
  <c r="F8" i="10"/>
  <c r="D9" i="10"/>
  <c r="F9" i="10" s="1"/>
  <c r="E9" i="10"/>
  <c r="D10" i="10"/>
  <c r="F10" i="10" s="1"/>
  <c r="E10" i="10"/>
  <c r="D11" i="10"/>
  <c r="E11" i="10"/>
  <c r="F11" i="10"/>
  <c r="D12" i="10"/>
  <c r="E12" i="10"/>
  <c r="F12" i="10"/>
  <c r="D13" i="10"/>
  <c r="F13" i="10" s="1"/>
  <c r="E13" i="10"/>
  <c r="D14" i="10"/>
  <c r="F14" i="10" s="1"/>
  <c r="E14" i="10"/>
  <c r="D15" i="10"/>
  <c r="E15" i="10"/>
  <c r="F15" i="10"/>
  <c r="D16" i="10"/>
  <c r="E16" i="10"/>
  <c r="F16" i="10"/>
  <c r="D17" i="10"/>
  <c r="F17" i="10" s="1"/>
  <c r="E17" i="10"/>
  <c r="D18" i="10"/>
  <c r="F18" i="10" s="1"/>
  <c r="E18" i="10"/>
  <c r="D19" i="10"/>
  <c r="E19" i="10"/>
  <c r="F19" i="10"/>
  <c r="D20" i="10"/>
  <c r="E20" i="10"/>
  <c r="F20" i="10"/>
  <c r="D21" i="10"/>
  <c r="F21" i="10" s="1"/>
  <c r="E21" i="10"/>
  <c r="D22" i="10"/>
  <c r="F22" i="10" s="1"/>
  <c r="E22" i="10"/>
  <c r="D23" i="10"/>
  <c r="E23" i="10"/>
  <c r="F23" i="10"/>
  <c r="D24" i="10"/>
  <c r="E24" i="10"/>
  <c r="F24" i="10"/>
  <c r="D25" i="10"/>
  <c r="F25" i="10" s="1"/>
  <c r="E25" i="10"/>
  <c r="D26" i="10"/>
  <c r="F26" i="10" s="1"/>
  <c r="E26" i="10"/>
  <c r="D27" i="10"/>
  <c r="E27" i="10"/>
  <c r="F27" i="10"/>
  <c r="D28" i="10"/>
  <c r="E28" i="10"/>
  <c r="F28" i="10"/>
  <c r="D29" i="10"/>
  <c r="F29" i="10" s="1"/>
  <c r="E29" i="10"/>
  <c r="D30" i="10"/>
  <c r="F30" i="10" s="1"/>
  <c r="E30" i="10"/>
  <c r="D31" i="10"/>
  <c r="E31" i="10"/>
  <c r="F31" i="10"/>
  <c r="D32" i="10"/>
  <c r="E32" i="10"/>
  <c r="F32" i="10"/>
  <c r="D33" i="10"/>
  <c r="F33" i="10" s="1"/>
  <c r="E33" i="10"/>
  <c r="D34" i="10"/>
  <c r="F34" i="10" s="1"/>
  <c r="E34" i="10"/>
  <c r="D35" i="10"/>
  <c r="E35" i="10"/>
  <c r="F35" i="10"/>
  <c r="D36" i="10"/>
  <c r="E36" i="10"/>
  <c r="F36" i="10"/>
  <c r="D37" i="10"/>
  <c r="F37" i="10" s="1"/>
  <c r="E37" i="10"/>
  <c r="D38" i="10"/>
  <c r="F38" i="10" s="1"/>
  <c r="E38" i="10"/>
  <c r="D39" i="10"/>
  <c r="E39" i="10"/>
  <c r="F39" i="10"/>
  <c r="D40" i="10"/>
  <c r="F40" i="10" s="1"/>
  <c r="E40" i="10"/>
  <c r="D41" i="10"/>
  <c r="F41" i="10" s="1"/>
  <c r="E41" i="10"/>
  <c r="D42" i="10"/>
  <c r="E42" i="10"/>
  <c r="F42" i="10" s="1"/>
  <c r="D43" i="10"/>
  <c r="E43" i="10"/>
  <c r="F43" i="10"/>
  <c r="D44" i="10"/>
  <c r="F44" i="10" s="1"/>
  <c r="E44" i="10"/>
  <c r="D45" i="10"/>
  <c r="F45" i="10" s="1"/>
  <c r="E45" i="10"/>
  <c r="D2" i="9" l="1"/>
  <c r="E2" i="9"/>
  <c r="F2" i="9"/>
  <c r="D3" i="9"/>
  <c r="F3" i="9" s="1"/>
  <c r="E3" i="9"/>
  <c r="D4" i="9"/>
  <c r="F4" i="9" s="1"/>
  <c r="E4" i="9"/>
  <c r="D5" i="9"/>
  <c r="E5" i="9"/>
  <c r="F5" i="9"/>
  <c r="D6" i="9"/>
  <c r="E6" i="9"/>
  <c r="F6" i="9"/>
  <c r="F7" i="9"/>
  <c r="D8" i="9"/>
  <c r="E8" i="9"/>
  <c r="F8" i="9"/>
  <c r="D9" i="9"/>
  <c r="F9" i="9" s="1"/>
  <c r="E9" i="9"/>
  <c r="D10" i="9"/>
  <c r="F10" i="9" s="1"/>
  <c r="E10" i="9"/>
  <c r="D11" i="9"/>
  <c r="E11" i="9"/>
  <c r="F11" i="9"/>
  <c r="D12" i="9"/>
  <c r="E12" i="9"/>
  <c r="F12" i="9"/>
  <c r="D13" i="9"/>
  <c r="F13" i="9" s="1"/>
  <c r="E13" i="9"/>
  <c r="D14" i="9"/>
  <c r="F14" i="9" s="1"/>
  <c r="E14" i="9"/>
  <c r="D15" i="9"/>
  <c r="E15" i="9"/>
  <c r="F15" i="9"/>
  <c r="D16" i="9"/>
  <c r="E16" i="9"/>
  <c r="F16" i="9"/>
  <c r="D17" i="9"/>
  <c r="F17" i="9" s="1"/>
  <c r="E17" i="9"/>
  <c r="D18" i="9"/>
  <c r="F18" i="9" s="1"/>
  <c r="E18" i="9"/>
  <c r="D19" i="9"/>
  <c r="E19" i="9"/>
  <c r="F19" i="9"/>
  <c r="D20" i="9"/>
  <c r="E20" i="9"/>
  <c r="F20" i="9"/>
  <c r="D21" i="9"/>
  <c r="F21" i="9" s="1"/>
  <c r="E21" i="9"/>
  <c r="D22" i="9"/>
  <c r="F22" i="9" s="1"/>
  <c r="E22" i="9"/>
  <c r="D23" i="9"/>
  <c r="E23" i="9"/>
  <c r="F23" i="9"/>
  <c r="D24" i="9"/>
  <c r="E24" i="9"/>
  <c r="F24" i="9"/>
  <c r="D25" i="9"/>
  <c r="F25" i="9" s="1"/>
  <c r="E25" i="9"/>
  <c r="D26" i="9"/>
  <c r="F26" i="9" s="1"/>
  <c r="E26" i="9"/>
  <c r="D27" i="9"/>
  <c r="E27" i="9"/>
  <c r="F27" i="9"/>
  <c r="D28" i="9"/>
  <c r="E28" i="9"/>
  <c r="F28" i="9"/>
  <c r="D29" i="9"/>
  <c r="F29" i="9" s="1"/>
  <c r="E29" i="9"/>
  <c r="D30" i="9"/>
  <c r="F30" i="9" s="1"/>
  <c r="E30" i="9"/>
  <c r="D31" i="9"/>
  <c r="E31" i="9"/>
  <c r="F31" i="9"/>
  <c r="D32" i="9"/>
  <c r="E32" i="9"/>
  <c r="F32" i="9"/>
  <c r="D33" i="9"/>
  <c r="F33" i="9" s="1"/>
  <c r="E33" i="9"/>
  <c r="D34" i="9"/>
  <c r="F34" i="9" s="1"/>
  <c r="E34" i="9"/>
  <c r="D35" i="9"/>
  <c r="E35" i="9"/>
  <c r="F35" i="9"/>
  <c r="D36" i="9"/>
  <c r="E36" i="9"/>
  <c r="F36" i="9"/>
  <c r="D37" i="9"/>
  <c r="F37" i="9" s="1"/>
  <c r="E37" i="9"/>
  <c r="D38" i="9"/>
  <c r="F38" i="9" s="1"/>
  <c r="E38" i="9"/>
  <c r="D39" i="9"/>
  <c r="E39" i="9"/>
  <c r="F39" i="9"/>
  <c r="D40" i="9"/>
  <c r="E40" i="9"/>
  <c r="F40" i="9"/>
  <c r="D41" i="9"/>
  <c r="F41" i="9" s="1"/>
  <c r="E41" i="9"/>
  <c r="D42" i="9"/>
  <c r="F42" i="9" s="1"/>
  <c r="E42" i="9"/>
  <c r="D43" i="9"/>
  <c r="E43" i="9"/>
  <c r="F43" i="9"/>
  <c r="D44" i="9"/>
  <c r="E44" i="9"/>
  <c r="F44" i="9"/>
  <c r="D45" i="9"/>
  <c r="F45" i="9" s="1"/>
  <c r="E45" i="9"/>
  <c r="D2" i="8" l="1"/>
  <c r="E2" i="8"/>
  <c r="F2" i="8"/>
  <c r="D3" i="8"/>
  <c r="F3" i="8" s="1"/>
  <c r="E3" i="8"/>
  <c r="D4" i="8"/>
  <c r="F4" i="8" s="1"/>
  <c r="E4" i="8"/>
  <c r="D5" i="8"/>
  <c r="E5" i="8"/>
  <c r="F5" i="8"/>
  <c r="D6" i="8"/>
  <c r="E6" i="8"/>
  <c r="F6" i="8"/>
  <c r="D7" i="8"/>
  <c r="F7" i="8" s="1"/>
  <c r="E7" i="8"/>
  <c r="D8" i="8"/>
  <c r="F8" i="8" s="1"/>
  <c r="E8" i="8"/>
  <c r="D9" i="8"/>
  <c r="E9" i="8"/>
  <c r="F9" i="8"/>
  <c r="F10" i="8"/>
  <c r="D11" i="8"/>
  <c r="E11" i="8"/>
  <c r="F11" i="8"/>
  <c r="D12" i="8"/>
  <c r="E12" i="8"/>
  <c r="F12" i="8"/>
  <c r="D13" i="8"/>
  <c r="F13" i="8" s="1"/>
  <c r="E13" i="8"/>
  <c r="D14" i="8"/>
  <c r="F14" i="8" s="1"/>
  <c r="E14" i="8"/>
  <c r="D15" i="8"/>
  <c r="E15" i="8"/>
  <c r="F15" i="8"/>
  <c r="D16" i="8"/>
  <c r="E16" i="8"/>
  <c r="F16" i="8"/>
  <c r="D17" i="8"/>
  <c r="F17" i="8" s="1"/>
  <c r="E17" i="8"/>
  <c r="D18" i="8"/>
  <c r="F18" i="8" s="1"/>
  <c r="E18" i="8"/>
  <c r="D19" i="8"/>
  <c r="E19" i="8"/>
  <c r="F19" i="8"/>
  <c r="D20" i="8"/>
  <c r="E20" i="8"/>
  <c r="F20" i="8"/>
  <c r="D21" i="8"/>
  <c r="F21" i="8" s="1"/>
  <c r="E21" i="8"/>
  <c r="D22" i="8"/>
  <c r="F22" i="8" s="1"/>
  <c r="E22" i="8"/>
  <c r="D23" i="8"/>
  <c r="E23" i="8"/>
  <c r="F23" i="8"/>
  <c r="D24" i="8"/>
  <c r="E24" i="8"/>
  <c r="F24" i="8"/>
  <c r="D25" i="8"/>
  <c r="F25" i="8" s="1"/>
  <c r="E25" i="8"/>
  <c r="D26" i="8"/>
  <c r="F26" i="8" s="1"/>
  <c r="E26" i="8"/>
  <c r="D27" i="8"/>
  <c r="E27" i="8"/>
  <c r="F27" i="8"/>
  <c r="D28" i="8"/>
  <c r="E28" i="8"/>
  <c r="F28" i="8"/>
  <c r="D29" i="8"/>
  <c r="F29" i="8" s="1"/>
  <c r="E29" i="8"/>
  <c r="D30" i="8"/>
  <c r="F30" i="8" s="1"/>
  <c r="E30" i="8"/>
  <c r="D31" i="8"/>
  <c r="E31" i="8"/>
  <c r="F31" i="8"/>
  <c r="D32" i="8"/>
  <c r="E32" i="8"/>
  <c r="F32" i="8"/>
  <c r="D33" i="8"/>
  <c r="F33" i="8" s="1"/>
  <c r="E33" i="8"/>
  <c r="D34" i="8"/>
  <c r="F34" i="8" s="1"/>
  <c r="E34" i="8"/>
  <c r="D35" i="8"/>
  <c r="E35" i="8"/>
  <c r="F35" i="8"/>
  <c r="D36" i="8"/>
  <c r="E36" i="8"/>
  <c r="F36" i="8"/>
  <c r="D37" i="8"/>
  <c r="F37" i="8" s="1"/>
  <c r="E37" i="8"/>
  <c r="D38" i="8"/>
  <c r="F38" i="8" s="1"/>
  <c r="E38" i="8"/>
  <c r="D39" i="8"/>
  <c r="E39" i="8"/>
  <c r="F39" i="8"/>
  <c r="D40" i="8"/>
  <c r="E40" i="8"/>
  <c r="F40" i="8"/>
  <c r="D41" i="8"/>
  <c r="F41" i="8" s="1"/>
  <c r="E41" i="8"/>
  <c r="D42" i="8"/>
  <c r="F42" i="8" s="1"/>
  <c r="E42" i="8"/>
  <c r="D43" i="8"/>
  <c r="E43" i="8"/>
  <c r="F43" i="8"/>
  <c r="F44" i="8"/>
  <c r="D45" i="8"/>
  <c r="E45" i="8"/>
  <c r="F45" i="8"/>
  <c r="D2" i="7" l="1"/>
  <c r="E2" i="7"/>
  <c r="F2" i="7"/>
  <c r="D3" i="7"/>
  <c r="F3" i="7" s="1"/>
  <c r="E3" i="7"/>
  <c r="D4" i="7"/>
  <c r="F4" i="7" s="1"/>
  <c r="E4" i="7"/>
  <c r="D5" i="7"/>
  <c r="E5" i="7"/>
  <c r="F5" i="7"/>
  <c r="D6" i="7"/>
  <c r="E6" i="7"/>
  <c r="F6" i="7"/>
  <c r="D7" i="7"/>
  <c r="F7" i="7" s="1"/>
  <c r="E7" i="7"/>
  <c r="D8" i="7"/>
  <c r="F8" i="7" s="1"/>
  <c r="E8" i="7"/>
  <c r="D9" i="7"/>
  <c r="E9" i="7"/>
  <c r="F9" i="7"/>
  <c r="D10" i="7"/>
  <c r="E10" i="7"/>
  <c r="F10" i="7"/>
  <c r="D11" i="7"/>
  <c r="F11" i="7" s="1"/>
  <c r="E11" i="7"/>
  <c r="D12" i="7"/>
  <c r="F12" i="7" s="1"/>
  <c r="E12" i="7"/>
  <c r="D13" i="7"/>
  <c r="E13" i="7"/>
  <c r="F13" i="7"/>
  <c r="D14" i="7"/>
  <c r="E14" i="7"/>
  <c r="F14" i="7"/>
  <c r="D15" i="7"/>
  <c r="F15" i="7" s="1"/>
  <c r="E15" i="7"/>
  <c r="D16" i="7"/>
  <c r="F16" i="7" s="1"/>
  <c r="E16" i="7"/>
  <c r="D17" i="7"/>
  <c r="E17" i="7"/>
  <c r="F17" i="7"/>
  <c r="D18" i="7"/>
  <c r="E18" i="7"/>
  <c r="F18" i="7"/>
  <c r="D19" i="7"/>
  <c r="F19" i="7" s="1"/>
  <c r="E19" i="7"/>
  <c r="D20" i="7"/>
  <c r="F20" i="7" s="1"/>
  <c r="E20" i="7"/>
  <c r="D21" i="7"/>
  <c r="E21" i="7"/>
  <c r="F21" i="7"/>
  <c r="D22" i="7"/>
  <c r="F22" i="7" s="1"/>
  <c r="E22" i="7"/>
  <c r="D23" i="7"/>
  <c r="F23" i="7" s="1"/>
  <c r="E23" i="7"/>
  <c r="D24" i="7"/>
  <c r="F24" i="7" s="1"/>
  <c r="E24" i="7"/>
  <c r="D25" i="7"/>
  <c r="E25" i="7"/>
  <c r="F25" i="7"/>
  <c r="D26" i="7"/>
  <c r="E26" i="7"/>
  <c r="F26" i="7"/>
  <c r="D27" i="7"/>
  <c r="F27" i="7" s="1"/>
  <c r="E27" i="7"/>
  <c r="D28" i="7"/>
  <c r="F28" i="7" s="1"/>
  <c r="E28" i="7"/>
  <c r="D29" i="7"/>
  <c r="E29" i="7"/>
  <c r="F29" i="7"/>
  <c r="D30" i="7"/>
  <c r="E30" i="7"/>
  <c r="F30" i="7"/>
  <c r="D31" i="7"/>
  <c r="F31" i="7" s="1"/>
  <c r="E31" i="7"/>
  <c r="D32" i="7"/>
  <c r="F32" i="7" s="1"/>
  <c r="E32" i="7"/>
  <c r="D33" i="7"/>
  <c r="E33" i="7"/>
  <c r="F33" i="7"/>
  <c r="D34" i="7"/>
  <c r="E34" i="7"/>
  <c r="F34" i="7"/>
  <c r="D35" i="7"/>
  <c r="F35" i="7" s="1"/>
  <c r="E35" i="7"/>
  <c r="D36" i="7"/>
  <c r="E36" i="7"/>
  <c r="F36" i="7" s="1"/>
  <c r="D37" i="7"/>
  <c r="E37" i="7"/>
  <c r="F37" i="7"/>
  <c r="D38" i="7"/>
  <c r="F38" i="7" s="1"/>
  <c r="E38" i="7"/>
  <c r="D39" i="7"/>
  <c r="F39" i="7" s="1"/>
  <c r="E39" i="7"/>
  <c r="D40" i="7"/>
  <c r="E40" i="7"/>
  <c r="F40" i="7" s="1"/>
  <c r="D41" i="7"/>
  <c r="E41" i="7"/>
  <c r="F41" i="7"/>
  <c r="D42" i="7"/>
  <c r="F42" i="7" s="1"/>
  <c r="E42" i="7"/>
  <c r="D43" i="7"/>
  <c r="F43" i="7" s="1"/>
  <c r="E43" i="7"/>
  <c r="D2" i="6" l="1"/>
  <c r="E2" i="6"/>
  <c r="F2" i="6"/>
  <c r="D3" i="6"/>
  <c r="F3" i="6" s="1"/>
  <c r="E3" i="6"/>
  <c r="D4" i="6"/>
  <c r="F4" i="6" s="1"/>
  <c r="E4" i="6"/>
  <c r="D5" i="6"/>
  <c r="E5" i="6"/>
  <c r="F5" i="6"/>
  <c r="D6" i="6"/>
  <c r="E6" i="6"/>
  <c r="F6" i="6"/>
  <c r="D7" i="6"/>
  <c r="F7" i="6" s="1"/>
  <c r="E7" i="6"/>
  <c r="D8" i="6"/>
  <c r="F8" i="6" s="1"/>
  <c r="E8" i="6"/>
  <c r="D9" i="6"/>
  <c r="E9" i="6"/>
  <c r="F9" i="6"/>
  <c r="D10" i="6"/>
  <c r="E10" i="6"/>
  <c r="F10" i="6"/>
  <c r="D11" i="6"/>
  <c r="F11" i="6" s="1"/>
  <c r="E11" i="6"/>
  <c r="D12" i="6"/>
  <c r="F12" i="6" s="1"/>
  <c r="E12" i="6"/>
  <c r="D13" i="6"/>
  <c r="E13" i="6"/>
  <c r="F13" i="6"/>
  <c r="D14" i="6"/>
  <c r="E14" i="6"/>
  <c r="F14" i="6"/>
  <c r="D15" i="6"/>
  <c r="F15" i="6" s="1"/>
  <c r="E15" i="6"/>
  <c r="D16" i="6"/>
  <c r="F16" i="6" s="1"/>
  <c r="E16" i="6"/>
  <c r="D17" i="6"/>
  <c r="E17" i="6"/>
  <c r="F17" i="6"/>
  <c r="D18" i="6"/>
  <c r="E18" i="6"/>
  <c r="F18" i="6"/>
  <c r="D19" i="6"/>
  <c r="F19" i="6" s="1"/>
  <c r="E19" i="6"/>
  <c r="D20" i="6"/>
  <c r="F20" i="6" s="1"/>
  <c r="E20" i="6"/>
  <c r="D21" i="6"/>
  <c r="E21" i="6"/>
  <c r="F21" i="6"/>
  <c r="D22" i="6"/>
  <c r="E22" i="6"/>
  <c r="F22" i="6"/>
  <c r="D23" i="6"/>
  <c r="F23" i="6" s="1"/>
  <c r="E23" i="6"/>
  <c r="D24" i="6"/>
  <c r="F24" i="6" s="1"/>
  <c r="E24" i="6"/>
  <c r="D25" i="6"/>
  <c r="E25" i="6"/>
  <c r="F25" i="6"/>
  <c r="D26" i="6"/>
  <c r="E26" i="6"/>
  <c r="F26" i="6"/>
  <c r="D27" i="6"/>
  <c r="F27" i="6" s="1"/>
  <c r="E27" i="6"/>
  <c r="D28" i="6"/>
  <c r="F28" i="6" s="1"/>
  <c r="E28" i="6"/>
  <c r="D29" i="6"/>
  <c r="E29" i="6"/>
  <c r="F29" i="6"/>
  <c r="D30" i="6"/>
  <c r="E30" i="6"/>
  <c r="F30" i="6"/>
  <c r="D31" i="6"/>
  <c r="F31" i="6" s="1"/>
  <c r="E31" i="6"/>
  <c r="D32" i="6"/>
  <c r="F32" i="6" s="1"/>
  <c r="E32" i="6"/>
  <c r="D33" i="6"/>
  <c r="E33" i="6"/>
  <c r="F33" i="6"/>
  <c r="D34" i="6"/>
  <c r="E34" i="6"/>
  <c r="F34" i="6"/>
  <c r="D35" i="6"/>
  <c r="F35" i="6" s="1"/>
  <c r="E35" i="6"/>
  <c r="D36" i="6"/>
  <c r="F36" i="6" s="1"/>
  <c r="E36" i="6"/>
  <c r="D37" i="6"/>
  <c r="E37" i="6"/>
  <c r="F37" i="6"/>
  <c r="D38" i="6"/>
  <c r="E38" i="6"/>
  <c r="F38" i="6"/>
  <c r="D39" i="6"/>
  <c r="F39" i="6" s="1"/>
  <c r="E39" i="6"/>
  <c r="D40" i="6"/>
  <c r="F40" i="6" s="1"/>
  <c r="E40" i="6"/>
  <c r="D41" i="6"/>
  <c r="E41" i="6"/>
  <c r="F41" i="6"/>
  <c r="D42" i="6"/>
  <c r="E42" i="6"/>
  <c r="F42" i="6"/>
  <c r="D43" i="6"/>
  <c r="F43" i="6" s="1"/>
  <c r="E43" i="6"/>
  <c r="D2" i="5" l="1"/>
  <c r="E2" i="5"/>
  <c r="F2" i="5"/>
  <c r="D3" i="5"/>
  <c r="F3" i="5" s="1"/>
  <c r="E3" i="5"/>
  <c r="D4" i="5"/>
  <c r="F4" i="5" s="1"/>
  <c r="E4" i="5"/>
  <c r="D5" i="5"/>
  <c r="E5" i="5"/>
  <c r="F5" i="5"/>
  <c r="D6" i="5"/>
  <c r="E6" i="5"/>
  <c r="F6" i="5"/>
  <c r="D7" i="5"/>
  <c r="F7" i="5" s="1"/>
  <c r="E7" i="5"/>
  <c r="D8" i="5"/>
  <c r="F8" i="5" s="1"/>
  <c r="E8" i="5"/>
  <c r="D9" i="5"/>
  <c r="E9" i="5"/>
  <c r="F9" i="5"/>
  <c r="D10" i="5"/>
  <c r="E10" i="5"/>
  <c r="F10" i="5"/>
  <c r="D11" i="5"/>
  <c r="F11" i="5" s="1"/>
  <c r="E11" i="5"/>
  <c r="D12" i="5"/>
  <c r="F12" i="5" s="1"/>
  <c r="E12" i="5"/>
  <c r="D13" i="5"/>
  <c r="E13" i="5"/>
  <c r="F13" i="5"/>
  <c r="D14" i="5"/>
  <c r="E14" i="5"/>
  <c r="F14" i="5"/>
  <c r="D15" i="5"/>
  <c r="F15" i="5" s="1"/>
  <c r="E15" i="5"/>
  <c r="D16" i="5"/>
  <c r="F16" i="5" s="1"/>
  <c r="E16" i="5"/>
  <c r="D17" i="5"/>
  <c r="E17" i="5"/>
  <c r="F17" i="5"/>
  <c r="D18" i="5"/>
  <c r="E18" i="5"/>
  <c r="F18" i="5"/>
  <c r="D19" i="5"/>
  <c r="F19" i="5" s="1"/>
  <c r="E19" i="5"/>
  <c r="D20" i="5"/>
  <c r="F20" i="5" s="1"/>
  <c r="E20" i="5"/>
  <c r="D21" i="5"/>
  <c r="E21" i="5"/>
  <c r="F21" i="5"/>
  <c r="D22" i="5"/>
  <c r="E22" i="5"/>
  <c r="F22" i="5"/>
  <c r="D23" i="5"/>
  <c r="F23" i="5" s="1"/>
  <c r="E23" i="5"/>
  <c r="D24" i="5"/>
  <c r="F24" i="5" s="1"/>
  <c r="E24" i="5"/>
  <c r="D25" i="5"/>
  <c r="E25" i="5"/>
  <c r="F25" i="5"/>
  <c r="D26" i="5"/>
  <c r="E26" i="5"/>
  <c r="F26" i="5"/>
  <c r="D27" i="5"/>
  <c r="F27" i="5" s="1"/>
  <c r="E27" i="5"/>
  <c r="D28" i="5"/>
  <c r="F28" i="5" s="1"/>
  <c r="E28" i="5"/>
  <c r="D29" i="5"/>
  <c r="E29" i="5"/>
  <c r="F29" i="5"/>
  <c r="D30" i="5"/>
  <c r="E30" i="5"/>
  <c r="F30" i="5"/>
  <c r="D31" i="5"/>
  <c r="F31" i="5" s="1"/>
  <c r="E31" i="5"/>
  <c r="D32" i="5"/>
  <c r="F32" i="5" s="1"/>
  <c r="E32" i="5"/>
  <c r="D33" i="5"/>
  <c r="E33" i="5"/>
  <c r="F33" i="5"/>
  <c r="D34" i="5"/>
  <c r="E34" i="5"/>
  <c r="F34" i="5"/>
  <c r="D35" i="5"/>
  <c r="F35" i="5" s="1"/>
  <c r="E35" i="5"/>
  <c r="D36" i="5"/>
  <c r="F36" i="5" s="1"/>
  <c r="E36" i="5"/>
  <c r="D37" i="5"/>
  <c r="E37" i="5"/>
  <c r="F37" i="5"/>
  <c r="D38" i="5"/>
  <c r="E38" i="5"/>
  <c r="F38" i="5"/>
  <c r="D39" i="5"/>
  <c r="F39" i="5" s="1"/>
  <c r="E39" i="5"/>
  <c r="D40" i="5"/>
  <c r="F40" i="5" s="1"/>
  <c r="E40" i="5"/>
  <c r="D41" i="5"/>
  <c r="E41" i="5"/>
  <c r="F41" i="5"/>
  <c r="D42" i="5"/>
  <c r="E42" i="5"/>
  <c r="F42" i="5"/>
  <c r="D2" i="4" l="1"/>
  <c r="F2" i="4" s="1"/>
  <c r="E2" i="4"/>
  <c r="D3" i="4"/>
  <c r="F3" i="4" s="1"/>
  <c r="E3" i="4"/>
  <c r="D4" i="4"/>
  <c r="F4" i="4" s="1"/>
  <c r="E4" i="4"/>
  <c r="D5" i="4"/>
  <c r="E5" i="4"/>
  <c r="F5" i="4" s="1"/>
  <c r="D6" i="4"/>
  <c r="F6" i="4" s="1"/>
  <c r="E6" i="4"/>
  <c r="D7" i="4"/>
  <c r="F7" i="4" s="1"/>
  <c r="E7" i="4"/>
  <c r="D8" i="4"/>
  <c r="E8" i="4"/>
  <c r="F8" i="4"/>
  <c r="D9" i="4"/>
  <c r="E9" i="4"/>
  <c r="F9" i="4" s="1"/>
  <c r="D10" i="4"/>
  <c r="F10" i="4" s="1"/>
  <c r="E10" i="4"/>
  <c r="D11" i="4"/>
  <c r="F11" i="4" s="1"/>
  <c r="E11" i="4"/>
  <c r="D12" i="4"/>
  <c r="E12" i="4"/>
  <c r="F12" i="4"/>
  <c r="D13" i="4"/>
  <c r="E13" i="4"/>
  <c r="F13" i="4" s="1"/>
  <c r="D14" i="4"/>
  <c r="F14" i="4" s="1"/>
  <c r="E14" i="4"/>
  <c r="D15" i="4"/>
  <c r="F15" i="4" s="1"/>
  <c r="E15" i="4"/>
  <c r="D16" i="4"/>
  <c r="E16" i="4"/>
  <c r="F16" i="4"/>
  <c r="D17" i="4"/>
  <c r="E17" i="4"/>
  <c r="F17" i="4" s="1"/>
  <c r="D18" i="4"/>
  <c r="F18" i="4" s="1"/>
  <c r="E18" i="4"/>
  <c r="D19" i="4"/>
  <c r="F19" i="4" s="1"/>
  <c r="E19" i="4"/>
  <c r="D20" i="4"/>
  <c r="E20" i="4"/>
  <c r="F20" i="4"/>
  <c r="D21" i="4"/>
  <c r="E21" i="4"/>
  <c r="F21" i="4" s="1"/>
  <c r="D22" i="4"/>
  <c r="F22" i="4" s="1"/>
  <c r="E22" i="4"/>
  <c r="D23" i="4"/>
  <c r="F23" i="4" s="1"/>
  <c r="E23" i="4"/>
  <c r="D24" i="4"/>
  <c r="E24" i="4"/>
  <c r="F24" i="4"/>
  <c r="D25" i="4"/>
  <c r="E25" i="4"/>
  <c r="F25" i="4" s="1"/>
  <c r="D26" i="4"/>
  <c r="F26" i="4" s="1"/>
  <c r="E26" i="4"/>
  <c r="D27" i="4"/>
  <c r="F27" i="4" s="1"/>
  <c r="E27" i="4"/>
  <c r="D28" i="4"/>
  <c r="E28" i="4"/>
  <c r="F28" i="4"/>
  <c r="D29" i="4"/>
  <c r="E29" i="4"/>
  <c r="F29" i="4" s="1"/>
  <c r="D30" i="4"/>
  <c r="F30" i="4" s="1"/>
  <c r="E30" i="4"/>
  <c r="D31" i="4"/>
  <c r="F31" i="4" s="1"/>
  <c r="E31" i="4"/>
  <c r="D32" i="4"/>
  <c r="E32" i="4"/>
  <c r="F32" i="4"/>
  <c r="D33" i="4"/>
  <c r="E33" i="4"/>
  <c r="F33" i="4" s="1"/>
  <c r="D34" i="4"/>
  <c r="F34" i="4" s="1"/>
  <c r="E34" i="4"/>
  <c r="D35" i="4"/>
  <c r="F35" i="4" s="1"/>
  <c r="E35" i="4"/>
  <c r="D36" i="4"/>
  <c r="E36" i="4"/>
  <c r="F36" i="4"/>
  <c r="D37" i="4"/>
  <c r="E37" i="4"/>
  <c r="F37" i="4" s="1"/>
  <c r="D38" i="4"/>
  <c r="F38" i="4" s="1"/>
  <c r="E38" i="4"/>
  <c r="D39" i="4"/>
  <c r="F39" i="4" s="1"/>
  <c r="E39" i="4"/>
  <c r="D40" i="4"/>
  <c r="E40" i="4"/>
  <c r="F40" i="4"/>
  <c r="D41" i="4"/>
  <c r="E41" i="4"/>
  <c r="F41" i="4" s="1"/>
  <c r="D42" i="4"/>
  <c r="F42" i="4" s="1"/>
  <c r="E42" i="4"/>
</calcChain>
</file>

<file path=xl/sharedStrings.xml><?xml version="1.0" encoding="utf-8"?>
<sst xmlns="http://schemas.openxmlformats.org/spreadsheetml/2006/main" count="1696" uniqueCount="151">
  <si>
    <t>Player</t>
  </si>
  <si>
    <t>Team</t>
  </si>
  <si>
    <t>Total Points</t>
  </si>
  <si>
    <t>Total Darts</t>
  </si>
  <si>
    <t>RON</t>
  </si>
  <si>
    <t>CJ Ruscin</t>
  </si>
  <si>
    <t>VFW 1589 Warriors</t>
  </si>
  <si>
    <t>Jeff Headley</t>
  </si>
  <si>
    <t>Pop-A-Top</t>
  </si>
  <si>
    <t xml:space="preserve">Sam Powers </t>
  </si>
  <si>
    <t>Legion Post 174 Snipers</t>
  </si>
  <si>
    <t>Matt Nacarate</t>
  </si>
  <si>
    <t>Tom Gallegly</t>
  </si>
  <si>
    <t xml:space="preserve">Bob Fox </t>
  </si>
  <si>
    <t>Todd Wotring</t>
  </si>
  <si>
    <t>Pines Duffers</t>
  </si>
  <si>
    <t>Richie Thomas</t>
  </si>
  <si>
    <t>Luigi's Loose Change</t>
  </si>
  <si>
    <t>Shawn Cole</t>
  </si>
  <si>
    <t>Joe White</t>
  </si>
  <si>
    <t>VFW 1589 Dissapointers</t>
  </si>
  <si>
    <t>John Sinclair</t>
  </si>
  <si>
    <t>Beaver Galusky</t>
  </si>
  <si>
    <t>Thom Douglass</t>
  </si>
  <si>
    <t>Pat Nabors</t>
  </si>
  <si>
    <t>Jimmy Smith</t>
  </si>
  <si>
    <t>Richard Whisler</t>
  </si>
  <si>
    <t>Ryan Swaniger</t>
  </si>
  <si>
    <t>John Silcott</t>
  </si>
  <si>
    <t>Zach Barlow</t>
  </si>
  <si>
    <t>Doug Tennant</t>
  </si>
  <si>
    <t>Larry Jenkins</t>
  </si>
  <si>
    <t>Steve Stockett</t>
  </si>
  <si>
    <t>Teams</t>
  </si>
  <si>
    <t>Wins</t>
  </si>
  <si>
    <t>Lose</t>
  </si>
  <si>
    <t>Points</t>
  </si>
  <si>
    <t>LEGION POST 174 SNIPERS</t>
  </si>
  <si>
    <t xml:space="preserve">Season Best Game 501:  </t>
  </si>
  <si>
    <t>VFW 1589 WARRIORS</t>
  </si>
  <si>
    <t xml:space="preserve">High Average for Week:   </t>
  </si>
  <si>
    <t xml:space="preserve">High in 301 for the week: </t>
  </si>
  <si>
    <t>LUIGI'S LOOSE CHANGE</t>
  </si>
  <si>
    <t xml:space="preserve">High Out for the week: </t>
  </si>
  <si>
    <t>PINES' DUFFERS</t>
  </si>
  <si>
    <t xml:space="preserve">Season High In for 301:  </t>
  </si>
  <si>
    <t xml:space="preserve">Season High Out:    </t>
  </si>
  <si>
    <t>POP A TOP</t>
  </si>
  <si>
    <t>VFW 1589 DISSAPOINTERS</t>
  </si>
  <si>
    <t>SILVER SPUR</t>
  </si>
  <si>
    <t>Justin Smyth</t>
  </si>
  <si>
    <t>Gabbie Mellie</t>
  </si>
  <si>
    <t>Josh Jenkins</t>
  </si>
  <si>
    <t>Kevin Ruckle</t>
  </si>
  <si>
    <t xml:space="preserve">Silver Spur </t>
  </si>
  <si>
    <t>Barb Hardy</t>
  </si>
  <si>
    <t>Travis Ruckle</t>
  </si>
  <si>
    <t>Dan Estel</t>
  </si>
  <si>
    <t>April Spahr</t>
  </si>
  <si>
    <t>Rob Cicchino</t>
  </si>
  <si>
    <t>Purple Cow</t>
  </si>
  <si>
    <t>Alex Ruscin</t>
  </si>
  <si>
    <t>Week 1</t>
  </si>
  <si>
    <t>PURPLE COW</t>
  </si>
  <si>
    <t>120 Rob Cicchino</t>
  </si>
  <si>
    <t>18.33 Matt Nacarate</t>
  </si>
  <si>
    <t>95 Pat Nabors</t>
  </si>
  <si>
    <t>23 Rob Cicchino</t>
  </si>
  <si>
    <t>Rank</t>
  </si>
  <si>
    <t>Wks Played</t>
  </si>
  <si>
    <t>501 BP</t>
  </si>
  <si>
    <t xml:space="preserve">Total Bonus </t>
  </si>
  <si>
    <t>Total PPD</t>
  </si>
  <si>
    <t>Total MVP</t>
  </si>
  <si>
    <t>118 Richie Thomas/Jeff Headley</t>
  </si>
  <si>
    <t>106 Ryan Swaniger</t>
  </si>
  <si>
    <t>20.53 CJ Ruscin</t>
  </si>
  <si>
    <t>18 CJ Ruscin</t>
  </si>
  <si>
    <t>Week 2</t>
  </si>
  <si>
    <t>Robbie Davis</t>
  </si>
  <si>
    <t>Ken Goldsborough</t>
  </si>
  <si>
    <t>Seth Boyles</t>
  </si>
  <si>
    <t>Russ Reid</t>
  </si>
  <si>
    <t>Bryan Burch</t>
  </si>
  <si>
    <t>Payout</t>
  </si>
  <si>
    <t xml:space="preserve"> MVP Pts</t>
  </si>
  <si>
    <t>152 Joe White</t>
  </si>
  <si>
    <t>109 Alex Ruscin</t>
  </si>
  <si>
    <t xml:space="preserve">21.33 Matt Nacarate </t>
  </si>
  <si>
    <t>18 CJ Ruscin/ 18 Matt Nacarate</t>
  </si>
  <si>
    <t>Week 3</t>
  </si>
  <si>
    <t>Scott Williams</t>
  </si>
  <si>
    <t>Marshall Jenkins</t>
  </si>
  <si>
    <t>Doug Himes</t>
  </si>
  <si>
    <t>Allen Collins</t>
  </si>
  <si>
    <t>65 John Sinclair</t>
  </si>
  <si>
    <t>110 Barb Hardy</t>
  </si>
  <si>
    <t>20.31 Tom Gallegly</t>
  </si>
  <si>
    <t>Week 4</t>
  </si>
  <si>
    <t>127 Jeff Headley</t>
  </si>
  <si>
    <t>150 CJ Ruscin</t>
  </si>
  <si>
    <t>21.47 Jeff Headley</t>
  </si>
  <si>
    <t>18 CJ Ruscin/ 18 Matt Nacarate / 18 Bob Fox</t>
  </si>
  <si>
    <t>Week 5</t>
  </si>
  <si>
    <t>70 Ed Davis</t>
  </si>
  <si>
    <t>100 Jimmy Smith</t>
  </si>
  <si>
    <t>20.04 Richie Thomas</t>
  </si>
  <si>
    <t>18 CJ Ruscin/ 18 Matt Nacarate / 18 Bob Fox / Ed Davis</t>
  </si>
  <si>
    <t>Week 6</t>
  </si>
  <si>
    <t>Ed Davis</t>
  </si>
  <si>
    <t>110 Beaver Galusky</t>
  </si>
  <si>
    <t>Matt Nacarate / Sam Powers 105</t>
  </si>
  <si>
    <t>19.5 CJ Ruscin</t>
  </si>
  <si>
    <t>18 CJ Ruscin/ 18 Matt Nacarate / 18 Bob Fox / 18 Ed Davis</t>
  </si>
  <si>
    <t>Week 7</t>
  </si>
  <si>
    <t>54 Sam Powers</t>
  </si>
  <si>
    <t>112 Travis Ruckle</t>
  </si>
  <si>
    <t>22.10 Matt Nacarate</t>
  </si>
  <si>
    <t>Week 8</t>
  </si>
  <si>
    <t>Alex Rice</t>
  </si>
  <si>
    <t>Jeff Cramer</t>
  </si>
  <si>
    <t>116 Larry Jenkins</t>
  </si>
  <si>
    <t>108 Allen Collins</t>
  </si>
  <si>
    <t>19.03 CJ Ruscin</t>
  </si>
  <si>
    <t>Week 9</t>
  </si>
  <si>
    <t>101 CJ Ruscin</t>
  </si>
  <si>
    <t>110 Rob Cicchino</t>
  </si>
  <si>
    <t>22.51 CJ Ruscin</t>
  </si>
  <si>
    <t>18 CJ Ruscin (2)/ 18 Matt Nacarate / 18 Bob Fox / 18 Ed Davis</t>
  </si>
  <si>
    <t>Week 10</t>
  </si>
  <si>
    <t>94 Allen Collins</t>
  </si>
  <si>
    <t>112 Joe White</t>
  </si>
  <si>
    <t>19.67 CJ Ruscin</t>
  </si>
  <si>
    <t>16 Matt Nacarate</t>
  </si>
  <si>
    <t>Week 11</t>
  </si>
  <si>
    <t>Ashley Lester</t>
  </si>
  <si>
    <t>Jerry Shiflett</t>
  </si>
  <si>
    <t>103 Steve Stockett</t>
  </si>
  <si>
    <t>76 Doug Tennant</t>
  </si>
  <si>
    <t>21.24 Jeff Headley</t>
  </si>
  <si>
    <t>Week 12</t>
  </si>
  <si>
    <t>Kenny Zeigler</t>
  </si>
  <si>
    <t>75 Larry Jenkins</t>
  </si>
  <si>
    <t>92 Doug Tennant</t>
  </si>
  <si>
    <t>18.11 Tom Gallegly</t>
  </si>
  <si>
    <t>Week 13</t>
  </si>
  <si>
    <t>77 Joe White</t>
  </si>
  <si>
    <t>136 Shawn Cole</t>
  </si>
  <si>
    <t>21.13 CJ Ruscin</t>
  </si>
  <si>
    <t>Week 14</t>
  </si>
  <si>
    <t>Seth Tanner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</si>
</sst>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2" xfId="0" applyFont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Border="1"/>
    <xf numFmtId="0" fontId="1" fillId="0" borderId="2" xfId="0" applyNumberFormat="1" applyFont="1" applyBorder="1"/>
    <xf numFmtId="0" fontId="1" fillId="0" borderId="2" xfId="0" applyFont="1" applyBorder="1"/>
    <xf numFmtId="2" fontId="2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2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2" fontId="1" fillId="0" borderId="0" xfId="0" applyNumberFormat="1" applyFont="1" applyBorder="1"/>
    <xf numFmtId="0" fontId="2" fillId="0" borderId="0" xfId="0" applyFont="1" applyFill="1" applyBorder="1" applyProtection="1">
      <protection locked="0"/>
    </xf>
    <xf numFmtId="0" fontId="1" fillId="0" borderId="0" xfId="0" applyFont="1"/>
    <xf numFmtId="2" fontId="3" fillId="0" borderId="0" xfId="0" applyNumberFormat="1" applyFont="1" applyBorder="1"/>
    <xf numFmtId="0" fontId="5" fillId="4" borderId="4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5" fillId="0" borderId="0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Border="1"/>
    <xf numFmtId="0" fontId="5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/>
    <xf numFmtId="0" fontId="1" fillId="0" borderId="2" xfId="0" applyFont="1" applyFill="1" applyBorder="1" applyAlignment="1">
      <alignment horizontal="left"/>
    </xf>
    <xf numFmtId="0" fontId="2" fillId="0" borderId="0" xfId="0" applyFont="1" applyBorder="1"/>
    <xf numFmtId="0" fontId="4" fillId="0" borderId="0" xfId="0" applyFont="1" applyFill="1" applyBorder="1"/>
    <xf numFmtId="0" fontId="4" fillId="0" borderId="0" xfId="0" applyFont="1" applyFill="1"/>
    <xf numFmtId="0" fontId="11" fillId="2" borderId="1" xfId="0" applyFont="1" applyFill="1" applyBorder="1" applyAlignment="1">
      <alignment horizontal="left" textRotation="73"/>
    </xf>
    <xf numFmtId="0" fontId="11" fillId="2" borderId="1" xfId="0" applyFont="1" applyFill="1" applyBorder="1" applyAlignment="1">
      <alignment horizontal="center" textRotation="73"/>
    </xf>
    <xf numFmtId="0" fontId="11" fillId="2" borderId="1" xfId="0" applyFont="1" applyFill="1" applyBorder="1" applyAlignment="1">
      <alignment horizontal="center" textRotation="73" wrapText="1"/>
    </xf>
    <xf numFmtId="2" fontId="11" fillId="2" borderId="1" xfId="0" applyNumberFormat="1" applyFont="1" applyFill="1" applyBorder="1" applyAlignment="1">
      <alignment textRotation="73" wrapText="1"/>
    </xf>
    <xf numFmtId="0" fontId="4" fillId="3" borderId="3" xfId="0" applyFont="1" applyFill="1" applyBorder="1" applyAlignment="1" applyProtection="1">
      <alignment horizontal="center" vertical="center" textRotation="90" wrapText="1"/>
      <protection locked="0"/>
    </xf>
    <xf numFmtId="0" fontId="4" fillId="3" borderId="7" xfId="0" applyFont="1" applyFill="1" applyBorder="1" applyAlignment="1" applyProtection="1">
      <alignment horizontal="center" vertical="center" textRotation="90" wrapText="1"/>
      <protection locked="0"/>
    </xf>
    <xf numFmtId="0" fontId="4" fillId="3" borderId="8" xfId="0" applyFont="1" applyFill="1" applyBorder="1" applyAlignment="1" applyProtection="1">
      <alignment horizontal="center" vertical="center" textRotation="90" wrapText="1"/>
      <protection locked="0"/>
    </xf>
    <xf numFmtId="0" fontId="12" fillId="0" borderId="0" xfId="0" applyFont="1"/>
    <xf numFmtId="2" fontId="12" fillId="0" borderId="0" xfId="0" applyNumberFormat="1" applyFont="1" applyBorder="1"/>
    <xf numFmtId="0" fontId="13" fillId="0" borderId="0" xfId="0" applyFont="1" applyFill="1" applyBorder="1"/>
    <xf numFmtId="0" fontId="13" fillId="0" borderId="0" xfId="0" applyFont="1" applyFill="1"/>
    <xf numFmtId="0" fontId="13" fillId="0" borderId="0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 vertical="center" textRotation="90" wrapText="1"/>
      <protection locked="0"/>
    </xf>
    <xf numFmtId="0" fontId="12" fillId="0" borderId="0" xfId="0" applyFont="1" applyFill="1" applyBorder="1"/>
    <xf numFmtId="0" fontId="13" fillId="3" borderId="7" xfId="0" applyFont="1" applyFill="1" applyBorder="1" applyAlignment="1" applyProtection="1">
      <alignment horizontal="center" vertical="center" textRotation="90" wrapText="1"/>
      <protection locked="0"/>
    </xf>
    <xf numFmtId="0" fontId="13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Protection="1">
      <protection locked="0"/>
    </xf>
    <xf numFmtId="0" fontId="12" fillId="0" borderId="0" xfId="0" applyFont="1" applyBorder="1"/>
    <xf numFmtId="0" fontId="13" fillId="4" borderId="6" xfId="0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Protection="1">
      <protection locked="0"/>
    </xf>
    <xf numFmtId="0" fontId="13" fillId="3" borderId="3" xfId="0" applyFont="1" applyFill="1" applyBorder="1" applyAlignment="1" applyProtection="1">
      <alignment horizontal="center" vertical="center" textRotation="90" wrapText="1"/>
      <protection locked="0"/>
    </xf>
    <xf numFmtId="2" fontId="12" fillId="0" borderId="2" xfId="0" applyNumberFormat="1" applyFont="1" applyBorder="1"/>
    <xf numFmtId="164" fontId="12" fillId="0" borderId="2" xfId="0" applyNumberFormat="1" applyFont="1" applyBorder="1"/>
    <xf numFmtId="0" fontId="12" fillId="0" borderId="2" xfId="0" applyFont="1" applyBorder="1" applyAlignment="1">
      <alignment horizontal="center"/>
    </xf>
    <xf numFmtId="0" fontId="12" fillId="0" borderId="2" xfId="0" applyNumberFormat="1" applyFont="1" applyBorder="1"/>
    <xf numFmtId="0" fontId="12" fillId="0" borderId="2" xfId="0" applyFont="1" applyBorder="1"/>
    <xf numFmtId="2" fontId="13" fillId="0" borderId="2" xfId="0" applyNumberFormat="1" applyFont="1" applyBorder="1" applyAlignment="1">
      <alignment horizontal="right"/>
    </xf>
    <xf numFmtId="0" fontId="13" fillId="0" borderId="2" xfId="0" applyFont="1" applyBorder="1"/>
    <xf numFmtId="0" fontId="13" fillId="0" borderId="2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/>
    <xf numFmtId="0" fontId="12" fillId="0" borderId="2" xfId="0" applyFont="1" applyFill="1" applyBorder="1" applyAlignment="1">
      <alignment horizontal="left"/>
    </xf>
    <xf numFmtId="164" fontId="12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2" fontId="13" fillId="2" borderId="1" xfId="0" applyNumberFormat="1" applyFont="1" applyFill="1" applyBorder="1" applyAlignment="1">
      <alignment textRotation="73" wrapText="1"/>
    </xf>
    <xf numFmtId="0" fontId="13" fillId="2" borderId="1" xfId="0" applyFont="1" applyFill="1" applyBorder="1" applyAlignment="1">
      <alignment horizontal="center" textRotation="73" wrapText="1"/>
    </xf>
    <xf numFmtId="0" fontId="13" fillId="2" borderId="1" xfId="0" applyFont="1" applyFill="1" applyBorder="1" applyAlignment="1">
      <alignment horizontal="center" textRotation="73"/>
    </xf>
    <xf numFmtId="0" fontId="13" fillId="2" borderId="1" xfId="0" applyFont="1" applyFill="1" applyBorder="1" applyAlignment="1">
      <alignment horizontal="left" textRotation="73"/>
    </xf>
    <xf numFmtId="0" fontId="13" fillId="0" borderId="0" xfId="0" applyFont="1" applyBorder="1"/>
    <xf numFmtId="0" fontId="3" fillId="0" borderId="0" xfId="0" applyFont="1"/>
    <xf numFmtId="0" fontId="15" fillId="0" borderId="0" xfId="0" applyFont="1"/>
    <xf numFmtId="0" fontId="16" fillId="0" borderId="0" xfId="0" applyFont="1"/>
    <xf numFmtId="0" fontId="16" fillId="3" borderId="8" xfId="0" applyFont="1" applyFill="1" applyBorder="1" applyAlignment="1">
      <alignment horizontal="center" vertical="center" textRotation="90" wrapText="1"/>
    </xf>
    <xf numFmtId="0" fontId="16" fillId="3" borderId="7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/>
    <xf numFmtId="0" fontId="17" fillId="0" borderId="0" xfId="0" applyFont="1"/>
    <xf numFmtId="0" fontId="16" fillId="4" borderId="6" xfId="0" applyFont="1" applyFill="1" applyBorder="1"/>
    <xf numFmtId="0" fontId="16" fillId="4" borderId="5" xfId="0" applyFont="1" applyFill="1" applyBorder="1"/>
    <xf numFmtId="0" fontId="16" fillId="4" borderId="4" xfId="0" applyFont="1" applyFill="1" applyBorder="1"/>
    <xf numFmtId="0" fontId="16" fillId="3" borderId="3" xfId="0" applyFont="1" applyFill="1" applyBorder="1" applyAlignment="1">
      <alignment horizontal="center" vertical="center" textRotation="90" wrapText="1"/>
    </xf>
    <xf numFmtId="0" fontId="15" fillId="0" borderId="2" xfId="0" applyFont="1" applyBorder="1"/>
    <xf numFmtId="2" fontId="16" fillId="0" borderId="2" xfId="0" applyNumberFormat="1" applyFont="1" applyBorder="1"/>
    <xf numFmtId="0" fontId="16" fillId="0" borderId="2" xfId="0" applyFont="1" applyBorder="1"/>
    <xf numFmtId="0" fontId="16" fillId="0" borderId="0" xfId="0" applyFont="1" applyBorder="1"/>
    <xf numFmtId="0" fontId="16" fillId="4" borderId="1" xfId="0" applyFont="1" applyFill="1" applyBorder="1" applyAlignment="1">
      <alignment textRotation="73" wrapText="1"/>
    </xf>
    <xf numFmtId="0" fontId="16" fillId="4" borderId="1" xfId="0" applyFont="1" applyFill="1" applyBorder="1" applyAlignment="1">
      <alignment textRotation="73"/>
    </xf>
    <xf numFmtId="0" fontId="18" fillId="0" borderId="0" xfId="0" applyFont="1"/>
    <xf numFmtId="0" fontId="19" fillId="0" borderId="0" xfId="0" applyFont="1"/>
    <xf numFmtId="0" fontId="19" fillId="3" borderId="7" xfId="0" applyFont="1" applyFill="1" applyBorder="1" applyAlignment="1">
      <alignment horizontal="center" textRotation="90" wrapText="1"/>
    </xf>
    <xf numFmtId="0" fontId="20" fillId="0" borderId="0" xfId="0" applyFont="1" applyAlignment="1"/>
    <xf numFmtId="0" fontId="20" fillId="0" borderId="0" xfId="0" applyFont="1"/>
    <xf numFmtId="0" fontId="19" fillId="4" borderId="6" xfId="0" applyFont="1" applyFill="1" applyBorder="1"/>
    <xf numFmtId="0" fontId="19" fillId="4" borderId="5" xfId="0" applyFont="1" applyFill="1" applyBorder="1"/>
    <xf numFmtId="0" fontId="19" fillId="4" borderId="4" xfId="0" applyFont="1" applyFill="1" applyBorder="1"/>
    <xf numFmtId="0" fontId="19" fillId="3" borderId="3" xfId="0" applyFont="1" applyFill="1" applyBorder="1" applyAlignment="1">
      <alignment horizontal="center" textRotation="90" wrapText="1"/>
    </xf>
    <xf numFmtId="0" fontId="18" fillId="0" borderId="2" xfId="0" applyFont="1" applyBorder="1"/>
    <xf numFmtId="2" fontId="19" fillId="0" borderId="2" xfId="0" applyNumberFormat="1" applyFont="1" applyBorder="1"/>
    <xf numFmtId="0" fontId="19" fillId="0" borderId="2" xfId="0" applyFont="1" applyBorder="1"/>
    <xf numFmtId="0" fontId="19" fillId="4" borderId="1" xfId="0" applyFont="1" applyFill="1" applyBorder="1" applyAlignment="1">
      <alignment textRotation="73" wrapText="1"/>
    </xf>
    <xf numFmtId="0" fontId="19" fillId="4" borderId="1" xfId="0" applyFont="1" applyFill="1" applyBorder="1" applyAlignment="1">
      <alignment textRotation="73"/>
    </xf>
    <xf numFmtId="165" fontId="18" fillId="0" borderId="2" xfId="0" applyNumberFormat="1" applyFont="1" applyBorder="1"/>
    <xf numFmtId="0" fontId="19" fillId="3" borderId="2" xfId="0" applyFont="1" applyFill="1" applyBorder="1" applyAlignment="1">
      <alignment horizontal="center" vertical="center" textRotation="90" wrapText="1"/>
    </xf>
    <xf numFmtId="0" fontId="20" fillId="0" borderId="0" xfId="0" applyFont="1"/>
    <xf numFmtId="0" fontId="19" fillId="4" borderId="9" xfId="0" applyFont="1" applyFill="1" applyBorder="1"/>
    <xf numFmtId="0" fontId="18" fillId="0" borderId="0" xfId="0" applyFont="1" applyBorder="1"/>
    <xf numFmtId="0" fontId="19" fillId="3" borderId="8" xfId="0" applyFont="1" applyFill="1" applyBorder="1" applyAlignment="1">
      <alignment horizontal="center" vertical="center" textRotation="90" wrapText="1"/>
    </xf>
    <xf numFmtId="0" fontId="19" fillId="3" borderId="7" xfId="0" applyFont="1" applyFill="1" applyBorder="1" applyAlignment="1">
      <alignment horizontal="center" vertical="center" textRotation="90" wrapText="1"/>
    </xf>
    <xf numFmtId="0" fontId="19" fillId="3" borderId="3" xfId="0" applyFont="1" applyFill="1" applyBorder="1" applyAlignment="1">
      <alignment horizontal="center" vertical="center" textRotation="90" wrapText="1"/>
    </xf>
    <xf numFmtId="0" fontId="19" fillId="0" borderId="0" xfId="0" applyFont="1" applyBorder="1"/>
    <xf numFmtId="0" fontId="21" fillId="3" borderId="7" xfId="0" applyFont="1" applyFill="1" applyBorder="1" applyAlignment="1">
      <alignment horizontal="center" vertical="center" textRotation="90" wrapText="1"/>
    </xf>
    <xf numFmtId="0" fontId="21" fillId="3" borderId="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80" workbookViewId="0">
      <selection activeCell="P35" sqref="P33:U35"/>
    </sheetView>
  </sheetViews>
  <sheetFormatPr defaultRowHeight="15" x14ac:dyDescent="0.25"/>
  <cols>
    <col min="1" max="1" width="4.42578125" bestFit="1" customWidth="1"/>
    <col min="2" max="2" width="18" bestFit="1" customWidth="1"/>
    <col min="3" max="3" width="35.28515625" bestFit="1" customWidth="1"/>
    <col min="4" max="4" width="7.7109375" bestFit="1" customWidth="1"/>
    <col min="5" max="5" width="6.42578125" bestFit="1" customWidth="1"/>
    <col min="6" max="6" width="7.5703125" bestFit="1" customWidth="1"/>
    <col min="7" max="7" width="4.42578125" bestFit="1" customWidth="1"/>
    <col min="8" max="8" width="27.140625" bestFit="1" customWidth="1"/>
    <col min="9" max="9" width="32.85546875" bestFit="1" customWidth="1"/>
    <col min="10" max="11" width="4.42578125" bestFit="1" customWidth="1"/>
    <col min="12" max="12" width="7.5703125" bestFit="1" customWidth="1"/>
    <col min="13" max="13" width="7" bestFit="1" customWidth="1"/>
  </cols>
  <sheetData>
    <row r="1" spans="1:13" ht="46.5" customHeight="1" x14ac:dyDescent="0.25">
      <c r="A1" s="32" t="s">
        <v>68</v>
      </c>
      <c r="B1" s="33" t="s">
        <v>0</v>
      </c>
      <c r="C1" s="33" t="s">
        <v>1</v>
      </c>
      <c r="D1" s="33" t="s">
        <v>2</v>
      </c>
      <c r="E1" s="33" t="s">
        <v>3</v>
      </c>
      <c r="F1" s="34" t="s">
        <v>72</v>
      </c>
      <c r="G1" s="33" t="s">
        <v>69</v>
      </c>
      <c r="H1" s="33" t="s">
        <v>70</v>
      </c>
      <c r="I1" s="33">
        <v>180</v>
      </c>
      <c r="J1" s="33">
        <v>171</v>
      </c>
      <c r="K1" s="33" t="s">
        <v>4</v>
      </c>
      <c r="L1" s="34" t="s">
        <v>73</v>
      </c>
      <c r="M1" s="35" t="s">
        <v>71</v>
      </c>
    </row>
    <row r="2" spans="1:13" ht="15.75" x14ac:dyDescent="0.25">
      <c r="A2" s="1">
        <v>1</v>
      </c>
      <c r="B2" s="3" t="s">
        <v>11</v>
      </c>
      <c r="C2" s="3" t="s">
        <v>6</v>
      </c>
      <c r="D2" s="4">
        <v>1503</v>
      </c>
      <c r="E2" s="5">
        <v>82</v>
      </c>
      <c r="F2" s="6">
        <v>18.329268292682926</v>
      </c>
      <c r="G2" s="5">
        <v>1</v>
      </c>
      <c r="H2" s="4">
        <v>1</v>
      </c>
      <c r="I2" s="7"/>
      <c r="J2" s="7"/>
      <c r="K2" s="7"/>
      <c r="L2" s="8">
        <v>4</v>
      </c>
      <c r="M2" s="9">
        <v>5</v>
      </c>
    </row>
    <row r="3" spans="1:13" ht="15.75" x14ac:dyDescent="0.25">
      <c r="A3" s="1">
        <v>2</v>
      </c>
      <c r="B3" s="2" t="s">
        <v>59</v>
      </c>
      <c r="C3" s="2" t="s">
        <v>15</v>
      </c>
      <c r="D3" s="5">
        <v>1503</v>
      </c>
      <c r="E3" s="5">
        <v>83</v>
      </c>
      <c r="F3" s="9">
        <v>18.108433734939759</v>
      </c>
      <c r="G3" s="5">
        <v>1</v>
      </c>
      <c r="H3" s="5">
        <v>1</v>
      </c>
      <c r="I3" s="5"/>
      <c r="J3" s="5"/>
      <c r="K3" s="5"/>
      <c r="L3" s="5">
        <v>4</v>
      </c>
      <c r="M3" s="9">
        <v>5</v>
      </c>
    </row>
    <row r="4" spans="1:13" ht="15.75" x14ac:dyDescent="0.25">
      <c r="A4" s="1">
        <v>3</v>
      </c>
      <c r="B4" s="3" t="s">
        <v>9</v>
      </c>
      <c r="C4" s="3" t="s">
        <v>10</v>
      </c>
      <c r="D4" s="4">
        <v>1503</v>
      </c>
      <c r="E4" s="5">
        <v>86</v>
      </c>
      <c r="F4" s="6">
        <v>17.476744186046513</v>
      </c>
      <c r="G4" s="5">
        <v>1</v>
      </c>
      <c r="H4" s="4">
        <v>1</v>
      </c>
      <c r="I4" s="7"/>
      <c r="J4" s="7"/>
      <c r="K4" s="7"/>
      <c r="L4" s="10">
        <v>4.5</v>
      </c>
      <c r="M4" s="9"/>
    </row>
    <row r="5" spans="1:13" ht="15.75" x14ac:dyDescent="0.25">
      <c r="A5" s="1">
        <v>4</v>
      </c>
      <c r="B5" s="3" t="s">
        <v>31</v>
      </c>
      <c r="C5" s="3" t="s">
        <v>60</v>
      </c>
      <c r="D5" s="4">
        <v>1490</v>
      </c>
      <c r="E5" s="5">
        <v>87</v>
      </c>
      <c r="F5" s="6">
        <v>17.126436781609197</v>
      </c>
      <c r="G5" s="5">
        <v>1</v>
      </c>
      <c r="H5" s="4">
        <v>1</v>
      </c>
      <c r="I5" s="7"/>
      <c r="J5" s="7"/>
      <c r="K5" s="7"/>
      <c r="L5" s="10">
        <v>5</v>
      </c>
      <c r="M5" s="9"/>
    </row>
    <row r="6" spans="1:13" ht="15.75" x14ac:dyDescent="0.25">
      <c r="A6" s="1">
        <v>5</v>
      </c>
      <c r="B6" s="3" t="s">
        <v>16</v>
      </c>
      <c r="C6" s="3" t="s">
        <v>17</v>
      </c>
      <c r="D6" s="4">
        <v>1471</v>
      </c>
      <c r="E6" s="5">
        <v>89</v>
      </c>
      <c r="F6" s="6">
        <v>16.528089887640448</v>
      </c>
      <c r="G6" s="5">
        <v>1</v>
      </c>
      <c r="H6" s="4">
        <v>0</v>
      </c>
      <c r="I6" s="7"/>
      <c r="J6" s="7"/>
      <c r="K6" s="7"/>
      <c r="L6" s="10">
        <v>2.5</v>
      </c>
      <c r="M6" s="9"/>
    </row>
    <row r="7" spans="1:13" ht="15.75" x14ac:dyDescent="0.25">
      <c r="A7" s="1">
        <v>6</v>
      </c>
      <c r="B7" s="2" t="s">
        <v>5</v>
      </c>
      <c r="C7" s="3" t="s">
        <v>6</v>
      </c>
      <c r="D7" s="4">
        <v>1487</v>
      </c>
      <c r="E7" s="5">
        <v>91</v>
      </c>
      <c r="F7" s="6">
        <v>16.340659340659339</v>
      </c>
      <c r="G7" s="5">
        <v>1</v>
      </c>
      <c r="H7" s="4">
        <v>1</v>
      </c>
      <c r="I7" s="7"/>
      <c r="J7" s="7"/>
      <c r="K7" s="7"/>
      <c r="L7" s="8">
        <v>3.5</v>
      </c>
      <c r="M7" s="9"/>
    </row>
    <row r="8" spans="1:13" ht="15.75" x14ac:dyDescent="0.25">
      <c r="A8" s="1">
        <v>7</v>
      </c>
      <c r="B8" s="5" t="s">
        <v>24</v>
      </c>
      <c r="C8" s="3" t="s">
        <v>15</v>
      </c>
      <c r="D8" s="4">
        <v>1328</v>
      </c>
      <c r="E8" s="5">
        <v>83</v>
      </c>
      <c r="F8" s="6">
        <v>16</v>
      </c>
      <c r="G8" s="5">
        <v>1</v>
      </c>
      <c r="H8" s="4">
        <v>0</v>
      </c>
      <c r="I8" s="7"/>
      <c r="J8" s="7"/>
      <c r="K8" s="7"/>
      <c r="L8" s="8">
        <v>1</v>
      </c>
      <c r="M8" s="9">
        <v>5</v>
      </c>
    </row>
    <row r="9" spans="1:13" ht="15.75" x14ac:dyDescent="0.25">
      <c r="A9" s="1">
        <v>8</v>
      </c>
      <c r="B9" s="5" t="s">
        <v>21</v>
      </c>
      <c r="C9" s="3" t="s">
        <v>17</v>
      </c>
      <c r="D9" s="4">
        <v>1212</v>
      </c>
      <c r="E9" s="5">
        <v>78</v>
      </c>
      <c r="F9" s="6">
        <v>15.538461538461538</v>
      </c>
      <c r="G9" s="5">
        <v>1</v>
      </c>
      <c r="H9" s="4">
        <v>0</v>
      </c>
      <c r="I9" s="7"/>
      <c r="J9" s="7"/>
      <c r="K9" s="7"/>
      <c r="L9" s="10">
        <v>2</v>
      </c>
      <c r="M9" s="9"/>
    </row>
    <row r="10" spans="1:13" ht="15.75" x14ac:dyDescent="0.25">
      <c r="A10" s="1">
        <v>9</v>
      </c>
      <c r="B10" s="3" t="s">
        <v>32</v>
      </c>
      <c r="C10" s="3" t="s">
        <v>60</v>
      </c>
      <c r="D10" s="4">
        <v>1274</v>
      </c>
      <c r="E10" s="5">
        <v>84</v>
      </c>
      <c r="F10" s="6">
        <v>15.166666666666666</v>
      </c>
      <c r="G10" s="5">
        <v>1</v>
      </c>
      <c r="H10" s="4">
        <v>0</v>
      </c>
      <c r="I10" s="7"/>
      <c r="J10" s="7"/>
      <c r="K10" s="7"/>
      <c r="L10" s="10">
        <v>2.5</v>
      </c>
      <c r="M10" s="9"/>
    </row>
    <row r="11" spans="1:13" ht="15.75" x14ac:dyDescent="0.25">
      <c r="A11" s="1">
        <v>10</v>
      </c>
      <c r="B11" s="3" t="s">
        <v>53</v>
      </c>
      <c r="C11" s="3" t="s">
        <v>54</v>
      </c>
      <c r="D11" s="4">
        <v>1317</v>
      </c>
      <c r="E11" s="5">
        <v>87</v>
      </c>
      <c r="F11" s="6">
        <v>15.137931034482758</v>
      </c>
      <c r="G11" s="5">
        <v>1</v>
      </c>
      <c r="H11" s="4">
        <v>0</v>
      </c>
      <c r="I11" s="7"/>
      <c r="J11" s="7"/>
      <c r="K11" s="7"/>
      <c r="L11" s="8">
        <v>1.5</v>
      </c>
      <c r="M11" s="9"/>
    </row>
    <row r="12" spans="1:13" ht="15.75" x14ac:dyDescent="0.25">
      <c r="A12" s="1">
        <v>11</v>
      </c>
      <c r="B12" s="3" t="s">
        <v>61</v>
      </c>
      <c r="C12" s="3" t="s">
        <v>6</v>
      </c>
      <c r="D12" s="4">
        <v>1463</v>
      </c>
      <c r="E12" s="5">
        <v>100</v>
      </c>
      <c r="F12" s="6">
        <v>14.63</v>
      </c>
      <c r="G12" s="5">
        <v>1</v>
      </c>
      <c r="H12" s="4">
        <v>1</v>
      </c>
      <c r="I12" s="7"/>
      <c r="J12" s="7"/>
      <c r="K12" s="7"/>
      <c r="L12" s="8">
        <v>3</v>
      </c>
      <c r="M12" s="9"/>
    </row>
    <row r="13" spans="1:13" ht="15.75" x14ac:dyDescent="0.25">
      <c r="A13" s="1">
        <v>12</v>
      </c>
      <c r="B13" s="3" t="s">
        <v>12</v>
      </c>
      <c r="C13" s="3" t="s">
        <v>60</v>
      </c>
      <c r="D13" s="4">
        <v>1501</v>
      </c>
      <c r="E13" s="5">
        <v>104</v>
      </c>
      <c r="F13" s="6">
        <v>14.432692307692308</v>
      </c>
      <c r="G13" s="5">
        <v>1</v>
      </c>
      <c r="H13" s="4">
        <v>1</v>
      </c>
      <c r="I13" s="7"/>
      <c r="J13" s="7"/>
      <c r="K13" s="7"/>
      <c r="L13" s="8">
        <v>4.5</v>
      </c>
      <c r="M13" s="9"/>
    </row>
    <row r="14" spans="1:13" ht="15.75" x14ac:dyDescent="0.25">
      <c r="A14" s="1">
        <v>13</v>
      </c>
      <c r="B14" s="3" t="s">
        <v>56</v>
      </c>
      <c r="C14" s="3" t="s">
        <v>54</v>
      </c>
      <c r="D14" s="4">
        <v>1441</v>
      </c>
      <c r="E14" s="5">
        <v>103</v>
      </c>
      <c r="F14" s="6">
        <v>13.990291262135923</v>
      </c>
      <c r="G14" s="5">
        <v>1</v>
      </c>
      <c r="H14" s="4">
        <v>0</v>
      </c>
      <c r="I14" s="7"/>
      <c r="J14" s="7"/>
      <c r="K14" s="7"/>
      <c r="L14" s="8">
        <v>2</v>
      </c>
      <c r="M14" s="9"/>
    </row>
    <row r="15" spans="1:13" ht="15.75" x14ac:dyDescent="0.25">
      <c r="A15" s="1">
        <v>14</v>
      </c>
      <c r="B15" s="2" t="s">
        <v>29</v>
      </c>
      <c r="C15" s="3" t="s">
        <v>17</v>
      </c>
      <c r="D15" s="4">
        <v>1438</v>
      </c>
      <c r="E15" s="5">
        <v>103</v>
      </c>
      <c r="F15" s="6">
        <v>13.961165048543689</v>
      </c>
      <c r="G15" s="5">
        <v>1</v>
      </c>
      <c r="H15" s="4">
        <v>0</v>
      </c>
      <c r="I15" s="7"/>
      <c r="J15" s="7"/>
      <c r="K15" s="7"/>
      <c r="L15" s="10">
        <v>2.5</v>
      </c>
      <c r="M15" s="9"/>
    </row>
    <row r="16" spans="1:13" ht="15.75" x14ac:dyDescent="0.25">
      <c r="A16" s="1">
        <v>15</v>
      </c>
      <c r="B16" s="3" t="s">
        <v>13</v>
      </c>
      <c r="C16" s="3" t="s">
        <v>8</v>
      </c>
      <c r="D16" s="4">
        <v>1503</v>
      </c>
      <c r="E16" s="5">
        <v>108</v>
      </c>
      <c r="F16" s="6">
        <v>13.916666666666666</v>
      </c>
      <c r="G16" s="5">
        <v>1</v>
      </c>
      <c r="H16" s="4">
        <v>1</v>
      </c>
      <c r="I16" s="7"/>
      <c r="J16" s="7"/>
      <c r="K16" s="7"/>
      <c r="L16" s="10">
        <v>5</v>
      </c>
      <c r="M16" s="9"/>
    </row>
    <row r="17" spans="1:13" ht="15.75" x14ac:dyDescent="0.25">
      <c r="A17" s="1">
        <v>16</v>
      </c>
      <c r="B17" s="3" t="s">
        <v>7</v>
      </c>
      <c r="C17" s="3" t="s">
        <v>8</v>
      </c>
      <c r="D17" s="4">
        <v>1495</v>
      </c>
      <c r="E17" s="5">
        <v>108</v>
      </c>
      <c r="F17" s="6">
        <v>13.842592592592593</v>
      </c>
      <c r="G17" s="5">
        <v>1</v>
      </c>
      <c r="H17" s="4">
        <v>0</v>
      </c>
      <c r="I17" s="7"/>
      <c r="J17" s="7"/>
      <c r="K17" s="7"/>
      <c r="L17" s="10">
        <v>3</v>
      </c>
      <c r="M17" s="9"/>
    </row>
    <row r="18" spans="1:13" ht="15.75" x14ac:dyDescent="0.25">
      <c r="A18" s="1">
        <v>17</v>
      </c>
      <c r="B18" s="5" t="s">
        <v>25</v>
      </c>
      <c r="C18" s="3" t="s">
        <v>10</v>
      </c>
      <c r="D18" s="4">
        <v>1424</v>
      </c>
      <c r="E18" s="5">
        <v>104</v>
      </c>
      <c r="F18" s="6">
        <v>13.692307692307692</v>
      </c>
      <c r="G18" s="5">
        <v>1</v>
      </c>
      <c r="H18" s="4">
        <v>1</v>
      </c>
      <c r="I18" s="7"/>
      <c r="J18" s="7"/>
      <c r="K18" s="7"/>
      <c r="L18" s="10">
        <v>4.5</v>
      </c>
      <c r="M18" s="9"/>
    </row>
    <row r="19" spans="1:13" ht="15.75" x14ac:dyDescent="0.25">
      <c r="A19" s="1">
        <v>18</v>
      </c>
      <c r="B19" s="29" t="s">
        <v>14</v>
      </c>
      <c r="C19" s="3" t="s">
        <v>15</v>
      </c>
      <c r="D19" s="4">
        <v>1449</v>
      </c>
      <c r="E19" s="5">
        <v>108</v>
      </c>
      <c r="F19" s="6">
        <v>13.416666666666666</v>
      </c>
      <c r="G19" s="5">
        <v>1</v>
      </c>
      <c r="H19" s="4">
        <v>0</v>
      </c>
      <c r="I19" s="7"/>
      <c r="J19" s="7"/>
      <c r="K19" s="7"/>
      <c r="L19" s="10">
        <v>2</v>
      </c>
      <c r="M19" s="9"/>
    </row>
    <row r="20" spans="1:13" ht="15.75" x14ac:dyDescent="0.25">
      <c r="A20" s="1">
        <v>19</v>
      </c>
      <c r="B20" s="3" t="s">
        <v>50</v>
      </c>
      <c r="C20" s="3" t="s">
        <v>60</v>
      </c>
      <c r="D20" s="4">
        <v>1462</v>
      </c>
      <c r="E20" s="5">
        <v>111</v>
      </c>
      <c r="F20" s="6">
        <v>13.171171171171171</v>
      </c>
      <c r="G20" s="5">
        <v>1</v>
      </c>
      <c r="H20" s="4">
        <v>1</v>
      </c>
      <c r="I20" s="7"/>
      <c r="J20" s="7"/>
      <c r="K20" s="7"/>
      <c r="L20" s="8">
        <v>4</v>
      </c>
      <c r="M20" s="9"/>
    </row>
    <row r="21" spans="1:13" ht="15.75" x14ac:dyDescent="0.25">
      <c r="A21" s="1">
        <v>20</v>
      </c>
      <c r="B21" s="3" t="s">
        <v>23</v>
      </c>
      <c r="C21" s="3" t="s">
        <v>20</v>
      </c>
      <c r="D21" s="4">
        <v>1407</v>
      </c>
      <c r="E21" s="5">
        <v>108</v>
      </c>
      <c r="F21" s="6">
        <v>13.027777777777779</v>
      </c>
      <c r="G21" s="5">
        <v>1</v>
      </c>
      <c r="H21" s="4">
        <v>0</v>
      </c>
      <c r="I21" s="7"/>
      <c r="J21" s="7"/>
      <c r="K21" s="7"/>
      <c r="L21" s="10">
        <v>1</v>
      </c>
      <c r="M21" s="9"/>
    </row>
    <row r="22" spans="1:13" ht="15.75" x14ac:dyDescent="0.25">
      <c r="A22" s="1">
        <v>21</v>
      </c>
      <c r="B22" s="2" t="s">
        <v>57</v>
      </c>
      <c r="C22" s="2" t="s">
        <v>15</v>
      </c>
      <c r="D22" s="5">
        <v>1259</v>
      </c>
      <c r="E22" s="5">
        <v>102</v>
      </c>
      <c r="F22" s="5">
        <v>12.343137254901961</v>
      </c>
      <c r="G22" s="5">
        <v>1</v>
      </c>
      <c r="H22" s="5">
        <v>0</v>
      </c>
      <c r="I22" s="5"/>
      <c r="J22" s="5"/>
      <c r="K22" s="5"/>
      <c r="L22" s="5">
        <v>1</v>
      </c>
      <c r="M22" s="5"/>
    </row>
    <row r="23" spans="1:13" ht="15.75" x14ac:dyDescent="0.25">
      <c r="A23" s="1">
        <v>22</v>
      </c>
      <c r="B23" s="3" t="s">
        <v>19</v>
      </c>
      <c r="C23" s="3" t="s">
        <v>20</v>
      </c>
      <c r="D23" s="4">
        <v>1324</v>
      </c>
      <c r="E23" s="5">
        <v>110</v>
      </c>
      <c r="F23" s="6">
        <v>12.036363636363637</v>
      </c>
      <c r="G23" s="5">
        <v>1</v>
      </c>
      <c r="H23" s="4">
        <v>1</v>
      </c>
      <c r="I23" s="7"/>
      <c r="J23" s="7"/>
      <c r="K23" s="7"/>
      <c r="L23" s="10">
        <v>3</v>
      </c>
      <c r="M23" s="9"/>
    </row>
    <row r="24" spans="1:13" ht="15.75" x14ac:dyDescent="0.25">
      <c r="A24" s="1">
        <v>23</v>
      </c>
      <c r="B24" s="3" t="s">
        <v>22</v>
      </c>
      <c r="C24" s="3" t="s">
        <v>17</v>
      </c>
      <c r="D24" s="4">
        <v>1501</v>
      </c>
      <c r="E24" s="5">
        <v>126</v>
      </c>
      <c r="F24" s="6">
        <v>11.912698412698413</v>
      </c>
      <c r="G24" s="5">
        <v>1</v>
      </c>
      <c r="H24" s="4">
        <v>1</v>
      </c>
      <c r="I24" s="7"/>
      <c r="J24" s="7"/>
      <c r="K24" s="7"/>
      <c r="L24" s="10">
        <v>5</v>
      </c>
      <c r="M24" s="9"/>
    </row>
    <row r="25" spans="1:13" ht="15.75" x14ac:dyDescent="0.25">
      <c r="A25" s="1">
        <v>24</v>
      </c>
      <c r="B25" s="3" t="s">
        <v>18</v>
      </c>
      <c r="C25" s="3" t="s">
        <v>8</v>
      </c>
      <c r="D25" s="4">
        <v>1503</v>
      </c>
      <c r="E25" s="5">
        <v>127</v>
      </c>
      <c r="F25" s="6">
        <v>11.834645669291339</v>
      </c>
      <c r="G25" s="5">
        <v>1</v>
      </c>
      <c r="H25" s="4">
        <v>1</v>
      </c>
      <c r="I25" s="7"/>
      <c r="J25" s="7"/>
      <c r="K25" s="7"/>
      <c r="L25" s="8">
        <v>4.5</v>
      </c>
      <c r="M25" s="9"/>
    </row>
    <row r="26" spans="1:13" ht="15.75" x14ac:dyDescent="0.25">
      <c r="A26" s="1">
        <v>25</v>
      </c>
      <c r="B26" s="3" t="s">
        <v>28</v>
      </c>
      <c r="C26" s="3" t="s">
        <v>6</v>
      </c>
      <c r="D26" s="4">
        <v>1455</v>
      </c>
      <c r="E26" s="5">
        <v>123</v>
      </c>
      <c r="F26" s="6">
        <v>11.829268292682928</v>
      </c>
      <c r="G26" s="5">
        <v>1</v>
      </c>
      <c r="H26" s="4">
        <v>0</v>
      </c>
      <c r="I26" s="7">
        <v>1</v>
      </c>
      <c r="J26" s="7"/>
      <c r="K26" s="7"/>
      <c r="L26" s="8">
        <v>1.5</v>
      </c>
      <c r="M26" s="9">
        <v>10</v>
      </c>
    </row>
    <row r="27" spans="1:13" ht="15.75" x14ac:dyDescent="0.25">
      <c r="A27" s="1">
        <v>26</v>
      </c>
      <c r="B27" s="5" t="s">
        <v>27</v>
      </c>
      <c r="C27" s="3" t="s">
        <v>10</v>
      </c>
      <c r="D27" s="4">
        <v>1496</v>
      </c>
      <c r="E27" s="5">
        <v>127</v>
      </c>
      <c r="F27" s="6">
        <v>11.779527559055119</v>
      </c>
      <c r="G27" s="5">
        <v>1</v>
      </c>
      <c r="H27" s="4">
        <v>1</v>
      </c>
      <c r="I27" s="7"/>
      <c r="J27" s="7"/>
      <c r="K27" s="7"/>
      <c r="L27" s="10">
        <v>4.5</v>
      </c>
      <c r="M27" s="9"/>
    </row>
    <row r="28" spans="1:13" ht="15.75" x14ac:dyDescent="0.25">
      <c r="A28" s="1">
        <v>27</v>
      </c>
      <c r="B28" s="3" t="s">
        <v>51</v>
      </c>
      <c r="C28" s="3" t="s">
        <v>20</v>
      </c>
      <c r="D28" s="4">
        <v>1400</v>
      </c>
      <c r="E28" s="5">
        <v>126</v>
      </c>
      <c r="F28" s="6">
        <v>11.111111111111111</v>
      </c>
      <c r="G28" s="5">
        <v>1</v>
      </c>
      <c r="H28" s="4">
        <v>0</v>
      </c>
      <c r="I28" s="7"/>
      <c r="J28" s="7"/>
      <c r="K28" s="7"/>
      <c r="L28" s="8">
        <v>1.5</v>
      </c>
      <c r="M28" s="9"/>
    </row>
    <row r="29" spans="1:13" ht="15.75" x14ac:dyDescent="0.25">
      <c r="A29" s="1">
        <v>29</v>
      </c>
      <c r="B29" s="3" t="s">
        <v>52</v>
      </c>
      <c r="C29" s="3" t="s">
        <v>20</v>
      </c>
      <c r="D29" s="4">
        <v>1503</v>
      </c>
      <c r="E29" s="5">
        <v>136</v>
      </c>
      <c r="F29" s="6">
        <v>11.051470588235293</v>
      </c>
      <c r="G29" s="5">
        <v>1</v>
      </c>
      <c r="H29" s="4">
        <v>1</v>
      </c>
      <c r="I29" s="7"/>
      <c r="J29" s="7"/>
      <c r="K29" s="7"/>
      <c r="L29" s="8">
        <v>4.5</v>
      </c>
      <c r="M29" s="9"/>
    </row>
    <row r="30" spans="1:13" ht="15.75" x14ac:dyDescent="0.25">
      <c r="A30" s="1">
        <v>29</v>
      </c>
      <c r="B30" s="2" t="s">
        <v>58</v>
      </c>
      <c r="C30" s="2" t="s">
        <v>54</v>
      </c>
      <c r="D30" s="5">
        <v>1376</v>
      </c>
      <c r="E30" s="5">
        <v>128</v>
      </c>
      <c r="F30" s="9">
        <v>10.75</v>
      </c>
      <c r="G30" s="5">
        <v>1</v>
      </c>
      <c r="H30" s="5">
        <v>0</v>
      </c>
      <c r="I30" s="5"/>
      <c r="J30" s="5"/>
      <c r="K30" s="5"/>
      <c r="L30" s="5">
        <v>1.5</v>
      </c>
      <c r="M30" s="5"/>
    </row>
    <row r="31" spans="1:13" ht="15.75" x14ac:dyDescent="0.25">
      <c r="A31" s="28">
        <v>30</v>
      </c>
      <c r="B31" s="3" t="s">
        <v>55</v>
      </c>
      <c r="C31" s="3" t="s">
        <v>54</v>
      </c>
      <c r="D31" s="4">
        <v>1503</v>
      </c>
      <c r="E31" s="5">
        <v>145</v>
      </c>
      <c r="F31" s="6">
        <v>10.36551724137931</v>
      </c>
      <c r="G31" s="5">
        <v>1</v>
      </c>
      <c r="H31" s="4">
        <v>1</v>
      </c>
      <c r="I31" s="7"/>
      <c r="J31" s="7"/>
      <c r="K31" s="7"/>
      <c r="L31" s="8">
        <v>4</v>
      </c>
      <c r="M31" s="9"/>
    </row>
    <row r="32" spans="1:13" ht="15.75" x14ac:dyDescent="0.25">
      <c r="A32" s="28">
        <v>31</v>
      </c>
      <c r="B32" s="3" t="s">
        <v>30</v>
      </c>
      <c r="C32" s="3" t="s">
        <v>8</v>
      </c>
      <c r="D32" s="4">
        <v>1397</v>
      </c>
      <c r="E32" s="5">
        <v>135</v>
      </c>
      <c r="F32" s="6">
        <v>10.348148148148148</v>
      </c>
      <c r="G32" s="5">
        <v>1</v>
      </c>
      <c r="H32" s="4">
        <v>0</v>
      </c>
      <c r="I32" s="7"/>
      <c r="J32" s="7"/>
      <c r="K32" s="7"/>
      <c r="L32" s="8">
        <v>1.5</v>
      </c>
      <c r="M32" s="9"/>
    </row>
    <row r="33" spans="1:13" ht="15.75" x14ac:dyDescent="0.25">
      <c r="A33" s="28">
        <v>32</v>
      </c>
      <c r="B33" s="3" t="s">
        <v>26</v>
      </c>
      <c r="C33" s="3" t="s">
        <v>10</v>
      </c>
      <c r="D33" s="4">
        <v>1423</v>
      </c>
      <c r="E33" s="5">
        <v>150</v>
      </c>
      <c r="F33" s="6">
        <v>9.4866666666666664</v>
      </c>
      <c r="G33" s="5">
        <v>1</v>
      </c>
      <c r="H33" s="4">
        <v>0</v>
      </c>
      <c r="I33" s="7"/>
      <c r="J33" s="7"/>
      <c r="K33" s="7"/>
      <c r="L33" s="10">
        <v>1.5</v>
      </c>
      <c r="M33" s="9"/>
    </row>
    <row r="34" spans="1:13" ht="16.5" thickBot="1" x14ac:dyDescent="0.3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ht="16.5" thickBot="1" x14ac:dyDescent="0.3">
      <c r="A35" s="12"/>
      <c r="B35" s="36" t="s">
        <v>62</v>
      </c>
      <c r="C35" s="15" t="s">
        <v>33</v>
      </c>
      <c r="D35" s="16" t="s">
        <v>34</v>
      </c>
      <c r="E35" s="16" t="s">
        <v>35</v>
      </c>
      <c r="F35" s="16" t="s">
        <v>36</v>
      </c>
      <c r="G35" s="16"/>
      <c r="H35" s="16"/>
      <c r="I35" s="17"/>
      <c r="J35" s="18"/>
      <c r="K35" s="18"/>
      <c r="L35" s="13"/>
      <c r="M35" s="14"/>
    </row>
    <row r="36" spans="1:13" ht="15.75" x14ac:dyDescent="0.25">
      <c r="A36" s="12"/>
      <c r="B36" s="37"/>
      <c r="C36" s="19" t="s">
        <v>63</v>
      </c>
      <c r="D36" s="19">
        <v>1</v>
      </c>
      <c r="E36" s="26">
        <v>0</v>
      </c>
      <c r="F36" s="26">
        <v>16</v>
      </c>
      <c r="G36" s="20"/>
      <c r="H36" s="22" t="s">
        <v>38</v>
      </c>
      <c r="I36" s="23" t="s">
        <v>67</v>
      </c>
      <c r="J36" s="18"/>
      <c r="K36" s="24"/>
      <c r="L36" s="13"/>
      <c r="M36" s="14"/>
    </row>
    <row r="37" spans="1:13" ht="15.75" x14ac:dyDescent="0.25">
      <c r="A37" s="12"/>
      <c r="B37" s="37"/>
      <c r="C37" s="19" t="s">
        <v>37</v>
      </c>
      <c r="D37" s="19">
        <v>1</v>
      </c>
      <c r="E37" s="21">
        <v>0</v>
      </c>
      <c r="F37" s="21">
        <v>15</v>
      </c>
      <c r="G37" s="20"/>
      <c r="H37" s="22" t="s">
        <v>40</v>
      </c>
      <c r="I37" s="23" t="s">
        <v>65</v>
      </c>
      <c r="J37" s="18"/>
      <c r="K37" s="25"/>
      <c r="L37" s="13"/>
      <c r="M37" s="14"/>
    </row>
    <row r="38" spans="1:13" ht="15.75" x14ac:dyDescent="0.25">
      <c r="A38" s="12"/>
      <c r="B38" s="37"/>
      <c r="C38" s="19" t="s">
        <v>47</v>
      </c>
      <c r="D38" s="19">
        <v>1</v>
      </c>
      <c r="E38" s="20">
        <v>0</v>
      </c>
      <c r="F38" s="27">
        <v>14</v>
      </c>
      <c r="G38" s="20"/>
      <c r="H38" s="22" t="s">
        <v>41</v>
      </c>
      <c r="I38" s="23" t="s">
        <v>64</v>
      </c>
      <c r="J38" s="18"/>
      <c r="K38" s="24"/>
      <c r="L38" s="13"/>
      <c r="M38" s="14"/>
    </row>
    <row r="39" spans="1:13" ht="15.75" x14ac:dyDescent="0.25">
      <c r="A39" s="13"/>
      <c r="B39" s="37"/>
      <c r="C39" s="19" t="s">
        <v>39</v>
      </c>
      <c r="D39" s="19">
        <v>1</v>
      </c>
      <c r="E39" s="20">
        <v>0</v>
      </c>
      <c r="F39" s="21">
        <v>13</v>
      </c>
      <c r="G39" s="20"/>
      <c r="H39" s="22" t="s">
        <v>43</v>
      </c>
      <c r="I39" s="23" t="s">
        <v>66</v>
      </c>
      <c r="J39" s="18"/>
      <c r="K39" s="25"/>
      <c r="L39" s="13"/>
      <c r="M39" s="14"/>
    </row>
    <row r="40" spans="1:13" ht="15.75" x14ac:dyDescent="0.25">
      <c r="A40" s="13"/>
      <c r="B40" s="37"/>
      <c r="C40" s="19" t="s">
        <v>42</v>
      </c>
      <c r="D40" s="19">
        <v>0</v>
      </c>
      <c r="E40" s="20">
        <v>1</v>
      </c>
      <c r="F40" s="27">
        <v>12</v>
      </c>
      <c r="G40" s="20"/>
      <c r="H40" s="22" t="s">
        <v>45</v>
      </c>
      <c r="I40" s="23" t="s">
        <v>64</v>
      </c>
      <c r="J40" s="18"/>
      <c r="K40" s="25"/>
      <c r="L40" s="13"/>
      <c r="M40" s="14"/>
    </row>
    <row r="41" spans="1:13" ht="15.75" x14ac:dyDescent="0.25">
      <c r="A41" s="13"/>
      <c r="B41" s="37"/>
      <c r="C41" s="19" t="s">
        <v>48</v>
      </c>
      <c r="D41" s="19">
        <v>0</v>
      </c>
      <c r="E41" s="20">
        <v>1</v>
      </c>
      <c r="F41" s="27">
        <v>10</v>
      </c>
      <c r="G41" s="20"/>
      <c r="H41" s="22" t="s">
        <v>46</v>
      </c>
      <c r="I41" s="23" t="s">
        <v>66</v>
      </c>
      <c r="J41" s="18"/>
      <c r="K41" s="25"/>
      <c r="L41" s="13"/>
      <c r="M41" s="14"/>
    </row>
    <row r="42" spans="1:13" ht="15.75" x14ac:dyDescent="0.25">
      <c r="A42" s="13"/>
      <c r="B42" s="37"/>
      <c r="C42" s="19" t="s">
        <v>49</v>
      </c>
      <c r="D42" s="19">
        <v>0</v>
      </c>
      <c r="E42" s="31">
        <v>1</v>
      </c>
      <c r="F42" s="30">
        <v>9</v>
      </c>
      <c r="G42" s="20"/>
      <c r="H42" s="20"/>
      <c r="I42" s="20"/>
      <c r="J42" s="18"/>
      <c r="K42" s="18"/>
      <c r="L42" s="13"/>
      <c r="M42" s="14"/>
    </row>
    <row r="43" spans="1:13" ht="16.5" thickBot="1" x14ac:dyDescent="0.3">
      <c r="A43" s="13"/>
      <c r="B43" s="38"/>
      <c r="C43" s="19" t="s">
        <v>44</v>
      </c>
      <c r="D43" s="19">
        <v>0</v>
      </c>
      <c r="E43" s="31">
        <v>1</v>
      </c>
      <c r="F43" s="30">
        <v>8</v>
      </c>
      <c r="G43" s="20"/>
      <c r="H43" s="20"/>
      <c r="I43" s="20"/>
      <c r="J43" s="18"/>
      <c r="K43" s="18"/>
      <c r="L43" s="13"/>
      <c r="M43" s="11"/>
    </row>
    <row r="44" spans="1:13" x14ac:dyDescent="0.25">
      <c r="C44" s="20"/>
    </row>
  </sheetData>
  <sortState ref="C36:F43">
    <sortCondition descending="1" ref="F36:F43"/>
  </sortState>
  <mergeCells count="1">
    <mergeCell ref="B35:B43"/>
  </mergeCells>
  <pageMargins left="0.7" right="0.7" top="0.75" bottom="0.75" header="0.3" footer="0.3"/>
  <pageSetup paperSize="13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70.28515625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10.8554687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x14ac:dyDescent="0.3">
      <c r="A2" s="100">
        <v>1</v>
      </c>
      <c r="B2" s="102" t="s">
        <v>5</v>
      </c>
      <c r="C2" s="102" t="s">
        <v>6</v>
      </c>
      <c r="D2" s="100">
        <f>SUM(4345+1503+1501+1503+1482+1471+1503+1463)</f>
        <v>14771</v>
      </c>
      <c r="E2" s="100">
        <f>SUM(244+81+78+89+76+89+79+65)</f>
        <v>801</v>
      </c>
      <c r="F2" s="101">
        <f>SUM(D2/E2)</f>
        <v>18.440699126092383</v>
      </c>
      <c r="G2" s="100">
        <v>10</v>
      </c>
      <c r="H2" s="100">
        <v>8</v>
      </c>
      <c r="I2" s="100"/>
      <c r="J2" s="100"/>
      <c r="K2" s="100">
        <v>2</v>
      </c>
      <c r="L2" s="100">
        <v>41.5</v>
      </c>
      <c r="M2" s="105">
        <v>50</v>
      </c>
    </row>
    <row r="3" spans="1:13" ht="18.75" x14ac:dyDescent="0.3">
      <c r="A3" s="100">
        <v>2</v>
      </c>
      <c r="B3" s="102" t="s">
        <v>11</v>
      </c>
      <c r="C3" s="102" t="s">
        <v>6</v>
      </c>
      <c r="D3" s="100">
        <f>SUM(4499+1499+1491+1499+1385+1503+1503+1503)</f>
        <v>14882</v>
      </c>
      <c r="E3" s="100">
        <f>SUM(253+93+80+93+76+68+84+90)</f>
        <v>837</v>
      </c>
      <c r="F3" s="101">
        <f>SUM(D3/E3)</f>
        <v>17.780167264038234</v>
      </c>
      <c r="G3" s="100">
        <v>10</v>
      </c>
      <c r="H3" s="100">
        <v>9</v>
      </c>
      <c r="I3" s="100">
        <v>2</v>
      </c>
      <c r="J3" s="100"/>
      <c r="K3" s="100"/>
      <c r="L3" s="100">
        <v>46</v>
      </c>
      <c r="M3" s="105">
        <v>40</v>
      </c>
    </row>
    <row r="4" spans="1:13" ht="18.75" x14ac:dyDescent="0.3">
      <c r="A4" s="100">
        <v>3</v>
      </c>
      <c r="B4" s="102" t="s">
        <v>7</v>
      </c>
      <c r="C4" s="102" t="s">
        <v>8</v>
      </c>
      <c r="D4" s="100">
        <f>SUM(4260+1327+1503+1481+1486+1503+1276)</f>
        <v>12836</v>
      </c>
      <c r="E4" s="100">
        <f>SUM(258+90+70+75+111+88+72)</f>
        <v>764</v>
      </c>
      <c r="F4" s="101">
        <f>SUM(D4/E4)</f>
        <v>16.801047120418847</v>
      </c>
      <c r="G4" s="100">
        <v>9</v>
      </c>
      <c r="H4" s="100">
        <v>4</v>
      </c>
      <c r="I4" s="100"/>
      <c r="J4" s="100"/>
      <c r="K4" s="100"/>
      <c r="L4" s="100">
        <v>28</v>
      </c>
      <c r="M4" s="105">
        <v>15</v>
      </c>
    </row>
    <row r="5" spans="1:13" ht="18.75" x14ac:dyDescent="0.3">
      <c r="A5" s="100">
        <v>4</v>
      </c>
      <c r="B5" s="102" t="s">
        <v>16</v>
      </c>
      <c r="C5" s="102" t="s">
        <v>17</v>
      </c>
      <c r="D5" s="100">
        <f>SUM(4378+1497+1469+1463+1498+1425+1483+1455)</f>
        <v>14668</v>
      </c>
      <c r="E5" s="100">
        <f>SUM(265+97+103+73+101+83+92+106)</f>
        <v>920</v>
      </c>
      <c r="F5" s="101">
        <f>SUM(D5/E5)</f>
        <v>15.943478260869565</v>
      </c>
      <c r="G5" s="100">
        <v>10</v>
      </c>
      <c r="H5" s="100">
        <v>5</v>
      </c>
      <c r="I5" s="100">
        <v>1</v>
      </c>
      <c r="J5" s="100"/>
      <c r="K5" s="100"/>
      <c r="L5" s="100">
        <v>31.5</v>
      </c>
      <c r="M5" s="105">
        <v>20</v>
      </c>
    </row>
    <row r="6" spans="1:13" ht="18.75" x14ac:dyDescent="0.3">
      <c r="A6" s="100">
        <v>5</v>
      </c>
      <c r="B6" s="102" t="s">
        <v>120</v>
      </c>
      <c r="C6" s="102" t="s">
        <v>20</v>
      </c>
      <c r="D6" s="100">
        <v>1503</v>
      </c>
      <c r="E6" s="100">
        <v>95</v>
      </c>
      <c r="F6" s="101">
        <f>SUM(D6/E6)</f>
        <v>15.821052631578947</v>
      </c>
      <c r="G6" s="100">
        <v>1</v>
      </c>
      <c r="H6" s="100">
        <v>1</v>
      </c>
      <c r="I6" s="100"/>
      <c r="J6" s="100"/>
      <c r="K6" s="100"/>
      <c r="L6" s="100">
        <v>6</v>
      </c>
      <c r="M6" s="105"/>
    </row>
    <row r="7" spans="1:13" ht="18.75" x14ac:dyDescent="0.3">
      <c r="A7" s="100">
        <v>6</v>
      </c>
      <c r="B7" s="102" t="s">
        <v>12</v>
      </c>
      <c r="C7" s="102" t="s">
        <v>60</v>
      </c>
      <c r="D7" s="100">
        <f>SUM(2996+1503+1503+1500+1499+1372+1431)</f>
        <v>11804</v>
      </c>
      <c r="E7" s="100">
        <f>SUM(199+74+92+109+90+89+109)</f>
        <v>762</v>
      </c>
      <c r="F7" s="101">
        <f>SUM(D7/E7)</f>
        <v>15.490813648293964</v>
      </c>
      <c r="G7" s="100">
        <v>8</v>
      </c>
      <c r="H7" s="100">
        <v>6</v>
      </c>
      <c r="I7" s="100"/>
      <c r="J7" s="100">
        <v>1</v>
      </c>
      <c r="K7" s="100"/>
      <c r="L7" s="100">
        <v>33.5</v>
      </c>
      <c r="M7" s="105">
        <v>9</v>
      </c>
    </row>
    <row r="8" spans="1:13" ht="18.75" x14ac:dyDescent="0.3">
      <c r="A8" s="100">
        <v>7</v>
      </c>
      <c r="B8" s="102" t="s">
        <v>9</v>
      </c>
      <c r="C8" s="102" t="s">
        <v>10</v>
      </c>
      <c r="D8" s="100">
        <f>SUM(4453+1487+1387+1473+1501+1339+1473+1501)</f>
        <v>14614</v>
      </c>
      <c r="E8" s="100">
        <f>SUM(266+102+81+93+109+80+107+111)</f>
        <v>949</v>
      </c>
      <c r="F8" s="101">
        <f>SUM(D8/E8)</f>
        <v>15.39936775553214</v>
      </c>
      <c r="G8" s="100">
        <v>10</v>
      </c>
      <c r="H8" s="100">
        <v>7</v>
      </c>
      <c r="I8" s="100"/>
      <c r="J8" s="100"/>
      <c r="K8" s="100"/>
      <c r="L8" s="100">
        <v>35.5</v>
      </c>
      <c r="M8" s="105">
        <v>10</v>
      </c>
    </row>
    <row r="9" spans="1:13" ht="18.75" x14ac:dyDescent="0.3">
      <c r="A9" s="100">
        <v>8</v>
      </c>
      <c r="B9" s="102" t="s">
        <v>59</v>
      </c>
      <c r="C9" s="102" t="s">
        <v>15</v>
      </c>
      <c r="D9" s="100">
        <f>SUM(4240+943+1368+1499+1283+1375+1447+1496)</f>
        <v>13651</v>
      </c>
      <c r="E9" s="100">
        <f>SUM(261+66+73+96+92+85+108+110)</f>
        <v>891</v>
      </c>
      <c r="F9" s="101">
        <f>SUM(D9/E9)</f>
        <v>15.320987654320987</v>
      </c>
      <c r="G9" s="100">
        <v>10</v>
      </c>
      <c r="H9" s="100">
        <v>3</v>
      </c>
      <c r="I9" s="100">
        <v>1</v>
      </c>
      <c r="J9" s="100"/>
      <c r="K9" s="100"/>
      <c r="L9" s="100">
        <v>24</v>
      </c>
      <c r="M9" s="105">
        <v>20</v>
      </c>
    </row>
    <row r="10" spans="1:13" ht="18.75" x14ac:dyDescent="0.3">
      <c r="A10" s="100">
        <v>9</v>
      </c>
      <c r="B10" s="102" t="s">
        <v>109</v>
      </c>
      <c r="C10" s="102" t="s">
        <v>6</v>
      </c>
      <c r="D10" s="100">
        <f>SUM(1501+1503+1357+1480+1437)</f>
        <v>7278</v>
      </c>
      <c r="E10" s="100">
        <f>SUM(102+90+75+103+110)</f>
        <v>480</v>
      </c>
      <c r="F10" s="101">
        <f>SUM(D10/E10)</f>
        <v>15.1625</v>
      </c>
      <c r="G10" s="100">
        <v>5</v>
      </c>
      <c r="H10" s="100">
        <v>3</v>
      </c>
      <c r="I10" s="100"/>
      <c r="J10" s="100"/>
      <c r="K10" s="100"/>
      <c r="L10" s="100">
        <v>19</v>
      </c>
      <c r="M10" s="105">
        <v>5</v>
      </c>
    </row>
    <row r="11" spans="1:13" ht="18.75" x14ac:dyDescent="0.3">
      <c r="A11" s="100">
        <v>10</v>
      </c>
      <c r="B11" s="102" t="s">
        <v>19</v>
      </c>
      <c r="C11" s="102" t="s">
        <v>20</v>
      </c>
      <c r="D11" s="100">
        <f>SUM(4014+1424+1445+1425+1487+1441+1467+1264)</f>
        <v>13967</v>
      </c>
      <c r="E11" s="100">
        <f>SUM(269+95+107+110+91+87+106+65)</f>
        <v>930</v>
      </c>
      <c r="F11" s="101">
        <f>SUM(D11/E11)</f>
        <v>15.018279569892472</v>
      </c>
      <c r="G11" s="100">
        <v>10</v>
      </c>
      <c r="H11" s="100">
        <v>3</v>
      </c>
      <c r="I11" s="100">
        <v>1</v>
      </c>
      <c r="J11" s="100"/>
      <c r="K11" s="100"/>
      <c r="L11" s="100">
        <v>24.5</v>
      </c>
      <c r="M11" s="105">
        <v>15</v>
      </c>
    </row>
    <row r="12" spans="1:13" ht="18.75" x14ac:dyDescent="0.3">
      <c r="A12" s="100">
        <v>11</v>
      </c>
      <c r="B12" s="102" t="s">
        <v>22</v>
      </c>
      <c r="C12" s="102" t="s">
        <v>17</v>
      </c>
      <c r="D12" s="100">
        <f>SUM(4417+1432+1483+1301+1118+1399+1503)</f>
        <v>12653</v>
      </c>
      <c r="E12" s="100">
        <f>SUM(313+95+97+87+69+83+109)</f>
        <v>853</v>
      </c>
      <c r="F12" s="101">
        <f>SUM(D12/E12)</f>
        <v>14.833528722157093</v>
      </c>
      <c r="G12" s="100">
        <v>9</v>
      </c>
      <c r="H12" s="100">
        <v>5</v>
      </c>
      <c r="I12" s="100"/>
      <c r="J12" s="100"/>
      <c r="K12" s="100"/>
      <c r="L12" s="100">
        <v>31</v>
      </c>
      <c r="M12" s="105">
        <v>5</v>
      </c>
    </row>
    <row r="13" spans="1:13" ht="18.75" x14ac:dyDescent="0.3">
      <c r="A13" s="100">
        <v>12</v>
      </c>
      <c r="B13" s="100" t="s">
        <v>25</v>
      </c>
      <c r="C13" s="102" t="s">
        <v>10</v>
      </c>
      <c r="D13" s="100">
        <f>SUM(4307+1495+1475+1270+1491+1484+1501)</f>
        <v>13023</v>
      </c>
      <c r="E13" s="100">
        <f>SUM(287+93+99+86+104+105+114)</f>
        <v>888</v>
      </c>
      <c r="F13" s="101">
        <f>SUM(D13/E13)</f>
        <v>14.66554054054054</v>
      </c>
      <c r="G13" s="100">
        <v>9</v>
      </c>
      <c r="H13" s="100">
        <v>5</v>
      </c>
      <c r="I13" s="100"/>
      <c r="J13" s="100"/>
      <c r="K13" s="100"/>
      <c r="L13" s="100">
        <v>32</v>
      </c>
      <c r="M13" s="105">
        <v>5</v>
      </c>
    </row>
    <row r="14" spans="1:13" ht="18.75" x14ac:dyDescent="0.3">
      <c r="A14" s="100">
        <v>13</v>
      </c>
      <c r="B14" s="100" t="s">
        <v>24</v>
      </c>
      <c r="C14" s="102" t="s">
        <v>15</v>
      </c>
      <c r="D14" s="100">
        <f>SUM(4314+1332+1237+1359+1503+1503+1472)</f>
        <v>12720</v>
      </c>
      <c r="E14" s="100">
        <f>SUM(296+95+82+85+89+114+108)</f>
        <v>869</v>
      </c>
      <c r="F14" s="101">
        <f>SUM(D14/E14)</f>
        <v>14.637514384349828</v>
      </c>
      <c r="G14" s="100">
        <v>9</v>
      </c>
      <c r="H14" s="100">
        <v>5</v>
      </c>
      <c r="I14" s="100"/>
      <c r="J14" s="100"/>
      <c r="K14" s="100"/>
      <c r="L14" s="100">
        <v>23.5</v>
      </c>
      <c r="M14" s="105">
        <v>5</v>
      </c>
    </row>
    <row r="15" spans="1:13" ht="18.75" x14ac:dyDescent="0.3">
      <c r="A15" s="100">
        <v>14</v>
      </c>
      <c r="B15" s="102" t="s">
        <v>13</v>
      </c>
      <c r="C15" s="102" t="s">
        <v>8</v>
      </c>
      <c r="D15" s="100">
        <f>SUM(4458+1498+1499+1363+1487+1449+1315+1293)</f>
        <v>14362</v>
      </c>
      <c r="E15" s="100">
        <f>SUM(305+99+94+92+104+102+78+108)</f>
        <v>982</v>
      </c>
      <c r="F15" s="101">
        <f>SUM(D15/E15)</f>
        <v>14.625254582484725</v>
      </c>
      <c r="G15" s="100">
        <v>10</v>
      </c>
      <c r="H15" s="100">
        <v>5</v>
      </c>
      <c r="I15" s="100"/>
      <c r="J15" s="100"/>
      <c r="K15" s="100"/>
      <c r="L15" s="100">
        <v>32.5</v>
      </c>
      <c r="M15" s="105"/>
    </row>
    <row r="16" spans="1:13" ht="18.75" x14ac:dyDescent="0.3">
      <c r="A16" s="100">
        <v>15</v>
      </c>
      <c r="B16" s="102" t="s">
        <v>50</v>
      </c>
      <c r="C16" s="102" t="s">
        <v>60</v>
      </c>
      <c r="D16" s="100">
        <f>SUM(1462+1503)</f>
        <v>2965</v>
      </c>
      <c r="E16" s="100">
        <f>SUM(111+93)</f>
        <v>204</v>
      </c>
      <c r="F16" s="101">
        <f>SUM(D16/E16)</f>
        <v>14.534313725490197</v>
      </c>
      <c r="G16" s="100">
        <v>2</v>
      </c>
      <c r="H16" s="100">
        <v>2</v>
      </c>
      <c r="I16" s="100"/>
      <c r="J16" s="100"/>
      <c r="K16" s="100"/>
      <c r="L16" s="100">
        <v>8.5</v>
      </c>
      <c r="M16" s="105"/>
    </row>
    <row r="17" spans="1:13" ht="18.75" x14ac:dyDescent="0.3">
      <c r="A17" s="100">
        <v>16</v>
      </c>
      <c r="B17" s="100" t="s">
        <v>21</v>
      </c>
      <c r="C17" s="102" t="s">
        <v>17</v>
      </c>
      <c r="D17" s="100">
        <f>SUM(3916+1494+1503+1419+1500+1503+1487)</f>
        <v>12822</v>
      </c>
      <c r="E17" s="100">
        <f>SUM(279+100+110+93+116+77+109)</f>
        <v>884</v>
      </c>
      <c r="F17" s="101">
        <f>SUM(D17/E17)</f>
        <v>14.504524886877828</v>
      </c>
      <c r="G17" s="100">
        <v>9</v>
      </c>
      <c r="H17" s="100">
        <v>6</v>
      </c>
      <c r="I17" s="100"/>
      <c r="J17" s="100"/>
      <c r="K17" s="100"/>
      <c r="L17" s="100">
        <v>31</v>
      </c>
      <c r="M17" s="105"/>
    </row>
    <row r="18" spans="1:13" ht="18.75" x14ac:dyDescent="0.3">
      <c r="A18" s="100">
        <v>17</v>
      </c>
      <c r="B18" s="102" t="s">
        <v>53</v>
      </c>
      <c r="C18" s="102" t="s">
        <v>54</v>
      </c>
      <c r="D18" s="100">
        <f>SUM(3962+1414+1297+1223+1389+1244+1487+1501)</f>
        <v>13517</v>
      </c>
      <c r="E18" s="100">
        <f>SUM(264+100+87+87+102+77+107+110)</f>
        <v>934</v>
      </c>
      <c r="F18" s="101">
        <f>SUM(D18/E18)</f>
        <v>14.472162740899357</v>
      </c>
      <c r="G18" s="100">
        <v>10</v>
      </c>
      <c r="H18" s="100">
        <v>4</v>
      </c>
      <c r="I18" s="100"/>
      <c r="J18" s="100"/>
      <c r="K18" s="100">
        <v>1</v>
      </c>
      <c r="L18" s="100">
        <v>17.5</v>
      </c>
      <c r="M18" s="105">
        <v>10</v>
      </c>
    </row>
    <row r="19" spans="1:13" ht="18.75" x14ac:dyDescent="0.3">
      <c r="A19" s="100">
        <v>18</v>
      </c>
      <c r="B19" s="113" t="s">
        <v>31</v>
      </c>
      <c r="C19" s="102" t="s">
        <v>60</v>
      </c>
      <c r="D19" s="100">
        <f>SUM(4180+1503+1503+1503+1348+1390+1356+1464)</f>
        <v>14247</v>
      </c>
      <c r="E19" s="100">
        <f>SUM(270+96+116+116+79+117+83+109)</f>
        <v>986</v>
      </c>
      <c r="F19" s="101">
        <f>SUM(D19/E19)</f>
        <v>14.449290060851927</v>
      </c>
      <c r="G19" s="100">
        <v>10</v>
      </c>
      <c r="H19" s="100">
        <v>8</v>
      </c>
      <c r="I19" s="100"/>
      <c r="J19" s="100"/>
      <c r="K19" s="100"/>
      <c r="L19" s="100">
        <v>37.5</v>
      </c>
      <c r="M19" s="105">
        <v>5</v>
      </c>
    </row>
    <row r="20" spans="1:13" ht="18.75" x14ac:dyDescent="0.3">
      <c r="A20" s="100">
        <v>19</v>
      </c>
      <c r="B20" s="102" t="s">
        <v>92</v>
      </c>
      <c r="C20" s="102" t="s">
        <v>60</v>
      </c>
      <c r="D20" s="100">
        <f>SUM(1340+1503+1433+1503+1347+1392)</f>
        <v>8518</v>
      </c>
      <c r="E20" s="100">
        <f>SUM(111+98+87+124+93+78)</f>
        <v>591</v>
      </c>
      <c r="F20" s="101">
        <f>SUM(D20/E20)</f>
        <v>14.412859560067682</v>
      </c>
      <c r="G20" s="100">
        <v>6</v>
      </c>
      <c r="H20" s="100">
        <v>4</v>
      </c>
      <c r="I20" s="100"/>
      <c r="J20" s="100"/>
      <c r="K20" s="100"/>
      <c r="L20" s="100">
        <v>16</v>
      </c>
      <c r="M20" s="105"/>
    </row>
    <row r="21" spans="1:13" ht="18.75" x14ac:dyDescent="0.3">
      <c r="A21" s="100">
        <v>20</v>
      </c>
      <c r="B21" s="102" t="s">
        <v>94</v>
      </c>
      <c r="C21" s="102" t="s">
        <v>10</v>
      </c>
      <c r="D21" s="100">
        <f>SUM(1503+1225+1463+1475+1457+1483+1499+1415)</f>
        <v>11520</v>
      </c>
      <c r="E21" s="100">
        <f>SUM(114+97+115+98+97+94+114+78)</f>
        <v>807</v>
      </c>
      <c r="F21" s="101">
        <f>SUM(D21/E21)</f>
        <v>14.275092936802974</v>
      </c>
      <c r="G21" s="100">
        <v>8</v>
      </c>
      <c r="H21" s="100">
        <v>5</v>
      </c>
      <c r="I21" s="100"/>
      <c r="J21" s="100"/>
      <c r="K21" s="100"/>
      <c r="L21" s="100">
        <v>28.5</v>
      </c>
      <c r="M21" s="105">
        <v>5</v>
      </c>
    </row>
    <row r="22" spans="1:13" ht="18.75" x14ac:dyDescent="0.3">
      <c r="A22" s="100">
        <v>21</v>
      </c>
      <c r="B22" s="102" t="s">
        <v>32</v>
      </c>
      <c r="C22" s="102" t="s">
        <v>60</v>
      </c>
      <c r="D22" s="100">
        <f>SUM(4179+1391+1460+1414+1471+1503+1467)</f>
        <v>12885</v>
      </c>
      <c r="E22" s="100">
        <f>SUM(276+99+123+110+79+123+119)</f>
        <v>929</v>
      </c>
      <c r="F22" s="101">
        <f>SUM(D22/E22)</f>
        <v>13.869752421959095</v>
      </c>
      <c r="G22" s="100">
        <v>9</v>
      </c>
      <c r="H22" s="100">
        <v>3</v>
      </c>
      <c r="I22" s="100"/>
      <c r="J22" s="100"/>
      <c r="K22" s="100"/>
      <c r="L22" s="100">
        <v>27</v>
      </c>
      <c r="M22" s="105"/>
    </row>
    <row r="23" spans="1:13" ht="18.75" x14ac:dyDescent="0.3">
      <c r="A23" s="100">
        <v>22</v>
      </c>
      <c r="B23" s="102" t="s">
        <v>83</v>
      </c>
      <c r="C23" s="102" t="s">
        <v>20</v>
      </c>
      <c r="D23" s="100">
        <f>SUM(1491+1497+1406+1432+1414)</f>
        <v>7240</v>
      </c>
      <c r="E23" s="100">
        <f>SUM(103+112+114+103+102)</f>
        <v>534</v>
      </c>
      <c r="F23" s="101">
        <f>SUM(D23/E23)</f>
        <v>13.558052434456929</v>
      </c>
      <c r="G23" s="100">
        <v>5</v>
      </c>
      <c r="H23" s="100">
        <v>3</v>
      </c>
      <c r="I23" s="100"/>
      <c r="J23" s="100"/>
      <c r="K23" s="100"/>
      <c r="L23" s="100">
        <v>14</v>
      </c>
      <c r="M23" s="105"/>
    </row>
    <row r="24" spans="1:13" ht="18.75" x14ac:dyDescent="0.3">
      <c r="A24" s="100">
        <v>23</v>
      </c>
      <c r="B24" s="102" t="s">
        <v>56</v>
      </c>
      <c r="C24" s="102" t="s">
        <v>54</v>
      </c>
      <c r="D24" s="100">
        <f>SUM(4033+1323+1359+1415+1407+1356+1232+1463)</f>
        <v>13588</v>
      </c>
      <c r="E24" s="100">
        <f>SUM(304+111+117+89+85+92+96+111)</f>
        <v>1005</v>
      </c>
      <c r="F24" s="101">
        <f>SUM(D24/E24)</f>
        <v>13.520398009950249</v>
      </c>
      <c r="G24" s="100">
        <v>10</v>
      </c>
      <c r="H24" s="100">
        <v>0</v>
      </c>
      <c r="I24" s="100"/>
      <c r="J24" s="100"/>
      <c r="K24" s="100"/>
      <c r="L24" s="100">
        <v>12</v>
      </c>
      <c r="M24" s="105">
        <v>5</v>
      </c>
    </row>
    <row r="25" spans="1:13" ht="18.75" x14ac:dyDescent="0.3">
      <c r="A25" s="100">
        <v>24</v>
      </c>
      <c r="B25" s="102" t="s">
        <v>29</v>
      </c>
      <c r="C25" s="102" t="s">
        <v>17</v>
      </c>
      <c r="D25" s="100">
        <f>SUM(2825+1503+1493+1501+1503+1503+1487+1503)</f>
        <v>13318</v>
      </c>
      <c r="E25" s="100">
        <f>SUM(212+89+141+101+92+109+117+145)</f>
        <v>1006</v>
      </c>
      <c r="F25" s="101">
        <f>SUM(D25/E25)</f>
        <v>13.238568588469185</v>
      </c>
      <c r="G25" s="100">
        <v>9</v>
      </c>
      <c r="H25" s="100">
        <v>6</v>
      </c>
      <c r="I25" s="100"/>
      <c r="J25" s="100"/>
      <c r="K25" s="100"/>
      <c r="L25" s="100">
        <v>30</v>
      </c>
      <c r="M25" s="105"/>
    </row>
    <row r="26" spans="1:13" ht="18.75" x14ac:dyDescent="0.3">
      <c r="A26" s="100">
        <v>25</v>
      </c>
      <c r="B26" s="102" t="s">
        <v>23</v>
      </c>
      <c r="C26" s="102" t="s">
        <v>20</v>
      </c>
      <c r="D26" s="100">
        <f>SUM(4015+1501+1489+1293+1413+1189)</f>
        <v>10900</v>
      </c>
      <c r="E26" s="100">
        <f>SUM(279+142+111+90+121+84)</f>
        <v>827</v>
      </c>
      <c r="F26" s="101">
        <f>SUM(D26/E26)</f>
        <v>13.180169286577993</v>
      </c>
      <c r="G26" s="100">
        <v>8</v>
      </c>
      <c r="H26" s="100">
        <v>2</v>
      </c>
      <c r="I26" s="100">
        <v>1</v>
      </c>
      <c r="J26" s="100"/>
      <c r="K26" s="100"/>
      <c r="L26" s="100">
        <v>14</v>
      </c>
      <c r="M26" s="105">
        <v>10</v>
      </c>
    </row>
    <row r="27" spans="1:13" ht="18.75" x14ac:dyDescent="0.3">
      <c r="A27" s="100">
        <v>26</v>
      </c>
      <c r="B27" s="102" t="s">
        <v>14</v>
      </c>
      <c r="C27" s="102" t="s">
        <v>15</v>
      </c>
      <c r="D27" s="100">
        <f>SUM(4418+1300+1489+1476+1458+1503+1423)</f>
        <v>13067</v>
      </c>
      <c r="E27" s="100">
        <f>SUM(337+123+102+107+116+96+114)</f>
        <v>995</v>
      </c>
      <c r="F27" s="101">
        <f>SUM(D27/E27)</f>
        <v>13.132663316582915</v>
      </c>
      <c r="G27" s="100">
        <v>9</v>
      </c>
      <c r="H27" s="100">
        <v>4</v>
      </c>
      <c r="I27" s="100"/>
      <c r="J27" s="100"/>
      <c r="K27" s="100"/>
      <c r="L27" s="100">
        <v>22</v>
      </c>
      <c r="M27" s="105"/>
    </row>
    <row r="28" spans="1:13" ht="18.75" x14ac:dyDescent="0.3">
      <c r="A28" s="100">
        <v>27</v>
      </c>
      <c r="B28" s="102" t="s">
        <v>18</v>
      </c>
      <c r="C28" s="102" t="s">
        <v>8</v>
      </c>
      <c r="D28" s="100">
        <f>SUM(2974+877+1208+1310+1478+1452+1493)</f>
        <v>10792</v>
      </c>
      <c r="E28" s="100">
        <f>SUM(230+75+95+92+140+100+110)</f>
        <v>842</v>
      </c>
      <c r="F28" s="101">
        <f>SUM(D28/E28)</f>
        <v>12.81710213776722</v>
      </c>
      <c r="G28" s="100">
        <v>8</v>
      </c>
      <c r="H28" s="100">
        <v>4</v>
      </c>
      <c r="I28" s="100"/>
      <c r="J28" s="100"/>
      <c r="K28" s="100"/>
      <c r="L28" s="100">
        <v>23</v>
      </c>
      <c r="M28" s="105"/>
    </row>
    <row r="29" spans="1:13" ht="18.75" x14ac:dyDescent="0.3">
      <c r="A29" s="100">
        <v>28</v>
      </c>
      <c r="B29" s="102" t="s">
        <v>52</v>
      </c>
      <c r="C29" s="102" t="s">
        <v>20</v>
      </c>
      <c r="D29" s="100">
        <f>SUM(4464+1503+1432+1431+1422+1487+1493)</f>
        <v>13232</v>
      </c>
      <c r="E29" s="100">
        <f>SUM(372+122+97+97+111+143+105)</f>
        <v>1047</v>
      </c>
      <c r="F29" s="101">
        <f>SUM(D29/E29)</f>
        <v>12.638013371537728</v>
      </c>
      <c r="G29" s="100">
        <v>9</v>
      </c>
      <c r="H29" s="100">
        <v>5</v>
      </c>
      <c r="I29" s="100"/>
      <c r="J29" s="100"/>
      <c r="K29" s="100"/>
      <c r="L29" s="100">
        <v>29</v>
      </c>
      <c r="M29" s="105"/>
    </row>
    <row r="30" spans="1:13" ht="18.75" x14ac:dyDescent="0.3">
      <c r="A30" s="100">
        <v>29</v>
      </c>
      <c r="B30" s="102" t="s">
        <v>28</v>
      </c>
      <c r="C30" s="102" t="s">
        <v>6</v>
      </c>
      <c r="D30" s="100">
        <f>SUM(2923)</f>
        <v>2923</v>
      </c>
      <c r="E30" s="100">
        <f>SUM(232)</f>
        <v>232</v>
      </c>
      <c r="F30" s="101">
        <f>SUM(D30/E30)</f>
        <v>12.599137931034482</v>
      </c>
      <c r="G30" s="100">
        <v>2</v>
      </c>
      <c r="H30" s="100">
        <v>0</v>
      </c>
      <c r="I30" s="100">
        <v>1</v>
      </c>
      <c r="J30" s="100"/>
      <c r="K30" s="100"/>
      <c r="L30" s="100">
        <v>4.5</v>
      </c>
      <c r="M30" s="105">
        <v>10</v>
      </c>
    </row>
    <row r="31" spans="1:13" ht="18.75" x14ac:dyDescent="0.3">
      <c r="A31" s="100">
        <v>30</v>
      </c>
      <c r="B31" s="102" t="s">
        <v>26</v>
      </c>
      <c r="C31" s="102" t="s">
        <v>10</v>
      </c>
      <c r="D31" s="100">
        <f>SUM(2859+1503)</f>
        <v>4362</v>
      </c>
      <c r="E31" s="100">
        <f>SUM(255+93)</f>
        <v>348</v>
      </c>
      <c r="F31" s="101">
        <f>SUM(D31/E31)</f>
        <v>12.53448275862069</v>
      </c>
      <c r="G31" s="100">
        <v>3</v>
      </c>
      <c r="H31" s="100">
        <v>1</v>
      </c>
      <c r="I31" s="100"/>
      <c r="J31" s="100"/>
      <c r="K31" s="100"/>
      <c r="L31" s="100">
        <v>11.5</v>
      </c>
      <c r="M31" s="105"/>
    </row>
    <row r="32" spans="1:13" ht="18.75" x14ac:dyDescent="0.3">
      <c r="A32" s="100">
        <v>31</v>
      </c>
      <c r="B32" s="102" t="s">
        <v>80</v>
      </c>
      <c r="C32" s="102" t="s">
        <v>17</v>
      </c>
      <c r="D32" s="100">
        <f>SUM(1503+1503+1219)</f>
        <v>4225</v>
      </c>
      <c r="E32" s="100">
        <f>SUM(125+120+93)</f>
        <v>338</v>
      </c>
      <c r="F32" s="101">
        <f>SUM(D32/E32)</f>
        <v>12.5</v>
      </c>
      <c r="G32" s="100">
        <v>3</v>
      </c>
      <c r="H32" s="100">
        <v>2</v>
      </c>
      <c r="I32" s="100"/>
      <c r="J32" s="100"/>
      <c r="K32" s="100"/>
      <c r="L32" s="100">
        <v>12.5</v>
      </c>
      <c r="M32" s="105"/>
    </row>
    <row r="33" spans="1:13" ht="18.75" x14ac:dyDescent="0.3">
      <c r="A33" s="100">
        <v>32</v>
      </c>
      <c r="B33" s="102" t="s">
        <v>82</v>
      </c>
      <c r="C33" s="102" t="s">
        <v>15</v>
      </c>
      <c r="D33" s="100">
        <f>SUM(1503+1483)</f>
        <v>2986</v>
      </c>
      <c r="E33" s="100">
        <f>SUM(105+135)</f>
        <v>240</v>
      </c>
      <c r="F33" s="101">
        <f>SUM(D33/E33)</f>
        <v>12.441666666666666</v>
      </c>
      <c r="G33" s="100">
        <v>2</v>
      </c>
      <c r="H33" s="100">
        <v>2</v>
      </c>
      <c r="I33" s="100"/>
      <c r="J33" s="100"/>
      <c r="K33" s="100"/>
      <c r="L33" s="100">
        <v>5.5</v>
      </c>
      <c r="M33" s="105"/>
    </row>
    <row r="34" spans="1:13" ht="18.75" x14ac:dyDescent="0.3">
      <c r="A34" s="100">
        <v>33</v>
      </c>
      <c r="B34" s="102" t="s">
        <v>79</v>
      </c>
      <c r="C34" s="102" t="s">
        <v>60</v>
      </c>
      <c r="D34" s="100">
        <f>SUM(2822+1492+1458+1346)</f>
        <v>7118</v>
      </c>
      <c r="E34" s="100">
        <f>SUM(261+118+100+100)</f>
        <v>579</v>
      </c>
      <c r="F34" s="101">
        <f>SUM(D34/E34)</f>
        <v>12.293609671848014</v>
      </c>
      <c r="G34" s="100">
        <v>5</v>
      </c>
      <c r="H34" s="100">
        <v>3</v>
      </c>
      <c r="I34" s="100"/>
      <c r="J34" s="100"/>
      <c r="K34" s="100"/>
      <c r="L34" s="100">
        <v>18.5</v>
      </c>
      <c r="M34" s="105"/>
    </row>
    <row r="35" spans="1:13" ht="18.75" x14ac:dyDescent="0.3">
      <c r="A35" s="100">
        <v>34</v>
      </c>
      <c r="B35" s="102" t="s">
        <v>91</v>
      </c>
      <c r="C35" s="102" t="s">
        <v>6</v>
      </c>
      <c r="D35" s="100">
        <f>SUM(1496+1347+1501+1316)</f>
        <v>5660</v>
      </c>
      <c r="E35" s="100">
        <f>SUM(127+116+121+105)</f>
        <v>469</v>
      </c>
      <c r="F35" s="101">
        <f>SUM(D35/E35)</f>
        <v>12.068230277185501</v>
      </c>
      <c r="G35" s="100">
        <v>4</v>
      </c>
      <c r="H35" s="100">
        <v>2</v>
      </c>
      <c r="I35" s="100"/>
      <c r="J35" s="100"/>
      <c r="K35" s="100"/>
      <c r="L35" s="100">
        <v>17.5</v>
      </c>
      <c r="M35" s="105"/>
    </row>
    <row r="36" spans="1:13" ht="18.75" x14ac:dyDescent="0.3">
      <c r="A36" s="100">
        <v>35</v>
      </c>
      <c r="B36" s="102" t="s">
        <v>61</v>
      </c>
      <c r="C36" s="102" t="s">
        <v>6</v>
      </c>
      <c r="D36" s="100">
        <f>SUM(4453+1501+1503+1444+1480+1503+1483)</f>
        <v>13367</v>
      </c>
      <c r="E36" s="100">
        <f>SUM(394+142+114+116+102+95+147)</f>
        <v>1110</v>
      </c>
      <c r="F36" s="101">
        <f>SUM(D36/E36)</f>
        <v>12.042342342342343</v>
      </c>
      <c r="G36" s="100">
        <v>9</v>
      </c>
      <c r="H36" s="100">
        <v>5</v>
      </c>
      <c r="I36" s="100"/>
      <c r="J36" s="100"/>
      <c r="K36" s="100"/>
      <c r="L36" s="100">
        <v>29</v>
      </c>
      <c r="M36" s="105">
        <v>5</v>
      </c>
    </row>
    <row r="37" spans="1:13" ht="18.75" x14ac:dyDescent="0.3">
      <c r="A37" s="100">
        <v>36</v>
      </c>
      <c r="B37" s="100" t="s">
        <v>27</v>
      </c>
      <c r="C37" s="102" t="s">
        <v>10</v>
      </c>
      <c r="D37" s="100">
        <f>SUM(4296+1328+1494+1503+1503+1492+1369+1263)</f>
        <v>14248</v>
      </c>
      <c r="E37" s="100">
        <f>SUM(372+84+136+118+151+151+96+90)</f>
        <v>1198</v>
      </c>
      <c r="F37" s="101">
        <f>SUM(D37/E37)</f>
        <v>11.893155258764608</v>
      </c>
      <c r="G37" s="100">
        <v>10</v>
      </c>
      <c r="H37" s="100">
        <v>4</v>
      </c>
      <c r="I37" s="100"/>
      <c r="J37" s="100"/>
      <c r="K37" s="100"/>
      <c r="L37" s="100">
        <v>34.5</v>
      </c>
      <c r="M37" s="105">
        <v>5</v>
      </c>
    </row>
    <row r="38" spans="1:13" ht="18.75" x14ac:dyDescent="0.3">
      <c r="A38" s="100">
        <v>37</v>
      </c>
      <c r="B38" s="102" t="s">
        <v>93</v>
      </c>
      <c r="C38" s="102" t="s">
        <v>15</v>
      </c>
      <c r="D38" s="100">
        <f>SUM(1208+1312+1237+1479+1503)</f>
        <v>6739</v>
      </c>
      <c r="E38" s="100">
        <f>SUM(93+114+114+125+121)</f>
        <v>567</v>
      </c>
      <c r="F38" s="101">
        <f>SUM(D38/E38)</f>
        <v>11.885361552028218</v>
      </c>
      <c r="G38" s="100">
        <v>5</v>
      </c>
      <c r="H38" s="100">
        <v>1</v>
      </c>
      <c r="I38" s="100"/>
      <c r="J38" s="100"/>
      <c r="K38" s="100"/>
      <c r="L38" s="100">
        <v>10</v>
      </c>
      <c r="M38" s="105"/>
    </row>
    <row r="39" spans="1:13" ht="18.75" x14ac:dyDescent="0.3">
      <c r="A39" s="100">
        <v>38</v>
      </c>
      <c r="B39" s="102" t="s">
        <v>51</v>
      </c>
      <c r="C39" s="102" t="s">
        <v>20</v>
      </c>
      <c r="D39" s="100">
        <f>SUM(2846+1454+1168+1455+1454+1501)</f>
        <v>9878</v>
      </c>
      <c r="E39" s="100">
        <f>SUM(250+115+105+129+101+149)</f>
        <v>849</v>
      </c>
      <c r="F39" s="101">
        <f>SUM(D39/E39)</f>
        <v>11.634864546525323</v>
      </c>
      <c r="G39" s="100">
        <v>7</v>
      </c>
      <c r="H39" s="100">
        <v>4</v>
      </c>
      <c r="I39" s="100"/>
      <c r="J39" s="100"/>
      <c r="K39" s="100"/>
      <c r="L39" s="100">
        <v>17.5</v>
      </c>
      <c r="M39" s="105"/>
    </row>
    <row r="40" spans="1:13" ht="18.75" x14ac:dyDescent="0.3">
      <c r="A40" s="100">
        <v>39</v>
      </c>
      <c r="B40" s="102" t="s">
        <v>81</v>
      </c>
      <c r="C40" s="102" t="s">
        <v>8</v>
      </c>
      <c r="D40" s="100">
        <f>SUM(1456+1499+1222+1379)</f>
        <v>5556</v>
      </c>
      <c r="E40" s="100">
        <f>SUM(107+138+115+120)</f>
        <v>480</v>
      </c>
      <c r="F40" s="101">
        <f>SUM(D40/E40)</f>
        <v>11.574999999999999</v>
      </c>
      <c r="G40" s="100">
        <v>4</v>
      </c>
      <c r="H40" s="100">
        <v>1</v>
      </c>
      <c r="I40" s="100"/>
      <c r="J40" s="100"/>
      <c r="K40" s="100"/>
      <c r="L40" s="100">
        <v>11</v>
      </c>
      <c r="M40" s="105"/>
    </row>
    <row r="41" spans="1:13" ht="18.75" x14ac:dyDescent="0.3">
      <c r="A41" s="100">
        <v>40</v>
      </c>
      <c r="B41" s="102" t="s">
        <v>58</v>
      </c>
      <c r="C41" s="102" t="s">
        <v>54</v>
      </c>
      <c r="D41" s="100">
        <f>SUM(4183+1360+1165+1035+1124+1035+1396+1487)</f>
        <v>12785</v>
      </c>
      <c r="E41" s="100">
        <f>SUM(385+117+96+99+87+87+120+119)</f>
        <v>1110</v>
      </c>
      <c r="F41" s="101">
        <f>SUM(D41/E41)</f>
        <v>11.518018018018019</v>
      </c>
      <c r="G41" s="100">
        <v>10</v>
      </c>
      <c r="H41" s="100">
        <v>2</v>
      </c>
      <c r="I41" s="100"/>
      <c r="J41" s="100"/>
      <c r="K41" s="100"/>
      <c r="L41" s="100">
        <v>14</v>
      </c>
      <c r="M41" s="105"/>
    </row>
    <row r="42" spans="1:13" ht="18.75" x14ac:dyDescent="0.3">
      <c r="A42" s="100">
        <v>41</v>
      </c>
      <c r="B42" s="102" t="s">
        <v>57</v>
      </c>
      <c r="C42" s="102" t="s">
        <v>15</v>
      </c>
      <c r="D42" s="100">
        <f>SUM(1259+1503)</f>
        <v>2762</v>
      </c>
      <c r="E42" s="100">
        <f>SUM(102+139)</f>
        <v>241</v>
      </c>
      <c r="F42" s="101">
        <f>SUM(D42/E42)</f>
        <v>11.460580912863071</v>
      </c>
      <c r="G42" s="100">
        <v>2</v>
      </c>
      <c r="H42" s="100">
        <v>1</v>
      </c>
      <c r="I42" s="100"/>
      <c r="J42" s="100"/>
      <c r="K42" s="100"/>
      <c r="L42" s="100">
        <v>4</v>
      </c>
      <c r="M42" s="105"/>
    </row>
    <row r="43" spans="1:13" ht="18.75" x14ac:dyDescent="0.3">
      <c r="A43" s="100">
        <v>42</v>
      </c>
      <c r="B43" s="102" t="s">
        <v>55</v>
      </c>
      <c r="C43" s="102" t="s">
        <v>54</v>
      </c>
      <c r="D43" s="100">
        <f>SUM(4065+1275+1469+1496+1425+1324+1487+1322)</f>
        <v>13863</v>
      </c>
      <c r="E43" s="100">
        <f>SUM(355+120+124+117+113+150+154+124)</f>
        <v>1257</v>
      </c>
      <c r="F43" s="101">
        <f>SUM(D43/E43)</f>
        <v>11.028639618138424</v>
      </c>
      <c r="G43" s="100">
        <v>10</v>
      </c>
      <c r="H43" s="100">
        <v>3</v>
      </c>
      <c r="I43" s="100"/>
      <c r="J43" s="100"/>
      <c r="K43" s="100"/>
      <c r="L43" s="100">
        <v>18.5</v>
      </c>
      <c r="M43" s="105"/>
    </row>
    <row r="44" spans="1:13" ht="18.75" x14ac:dyDescent="0.3">
      <c r="A44" s="100">
        <v>43</v>
      </c>
      <c r="B44" s="102" t="s">
        <v>30</v>
      </c>
      <c r="C44" s="102" t="s">
        <v>8</v>
      </c>
      <c r="D44" s="100">
        <f>SUM(4393+1267+1402+1455+999+1179+1495)</f>
        <v>12190</v>
      </c>
      <c r="E44" s="100">
        <f>SUM(432+120+135+153+90+90+129)</f>
        <v>1149</v>
      </c>
      <c r="F44" s="101">
        <f>SUM(D44/E44)</f>
        <v>10.609225413402958</v>
      </c>
      <c r="G44" s="100">
        <v>9</v>
      </c>
      <c r="H44" s="100">
        <v>2</v>
      </c>
      <c r="I44" s="100"/>
      <c r="J44" s="100"/>
      <c r="K44" s="100"/>
      <c r="L44" s="100">
        <v>15.5</v>
      </c>
      <c r="M44" s="105"/>
    </row>
    <row r="45" spans="1:13" ht="18.75" x14ac:dyDescent="0.3">
      <c r="A45" s="100">
        <v>44</v>
      </c>
      <c r="B45" s="102" t="s">
        <v>119</v>
      </c>
      <c r="C45" s="102" t="s">
        <v>15</v>
      </c>
      <c r="D45" s="100">
        <f>SUM(1331+1487+1345)</f>
        <v>4163</v>
      </c>
      <c r="E45" s="100">
        <f>SUM(120+161+141)</f>
        <v>422</v>
      </c>
      <c r="F45" s="101">
        <f>SUM(D45/E45)</f>
        <v>9.8649289099526065</v>
      </c>
      <c r="G45" s="100">
        <v>3</v>
      </c>
      <c r="H45" s="100">
        <v>1</v>
      </c>
      <c r="I45" s="100"/>
      <c r="J45" s="100"/>
      <c r="K45" s="100"/>
      <c r="L45" s="100">
        <v>3.5</v>
      </c>
      <c r="M45" s="105"/>
    </row>
    <row r="46" spans="1:13" ht="19.5" thickBot="1" x14ac:dyDescent="0.35">
      <c r="A46" s="92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</row>
    <row r="47" spans="1:13" ht="15" customHeight="1" thickBot="1" x14ac:dyDescent="0.35">
      <c r="A47" s="92"/>
      <c r="B47" s="99" t="s">
        <v>129</v>
      </c>
      <c r="C47" s="98" t="s">
        <v>33</v>
      </c>
      <c r="D47" s="97" t="s">
        <v>34</v>
      </c>
      <c r="E47" s="97" t="s">
        <v>35</v>
      </c>
      <c r="F47" s="97" t="s">
        <v>36</v>
      </c>
      <c r="G47" s="97"/>
      <c r="H47" s="97"/>
      <c r="I47" s="96"/>
      <c r="J47" s="91"/>
      <c r="K47" s="91"/>
      <c r="L47" s="91"/>
      <c r="M47" s="91"/>
    </row>
    <row r="48" spans="1:13" ht="18.75" x14ac:dyDescent="0.3">
      <c r="A48" s="92"/>
      <c r="B48" s="93"/>
      <c r="C48" s="92" t="s">
        <v>39</v>
      </c>
      <c r="D48" s="92">
        <v>9</v>
      </c>
      <c r="E48" s="91">
        <v>1</v>
      </c>
      <c r="F48" s="91">
        <v>160</v>
      </c>
      <c r="G48" s="91"/>
      <c r="H48" s="92" t="s">
        <v>38</v>
      </c>
      <c r="I48" s="95" t="s">
        <v>128</v>
      </c>
      <c r="J48" s="91"/>
      <c r="K48" s="95"/>
      <c r="L48" s="91"/>
      <c r="M48" s="91"/>
    </row>
    <row r="49" spans="1:13" ht="18.75" x14ac:dyDescent="0.3">
      <c r="A49" s="92"/>
      <c r="B49" s="93"/>
      <c r="C49" s="92" t="s">
        <v>42</v>
      </c>
      <c r="D49" s="92">
        <v>7</v>
      </c>
      <c r="E49" s="91">
        <v>3</v>
      </c>
      <c r="F49" s="91">
        <v>146</v>
      </c>
      <c r="G49" s="91"/>
      <c r="H49" s="92" t="s">
        <v>40</v>
      </c>
      <c r="I49" s="95" t="s">
        <v>127</v>
      </c>
      <c r="J49" s="91"/>
      <c r="K49" s="92"/>
      <c r="L49" s="91"/>
      <c r="M49" s="91"/>
    </row>
    <row r="50" spans="1:13" ht="18.75" x14ac:dyDescent="0.3">
      <c r="A50" s="92"/>
      <c r="B50" s="93"/>
      <c r="C50" s="92" t="s">
        <v>37</v>
      </c>
      <c r="D50" s="92">
        <v>8</v>
      </c>
      <c r="E50" s="91">
        <v>2</v>
      </c>
      <c r="F50" s="91">
        <v>142</v>
      </c>
      <c r="G50" s="91"/>
      <c r="H50" s="92" t="s">
        <v>41</v>
      </c>
      <c r="I50" s="95" t="s">
        <v>126</v>
      </c>
      <c r="J50" s="91"/>
      <c r="K50" s="95"/>
      <c r="L50" s="91"/>
      <c r="M50" s="91"/>
    </row>
    <row r="51" spans="1:13" ht="18.75" x14ac:dyDescent="0.3">
      <c r="A51" s="91"/>
      <c r="B51" s="93"/>
      <c r="C51" s="92" t="s">
        <v>63</v>
      </c>
      <c r="D51" s="92">
        <v>7</v>
      </c>
      <c r="E51" s="92">
        <v>3</v>
      </c>
      <c r="F51" s="92">
        <v>142</v>
      </c>
      <c r="G51" s="91"/>
      <c r="H51" s="92" t="s">
        <v>43</v>
      </c>
      <c r="I51" s="95" t="s">
        <v>125</v>
      </c>
      <c r="J51" s="91"/>
      <c r="K51" s="92"/>
      <c r="L51" s="91"/>
      <c r="M51" s="91"/>
    </row>
    <row r="52" spans="1:13" ht="18" customHeight="1" x14ac:dyDescent="0.3">
      <c r="A52" s="91"/>
      <c r="B52" s="93"/>
      <c r="C52" s="92" t="s">
        <v>47</v>
      </c>
      <c r="D52" s="92">
        <v>4</v>
      </c>
      <c r="E52" s="91">
        <v>6</v>
      </c>
      <c r="F52" s="91">
        <v>107</v>
      </c>
      <c r="G52" s="91"/>
      <c r="H52" s="92" t="s">
        <v>45</v>
      </c>
      <c r="I52" s="95" t="s">
        <v>86</v>
      </c>
      <c r="J52" s="91"/>
      <c r="K52" s="92"/>
      <c r="L52" s="91"/>
      <c r="M52" s="91"/>
    </row>
    <row r="53" spans="1:13" ht="18" customHeight="1" x14ac:dyDescent="0.3">
      <c r="A53" s="91"/>
      <c r="B53" s="93"/>
      <c r="C53" s="92" t="s">
        <v>48</v>
      </c>
      <c r="D53" s="92">
        <v>3</v>
      </c>
      <c r="E53" s="91">
        <v>7</v>
      </c>
      <c r="F53" s="91">
        <v>106</v>
      </c>
      <c r="G53" s="91"/>
      <c r="H53" s="92" t="s">
        <v>46</v>
      </c>
      <c r="I53" s="107" t="s">
        <v>99</v>
      </c>
      <c r="J53" s="107"/>
      <c r="K53" s="92"/>
      <c r="L53" s="91"/>
      <c r="M53" s="91"/>
    </row>
    <row r="54" spans="1:13" ht="18.75" x14ac:dyDescent="0.3">
      <c r="A54" s="91"/>
      <c r="B54" s="93"/>
      <c r="C54" s="92" t="s">
        <v>44</v>
      </c>
      <c r="D54" s="92">
        <v>2</v>
      </c>
      <c r="E54" s="92">
        <v>8</v>
      </c>
      <c r="F54" s="92">
        <v>94</v>
      </c>
      <c r="G54" s="91"/>
      <c r="H54" s="91"/>
      <c r="I54" s="91"/>
      <c r="J54" s="91"/>
      <c r="K54" s="91"/>
      <c r="L54" s="91"/>
      <c r="M54" s="91"/>
    </row>
    <row r="55" spans="1:13" ht="18.75" x14ac:dyDescent="0.3">
      <c r="A55" s="91"/>
      <c r="B55" s="93"/>
      <c r="C55" s="92" t="s">
        <v>49</v>
      </c>
      <c r="D55" s="92">
        <v>0</v>
      </c>
      <c r="E55" s="92">
        <v>10</v>
      </c>
      <c r="F55" s="92">
        <v>65</v>
      </c>
      <c r="G55" s="91"/>
      <c r="H55" s="91"/>
      <c r="I55" s="91"/>
      <c r="J55" s="91"/>
      <c r="K55" s="91"/>
      <c r="L55" s="91"/>
      <c r="M55" s="91"/>
    </row>
  </sheetData>
  <mergeCells count="2">
    <mergeCell ref="B47:B55"/>
    <mergeCell ref="I53:J5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pane ySplit="1" topLeftCell="A2" activePane="bottomLeft" state="frozen"/>
      <selection pane="bottomLeft" activeCell="H58" sqref="H58:I83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70.28515625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10.8554687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x14ac:dyDescent="0.3">
      <c r="A2" s="100">
        <v>1</v>
      </c>
      <c r="B2" s="102" t="s">
        <v>5</v>
      </c>
      <c r="C2" s="102" t="s">
        <v>6</v>
      </c>
      <c r="D2" s="100">
        <f>SUM(4345+1503+1501+1503+1482+1471+1503+1463+1495)</f>
        <v>16266</v>
      </c>
      <c r="E2" s="100">
        <f>SUM(244+81+78+89+76+89+79+65+76)</f>
        <v>877</v>
      </c>
      <c r="F2" s="101">
        <f>SUM(D2/E2)</f>
        <v>18.547320410490308</v>
      </c>
      <c r="G2" s="100">
        <v>11</v>
      </c>
      <c r="H2" s="100">
        <v>9</v>
      </c>
      <c r="I2" s="100"/>
      <c r="J2" s="100">
        <v>1</v>
      </c>
      <c r="K2" s="100">
        <v>2</v>
      </c>
      <c r="L2" s="100">
        <v>45</v>
      </c>
      <c r="M2" s="105">
        <v>64</v>
      </c>
    </row>
    <row r="3" spans="1:13" ht="18.75" x14ac:dyDescent="0.3">
      <c r="A3" s="100">
        <v>2</v>
      </c>
      <c r="B3" s="102" t="s">
        <v>11</v>
      </c>
      <c r="C3" s="102" t="s">
        <v>6</v>
      </c>
      <c r="D3" s="100">
        <f>SUM(4499+1499+1491+1499+1385+1503+1503+1503+1501)</f>
        <v>16383</v>
      </c>
      <c r="E3" s="100">
        <f>SUM(253+93+80+93+76+68+84+90+80)</f>
        <v>917</v>
      </c>
      <c r="F3" s="101">
        <f>SUM(D3/E3)</f>
        <v>17.865866957470011</v>
      </c>
      <c r="G3" s="100">
        <v>11</v>
      </c>
      <c r="H3" s="100">
        <v>10</v>
      </c>
      <c r="I3" s="100">
        <v>2</v>
      </c>
      <c r="J3" s="100"/>
      <c r="K3" s="100"/>
      <c r="L3" s="100">
        <v>50.5</v>
      </c>
      <c r="M3" s="105">
        <v>40</v>
      </c>
    </row>
    <row r="4" spans="1:13" ht="18.75" x14ac:dyDescent="0.3">
      <c r="A4" s="100">
        <v>3</v>
      </c>
      <c r="B4" s="102" t="s">
        <v>7</v>
      </c>
      <c r="C4" s="102" t="s">
        <v>8</v>
      </c>
      <c r="D4" s="100">
        <f>SUM(4260+1327+1503+1481+1486+1503+1276+1503)</f>
        <v>14339</v>
      </c>
      <c r="E4" s="100">
        <f>SUM(258+90+70+75+111+88+72+80)</f>
        <v>844</v>
      </c>
      <c r="F4" s="101">
        <f>SUM(D4/E4)</f>
        <v>16.989336492890995</v>
      </c>
      <c r="G4" s="100">
        <v>10</v>
      </c>
      <c r="H4" s="100">
        <v>5</v>
      </c>
      <c r="I4" s="100"/>
      <c r="J4" s="100"/>
      <c r="K4" s="100"/>
      <c r="L4" s="100">
        <v>33</v>
      </c>
      <c r="M4" s="105">
        <v>15</v>
      </c>
    </row>
    <row r="5" spans="1:13" ht="18.75" x14ac:dyDescent="0.3">
      <c r="A5" s="100">
        <v>4</v>
      </c>
      <c r="B5" s="102" t="s">
        <v>120</v>
      </c>
      <c r="C5" s="102" t="s">
        <v>20</v>
      </c>
      <c r="D5" s="100">
        <v>1503</v>
      </c>
      <c r="E5" s="100">
        <v>95</v>
      </c>
      <c r="F5" s="101">
        <f>SUM(D5/E5)</f>
        <v>15.821052631578947</v>
      </c>
      <c r="G5" s="100">
        <v>1</v>
      </c>
      <c r="H5" s="100">
        <v>1</v>
      </c>
      <c r="I5" s="100"/>
      <c r="J5" s="100"/>
      <c r="K5" s="100"/>
      <c r="L5" s="100">
        <v>6</v>
      </c>
      <c r="M5" s="105"/>
    </row>
    <row r="6" spans="1:13" ht="18.75" x14ac:dyDescent="0.3">
      <c r="A6" s="100">
        <v>5</v>
      </c>
      <c r="B6" s="102" t="s">
        <v>16</v>
      </c>
      <c r="C6" s="102" t="s">
        <v>17</v>
      </c>
      <c r="D6" s="100">
        <f>SUM(4378+1497+1469+1463+1498+1425+1483+1455+1465)</f>
        <v>16133</v>
      </c>
      <c r="E6" s="100">
        <f>SUM(265+97+103+73+101+83+92+106+113)</f>
        <v>1033</v>
      </c>
      <c r="F6" s="101">
        <f>SUM(D6/E6)</f>
        <v>15.617618586640852</v>
      </c>
      <c r="G6" s="100">
        <v>11</v>
      </c>
      <c r="H6" s="100">
        <v>6</v>
      </c>
      <c r="I6" s="100">
        <v>1</v>
      </c>
      <c r="J6" s="100"/>
      <c r="K6" s="100"/>
      <c r="L6" s="100">
        <v>35</v>
      </c>
      <c r="M6" s="105">
        <v>20</v>
      </c>
    </row>
    <row r="7" spans="1:13" ht="18.75" x14ac:dyDescent="0.3">
      <c r="A7" s="100">
        <v>6</v>
      </c>
      <c r="B7" s="102" t="s">
        <v>12</v>
      </c>
      <c r="C7" s="102" t="s">
        <v>60</v>
      </c>
      <c r="D7" s="100">
        <f>SUM(2996+1503+1503+1500+1499+1372+1431)</f>
        <v>11804</v>
      </c>
      <c r="E7" s="100">
        <f>SUM(199+74+92+109+90+89+109)</f>
        <v>762</v>
      </c>
      <c r="F7" s="101">
        <f>SUM(D7/E7)</f>
        <v>15.490813648293964</v>
      </c>
      <c r="G7" s="100">
        <v>8</v>
      </c>
      <c r="H7" s="100">
        <v>6</v>
      </c>
      <c r="I7" s="100"/>
      <c r="J7" s="100">
        <v>1</v>
      </c>
      <c r="K7" s="100"/>
      <c r="L7" s="100">
        <v>33.5</v>
      </c>
      <c r="M7" s="105">
        <v>9</v>
      </c>
    </row>
    <row r="8" spans="1:13" ht="18.75" x14ac:dyDescent="0.3">
      <c r="A8" s="100">
        <v>7</v>
      </c>
      <c r="B8" s="102" t="s">
        <v>59</v>
      </c>
      <c r="C8" s="102" t="s">
        <v>15</v>
      </c>
      <c r="D8" s="100">
        <f>SUM(4240+943+1368+1499+1283+1375+1447+1496+1075)</f>
        <v>14726</v>
      </c>
      <c r="E8" s="100">
        <f>SUM(261+66+73+96+92+85+108+110+73)</f>
        <v>964</v>
      </c>
      <c r="F8" s="101">
        <f>SUM(D8/E8)</f>
        <v>15.275933609958507</v>
      </c>
      <c r="G8" s="100">
        <v>11</v>
      </c>
      <c r="H8" s="100">
        <v>3</v>
      </c>
      <c r="I8" s="100">
        <v>1</v>
      </c>
      <c r="J8" s="100"/>
      <c r="K8" s="100"/>
      <c r="L8" s="100">
        <v>26.5</v>
      </c>
      <c r="M8" s="105">
        <v>20</v>
      </c>
    </row>
    <row r="9" spans="1:13" ht="18.75" x14ac:dyDescent="0.3">
      <c r="A9" s="100">
        <v>8</v>
      </c>
      <c r="B9" s="102" t="s">
        <v>9</v>
      </c>
      <c r="C9" s="102" t="s">
        <v>10</v>
      </c>
      <c r="D9" s="100">
        <f>SUM(4453+1487+1387+1473+1501+1339+1473+1501+1491)</f>
        <v>16105</v>
      </c>
      <c r="E9" s="100">
        <f>SUM(266+102+81+93+109+80+107+111+108)</f>
        <v>1057</v>
      </c>
      <c r="F9" s="101">
        <f>SUM(D9/E9)</f>
        <v>15.236518448438979</v>
      </c>
      <c r="G9" s="100">
        <v>11</v>
      </c>
      <c r="H9" s="100">
        <v>7</v>
      </c>
      <c r="I9" s="100"/>
      <c r="J9" s="100"/>
      <c r="K9" s="100"/>
      <c r="L9" s="100">
        <v>38</v>
      </c>
      <c r="M9" s="105">
        <v>10</v>
      </c>
    </row>
    <row r="10" spans="1:13" ht="18.75" x14ac:dyDescent="0.3">
      <c r="A10" s="100">
        <v>9</v>
      </c>
      <c r="B10" s="102" t="s">
        <v>109</v>
      </c>
      <c r="C10" s="102" t="s">
        <v>6</v>
      </c>
      <c r="D10" s="100">
        <f>SUM(1501+1503+1357+1480+1437+1503)</f>
        <v>8781</v>
      </c>
      <c r="E10" s="100">
        <f>SUM(102+90+75+103+110+98)</f>
        <v>578</v>
      </c>
      <c r="F10" s="101">
        <f>SUM(D10/E10)</f>
        <v>15.192041522491349</v>
      </c>
      <c r="G10" s="100">
        <v>6</v>
      </c>
      <c r="H10" s="100">
        <v>4</v>
      </c>
      <c r="I10" s="100"/>
      <c r="J10" s="100"/>
      <c r="K10" s="100"/>
      <c r="L10" s="100">
        <v>24</v>
      </c>
      <c r="M10" s="105">
        <v>5</v>
      </c>
    </row>
    <row r="11" spans="1:13" ht="18.75" x14ac:dyDescent="0.3">
      <c r="A11" s="100">
        <v>10</v>
      </c>
      <c r="B11" s="102" t="s">
        <v>19</v>
      </c>
      <c r="C11" s="102" t="s">
        <v>20</v>
      </c>
      <c r="D11" s="100">
        <f>SUM(4014+1424+1445+1425+1487+1441+1467+1264+1503)</f>
        <v>15470</v>
      </c>
      <c r="E11" s="100">
        <f>SUM(269+95+107+110+91+87+106+65+99)</f>
        <v>1029</v>
      </c>
      <c r="F11" s="101">
        <f>SUM(D11/E11)</f>
        <v>15.034013605442176</v>
      </c>
      <c r="G11" s="100">
        <v>11</v>
      </c>
      <c r="H11" s="100">
        <v>4</v>
      </c>
      <c r="I11" s="100">
        <v>1</v>
      </c>
      <c r="J11" s="100"/>
      <c r="K11" s="100"/>
      <c r="L11" s="100">
        <v>30</v>
      </c>
      <c r="M11" s="105">
        <v>20</v>
      </c>
    </row>
    <row r="12" spans="1:13" ht="18.75" x14ac:dyDescent="0.3">
      <c r="A12" s="100">
        <v>11</v>
      </c>
      <c r="B12" s="102" t="s">
        <v>22</v>
      </c>
      <c r="C12" s="102" t="s">
        <v>17</v>
      </c>
      <c r="D12" s="100">
        <f>SUM(4417+1432+1483+1301+1118+1399+1503+1371)</f>
        <v>14024</v>
      </c>
      <c r="E12" s="100">
        <f>SUM(313+95+97+87+69+83+109+86)</f>
        <v>939</v>
      </c>
      <c r="F12" s="101">
        <f>SUM(D12/E12)</f>
        <v>14.935037273695421</v>
      </c>
      <c r="G12" s="100">
        <v>10</v>
      </c>
      <c r="H12" s="100">
        <v>5</v>
      </c>
      <c r="I12" s="100"/>
      <c r="J12" s="100"/>
      <c r="K12" s="100"/>
      <c r="L12" s="100">
        <v>34</v>
      </c>
      <c r="M12" s="105">
        <v>5</v>
      </c>
    </row>
    <row r="13" spans="1:13" ht="18.75" x14ac:dyDescent="0.3">
      <c r="A13" s="100">
        <v>12</v>
      </c>
      <c r="B13" s="102" t="s">
        <v>13</v>
      </c>
      <c r="C13" s="102" t="s">
        <v>8</v>
      </c>
      <c r="D13" s="100">
        <f>SUM(4458+1498+1499+1363+1487+1449+1315+1293+1503)</f>
        <v>15865</v>
      </c>
      <c r="E13" s="100">
        <f>SUM(305+99+94+92+104+102+78+108+82)</f>
        <v>1064</v>
      </c>
      <c r="F13" s="101">
        <f>SUM(D13/E13)</f>
        <v>14.910714285714286</v>
      </c>
      <c r="G13" s="100">
        <v>11</v>
      </c>
      <c r="H13" s="100">
        <v>6</v>
      </c>
      <c r="I13" s="100"/>
      <c r="J13" s="100"/>
      <c r="K13" s="100"/>
      <c r="L13" s="100">
        <v>37.5</v>
      </c>
      <c r="M13" s="105"/>
    </row>
    <row r="14" spans="1:13" ht="18.75" x14ac:dyDescent="0.3">
      <c r="A14" s="100">
        <v>13</v>
      </c>
      <c r="B14" s="100" t="s">
        <v>25</v>
      </c>
      <c r="C14" s="102" t="s">
        <v>10</v>
      </c>
      <c r="D14" s="100">
        <f>SUM(4307+1495+1475+1270+1491+1484+1501+1423)</f>
        <v>14446</v>
      </c>
      <c r="E14" s="100">
        <f>SUM(287+93+99+86+104+105+114+85)</f>
        <v>973</v>
      </c>
      <c r="F14" s="101">
        <f>SUM(D14/E14)</f>
        <v>14.846865364850977</v>
      </c>
      <c r="G14" s="100">
        <v>10</v>
      </c>
      <c r="H14" s="100">
        <v>6</v>
      </c>
      <c r="I14" s="100"/>
      <c r="J14" s="100"/>
      <c r="K14" s="100"/>
      <c r="L14" s="100">
        <v>35</v>
      </c>
      <c r="M14" s="105">
        <v>5</v>
      </c>
    </row>
    <row r="15" spans="1:13" ht="18.75" x14ac:dyDescent="0.3">
      <c r="A15" s="100">
        <v>14</v>
      </c>
      <c r="B15" s="100" t="s">
        <v>24</v>
      </c>
      <c r="C15" s="102" t="s">
        <v>15</v>
      </c>
      <c r="D15" s="100">
        <f>SUM(4314+1332+1237+1359+1503+1503+1472+1210)</f>
        <v>13930</v>
      </c>
      <c r="E15" s="100">
        <f>SUM(296+95+82+85+89+114+108+82)</f>
        <v>951</v>
      </c>
      <c r="F15" s="101">
        <f>SUM(D15/E15)</f>
        <v>14.647739221871714</v>
      </c>
      <c r="G15" s="100">
        <v>10</v>
      </c>
      <c r="H15" s="100">
        <v>5</v>
      </c>
      <c r="I15" s="100"/>
      <c r="J15" s="100"/>
      <c r="K15" s="100"/>
      <c r="L15" s="100">
        <v>25.5</v>
      </c>
      <c r="M15" s="105">
        <v>5</v>
      </c>
    </row>
    <row r="16" spans="1:13" ht="18.75" x14ac:dyDescent="0.3">
      <c r="A16" s="100">
        <v>15</v>
      </c>
      <c r="B16" s="102" t="s">
        <v>31</v>
      </c>
      <c r="C16" s="102" t="s">
        <v>60</v>
      </c>
      <c r="D16" s="100">
        <f>SUM(4180+1503+1503+1503+1348+1390+1356+1464+1325)</f>
        <v>15572</v>
      </c>
      <c r="E16" s="100">
        <f>SUM(270+96+116+116+79+117+83+109+84)</f>
        <v>1070</v>
      </c>
      <c r="F16" s="101">
        <f>SUM(D16/E16)</f>
        <v>14.553271028037383</v>
      </c>
      <c r="G16" s="100">
        <v>11</v>
      </c>
      <c r="H16" s="100">
        <v>8</v>
      </c>
      <c r="I16" s="100"/>
      <c r="J16" s="100"/>
      <c r="K16" s="100"/>
      <c r="L16" s="100">
        <v>38.5</v>
      </c>
      <c r="M16" s="105">
        <v>5</v>
      </c>
    </row>
    <row r="17" spans="1:13" ht="18.75" x14ac:dyDescent="0.3">
      <c r="A17" s="100">
        <v>16</v>
      </c>
      <c r="B17" s="100" t="s">
        <v>21</v>
      </c>
      <c r="C17" s="102" t="s">
        <v>17</v>
      </c>
      <c r="D17" s="100">
        <f>SUM(3916+1494+1503+1419+1500+1503+1487+1291)</f>
        <v>14113</v>
      </c>
      <c r="E17" s="100">
        <f>SUM(279+100+110+93+116+77+109+87)</f>
        <v>971</v>
      </c>
      <c r="F17" s="101">
        <f>SUM(D17/E17)</f>
        <v>14.534500514933059</v>
      </c>
      <c r="G17" s="100">
        <v>10</v>
      </c>
      <c r="H17" s="100">
        <v>6</v>
      </c>
      <c r="I17" s="100"/>
      <c r="J17" s="100"/>
      <c r="K17" s="100"/>
      <c r="L17" s="100">
        <v>33.5</v>
      </c>
      <c r="M17" s="105"/>
    </row>
    <row r="18" spans="1:13" ht="18.75" x14ac:dyDescent="0.3">
      <c r="A18" s="100">
        <v>17</v>
      </c>
      <c r="B18" s="102" t="s">
        <v>94</v>
      </c>
      <c r="C18" s="102" t="s">
        <v>10</v>
      </c>
      <c r="D18" s="100">
        <f>SUM(1503+1225+1463+1475+1457+1483+1499+1415+1483)</f>
        <v>13003</v>
      </c>
      <c r="E18" s="100">
        <f>SUM(114+97+115+98+97+94+114+78+88)</f>
        <v>895</v>
      </c>
      <c r="F18" s="101">
        <f>SUM(D18/E18)</f>
        <v>14.528491620111732</v>
      </c>
      <c r="G18" s="100">
        <v>9</v>
      </c>
      <c r="H18" s="100">
        <v>6</v>
      </c>
      <c r="I18" s="100"/>
      <c r="J18" s="100"/>
      <c r="K18" s="100"/>
      <c r="L18" s="100">
        <v>32</v>
      </c>
      <c r="M18" s="105">
        <v>10</v>
      </c>
    </row>
    <row r="19" spans="1:13" ht="18.75" x14ac:dyDescent="0.3">
      <c r="A19" s="100">
        <v>18</v>
      </c>
      <c r="B19" s="113" t="s">
        <v>50</v>
      </c>
      <c r="C19" s="102" t="s">
        <v>60</v>
      </c>
      <c r="D19" s="100">
        <f>SUM(1462+1503+1165)</f>
        <v>4130</v>
      </c>
      <c r="E19" s="100">
        <f>SUM(111+93+81)</f>
        <v>285</v>
      </c>
      <c r="F19" s="101">
        <f>SUM(D19/E19)</f>
        <v>14.491228070175438</v>
      </c>
      <c r="G19" s="100">
        <v>3</v>
      </c>
      <c r="H19" s="100">
        <v>2</v>
      </c>
      <c r="I19" s="100"/>
      <c r="J19" s="100"/>
      <c r="K19" s="100"/>
      <c r="L19" s="100">
        <v>9.5</v>
      </c>
      <c r="M19" s="105"/>
    </row>
    <row r="20" spans="1:13" ht="18.75" x14ac:dyDescent="0.3">
      <c r="A20" s="100">
        <v>19</v>
      </c>
      <c r="B20" s="102" t="s">
        <v>53</v>
      </c>
      <c r="C20" s="102" t="s">
        <v>54</v>
      </c>
      <c r="D20" s="100">
        <f>SUM(3962+1414+1297+1223+1389+1244+1487+1501)</f>
        <v>13517</v>
      </c>
      <c r="E20" s="100">
        <f>SUM(264+100+87+87+102+77+107+110)</f>
        <v>934</v>
      </c>
      <c r="F20" s="101">
        <f>SUM(D20/E20)</f>
        <v>14.472162740899357</v>
      </c>
      <c r="G20" s="100">
        <v>10</v>
      </c>
      <c r="H20" s="100">
        <v>4</v>
      </c>
      <c r="I20" s="100"/>
      <c r="J20" s="100"/>
      <c r="K20" s="100">
        <v>1</v>
      </c>
      <c r="L20" s="100">
        <v>17.5</v>
      </c>
      <c r="M20" s="105">
        <v>10</v>
      </c>
    </row>
    <row r="21" spans="1:13" ht="18.75" x14ac:dyDescent="0.3">
      <c r="A21" s="100">
        <v>20</v>
      </c>
      <c r="B21" s="102" t="s">
        <v>92</v>
      </c>
      <c r="C21" s="102" t="s">
        <v>60</v>
      </c>
      <c r="D21" s="100">
        <f>SUM(1340+1503+1433+1503+1347+1392+1392)</f>
        <v>9910</v>
      </c>
      <c r="E21" s="100">
        <f>SUM(111+98+87+124+93+78+108)</f>
        <v>699</v>
      </c>
      <c r="F21" s="101">
        <f>SUM(D21/E21)</f>
        <v>14.177396280400572</v>
      </c>
      <c r="G21" s="100">
        <v>7</v>
      </c>
      <c r="H21" s="100">
        <v>4</v>
      </c>
      <c r="I21" s="100"/>
      <c r="J21" s="100"/>
      <c r="K21" s="100"/>
      <c r="L21" s="100">
        <v>19</v>
      </c>
      <c r="M21" s="105"/>
    </row>
    <row r="22" spans="1:13" ht="18.75" x14ac:dyDescent="0.3">
      <c r="A22" s="100">
        <v>21</v>
      </c>
      <c r="B22" s="102" t="s">
        <v>83</v>
      </c>
      <c r="C22" s="102" t="s">
        <v>20</v>
      </c>
      <c r="D22" s="100">
        <f>SUM(1491+1497+1406+1432+1414)</f>
        <v>7240</v>
      </c>
      <c r="E22" s="100">
        <f>SUM(103+112+114+103+102)</f>
        <v>534</v>
      </c>
      <c r="F22" s="101">
        <f>SUM(D22/E22)</f>
        <v>13.558052434456929</v>
      </c>
      <c r="G22" s="100">
        <v>5</v>
      </c>
      <c r="H22" s="100">
        <v>3</v>
      </c>
      <c r="I22" s="100"/>
      <c r="J22" s="100"/>
      <c r="K22" s="100"/>
      <c r="L22" s="100">
        <v>14</v>
      </c>
      <c r="M22" s="105"/>
    </row>
    <row r="23" spans="1:13" ht="18.75" x14ac:dyDescent="0.3">
      <c r="A23" s="100">
        <v>22</v>
      </c>
      <c r="B23" s="102" t="s">
        <v>32</v>
      </c>
      <c r="C23" s="102" t="s">
        <v>60</v>
      </c>
      <c r="D23" s="100">
        <f>SUM(4179+1391+1460+1414+1471+1503+1467+1503)</f>
        <v>14388</v>
      </c>
      <c r="E23" s="100">
        <f>SUM(276+99+123+110+79+123+119+140)</f>
        <v>1069</v>
      </c>
      <c r="F23" s="101">
        <f>SUM(D23/E23)</f>
        <v>13.459307764265668</v>
      </c>
      <c r="G23" s="100">
        <v>10</v>
      </c>
      <c r="H23" s="100">
        <v>4</v>
      </c>
      <c r="I23" s="100"/>
      <c r="J23" s="100"/>
      <c r="K23" s="100"/>
      <c r="L23" s="100">
        <v>32</v>
      </c>
      <c r="M23" s="105"/>
    </row>
    <row r="24" spans="1:13" ht="18.75" x14ac:dyDescent="0.3">
      <c r="A24" s="100">
        <v>23</v>
      </c>
      <c r="B24" s="102" t="s">
        <v>56</v>
      </c>
      <c r="C24" s="102" t="s">
        <v>54</v>
      </c>
      <c r="D24" s="100">
        <f>SUM(4033+1323+1359+1415+1407+1356+1232+1463+1215)</f>
        <v>14803</v>
      </c>
      <c r="E24" s="100">
        <f>SUM(304+111+117+89+85+92+96+111+102)</f>
        <v>1107</v>
      </c>
      <c r="F24" s="101">
        <f>SUM(D24/E24)</f>
        <v>13.372177055103885</v>
      </c>
      <c r="G24" s="100">
        <v>11</v>
      </c>
      <c r="H24" s="100">
        <v>0</v>
      </c>
      <c r="I24" s="100"/>
      <c r="J24" s="100"/>
      <c r="K24" s="100"/>
      <c r="L24" s="100">
        <v>12.5</v>
      </c>
      <c r="M24" s="105">
        <v>5</v>
      </c>
    </row>
    <row r="25" spans="1:13" ht="18.75" x14ac:dyDescent="0.3">
      <c r="A25" s="100">
        <v>24</v>
      </c>
      <c r="B25" s="102" t="s">
        <v>29</v>
      </c>
      <c r="C25" s="102" t="s">
        <v>17</v>
      </c>
      <c r="D25" s="100">
        <f>SUM(2825+1503+1493+1501+1503+1503+1487+1503+1503)</f>
        <v>14821</v>
      </c>
      <c r="E25" s="100">
        <f>SUM(212+89+141+101+92+109+117+145+118)</f>
        <v>1124</v>
      </c>
      <c r="F25" s="101">
        <f>SUM(D25/E25)</f>
        <v>13.185943060498222</v>
      </c>
      <c r="G25" s="100">
        <v>10</v>
      </c>
      <c r="H25" s="100">
        <v>7</v>
      </c>
      <c r="I25" s="100"/>
      <c r="J25" s="100"/>
      <c r="K25" s="100"/>
      <c r="L25" s="100">
        <v>35</v>
      </c>
      <c r="M25" s="105"/>
    </row>
    <row r="26" spans="1:13" ht="18.75" x14ac:dyDescent="0.3">
      <c r="A26" s="100">
        <v>25</v>
      </c>
      <c r="B26" s="102" t="s">
        <v>23</v>
      </c>
      <c r="C26" s="102" t="s">
        <v>20</v>
      </c>
      <c r="D26" s="100">
        <f>SUM(4015+1501+1489+1293+1413+1189+1499)</f>
        <v>12399</v>
      </c>
      <c r="E26" s="100">
        <f>SUM(279+142+111+90+121+84+114)</f>
        <v>941</v>
      </c>
      <c r="F26" s="101">
        <f>SUM(D26/E26)</f>
        <v>13.176408076514347</v>
      </c>
      <c r="G26" s="100">
        <v>9</v>
      </c>
      <c r="H26" s="100">
        <v>3</v>
      </c>
      <c r="I26" s="100">
        <v>1</v>
      </c>
      <c r="J26" s="100"/>
      <c r="K26" s="100"/>
      <c r="L26" s="100">
        <v>18.5</v>
      </c>
      <c r="M26" s="105">
        <v>10</v>
      </c>
    </row>
    <row r="27" spans="1:13" ht="18.75" x14ac:dyDescent="0.3">
      <c r="A27" s="100">
        <v>26</v>
      </c>
      <c r="B27" s="102" t="s">
        <v>14</v>
      </c>
      <c r="C27" s="102" t="s">
        <v>15</v>
      </c>
      <c r="D27" s="100">
        <f>SUM(4418+1300+1489+1476+1458+1503+1423+1219)</f>
        <v>14286</v>
      </c>
      <c r="E27" s="100">
        <f>SUM(337+123+102+107+116+96+114+99)</f>
        <v>1094</v>
      </c>
      <c r="F27" s="101">
        <f>SUM(D27/E27)</f>
        <v>13.058500914076783</v>
      </c>
      <c r="G27" s="100">
        <v>10</v>
      </c>
      <c r="H27" s="100">
        <v>4</v>
      </c>
      <c r="I27" s="100"/>
      <c r="J27" s="100"/>
      <c r="K27" s="100"/>
      <c r="L27" s="100">
        <v>23</v>
      </c>
      <c r="M27" s="105"/>
    </row>
    <row r="28" spans="1:13" ht="18.75" x14ac:dyDescent="0.3">
      <c r="A28" s="100">
        <v>27</v>
      </c>
      <c r="B28" s="102" t="s">
        <v>18</v>
      </c>
      <c r="C28" s="102" t="s">
        <v>8</v>
      </c>
      <c r="D28" s="100">
        <f>SUM(2974+877+1208+1310+1478+1452+1493+1498)</f>
        <v>12290</v>
      </c>
      <c r="E28" s="100">
        <f>SUM(230+75+95+92+140+100+110+104)</f>
        <v>946</v>
      </c>
      <c r="F28" s="101">
        <f>SUM(D28/E28)</f>
        <v>12.99154334038055</v>
      </c>
      <c r="G28" s="100">
        <v>9</v>
      </c>
      <c r="H28" s="100">
        <v>5</v>
      </c>
      <c r="I28" s="100"/>
      <c r="J28" s="100"/>
      <c r="K28" s="100"/>
      <c r="L28" s="100">
        <v>26</v>
      </c>
      <c r="M28" s="105"/>
    </row>
    <row r="29" spans="1:13" ht="18.75" x14ac:dyDescent="0.3">
      <c r="A29" s="100">
        <v>28</v>
      </c>
      <c r="B29" s="102" t="s">
        <v>52</v>
      </c>
      <c r="C29" s="102" t="s">
        <v>20</v>
      </c>
      <c r="D29" s="100">
        <f>SUM(4464+1503+1432+1431+1422+1487+1493+1503)</f>
        <v>14735</v>
      </c>
      <c r="E29" s="100">
        <f>SUM(372+122+97+97+111+143+105+112)</f>
        <v>1159</v>
      </c>
      <c r="F29" s="101">
        <f>SUM(D29/E29)</f>
        <v>12.713546160483174</v>
      </c>
      <c r="G29" s="100">
        <v>10</v>
      </c>
      <c r="H29" s="100">
        <v>6</v>
      </c>
      <c r="I29" s="100"/>
      <c r="J29" s="100"/>
      <c r="K29" s="100"/>
      <c r="L29" s="100">
        <v>34.5</v>
      </c>
      <c r="M29" s="105"/>
    </row>
    <row r="30" spans="1:13" ht="18.75" x14ac:dyDescent="0.3">
      <c r="A30" s="100">
        <v>29</v>
      </c>
      <c r="B30" s="102" t="s">
        <v>28</v>
      </c>
      <c r="C30" s="102" t="s">
        <v>6</v>
      </c>
      <c r="D30" s="100">
        <f>SUM(2923)</f>
        <v>2923</v>
      </c>
      <c r="E30" s="100">
        <f>SUM(232)</f>
        <v>232</v>
      </c>
      <c r="F30" s="101">
        <f>SUM(D30/E30)</f>
        <v>12.599137931034482</v>
      </c>
      <c r="G30" s="100">
        <v>2</v>
      </c>
      <c r="H30" s="100">
        <v>0</v>
      </c>
      <c r="I30" s="100">
        <v>1</v>
      </c>
      <c r="J30" s="100"/>
      <c r="K30" s="100"/>
      <c r="L30" s="100">
        <v>4.5</v>
      </c>
      <c r="M30" s="105">
        <v>10</v>
      </c>
    </row>
    <row r="31" spans="1:13" ht="18.75" x14ac:dyDescent="0.3">
      <c r="A31" s="100">
        <v>30</v>
      </c>
      <c r="B31" s="102" t="s">
        <v>26</v>
      </c>
      <c r="C31" s="102" t="s">
        <v>10</v>
      </c>
      <c r="D31" s="100">
        <f>SUM(2859+1503)</f>
        <v>4362</v>
      </c>
      <c r="E31" s="100">
        <f>SUM(255+93)</f>
        <v>348</v>
      </c>
      <c r="F31" s="101">
        <f>SUM(D31/E31)</f>
        <v>12.53448275862069</v>
      </c>
      <c r="G31" s="100">
        <v>3</v>
      </c>
      <c r="H31" s="100">
        <v>1</v>
      </c>
      <c r="I31" s="100"/>
      <c r="J31" s="100"/>
      <c r="K31" s="100"/>
      <c r="L31" s="100">
        <v>11.5</v>
      </c>
      <c r="M31" s="105"/>
    </row>
    <row r="32" spans="1:13" ht="18.75" x14ac:dyDescent="0.3">
      <c r="A32" s="100">
        <v>31</v>
      </c>
      <c r="B32" s="102" t="s">
        <v>80</v>
      </c>
      <c r="C32" s="102" t="s">
        <v>17</v>
      </c>
      <c r="D32" s="100">
        <f>SUM(1503+1503+1219)</f>
        <v>4225</v>
      </c>
      <c r="E32" s="100">
        <f>SUM(125+120+93)</f>
        <v>338</v>
      </c>
      <c r="F32" s="101">
        <f>SUM(D32/E32)</f>
        <v>12.5</v>
      </c>
      <c r="G32" s="100">
        <v>3</v>
      </c>
      <c r="H32" s="100">
        <v>2</v>
      </c>
      <c r="I32" s="100"/>
      <c r="J32" s="100"/>
      <c r="K32" s="100"/>
      <c r="L32" s="100">
        <v>12.5</v>
      </c>
      <c r="M32" s="105"/>
    </row>
    <row r="33" spans="1:13" ht="18.75" x14ac:dyDescent="0.3">
      <c r="A33" s="100">
        <v>32</v>
      </c>
      <c r="B33" s="102" t="s">
        <v>82</v>
      </c>
      <c r="C33" s="102" t="s">
        <v>15</v>
      </c>
      <c r="D33" s="100">
        <f>SUM(1503+1483)</f>
        <v>2986</v>
      </c>
      <c r="E33" s="100">
        <f>SUM(105+135)</f>
        <v>240</v>
      </c>
      <c r="F33" s="101">
        <f>SUM(D33/E33)</f>
        <v>12.441666666666666</v>
      </c>
      <c r="G33" s="100">
        <v>2</v>
      </c>
      <c r="H33" s="100">
        <v>2</v>
      </c>
      <c r="I33" s="100"/>
      <c r="J33" s="100"/>
      <c r="K33" s="100"/>
      <c r="L33" s="100">
        <v>5.5</v>
      </c>
      <c r="M33" s="105"/>
    </row>
    <row r="34" spans="1:13" ht="18.75" x14ac:dyDescent="0.3">
      <c r="A34" s="100">
        <v>33</v>
      </c>
      <c r="B34" s="102" t="s">
        <v>79</v>
      </c>
      <c r="C34" s="102" t="s">
        <v>60</v>
      </c>
      <c r="D34" s="100">
        <f>SUM(2822+1492+1458+1346)</f>
        <v>7118</v>
      </c>
      <c r="E34" s="100">
        <f>SUM(261+118+100+100)</f>
        <v>579</v>
      </c>
      <c r="F34" s="101">
        <f>SUM(D34/E34)</f>
        <v>12.293609671848014</v>
      </c>
      <c r="G34" s="100">
        <v>5</v>
      </c>
      <c r="H34" s="100">
        <v>3</v>
      </c>
      <c r="I34" s="100"/>
      <c r="J34" s="100"/>
      <c r="K34" s="100"/>
      <c r="L34" s="100">
        <v>18.5</v>
      </c>
      <c r="M34" s="105"/>
    </row>
    <row r="35" spans="1:13" ht="18.75" x14ac:dyDescent="0.3">
      <c r="A35" s="100">
        <v>34</v>
      </c>
      <c r="B35" s="102" t="s">
        <v>61</v>
      </c>
      <c r="C35" s="102" t="s">
        <v>6</v>
      </c>
      <c r="D35" s="100">
        <f>SUM(4453+1501+1503+1444+1480+1503+1483+1492)</f>
        <v>14859</v>
      </c>
      <c r="E35" s="100">
        <f>SUM(394+142+114+116+102+95+147+117)</f>
        <v>1227</v>
      </c>
      <c r="F35" s="101">
        <f>SUM(D35/E35)</f>
        <v>12.11002444987775</v>
      </c>
      <c r="G35" s="100">
        <v>10</v>
      </c>
      <c r="H35" s="100">
        <v>6</v>
      </c>
      <c r="I35" s="100"/>
      <c r="J35" s="100"/>
      <c r="K35" s="100"/>
      <c r="L35" s="100">
        <v>33</v>
      </c>
      <c r="M35" s="105">
        <v>5</v>
      </c>
    </row>
    <row r="36" spans="1:13" ht="18.75" x14ac:dyDescent="0.3">
      <c r="A36" s="100">
        <v>35</v>
      </c>
      <c r="B36" s="102" t="s">
        <v>91</v>
      </c>
      <c r="C36" s="102" t="s">
        <v>6</v>
      </c>
      <c r="D36" s="100">
        <f>SUM(1496+1347+1501+1316)</f>
        <v>5660</v>
      </c>
      <c r="E36" s="100">
        <f>SUM(127+116+121+105)</f>
        <v>469</v>
      </c>
      <c r="F36" s="101">
        <f>SUM(D36/E36)</f>
        <v>12.068230277185501</v>
      </c>
      <c r="G36" s="100">
        <v>4</v>
      </c>
      <c r="H36" s="100">
        <v>2</v>
      </c>
      <c r="I36" s="100"/>
      <c r="J36" s="100"/>
      <c r="K36" s="100"/>
      <c r="L36" s="100">
        <v>17.5</v>
      </c>
      <c r="M36" s="105"/>
    </row>
    <row r="37" spans="1:13" ht="18.75" x14ac:dyDescent="0.3">
      <c r="A37" s="100">
        <v>36</v>
      </c>
      <c r="B37" s="100" t="s">
        <v>27</v>
      </c>
      <c r="C37" s="102" t="s">
        <v>10</v>
      </c>
      <c r="D37" s="100">
        <f>SUM(4296+1328+1494+1503+1503+1492+1369+1263+1401)</f>
        <v>15649</v>
      </c>
      <c r="E37" s="100">
        <f>SUM(372+84+136+118+151+151+96+90+114)</f>
        <v>1312</v>
      </c>
      <c r="F37" s="101">
        <f>SUM(D37/E37)</f>
        <v>11.927591463414634</v>
      </c>
      <c r="G37" s="100">
        <v>11</v>
      </c>
      <c r="H37" s="100">
        <v>4</v>
      </c>
      <c r="I37" s="100"/>
      <c r="J37" s="100"/>
      <c r="K37" s="100"/>
      <c r="L37" s="100">
        <v>35.5</v>
      </c>
      <c r="M37" s="105">
        <v>5</v>
      </c>
    </row>
    <row r="38" spans="1:13" ht="18.75" x14ac:dyDescent="0.3">
      <c r="A38" s="100">
        <v>37</v>
      </c>
      <c r="B38" s="102" t="s">
        <v>93</v>
      </c>
      <c r="C38" s="102" t="s">
        <v>15</v>
      </c>
      <c r="D38" s="100">
        <f>SUM(1208+1312+1237+1479+1503+1336)</f>
        <v>8075</v>
      </c>
      <c r="E38" s="100">
        <f>SUM(93+114+114+125+121+114)</f>
        <v>681</v>
      </c>
      <c r="F38" s="101">
        <f>SUM(D38/E38)</f>
        <v>11.857562408223201</v>
      </c>
      <c r="G38" s="100">
        <v>6</v>
      </c>
      <c r="H38" s="100">
        <v>1</v>
      </c>
      <c r="I38" s="100"/>
      <c r="J38" s="100"/>
      <c r="K38" s="100"/>
      <c r="L38" s="100">
        <v>11.5</v>
      </c>
      <c r="M38" s="105"/>
    </row>
    <row r="39" spans="1:13" ht="18.75" x14ac:dyDescent="0.3">
      <c r="A39" s="100">
        <v>38</v>
      </c>
      <c r="B39" s="102" t="s">
        <v>136</v>
      </c>
      <c r="C39" s="102" t="s">
        <v>54</v>
      </c>
      <c r="D39" s="100">
        <v>1295</v>
      </c>
      <c r="E39" s="100">
        <v>111</v>
      </c>
      <c r="F39" s="101">
        <f>SUM(D39/E39)</f>
        <v>11.666666666666666</v>
      </c>
      <c r="G39" s="100">
        <v>1</v>
      </c>
      <c r="H39" s="100"/>
      <c r="I39" s="100"/>
      <c r="J39" s="100"/>
      <c r="K39" s="100"/>
      <c r="L39" s="100">
        <v>0.5</v>
      </c>
      <c r="M39" s="105"/>
    </row>
    <row r="40" spans="1:13" ht="18.75" x14ac:dyDescent="0.3">
      <c r="A40" s="100">
        <v>39</v>
      </c>
      <c r="B40" s="102" t="s">
        <v>81</v>
      </c>
      <c r="C40" s="102" t="s">
        <v>8</v>
      </c>
      <c r="D40" s="100">
        <f>SUM(1456+1499+1222+1379)</f>
        <v>5556</v>
      </c>
      <c r="E40" s="100">
        <f>SUM(107+138+115+120)</f>
        <v>480</v>
      </c>
      <c r="F40" s="101">
        <f>SUM(D40/E40)</f>
        <v>11.574999999999999</v>
      </c>
      <c r="G40" s="100">
        <v>4</v>
      </c>
      <c r="H40" s="100">
        <v>1</v>
      </c>
      <c r="I40" s="100"/>
      <c r="J40" s="100"/>
      <c r="K40" s="100"/>
      <c r="L40" s="100">
        <v>11</v>
      </c>
      <c r="M40" s="105"/>
    </row>
    <row r="41" spans="1:13" ht="18.75" x14ac:dyDescent="0.3">
      <c r="A41" s="100">
        <v>40</v>
      </c>
      <c r="B41" s="102" t="s">
        <v>58</v>
      </c>
      <c r="C41" s="102" t="s">
        <v>54</v>
      </c>
      <c r="D41" s="100">
        <f>SUM(4183+1360+1165+1035+1124+1035+1396+1487+1297)</f>
        <v>14082</v>
      </c>
      <c r="E41" s="100">
        <f>SUM(385+117+96+99+87+87+120+119+108)</f>
        <v>1218</v>
      </c>
      <c r="F41" s="101">
        <f>SUM(D41/E41)</f>
        <v>11.561576354679802</v>
      </c>
      <c r="G41" s="100">
        <v>11</v>
      </c>
      <c r="H41" s="100">
        <v>2</v>
      </c>
      <c r="I41" s="100"/>
      <c r="J41" s="100"/>
      <c r="K41" s="100"/>
      <c r="L41" s="100">
        <v>15.5</v>
      </c>
      <c r="M41" s="105"/>
    </row>
    <row r="42" spans="1:13" ht="18.75" x14ac:dyDescent="0.3">
      <c r="A42" s="100">
        <v>41</v>
      </c>
      <c r="B42" s="102" t="s">
        <v>57</v>
      </c>
      <c r="C42" s="102" t="s">
        <v>15</v>
      </c>
      <c r="D42" s="100">
        <f>SUM(1259+1503)</f>
        <v>2762</v>
      </c>
      <c r="E42" s="100">
        <f>SUM(102+139)</f>
        <v>241</v>
      </c>
      <c r="F42" s="101">
        <f>SUM(D42/E42)</f>
        <v>11.460580912863071</v>
      </c>
      <c r="G42" s="100">
        <v>2</v>
      </c>
      <c r="H42" s="100">
        <v>1</v>
      </c>
      <c r="I42" s="100"/>
      <c r="J42" s="100"/>
      <c r="K42" s="100"/>
      <c r="L42" s="100">
        <v>4</v>
      </c>
      <c r="M42" s="105"/>
    </row>
    <row r="43" spans="1:13" ht="18.75" x14ac:dyDescent="0.3">
      <c r="A43" s="100">
        <v>42</v>
      </c>
      <c r="B43" s="102" t="s">
        <v>55</v>
      </c>
      <c r="C43" s="102" t="s">
        <v>54</v>
      </c>
      <c r="D43" s="100">
        <f>SUM(4065+1275+1469+1496+1425+1324+1487+1322)</f>
        <v>13863</v>
      </c>
      <c r="E43" s="100">
        <f>SUM(355+120+124+117+113+150+154+124)</f>
        <v>1257</v>
      </c>
      <c r="F43" s="101">
        <f>SUM(D43/E43)</f>
        <v>11.028639618138424</v>
      </c>
      <c r="G43" s="100">
        <v>10</v>
      </c>
      <c r="H43" s="100">
        <v>3</v>
      </c>
      <c r="I43" s="100"/>
      <c r="J43" s="100"/>
      <c r="K43" s="100"/>
      <c r="L43" s="100">
        <v>18.5</v>
      </c>
      <c r="M43" s="105"/>
    </row>
    <row r="44" spans="1:13" ht="18.75" x14ac:dyDescent="0.3">
      <c r="A44" s="100">
        <v>43</v>
      </c>
      <c r="B44" s="102" t="s">
        <v>51</v>
      </c>
      <c r="C44" s="102" t="s">
        <v>20</v>
      </c>
      <c r="D44" s="100">
        <f>SUM(2846+1454+1168+1455+1454+1501+1459)</f>
        <v>11337</v>
      </c>
      <c r="E44" s="100">
        <f>SUM(250+115+105+129+101+149+180)</f>
        <v>1029</v>
      </c>
      <c r="F44" s="101">
        <f>SUM(D44/E44)</f>
        <v>11.017492711370263</v>
      </c>
      <c r="G44" s="100">
        <v>8</v>
      </c>
      <c r="H44" s="100">
        <v>5</v>
      </c>
      <c r="I44" s="100"/>
      <c r="J44" s="100"/>
      <c r="K44" s="100"/>
      <c r="L44" s="100">
        <v>23</v>
      </c>
      <c r="M44" s="105"/>
    </row>
    <row r="45" spans="1:13" ht="18.75" x14ac:dyDescent="0.3">
      <c r="A45" s="100">
        <v>44</v>
      </c>
      <c r="B45" s="102" t="s">
        <v>30</v>
      </c>
      <c r="C45" s="102" t="s">
        <v>8</v>
      </c>
      <c r="D45" s="100">
        <f>SUM(4393+1267+1402+1455+999+1179+1495+1282)</f>
        <v>13472</v>
      </c>
      <c r="E45" s="100">
        <f>SUM(432+120+135+153+90+90+129+135)</f>
        <v>1284</v>
      </c>
      <c r="F45" s="101">
        <f>SUM(D45/E45)</f>
        <v>10.492211838006231</v>
      </c>
      <c r="G45" s="100">
        <v>10</v>
      </c>
      <c r="H45" s="100">
        <v>2</v>
      </c>
      <c r="I45" s="100"/>
      <c r="J45" s="100"/>
      <c r="K45" s="100"/>
      <c r="L45" s="100">
        <v>16.5</v>
      </c>
      <c r="M45" s="105"/>
    </row>
    <row r="46" spans="1:13" ht="18.75" x14ac:dyDescent="0.3">
      <c r="A46" s="100">
        <v>45</v>
      </c>
      <c r="B46" s="102" t="s">
        <v>119</v>
      </c>
      <c r="C46" s="102" t="s">
        <v>15</v>
      </c>
      <c r="D46" s="100">
        <f>SUM(1331+1487+1345)</f>
        <v>4163</v>
      </c>
      <c r="E46" s="100">
        <f>SUM(120+161+141)</f>
        <v>422</v>
      </c>
      <c r="F46" s="101">
        <f>SUM(D46/E46)</f>
        <v>9.8649289099526065</v>
      </c>
      <c r="G46" s="100">
        <v>3</v>
      </c>
      <c r="H46" s="100">
        <v>1</v>
      </c>
      <c r="I46" s="100"/>
      <c r="J46" s="100"/>
      <c r="K46" s="100"/>
      <c r="L46" s="100">
        <v>3.5</v>
      </c>
      <c r="M46" s="105"/>
    </row>
    <row r="47" spans="1:13" ht="18.75" x14ac:dyDescent="0.3">
      <c r="A47" s="100">
        <v>46</v>
      </c>
      <c r="B47" s="102" t="s">
        <v>135</v>
      </c>
      <c r="C47" s="102" t="s">
        <v>54</v>
      </c>
      <c r="D47" s="100">
        <v>1469</v>
      </c>
      <c r="E47" s="100">
        <v>180</v>
      </c>
      <c r="F47" s="101">
        <f>SUM(D47/E47)</f>
        <v>8.1611111111111114</v>
      </c>
      <c r="G47" s="100">
        <v>1</v>
      </c>
      <c r="H47" s="100"/>
      <c r="I47" s="100"/>
      <c r="J47" s="100"/>
      <c r="K47" s="100"/>
      <c r="L47" s="100">
        <v>0.5</v>
      </c>
      <c r="M47" s="105"/>
    </row>
    <row r="48" spans="1:13" ht="19.5" thickBot="1" x14ac:dyDescent="0.35">
      <c r="A48" s="92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</row>
    <row r="49" spans="1:13" ht="15" customHeight="1" thickBot="1" x14ac:dyDescent="0.35">
      <c r="A49" s="92"/>
      <c r="B49" s="99" t="s">
        <v>134</v>
      </c>
      <c r="C49" s="98" t="s">
        <v>33</v>
      </c>
      <c r="D49" s="97" t="s">
        <v>34</v>
      </c>
      <c r="E49" s="97" t="s">
        <v>35</v>
      </c>
      <c r="F49" s="97" t="s">
        <v>36</v>
      </c>
      <c r="G49" s="97"/>
      <c r="H49" s="97"/>
      <c r="I49" s="96"/>
      <c r="J49" s="91"/>
      <c r="K49" s="91"/>
      <c r="L49" s="91"/>
      <c r="M49" s="91"/>
    </row>
    <row r="50" spans="1:13" ht="18.75" x14ac:dyDescent="0.3">
      <c r="A50" s="92"/>
      <c r="B50" s="93"/>
      <c r="C50" s="92" t="s">
        <v>39</v>
      </c>
      <c r="D50" s="92">
        <v>10</v>
      </c>
      <c r="E50" s="91">
        <v>1</v>
      </c>
      <c r="F50" s="91">
        <v>177</v>
      </c>
      <c r="G50" s="91"/>
      <c r="H50" s="92" t="s">
        <v>38</v>
      </c>
      <c r="I50" s="95" t="s">
        <v>133</v>
      </c>
      <c r="J50" s="91"/>
      <c r="K50" s="95"/>
      <c r="L50" s="91"/>
      <c r="M50" s="91"/>
    </row>
    <row r="51" spans="1:13" ht="18.75" x14ac:dyDescent="0.3">
      <c r="A51" s="92"/>
      <c r="B51" s="93"/>
      <c r="C51" s="92" t="s">
        <v>42</v>
      </c>
      <c r="D51" s="92">
        <v>8</v>
      </c>
      <c r="E51" s="91">
        <v>3</v>
      </c>
      <c r="F51" s="91">
        <v>160</v>
      </c>
      <c r="G51" s="91"/>
      <c r="H51" s="92" t="s">
        <v>40</v>
      </c>
      <c r="I51" s="95" t="s">
        <v>132</v>
      </c>
      <c r="J51" s="91"/>
      <c r="K51" s="92"/>
      <c r="L51" s="91"/>
      <c r="M51" s="91"/>
    </row>
    <row r="52" spans="1:13" ht="18.75" x14ac:dyDescent="0.3">
      <c r="A52" s="92"/>
      <c r="B52" s="93"/>
      <c r="C52" s="92" t="s">
        <v>37</v>
      </c>
      <c r="D52" s="92">
        <v>8</v>
      </c>
      <c r="E52" s="91">
        <v>3</v>
      </c>
      <c r="F52" s="91">
        <v>152</v>
      </c>
      <c r="G52" s="91"/>
      <c r="H52" s="92" t="s">
        <v>41</v>
      </c>
      <c r="I52" s="95" t="s">
        <v>131</v>
      </c>
      <c r="J52" s="91"/>
      <c r="K52" s="95"/>
      <c r="L52" s="91"/>
      <c r="M52" s="91"/>
    </row>
    <row r="53" spans="1:13" ht="18.75" x14ac:dyDescent="0.3">
      <c r="A53" s="91"/>
      <c r="B53" s="93"/>
      <c r="C53" s="92" t="s">
        <v>63</v>
      </c>
      <c r="D53" s="92">
        <v>7</v>
      </c>
      <c r="E53" s="92">
        <v>4</v>
      </c>
      <c r="F53" s="92">
        <v>152</v>
      </c>
      <c r="G53" s="91"/>
      <c r="H53" s="92" t="s">
        <v>43</v>
      </c>
      <c r="I53" s="95" t="s">
        <v>130</v>
      </c>
      <c r="J53" s="91"/>
      <c r="K53" s="92"/>
      <c r="L53" s="91"/>
      <c r="M53" s="91"/>
    </row>
    <row r="54" spans="1:13" ht="18" customHeight="1" x14ac:dyDescent="0.3">
      <c r="A54" s="91"/>
      <c r="B54" s="93"/>
      <c r="C54" s="92" t="s">
        <v>48</v>
      </c>
      <c r="D54" s="92">
        <v>4</v>
      </c>
      <c r="E54" s="91">
        <v>7</v>
      </c>
      <c r="F54" s="91">
        <v>127</v>
      </c>
      <c r="G54" s="91"/>
      <c r="H54" s="92" t="s">
        <v>45</v>
      </c>
      <c r="I54" s="95" t="s">
        <v>86</v>
      </c>
      <c r="J54" s="91"/>
      <c r="K54" s="92"/>
      <c r="L54" s="91"/>
      <c r="M54" s="91"/>
    </row>
    <row r="55" spans="1:13" ht="18" customHeight="1" x14ac:dyDescent="0.3">
      <c r="A55" s="91"/>
      <c r="B55" s="93"/>
      <c r="C55" s="92" t="s">
        <v>47</v>
      </c>
      <c r="D55" s="92">
        <v>5</v>
      </c>
      <c r="E55" s="91">
        <v>6</v>
      </c>
      <c r="F55" s="91">
        <v>121</v>
      </c>
      <c r="G55" s="91"/>
      <c r="H55" s="92" t="s">
        <v>46</v>
      </c>
      <c r="I55" s="107" t="s">
        <v>99</v>
      </c>
      <c r="J55" s="107"/>
      <c r="K55" s="92"/>
      <c r="L55" s="91"/>
      <c r="M55" s="91"/>
    </row>
    <row r="56" spans="1:13" ht="18.75" x14ac:dyDescent="0.3">
      <c r="A56" s="91"/>
      <c r="B56" s="93"/>
      <c r="C56" s="92" t="s">
        <v>44</v>
      </c>
      <c r="D56" s="92">
        <v>2</v>
      </c>
      <c r="E56" s="92">
        <v>9</v>
      </c>
      <c r="F56" s="92">
        <v>101</v>
      </c>
      <c r="G56" s="91"/>
      <c r="H56" s="91"/>
      <c r="I56" s="91"/>
      <c r="J56" s="91"/>
      <c r="K56" s="91"/>
      <c r="L56" s="91"/>
      <c r="M56" s="91"/>
    </row>
    <row r="57" spans="1:13" ht="18.75" x14ac:dyDescent="0.3">
      <c r="A57" s="91"/>
      <c r="B57" s="93"/>
      <c r="C57" s="92" t="s">
        <v>49</v>
      </c>
      <c r="D57" s="92">
        <v>0</v>
      </c>
      <c r="E57" s="92">
        <v>11</v>
      </c>
      <c r="F57" s="92">
        <v>68</v>
      </c>
      <c r="G57" s="91"/>
      <c r="H57" s="91"/>
      <c r="I57" s="91"/>
      <c r="J57" s="91"/>
      <c r="K57" s="91"/>
      <c r="L57" s="91"/>
      <c r="M57" s="91"/>
    </row>
  </sheetData>
  <mergeCells count="2">
    <mergeCell ref="B49:B57"/>
    <mergeCell ref="I55:J5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B1" workbookViewId="0">
      <pane ySplit="1" topLeftCell="A2" activePane="bottomLeft" state="frozen"/>
      <selection pane="bottomLeft" activeCell="B4" sqref="B4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70.28515625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10.8554687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x14ac:dyDescent="0.3">
      <c r="A2" s="100">
        <v>1</v>
      </c>
      <c r="B2" s="102" t="s">
        <v>5</v>
      </c>
      <c r="C2" s="102" t="s">
        <v>6</v>
      </c>
      <c r="D2" s="100">
        <f>SUM(4345+1503+1501+1503+1482+1471+1503+1463+1495+1483)</f>
        <v>17749</v>
      </c>
      <c r="E2" s="100">
        <f>SUM(244+81+78+89+76+89+79+65+76+84)</f>
        <v>961</v>
      </c>
      <c r="F2" s="101">
        <f>SUM(D2/E2)</f>
        <v>18.46930280957336</v>
      </c>
      <c r="G2" s="100">
        <v>12</v>
      </c>
      <c r="H2" s="100">
        <v>10</v>
      </c>
      <c r="I2" s="100"/>
      <c r="J2" s="100">
        <v>2</v>
      </c>
      <c r="K2" s="100">
        <v>2</v>
      </c>
      <c r="L2" s="100">
        <v>49.5</v>
      </c>
      <c r="M2" s="105">
        <v>73</v>
      </c>
    </row>
    <row r="3" spans="1:13" ht="18.75" x14ac:dyDescent="0.3">
      <c r="A3" s="100">
        <v>2</v>
      </c>
      <c r="B3" s="102" t="s">
        <v>11</v>
      </c>
      <c r="C3" s="102" t="s">
        <v>6</v>
      </c>
      <c r="D3" s="100">
        <f>SUM(4499+1499+1491+1499+1385+1503+1503+1503+1501+1466)</f>
        <v>17849</v>
      </c>
      <c r="E3" s="100">
        <f>SUM(253+93+80+93+76+68+84+90+80+90)</f>
        <v>1007</v>
      </c>
      <c r="F3" s="101">
        <f>SUM(D3/E3)</f>
        <v>17.724925521350546</v>
      </c>
      <c r="G3" s="100">
        <v>12</v>
      </c>
      <c r="H3" s="100">
        <v>11</v>
      </c>
      <c r="I3" s="100">
        <v>3</v>
      </c>
      <c r="J3" s="100"/>
      <c r="K3" s="100"/>
      <c r="L3" s="100">
        <v>55</v>
      </c>
      <c r="M3" s="105">
        <v>50</v>
      </c>
    </row>
    <row r="4" spans="1:13" ht="18.75" x14ac:dyDescent="0.3">
      <c r="A4" s="100">
        <v>3</v>
      </c>
      <c r="B4" s="102" t="s">
        <v>7</v>
      </c>
      <c r="C4" s="102" t="s">
        <v>8</v>
      </c>
      <c r="D4" s="100">
        <f>SUM(4260+1327+1503+1481+1486+1503+1276+1503+1444)</f>
        <v>15783</v>
      </c>
      <c r="E4" s="100">
        <f>SUM(258+90+70+75+111+88+72+80+68)</f>
        <v>912</v>
      </c>
      <c r="F4" s="101">
        <f>SUM(D4/E4)</f>
        <v>17.305921052631579</v>
      </c>
      <c r="G4" s="100">
        <v>11</v>
      </c>
      <c r="H4" s="100">
        <v>6</v>
      </c>
      <c r="I4" s="100"/>
      <c r="J4" s="100"/>
      <c r="K4" s="100"/>
      <c r="L4" s="100">
        <v>36.5</v>
      </c>
      <c r="M4" s="105">
        <v>20</v>
      </c>
    </row>
    <row r="5" spans="1:13" ht="18.75" x14ac:dyDescent="0.3">
      <c r="A5" s="100">
        <v>4</v>
      </c>
      <c r="B5" s="102" t="s">
        <v>120</v>
      </c>
      <c r="C5" s="102" t="s">
        <v>20</v>
      </c>
      <c r="D5" s="100">
        <f>SUM(1503+1492)</f>
        <v>2995</v>
      </c>
      <c r="E5" s="100">
        <f>SUM(95+83)</f>
        <v>178</v>
      </c>
      <c r="F5" s="101">
        <f>SUM(D5/E5)</f>
        <v>16.825842696629213</v>
      </c>
      <c r="G5" s="100">
        <v>2</v>
      </c>
      <c r="H5" s="100">
        <v>1</v>
      </c>
      <c r="I5" s="100"/>
      <c r="J5" s="100"/>
      <c r="K5" s="100"/>
      <c r="L5" s="100">
        <v>8.5</v>
      </c>
      <c r="M5" s="105"/>
    </row>
    <row r="6" spans="1:13" ht="18.75" x14ac:dyDescent="0.3">
      <c r="A6" s="100">
        <v>5</v>
      </c>
      <c r="B6" s="102" t="s">
        <v>16</v>
      </c>
      <c r="C6" s="102" t="s">
        <v>17</v>
      </c>
      <c r="D6" s="100">
        <f>SUM(4378+1497+1469+1463+1498+1425+1483+1455+1465+1387)</f>
        <v>17520</v>
      </c>
      <c r="E6" s="100">
        <f>SUM(265+97+103+73+101+83+92+106+113+89)</f>
        <v>1122</v>
      </c>
      <c r="F6" s="101">
        <f>SUM(D6/E6)</f>
        <v>15.614973262032086</v>
      </c>
      <c r="G6" s="100">
        <v>12</v>
      </c>
      <c r="H6" s="100">
        <v>7</v>
      </c>
      <c r="I6" s="100">
        <v>1</v>
      </c>
      <c r="J6" s="100"/>
      <c r="K6" s="100"/>
      <c r="L6" s="100">
        <v>39</v>
      </c>
      <c r="M6" s="105">
        <v>20</v>
      </c>
    </row>
    <row r="7" spans="1:13" ht="18.75" x14ac:dyDescent="0.3">
      <c r="A7" s="100">
        <v>6</v>
      </c>
      <c r="B7" s="102" t="s">
        <v>59</v>
      </c>
      <c r="C7" s="102" t="s">
        <v>15</v>
      </c>
      <c r="D7" s="100">
        <f>SUM(4240+943+1368+1499+1283+1375+1447+1496+1075+1267)</f>
        <v>15993</v>
      </c>
      <c r="E7" s="100">
        <f>SUM(261+66+73+96+92+85+108+110+73+66)</f>
        <v>1030</v>
      </c>
      <c r="F7" s="101">
        <f>SUM(D7/E7)</f>
        <v>15.527184466019417</v>
      </c>
      <c r="G7" s="100">
        <v>12</v>
      </c>
      <c r="H7" s="100">
        <v>3</v>
      </c>
      <c r="I7" s="100">
        <v>1</v>
      </c>
      <c r="J7" s="100"/>
      <c r="K7" s="100"/>
      <c r="L7" s="100">
        <v>29</v>
      </c>
      <c r="M7" s="105">
        <v>20</v>
      </c>
    </row>
    <row r="8" spans="1:13" ht="18.75" x14ac:dyDescent="0.3">
      <c r="A8" s="100">
        <v>7</v>
      </c>
      <c r="B8" s="102" t="s">
        <v>12</v>
      </c>
      <c r="C8" s="102" t="s">
        <v>60</v>
      </c>
      <c r="D8" s="100">
        <f>SUM(2996+1503+1503+1500+1499+1372+1431+1407)</f>
        <v>13211</v>
      </c>
      <c r="E8" s="100">
        <f>SUM(199+74+92+109+90+89+109+90)</f>
        <v>852</v>
      </c>
      <c r="F8" s="101">
        <f>SUM(D8/E8)</f>
        <v>15.505868544600938</v>
      </c>
      <c r="G8" s="100">
        <v>9</v>
      </c>
      <c r="H8" s="100">
        <v>6</v>
      </c>
      <c r="I8" s="100"/>
      <c r="J8" s="100">
        <v>1</v>
      </c>
      <c r="K8" s="100"/>
      <c r="L8" s="100">
        <v>35</v>
      </c>
      <c r="M8" s="105">
        <v>9</v>
      </c>
    </row>
    <row r="9" spans="1:13" ht="18.75" x14ac:dyDescent="0.3">
      <c r="A9" s="100">
        <v>8</v>
      </c>
      <c r="B9" s="102" t="s">
        <v>9</v>
      </c>
      <c r="C9" s="102" t="s">
        <v>10</v>
      </c>
      <c r="D9" s="100">
        <f>SUM(4453+1487+1387+1473+1501+1339+1473+1501+1491+1488)</f>
        <v>17593</v>
      </c>
      <c r="E9" s="100">
        <f>SUM(266+102+81+93+109+80+107+111+108+81)</f>
        <v>1138</v>
      </c>
      <c r="F9" s="101">
        <f>SUM(D9/E9)</f>
        <v>15.459578207381371</v>
      </c>
      <c r="G9" s="100">
        <v>12</v>
      </c>
      <c r="H9" s="100">
        <v>7</v>
      </c>
      <c r="I9" s="100"/>
      <c r="J9" s="100"/>
      <c r="K9" s="100"/>
      <c r="L9" s="100">
        <v>39.5</v>
      </c>
      <c r="M9" s="105">
        <v>10</v>
      </c>
    </row>
    <row r="10" spans="1:13" ht="18.75" x14ac:dyDescent="0.3">
      <c r="A10" s="100">
        <v>9</v>
      </c>
      <c r="B10" s="102" t="s">
        <v>19</v>
      </c>
      <c r="C10" s="102" t="s">
        <v>20</v>
      </c>
      <c r="D10" s="100">
        <f>SUM(4014+1424+1445+1425+1487+1441+1467+1264+1503+1471)</f>
        <v>16941</v>
      </c>
      <c r="E10" s="100">
        <f>SUM(269+95+107+110+91+87+106+65+99+91)</f>
        <v>1120</v>
      </c>
      <c r="F10" s="101">
        <f>SUM(D10/E10)</f>
        <v>15.125892857142857</v>
      </c>
      <c r="G10" s="100">
        <v>12</v>
      </c>
      <c r="H10" s="100">
        <v>5</v>
      </c>
      <c r="I10" s="100">
        <v>1</v>
      </c>
      <c r="J10" s="100"/>
      <c r="K10" s="100"/>
      <c r="L10" s="100">
        <v>32</v>
      </c>
      <c r="M10" s="105">
        <v>20</v>
      </c>
    </row>
    <row r="11" spans="1:13" ht="18.75" x14ac:dyDescent="0.3">
      <c r="A11" s="100">
        <v>10</v>
      </c>
      <c r="B11" s="102" t="s">
        <v>22</v>
      </c>
      <c r="C11" s="102" t="s">
        <v>17</v>
      </c>
      <c r="D11" s="100">
        <f>SUM(4417+1432+1483+1301+1118+1399+1503+1371+1360)</f>
        <v>15384</v>
      </c>
      <c r="E11" s="100">
        <f>SUM(313+95+97+87+69+83+109+86+86)</f>
        <v>1025</v>
      </c>
      <c r="F11" s="101">
        <f>SUM(D11/E11)</f>
        <v>15.008780487804877</v>
      </c>
      <c r="G11" s="100">
        <v>11</v>
      </c>
      <c r="H11" s="100">
        <v>5</v>
      </c>
      <c r="I11" s="100"/>
      <c r="J11" s="100"/>
      <c r="K11" s="100"/>
      <c r="L11" s="100">
        <v>37</v>
      </c>
      <c r="M11" s="105">
        <v>5</v>
      </c>
    </row>
    <row r="12" spans="1:13" ht="18.75" x14ac:dyDescent="0.3">
      <c r="A12" s="100">
        <v>11</v>
      </c>
      <c r="B12" s="102" t="s">
        <v>109</v>
      </c>
      <c r="C12" s="102" t="s">
        <v>6</v>
      </c>
      <c r="D12" s="100">
        <f>SUM(1501+1503+1357+1480+1437+1503+1494)</f>
        <v>10275</v>
      </c>
      <c r="E12" s="100">
        <f>SUM(102+90+75+103+110+98+109)</f>
        <v>687</v>
      </c>
      <c r="F12" s="101">
        <f>SUM(D12/E12)</f>
        <v>14.956331877729257</v>
      </c>
      <c r="G12" s="100">
        <v>7</v>
      </c>
      <c r="H12" s="100">
        <v>5</v>
      </c>
      <c r="I12" s="100"/>
      <c r="J12" s="100"/>
      <c r="K12" s="100"/>
      <c r="L12" s="100">
        <v>28.5</v>
      </c>
      <c r="M12" s="105">
        <v>5</v>
      </c>
    </row>
    <row r="13" spans="1:13" ht="18.75" x14ac:dyDescent="0.3">
      <c r="A13" s="100">
        <v>12</v>
      </c>
      <c r="B13" s="102" t="s">
        <v>13</v>
      </c>
      <c r="C13" s="102" t="s">
        <v>8</v>
      </c>
      <c r="D13" s="100">
        <f>SUM(4458+1498+1499+1363+1487+1449+1315+1293+1503+1465)</f>
        <v>17330</v>
      </c>
      <c r="E13" s="100">
        <f>SUM(305+99+94+92+104+102+78+108+82+96)</f>
        <v>1160</v>
      </c>
      <c r="F13" s="101">
        <f>SUM(D13/E13)</f>
        <v>14.939655172413794</v>
      </c>
      <c r="G13" s="100">
        <v>12</v>
      </c>
      <c r="H13" s="100">
        <v>6</v>
      </c>
      <c r="I13" s="100"/>
      <c r="J13" s="100"/>
      <c r="K13" s="100"/>
      <c r="L13" s="100">
        <v>40</v>
      </c>
      <c r="M13" s="105"/>
    </row>
    <row r="14" spans="1:13" ht="18.75" x14ac:dyDescent="0.3">
      <c r="A14" s="100">
        <v>13</v>
      </c>
      <c r="B14" s="100" t="s">
        <v>25</v>
      </c>
      <c r="C14" s="102" t="s">
        <v>10</v>
      </c>
      <c r="D14" s="100">
        <f>SUM(4307+1495+1475+1270+1491+1484+1501+1423+1341)</f>
        <v>15787</v>
      </c>
      <c r="E14" s="100">
        <f>SUM(287+93+99+86+104+105+114+85+88)</f>
        <v>1061</v>
      </c>
      <c r="F14" s="101">
        <f>SUM(D14/E14)</f>
        <v>14.879359095193214</v>
      </c>
      <c r="G14" s="100">
        <v>11</v>
      </c>
      <c r="H14" s="100">
        <v>6</v>
      </c>
      <c r="I14" s="100"/>
      <c r="J14" s="100"/>
      <c r="K14" s="100"/>
      <c r="L14" s="100">
        <v>36.5</v>
      </c>
      <c r="M14" s="105">
        <v>5</v>
      </c>
    </row>
    <row r="15" spans="1:13" ht="18.75" x14ac:dyDescent="0.3">
      <c r="A15" s="100">
        <v>14</v>
      </c>
      <c r="B15" s="100" t="s">
        <v>24</v>
      </c>
      <c r="C15" s="102" t="s">
        <v>15</v>
      </c>
      <c r="D15" s="100">
        <f>SUM(4314+1332+1237+1359+1503+1503+1472+1210+1487)</f>
        <v>15417</v>
      </c>
      <c r="E15" s="100">
        <f>SUM(296+95+82+85+89+114+108+82+101)</f>
        <v>1052</v>
      </c>
      <c r="F15" s="101">
        <f>SUM(D15/E15)</f>
        <v>14.654942965779467</v>
      </c>
      <c r="G15" s="100">
        <v>11</v>
      </c>
      <c r="H15" s="100">
        <v>6</v>
      </c>
      <c r="I15" s="100"/>
      <c r="J15" s="100"/>
      <c r="K15" s="100"/>
      <c r="L15" s="100">
        <v>29.5</v>
      </c>
      <c r="M15" s="105">
        <v>5</v>
      </c>
    </row>
    <row r="16" spans="1:13" ht="18.75" x14ac:dyDescent="0.3">
      <c r="A16" s="100">
        <v>15</v>
      </c>
      <c r="B16" s="102" t="s">
        <v>53</v>
      </c>
      <c r="C16" s="102" t="s">
        <v>54</v>
      </c>
      <c r="D16" s="100">
        <f>SUM(3962+1414+1297+1223+1389+1244+1487+1501+1503)</f>
        <v>15020</v>
      </c>
      <c r="E16" s="100">
        <f>SUM(264+100+87+87+102+77+107+110+91)</f>
        <v>1025</v>
      </c>
      <c r="F16" s="101">
        <f>SUM(D16/E16)</f>
        <v>14.653658536585366</v>
      </c>
      <c r="G16" s="100">
        <v>11</v>
      </c>
      <c r="H16" s="100">
        <v>5</v>
      </c>
      <c r="I16" s="100"/>
      <c r="J16" s="100"/>
      <c r="K16" s="100">
        <v>1</v>
      </c>
      <c r="L16" s="100">
        <v>21.5</v>
      </c>
      <c r="M16" s="105">
        <v>10</v>
      </c>
    </row>
    <row r="17" spans="1:13" ht="18.75" x14ac:dyDescent="0.3">
      <c r="A17" s="100">
        <v>16</v>
      </c>
      <c r="B17" s="102" t="s">
        <v>50</v>
      </c>
      <c r="C17" s="102" t="s">
        <v>60</v>
      </c>
      <c r="D17" s="100">
        <f>SUM(1462+1503+1165+1503)</f>
        <v>5633</v>
      </c>
      <c r="E17" s="100">
        <f>SUM(111+93+81+102)</f>
        <v>387</v>
      </c>
      <c r="F17" s="101">
        <f>SUM(D17/E17)</f>
        <v>14.555555555555555</v>
      </c>
      <c r="G17" s="100">
        <v>4</v>
      </c>
      <c r="H17" s="100">
        <v>3</v>
      </c>
      <c r="I17" s="100"/>
      <c r="J17" s="100"/>
      <c r="K17" s="100"/>
      <c r="L17" s="100">
        <v>14.5</v>
      </c>
      <c r="M17" s="105"/>
    </row>
    <row r="18" spans="1:13" ht="18.75" x14ac:dyDescent="0.3">
      <c r="A18" s="100">
        <v>17</v>
      </c>
      <c r="B18" s="102" t="s">
        <v>31</v>
      </c>
      <c r="C18" s="102" t="s">
        <v>60</v>
      </c>
      <c r="D18" s="100">
        <f>SUM(4180+1503+1503+1503+1348+1390+1356+1464+1325+1471)</f>
        <v>17043</v>
      </c>
      <c r="E18" s="100">
        <f>SUM(270+96+116+116+79+117+83+109+84+103)</f>
        <v>1173</v>
      </c>
      <c r="F18" s="101">
        <f>SUM(D18/E18)</f>
        <v>14.529411764705882</v>
      </c>
      <c r="G18" s="100">
        <v>12</v>
      </c>
      <c r="H18" s="100">
        <v>9</v>
      </c>
      <c r="I18" s="100"/>
      <c r="J18" s="100"/>
      <c r="K18" s="100"/>
      <c r="L18" s="100">
        <v>43</v>
      </c>
      <c r="M18" s="105">
        <v>5</v>
      </c>
    </row>
    <row r="19" spans="1:13" ht="18.75" x14ac:dyDescent="0.3">
      <c r="A19" s="100">
        <v>18</v>
      </c>
      <c r="B19" s="113" t="s">
        <v>94</v>
      </c>
      <c r="C19" s="102" t="s">
        <v>10</v>
      </c>
      <c r="D19" s="100">
        <f>SUM(1503+1225+1463+1475+1457+1483+1499+1415+1483)</f>
        <v>13003</v>
      </c>
      <c r="E19" s="100">
        <f>SUM(114+97+115+98+97+94+114+78+88)</f>
        <v>895</v>
      </c>
      <c r="F19" s="101">
        <f>SUM(D19/E19)</f>
        <v>14.528491620111732</v>
      </c>
      <c r="G19" s="100">
        <v>9</v>
      </c>
      <c r="H19" s="100">
        <v>6</v>
      </c>
      <c r="I19" s="100"/>
      <c r="J19" s="100"/>
      <c r="K19" s="100"/>
      <c r="L19" s="100">
        <v>32</v>
      </c>
      <c r="M19" s="105">
        <v>10</v>
      </c>
    </row>
    <row r="20" spans="1:13" ht="18.75" x14ac:dyDescent="0.3">
      <c r="A20" s="100">
        <v>19</v>
      </c>
      <c r="B20" s="100" t="s">
        <v>21</v>
      </c>
      <c r="C20" s="102" t="s">
        <v>17</v>
      </c>
      <c r="D20" s="100">
        <f>SUM(3916+1494+1503+1419+1500+1503+1487+1291+1503)</f>
        <v>15616</v>
      </c>
      <c r="E20" s="100">
        <f>SUM(279+100+110+93+116+77+109+87+109)</f>
        <v>1080</v>
      </c>
      <c r="F20" s="101">
        <f>SUM(D20/E20)</f>
        <v>14.459259259259259</v>
      </c>
      <c r="G20" s="100">
        <v>11</v>
      </c>
      <c r="H20" s="100">
        <v>7</v>
      </c>
      <c r="I20" s="100"/>
      <c r="J20" s="100"/>
      <c r="K20" s="100"/>
      <c r="L20" s="100">
        <v>38.5</v>
      </c>
      <c r="M20" s="105">
        <v>5</v>
      </c>
    </row>
    <row r="21" spans="1:13" ht="18.75" x14ac:dyDescent="0.3">
      <c r="A21" s="100">
        <v>20</v>
      </c>
      <c r="B21" s="102" t="s">
        <v>92</v>
      </c>
      <c r="C21" s="102" t="s">
        <v>60</v>
      </c>
      <c r="D21" s="100">
        <f>SUM(1340+1503+1433+1503+1347+1392+1392)</f>
        <v>9910</v>
      </c>
      <c r="E21" s="100">
        <f>SUM(111+98+87+124+93+78+108)</f>
        <v>699</v>
      </c>
      <c r="F21" s="101">
        <f>SUM(D21/E21)</f>
        <v>14.177396280400572</v>
      </c>
      <c r="G21" s="100">
        <v>7</v>
      </c>
      <c r="H21" s="100">
        <v>4</v>
      </c>
      <c r="I21" s="100"/>
      <c r="J21" s="100"/>
      <c r="K21" s="100"/>
      <c r="L21" s="100">
        <v>19</v>
      </c>
      <c r="M21" s="105"/>
    </row>
    <row r="22" spans="1:13" ht="18.75" x14ac:dyDescent="0.3">
      <c r="A22" s="100">
        <v>21</v>
      </c>
      <c r="B22" s="102" t="s">
        <v>83</v>
      </c>
      <c r="C22" s="102" t="s">
        <v>20</v>
      </c>
      <c r="D22" s="100">
        <f>SUM(1491+1497+1406+1432+1414)</f>
        <v>7240</v>
      </c>
      <c r="E22" s="100">
        <f>SUM(103+112+114+103+102)</f>
        <v>534</v>
      </c>
      <c r="F22" s="101">
        <f>SUM(D22/E22)</f>
        <v>13.558052434456929</v>
      </c>
      <c r="G22" s="100">
        <v>5</v>
      </c>
      <c r="H22" s="100">
        <v>3</v>
      </c>
      <c r="I22" s="100"/>
      <c r="J22" s="100"/>
      <c r="K22" s="100"/>
      <c r="L22" s="100">
        <v>14</v>
      </c>
      <c r="M22" s="105"/>
    </row>
    <row r="23" spans="1:13" ht="18.75" x14ac:dyDescent="0.3">
      <c r="A23" s="100">
        <v>22</v>
      </c>
      <c r="B23" s="102" t="s">
        <v>56</v>
      </c>
      <c r="C23" s="102" t="s">
        <v>54</v>
      </c>
      <c r="D23" s="100">
        <f>SUM(4033+1323+1359+1415+1407+1356+1232+1463+1215+1450)</f>
        <v>16253</v>
      </c>
      <c r="E23" s="100">
        <f>SUM(304+111+117+89+85+92+96+111+102+105)</f>
        <v>1212</v>
      </c>
      <c r="F23" s="101">
        <f>SUM(D23/E23)</f>
        <v>13.41006600660066</v>
      </c>
      <c r="G23" s="100">
        <v>12</v>
      </c>
      <c r="H23" s="100">
        <v>0</v>
      </c>
      <c r="I23" s="100"/>
      <c r="J23" s="100"/>
      <c r="K23" s="100"/>
      <c r="L23" s="100">
        <v>14</v>
      </c>
      <c r="M23" s="105">
        <v>5</v>
      </c>
    </row>
    <row r="24" spans="1:13" ht="18.75" x14ac:dyDescent="0.3">
      <c r="A24" s="100">
        <v>23</v>
      </c>
      <c r="B24" s="102" t="s">
        <v>141</v>
      </c>
      <c r="C24" s="102" t="s">
        <v>20</v>
      </c>
      <c r="D24" s="100">
        <f>SUM(1432)</f>
        <v>1432</v>
      </c>
      <c r="E24" s="100">
        <f>SUM(108)</f>
        <v>108</v>
      </c>
      <c r="F24" s="101">
        <f>SUM(D24/E24)</f>
        <v>13.25925925925926</v>
      </c>
      <c r="G24" s="100">
        <v>1</v>
      </c>
      <c r="H24" s="100"/>
      <c r="I24" s="100"/>
      <c r="J24" s="100"/>
      <c r="K24" s="100"/>
      <c r="L24" s="100">
        <v>1</v>
      </c>
      <c r="M24" s="105"/>
    </row>
    <row r="25" spans="1:13" ht="18.75" x14ac:dyDescent="0.3">
      <c r="A25" s="100">
        <v>24</v>
      </c>
      <c r="B25" s="102" t="s">
        <v>32</v>
      </c>
      <c r="C25" s="102" t="s">
        <v>60</v>
      </c>
      <c r="D25" s="100">
        <f>SUM(4179+1391+1460+1414+1471+1503+1467+1503+1503)</f>
        <v>15891</v>
      </c>
      <c r="E25" s="100">
        <f>SUM(276+99+123+110+79+123+119+140+130)</f>
        <v>1199</v>
      </c>
      <c r="F25" s="101">
        <f>SUM(D25/E25)</f>
        <v>13.253544620517097</v>
      </c>
      <c r="G25" s="100">
        <v>11</v>
      </c>
      <c r="H25" s="100">
        <v>5</v>
      </c>
      <c r="I25" s="100"/>
      <c r="J25" s="100"/>
      <c r="K25" s="100"/>
      <c r="L25" s="100">
        <v>36</v>
      </c>
      <c r="M25" s="105">
        <v>5</v>
      </c>
    </row>
    <row r="26" spans="1:13" ht="18.75" x14ac:dyDescent="0.3">
      <c r="A26" s="100">
        <v>25</v>
      </c>
      <c r="B26" s="102" t="s">
        <v>29</v>
      </c>
      <c r="C26" s="102" t="s">
        <v>17</v>
      </c>
      <c r="D26" s="100">
        <f>SUM(2825+1503+1493+1501+1503+1503+1487+1503+1503+1503)</f>
        <v>16324</v>
      </c>
      <c r="E26" s="100">
        <f>SUM(212+89+141+101+92+109+117+145+118+108)</f>
        <v>1232</v>
      </c>
      <c r="F26" s="101">
        <f>SUM(D26/E26)</f>
        <v>13.25</v>
      </c>
      <c r="G26" s="100">
        <v>11</v>
      </c>
      <c r="H26" s="100">
        <v>8</v>
      </c>
      <c r="I26" s="100"/>
      <c r="J26" s="100"/>
      <c r="K26" s="100"/>
      <c r="L26" s="100">
        <v>40</v>
      </c>
      <c r="M26" s="105"/>
    </row>
    <row r="27" spans="1:13" ht="18.75" x14ac:dyDescent="0.3">
      <c r="A27" s="100">
        <v>26</v>
      </c>
      <c r="B27" s="102" t="s">
        <v>23</v>
      </c>
      <c r="C27" s="102" t="s">
        <v>20</v>
      </c>
      <c r="D27" s="100">
        <f>SUM(4015+1501+1489+1293+1413+1189+1499+1262)</f>
        <v>13661</v>
      </c>
      <c r="E27" s="100">
        <f>SUM(279+142+111+90+121+84+114+111)</f>
        <v>1052</v>
      </c>
      <c r="F27" s="101">
        <f>SUM(D27/E27)</f>
        <v>12.985741444866919</v>
      </c>
      <c r="G27" s="100">
        <v>10</v>
      </c>
      <c r="H27" s="100">
        <v>3</v>
      </c>
      <c r="I27" s="100">
        <v>1</v>
      </c>
      <c r="J27" s="100"/>
      <c r="K27" s="100"/>
      <c r="L27" s="100">
        <v>19</v>
      </c>
      <c r="M27" s="105">
        <v>10</v>
      </c>
    </row>
    <row r="28" spans="1:13" ht="18.75" x14ac:dyDescent="0.3">
      <c r="A28" s="100">
        <v>27</v>
      </c>
      <c r="B28" s="102" t="s">
        <v>14</v>
      </c>
      <c r="C28" s="102" t="s">
        <v>15</v>
      </c>
      <c r="D28" s="100">
        <f>SUM(4418+1300+1489+1476+1458+1503+1423+1219+1419)</f>
        <v>15705</v>
      </c>
      <c r="E28" s="100">
        <f>SUM(337+123+102+107+116+96+114+99+124)</f>
        <v>1218</v>
      </c>
      <c r="F28" s="101">
        <f>SUM(D28/E28)</f>
        <v>12.894088669950738</v>
      </c>
      <c r="G28" s="100">
        <v>11</v>
      </c>
      <c r="H28" s="100">
        <v>4</v>
      </c>
      <c r="I28" s="100"/>
      <c r="J28" s="100"/>
      <c r="K28" s="100"/>
      <c r="L28" s="100">
        <v>26</v>
      </c>
      <c r="M28" s="105"/>
    </row>
    <row r="29" spans="1:13" ht="18.75" x14ac:dyDescent="0.3">
      <c r="A29" s="100">
        <v>28</v>
      </c>
      <c r="B29" s="102" t="s">
        <v>18</v>
      </c>
      <c r="C29" s="102" t="s">
        <v>8</v>
      </c>
      <c r="D29" s="100">
        <f>SUM(2974+877+1208+1310+1478+1452+1493+1498+1501)</f>
        <v>13791</v>
      </c>
      <c r="E29" s="100">
        <f>SUM(230+75+95+92+140+100+110+104+126)</f>
        <v>1072</v>
      </c>
      <c r="F29" s="101">
        <f>SUM(D29/E29)</f>
        <v>12.864738805970148</v>
      </c>
      <c r="G29" s="100">
        <v>10</v>
      </c>
      <c r="H29" s="100">
        <v>6</v>
      </c>
      <c r="I29" s="100"/>
      <c r="J29" s="100"/>
      <c r="K29" s="100"/>
      <c r="L29" s="100">
        <v>39</v>
      </c>
      <c r="M29" s="105"/>
    </row>
    <row r="30" spans="1:13" ht="18.75" x14ac:dyDescent="0.3">
      <c r="A30" s="100">
        <v>29</v>
      </c>
      <c r="B30" s="102" t="s">
        <v>26</v>
      </c>
      <c r="C30" s="102" t="s">
        <v>10</v>
      </c>
      <c r="D30" s="100">
        <f>SUM(2859+1503+1483)</f>
        <v>5845</v>
      </c>
      <c r="E30" s="100">
        <f>SUM(255+93+110)</f>
        <v>458</v>
      </c>
      <c r="F30" s="101">
        <f>SUM(D30/E30)</f>
        <v>12.762008733624453</v>
      </c>
      <c r="G30" s="100">
        <v>4</v>
      </c>
      <c r="H30" s="100">
        <v>1</v>
      </c>
      <c r="I30" s="100"/>
      <c r="J30" s="100"/>
      <c r="K30" s="100"/>
      <c r="L30" s="100">
        <v>13</v>
      </c>
      <c r="M30" s="105"/>
    </row>
    <row r="31" spans="1:13" ht="18.75" x14ac:dyDescent="0.3">
      <c r="A31" s="100">
        <v>30</v>
      </c>
      <c r="B31" s="102" t="s">
        <v>52</v>
      </c>
      <c r="C31" s="102" t="s">
        <v>20</v>
      </c>
      <c r="D31" s="100">
        <f>SUM(4464+1503+1432+1431+1422+1487+1493+1503)</f>
        <v>14735</v>
      </c>
      <c r="E31" s="100">
        <f>SUM(372+122+97+97+111+143+105+112)</f>
        <v>1159</v>
      </c>
      <c r="F31" s="101">
        <f>SUM(D31/E31)</f>
        <v>12.713546160483174</v>
      </c>
      <c r="G31" s="100">
        <v>10</v>
      </c>
      <c r="H31" s="100">
        <v>6</v>
      </c>
      <c r="I31" s="100"/>
      <c r="J31" s="100"/>
      <c r="K31" s="100"/>
      <c r="L31" s="100">
        <v>35</v>
      </c>
      <c r="M31" s="105"/>
    </row>
    <row r="32" spans="1:13" ht="18.75" x14ac:dyDescent="0.3">
      <c r="A32" s="100">
        <v>31</v>
      </c>
      <c r="B32" s="102" t="s">
        <v>28</v>
      </c>
      <c r="C32" s="102" t="s">
        <v>6</v>
      </c>
      <c r="D32" s="100">
        <f>SUM(2923)</f>
        <v>2923</v>
      </c>
      <c r="E32" s="100">
        <f>SUM(232)</f>
        <v>232</v>
      </c>
      <c r="F32" s="101">
        <f>SUM(D32/E32)</f>
        <v>12.599137931034482</v>
      </c>
      <c r="G32" s="100">
        <v>2</v>
      </c>
      <c r="H32" s="100">
        <v>0</v>
      </c>
      <c r="I32" s="100">
        <v>1</v>
      </c>
      <c r="J32" s="100"/>
      <c r="K32" s="100"/>
      <c r="L32" s="100">
        <v>4.5</v>
      </c>
      <c r="M32" s="105">
        <v>10</v>
      </c>
    </row>
    <row r="33" spans="1:13" ht="18.75" x14ac:dyDescent="0.3">
      <c r="A33" s="100">
        <v>32</v>
      </c>
      <c r="B33" s="102" t="s">
        <v>80</v>
      </c>
      <c r="C33" s="102" t="s">
        <v>17</v>
      </c>
      <c r="D33" s="100">
        <f>SUM(1503+1503+1219)</f>
        <v>4225</v>
      </c>
      <c r="E33" s="100">
        <f>SUM(125+120+93)</f>
        <v>338</v>
      </c>
      <c r="F33" s="101">
        <f>SUM(D33/E33)</f>
        <v>12.5</v>
      </c>
      <c r="G33" s="100">
        <v>3</v>
      </c>
      <c r="H33" s="100">
        <v>2</v>
      </c>
      <c r="I33" s="100"/>
      <c r="J33" s="100"/>
      <c r="K33" s="100"/>
      <c r="L33" s="100">
        <v>12.5</v>
      </c>
      <c r="M33" s="105"/>
    </row>
    <row r="34" spans="1:13" ht="18.75" x14ac:dyDescent="0.3">
      <c r="A34" s="100">
        <v>33</v>
      </c>
      <c r="B34" s="102" t="s">
        <v>82</v>
      </c>
      <c r="C34" s="102" t="s">
        <v>15</v>
      </c>
      <c r="D34" s="100">
        <f>SUM(1503+1483)</f>
        <v>2986</v>
      </c>
      <c r="E34" s="100">
        <f>SUM(105+135)</f>
        <v>240</v>
      </c>
      <c r="F34" s="101">
        <f>SUM(D34/E34)</f>
        <v>12.441666666666666</v>
      </c>
      <c r="G34" s="100">
        <v>2</v>
      </c>
      <c r="H34" s="100">
        <v>2</v>
      </c>
      <c r="I34" s="100"/>
      <c r="J34" s="100"/>
      <c r="K34" s="100"/>
      <c r="L34" s="100">
        <v>5.5</v>
      </c>
      <c r="M34" s="105"/>
    </row>
    <row r="35" spans="1:13" ht="18.75" x14ac:dyDescent="0.3">
      <c r="A35" s="100">
        <v>34</v>
      </c>
      <c r="B35" s="102" t="s">
        <v>79</v>
      </c>
      <c r="C35" s="102" t="s">
        <v>60</v>
      </c>
      <c r="D35" s="100">
        <f>SUM(2822+1492+1458+1346)</f>
        <v>7118</v>
      </c>
      <c r="E35" s="100">
        <f>SUM(261+118+100+100)</f>
        <v>579</v>
      </c>
      <c r="F35" s="101">
        <f>SUM(D35/E35)</f>
        <v>12.293609671848014</v>
      </c>
      <c r="G35" s="100">
        <v>5</v>
      </c>
      <c r="H35" s="100">
        <v>3</v>
      </c>
      <c r="I35" s="100"/>
      <c r="J35" s="100"/>
      <c r="K35" s="100"/>
      <c r="L35" s="100">
        <v>20.5</v>
      </c>
      <c r="M35" s="105"/>
    </row>
    <row r="36" spans="1:13" ht="18.75" x14ac:dyDescent="0.3">
      <c r="A36" s="100">
        <v>35</v>
      </c>
      <c r="B36" s="102" t="s">
        <v>61</v>
      </c>
      <c r="C36" s="102" t="s">
        <v>6</v>
      </c>
      <c r="D36" s="100">
        <f>SUM(4453+1501+1503+1444+1480+1503+1483+1492+1503)</f>
        <v>16362</v>
      </c>
      <c r="E36" s="100">
        <f>SUM(394+142+114+116+102+95+147+117+113)</f>
        <v>1340</v>
      </c>
      <c r="F36" s="101">
        <f>SUM(D36/E36)</f>
        <v>12.210447761194029</v>
      </c>
      <c r="G36" s="100">
        <v>11</v>
      </c>
      <c r="H36" s="100">
        <v>7</v>
      </c>
      <c r="I36" s="100"/>
      <c r="J36" s="100"/>
      <c r="K36" s="100"/>
      <c r="L36" s="100">
        <v>37.5</v>
      </c>
      <c r="M36" s="105">
        <v>5</v>
      </c>
    </row>
    <row r="37" spans="1:13" ht="18.75" x14ac:dyDescent="0.3">
      <c r="A37" s="100">
        <v>36</v>
      </c>
      <c r="B37" s="102" t="s">
        <v>91</v>
      </c>
      <c r="C37" s="102" t="s">
        <v>6</v>
      </c>
      <c r="D37" s="100">
        <f>SUM(1496+1347+1501+1316)</f>
        <v>5660</v>
      </c>
      <c r="E37" s="100">
        <f>SUM(127+116+121+105)</f>
        <v>469</v>
      </c>
      <c r="F37" s="101">
        <f>SUM(D37/E37)</f>
        <v>12.068230277185501</v>
      </c>
      <c r="G37" s="100">
        <v>4</v>
      </c>
      <c r="H37" s="100">
        <v>2</v>
      </c>
      <c r="I37" s="100"/>
      <c r="J37" s="100"/>
      <c r="K37" s="100"/>
      <c r="L37" s="100">
        <v>18.5</v>
      </c>
      <c r="M37" s="105"/>
    </row>
    <row r="38" spans="1:13" ht="18.75" x14ac:dyDescent="0.3">
      <c r="A38" s="100">
        <v>37</v>
      </c>
      <c r="B38" s="100" t="s">
        <v>27</v>
      </c>
      <c r="C38" s="102" t="s">
        <v>10</v>
      </c>
      <c r="D38" s="100">
        <f>SUM(4296+1328+1494+1503+1503+1492+1369+1263+1401+1429)</f>
        <v>17078</v>
      </c>
      <c r="E38" s="100">
        <f>SUM(372+84+136+118+151+151+96+90+114+108)</f>
        <v>1420</v>
      </c>
      <c r="F38" s="101">
        <f>SUM(D38/E38)</f>
        <v>12.026760563380282</v>
      </c>
      <c r="G38" s="100">
        <v>12</v>
      </c>
      <c r="H38" s="100">
        <v>4</v>
      </c>
      <c r="I38" s="100"/>
      <c r="J38" s="100"/>
      <c r="K38" s="100"/>
      <c r="L38" s="100">
        <v>36</v>
      </c>
      <c r="M38" s="105">
        <v>5</v>
      </c>
    </row>
    <row r="39" spans="1:13" ht="18.75" x14ac:dyDescent="0.3">
      <c r="A39" s="100">
        <v>38</v>
      </c>
      <c r="B39" s="102" t="s">
        <v>93</v>
      </c>
      <c r="C39" s="102" t="s">
        <v>15</v>
      </c>
      <c r="D39" s="100">
        <f>SUM(1208+1312+1237+1479+1503+1336)</f>
        <v>8075</v>
      </c>
      <c r="E39" s="100">
        <f>SUM(93+114+114+125+121+114)</f>
        <v>681</v>
      </c>
      <c r="F39" s="101">
        <f>SUM(D39/E39)</f>
        <v>11.857562408223201</v>
      </c>
      <c r="G39" s="100">
        <v>6</v>
      </c>
      <c r="H39" s="100">
        <v>1</v>
      </c>
      <c r="I39" s="100"/>
      <c r="J39" s="100"/>
      <c r="K39" s="100"/>
      <c r="L39" s="100">
        <v>11.5</v>
      </c>
      <c r="M39" s="105"/>
    </row>
    <row r="40" spans="1:13" ht="18.75" x14ac:dyDescent="0.3">
      <c r="A40" s="100">
        <v>39</v>
      </c>
      <c r="B40" s="102" t="s">
        <v>58</v>
      </c>
      <c r="C40" s="102" t="s">
        <v>54</v>
      </c>
      <c r="D40" s="100">
        <f>SUM(4183+1360+1165+1035+1124+1035+1396+1487+1297+1290)</f>
        <v>15372</v>
      </c>
      <c r="E40" s="100">
        <f>SUM(385+117+96+99+87+87+120+119+108+96)</f>
        <v>1314</v>
      </c>
      <c r="F40" s="101">
        <f>SUM(D40/E40)</f>
        <v>11.698630136986301</v>
      </c>
      <c r="G40" s="100">
        <v>12</v>
      </c>
      <c r="H40" s="100">
        <v>2</v>
      </c>
      <c r="I40" s="100"/>
      <c r="J40" s="100"/>
      <c r="K40" s="100"/>
      <c r="L40" s="100">
        <v>16.5</v>
      </c>
      <c r="M40" s="105"/>
    </row>
    <row r="41" spans="1:13" ht="18.75" x14ac:dyDescent="0.3">
      <c r="A41" s="100">
        <v>40</v>
      </c>
      <c r="B41" s="102" t="s">
        <v>136</v>
      </c>
      <c r="C41" s="102" t="s">
        <v>54</v>
      </c>
      <c r="D41" s="100">
        <v>1295</v>
      </c>
      <c r="E41" s="100">
        <v>111</v>
      </c>
      <c r="F41" s="101">
        <f>SUM(D41/E41)</f>
        <v>11.666666666666666</v>
      </c>
      <c r="G41" s="100">
        <v>1</v>
      </c>
      <c r="H41" s="100"/>
      <c r="I41" s="100"/>
      <c r="J41" s="100"/>
      <c r="K41" s="100"/>
      <c r="L41" s="100">
        <v>0.5</v>
      </c>
      <c r="M41" s="105"/>
    </row>
    <row r="42" spans="1:13" ht="18.75" x14ac:dyDescent="0.3">
      <c r="A42" s="100">
        <v>41</v>
      </c>
      <c r="B42" s="102" t="s">
        <v>81</v>
      </c>
      <c r="C42" s="102" t="s">
        <v>8</v>
      </c>
      <c r="D42" s="100">
        <f>SUM(1456+1499+1222+1379)</f>
        <v>5556</v>
      </c>
      <c r="E42" s="100">
        <f>SUM(107+138+115+120)</f>
        <v>480</v>
      </c>
      <c r="F42" s="101">
        <f>SUM(D42/E42)</f>
        <v>11.574999999999999</v>
      </c>
      <c r="G42" s="100">
        <v>4</v>
      </c>
      <c r="H42" s="100">
        <v>1</v>
      </c>
      <c r="I42" s="100"/>
      <c r="J42" s="100"/>
      <c r="K42" s="100"/>
      <c r="L42" s="100">
        <v>11</v>
      </c>
      <c r="M42" s="105"/>
    </row>
    <row r="43" spans="1:13" ht="18.75" x14ac:dyDescent="0.3">
      <c r="A43" s="100">
        <v>42</v>
      </c>
      <c r="B43" s="102" t="s">
        <v>57</v>
      </c>
      <c r="C43" s="102" t="s">
        <v>15</v>
      </c>
      <c r="D43" s="100">
        <f>SUM(1259+1503)</f>
        <v>2762</v>
      </c>
      <c r="E43" s="100">
        <f>SUM(102+139)</f>
        <v>241</v>
      </c>
      <c r="F43" s="101">
        <f>SUM(D43/E43)</f>
        <v>11.460580912863071</v>
      </c>
      <c r="G43" s="100">
        <v>2</v>
      </c>
      <c r="H43" s="100">
        <v>1</v>
      </c>
      <c r="I43" s="100"/>
      <c r="J43" s="100"/>
      <c r="K43" s="100"/>
      <c r="L43" s="100">
        <v>4</v>
      </c>
      <c r="M43" s="105"/>
    </row>
    <row r="44" spans="1:13" ht="18.75" x14ac:dyDescent="0.3">
      <c r="A44" s="100">
        <v>43</v>
      </c>
      <c r="B44" s="102" t="s">
        <v>51</v>
      </c>
      <c r="C44" s="102" t="s">
        <v>20</v>
      </c>
      <c r="D44" s="100">
        <f>SUM(2846+1454+1168+1455+1454+1501+1459)</f>
        <v>11337</v>
      </c>
      <c r="E44" s="100">
        <f>SUM(250+115+105+129+101+149+180)</f>
        <v>1029</v>
      </c>
      <c r="F44" s="101">
        <f>SUM(D44/E44)</f>
        <v>11.017492711370263</v>
      </c>
      <c r="G44" s="100">
        <v>8</v>
      </c>
      <c r="H44" s="100">
        <v>5</v>
      </c>
      <c r="I44" s="100"/>
      <c r="J44" s="100"/>
      <c r="K44" s="100"/>
      <c r="L44" s="100">
        <v>23.5</v>
      </c>
      <c r="M44" s="105"/>
    </row>
    <row r="45" spans="1:13" ht="18.75" x14ac:dyDescent="0.3">
      <c r="A45" s="100">
        <v>44</v>
      </c>
      <c r="B45" s="102" t="s">
        <v>55</v>
      </c>
      <c r="C45" s="102" t="s">
        <v>54</v>
      </c>
      <c r="D45" s="100">
        <f>SUM(4065+1275+1469+1496+1425+1324+1487+1322+1263)</f>
        <v>15126</v>
      </c>
      <c r="E45" s="100">
        <f>SUM(355+120+124+117+113+150+154+124+123)</f>
        <v>1380</v>
      </c>
      <c r="F45" s="101">
        <f>SUM(D45/E45)</f>
        <v>10.960869565217392</v>
      </c>
      <c r="G45" s="100">
        <v>11</v>
      </c>
      <c r="H45" s="100">
        <v>3</v>
      </c>
      <c r="I45" s="100"/>
      <c r="J45" s="100"/>
      <c r="K45" s="100"/>
      <c r="L45" s="100">
        <v>19</v>
      </c>
      <c r="M45" s="105"/>
    </row>
    <row r="46" spans="1:13" ht="18.75" x14ac:dyDescent="0.3">
      <c r="A46" s="100">
        <v>45</v>
      </c>
      <c r="B46" s="102" t="s">
        <v>30</v>
      </c>
      <c r="C46" s="102" t="s">
        <v>8</v>
      </c>
      <c r="D46" s="100">
        <f>SUM(4393+1267+1402+1455+999+1179+1495+1282+1501)</f>
        <v>14973</v>
      </c>
      <c r="E46" s="100">
        <f>SUM(432+120+135+153+90+90+129+135+169)</f>
        <v>1453</v>
      </c>
      <c r="F46" s="101">
        <f>SUM(D46/E46)</f>
        <v>10.304886441844459</v>
      </c>
      <c r="G46" s="100">
        <v>11</v>
      </c>
      <c r="H46" s="100">
        <v>3</v>
      </c>
      <c r="I46" s="100"/>
      <c r="J46" s="100"/>
      <c r="K46" s="100"/>
      <c r="L46" s="100">
        <v>20.5</v>
      </c>
      <c r="M46" s="105">
        <v>5</v>
      </c>
    </row>
    <row r="47" spans="1:13" ht="18.75" x14ac:dyDescent="0.3">
      <c r="A47" s="100">
        <v>46</v>
      </c>
      <c r="B47" s="102" t="s">
        <v>119</v>
      </c>
      <c r="C47" s="102" t="s">
        <v>15</v>
      </c>
      <c r="D47" s="100">
        <f>SUM(1331+1487+1345+1472)</f>
        <v>5635</v>
      </c>
      <c r="E47" s="100">
        <f>SUM(120+161+141+168)</f>
        <v>590</v>
      </c>
      <c r="F47" s="101">
        <f>SUM(D47/E47)</f>
        <v>9.5508474576271194</v>
      </c>
      <c r="G47" s="100">
        <v>4</v>
      </c>
      <c r="H47" s="100">
        <v>1</v>
      </c>
      <c r="I47" s="100"/>
      <c r="J47" s="100"/>
      <c r="K47" s="100"/>
      <c r="L47" s="100">
        <v>5</v>
      </c>
      <c r="M47" s="105"/>
    </row>
    <row r="48" spans="1:13" ht="18.75" x14ac:dyDescent="0.3">
      <c r="A48" s="100">
        <v>47</v>
      </c>
      <c r="B48" s="102" t="s">
        <v>135</v>
      </c>
      <c r="C48" s="102" t="s">
        <v>54</v>
      </c>
      <c r="D48" s="100">
        <v>1469</v>
      </c>
      <c r="E48" s="100">
        <v>180</v>
      </c>
      <c r="F48" s="101">
        <f>SUM(D48/E48)</f>
        <v>8.1611111111111114</v>
      </c>
      <c r="G48" s="100">
        <v>1</v>
      </c>
      <c r="H48" s="100"/>
      <c r="I48" s="100"/>
      <c r="J48" s="100"/>
      <c r="K48" s="100"/>
      <c r="L48" s="100">
        <v>0.5</v>
      </c>
      <c r="M48" s="105"/>
    </row>
    <row r="49" spans="1:13" ht="19.5" thickBot="1" x14ac:dyDescent="0.35">
      <c r="A49" s="92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</row>
    <row r="50" spans="1:13" ht="15" customHeight="1" thickBot="1" x14ac:dyDescent="0.35">
      <c r="A50" s="92"/>
      <c r="B50" s="99" t="s">
        <v>140</v>
      </c>
      <c r="C50" s="98" t="s">
        <v>33</v>
      </c>
      <c r="D50" s="97" t="s">
        <v>34</v>
      </c>
      <c r="E50" s="97" t="s">
        <v>35</v>
      </c>
      <c r="F50" s="97" t="s">
        <v>36</v>
      </c>
      <c r="G50" s="97"/>
      <c r="H50" s="97"/>
      <c r="I50" s="96"/>
      <c r="J50" s="91"/>
      <c r="K50" s="91"/>
      <c r="L50" s="91"/>
      <c r="M50" s="91"/>
    </row>
    <row r="51" spans="1:13" ht="18.75" x14ac:dyDescent="0.3">
      <c r="A51" s="92"/>
      <c r="B51" s="93"/>
      <c r="C51" s="92" t="s">
        <v>39</v>
      </c>
      <c r="D51" s="92">
        <v>11</v>
      </c>
      <c r="E51" s="91">
        <v>1</v>
      </c>
      <c r="F51" s="91">
        <v>196</v>
      </c>
      <c r="G51" s="91"/>
      <c r="H51" s="92" t="s">
        <v>38</v>
      </c>
      <c r="I51" s="95" t="s">
        <v>133</v>
      </c>
      <c r="J51" s="91"/>
      <c r="K51" s="95"/>
      <c r="L51" s="91"/>
      <c r="M51" s="91"/>
    </row>
    <row r="52" spans="1:13" ht="18.75" x14ac:dyDescent="0.3">
      <c r="A52" s="92"/>
      <c r="B52" s="93"/>
      <c r="C52" s="92" t="s">
        <v>42</v>
      </c>
      <c r="D52" s="92">
        <v>9</v>
      </c>
      <c r="E52" s="91">
        <v>3</v>
      </c>
      <c r="F52" s="91">
        <v>177</v>
      </c>
      <c r="G52" s="91"/>
      <c r="H52" s="92" t="s">
        <v>40</v>
      </c>
      <c r="I52" s="95" t="s">
        <v>139</v>
      </c>
      <c r="J52" s="91"/>
      <c r="K52" s="92"/>
      <c r="L52" s="91"/>
      <c r="M52" s="91"/>
    </row>
    <row r="53" spans="1:13" ht="18.75" x14ac:dyDescent="0.3">
      <c r="A53" s="92"/>
      <c r="B53" s="93"/>
      <c r="C53" s="92" t="s">
        <v>63</v>
      </c>
      <c r="D53" s="92">
        <v>8</v>
      </c>
      <c r="E53" s="92">
        <v>4</v>
      </c>
      <c r="F53" s="92">
        <v>169</v>
      </c>
      <c r="G53" s="91"/>
      <c r="H53" s="92" t="s">
        <v>41</v>
      </c>
      <c r="I53" s="95" t="s">
        <v>138</v>
      </c>
      <c r="J53" s="91"/>
      <c r="K53" s="95"/>
      <c r="L53" s="91"/>
      <c r="M53" s="91"/>
    </row>
    <row r="54" spans="1:13" ht="18.75" x14ac:dyDescent="0.3">
      <c r="A54" s="91"/>
      <c r="B54" s="93"/>
      <c r="C54" s="92" t="s">
        <v>37</v>
      </c>
      <c r="D54" s="92">
        <v>8</v>
      </c>
      <c r="E54" s="91">
        <v>4</v>
      </c>
      <c r="F54" s="91">
        <v>157</v>
      </c>
      <c r="G54" s="91"/>
      <c r="H54" s="92" t="s">
        <v>43</v>
      </c>
      <c r="I54" s="95" t="s">
        <v>137</v>
      </c>
      <c r="J54" s="91"/>
      <c r="K54" s="92"/>
      <c r="L54" s="91"/>
      <c r="M54" s="91"/>
    </row>
    <row r="55" spans="1:13" ht="18" customHeight="1" x14ac:dyDescent="0.3">
      <c r="A55" s="91"/>
      <c r="B55" s="93"/>
      <c r="C55" s="92" t="s">
        <v>48</v>
      </c>
      <c r="D55" s="92">
        <v>4</v>
      </c>
      <c r="E55" s="91">
        <v>8</v>
      </c>
      <c r="F55" s="91">
        <v>134</v>
      </c>
      <c r="G55" s="91"/>
      <c r="H55" s="92" t="s">
        <v>45</v>
      </c>
      <c r="I55" s="95" t="s">
        <v>86</v>
      </c>
      <c r="J55" s="91"/>
      <c r="K55" s="92"/>
      <c r="L55" s="91"/>
      <c r="M55" s="91"/>
    </row>
    <row r="56" spans="1:13" ht="18" customHeight="1" x14ac:dyDescent="0.3">
      <c r="A56" s="91"/>
      <c r="B56" s="93"/>
      <c r="C56" s="92" t="s">
        <v>47</v>
      </c>
      <c r="D56" s="92">
        <v>6</v>
      </c>
      <c r="E56" s="91">
        <v>6</v>
      </c>
      <c r="F56" s="91">
        <v>134</v>
      </c>
      <c r="G56" s="91"/>
      <c r="H56" s="92" t="s">
        <v>46</v>
      </c>
      <c r="I56" s="107" t="s">
        <v>99</v>
      </c>
      <c r="J56" s="107"/>
      <c r="K56" s="92"/>
      <c r="L56" s="91"/>
      <c r="M56" s="91"/>
    </row>
    <row r="57" spans="1:13" ht="18.75" x14ac:dyDescent="0.3">
      <c r="A57" s="91"/>
      <c r="B57" s="93"/>
      <c r="C57" s="92" t="s">
        <v>44</v>
      </c>
      <c r="D57" s="92">
        <v>2</v>
      </c>
      <c r="E57" s="92">
        <v>10</v>
      </c>
      <c r="F57" s="92">
        <v>112</v>
      </c>
      <c r="G57" s="91"/>
      <c r="H57" s="91"/>
      <c r="I57" s="91"/>
      <c r="J57" s="91"/>
      <c r="K57" s="91"/>
      <c r="L57" s="91"/>
      <c r="M57" s="91"/>
    </row>
    <row r="58" spans="1:13" ht="18.75" x14ac:dyDescent="0.3">
      <c r="A58" s="91"/>
      <c r="B58" s="93"/>
      <c r="C58" s="92" t="s">
        <v>49</v>
      </c>
      <c r="D58" s="92">
        <v>0</v>
      </c>
      <c r="E58" s="92">
        <v>12</v>
      </c>
      <c r="F58" s="92">
        <v>75</v>
      </c>
      <c r="G58" s="91"/>
      <c r="H58" s="91"/>
      <c r="I58" s="91"/>
      <c r="J58" s="91"/>
      <c r="K58" s="91"/>
      <c r="L58" s="91"/>
      <c r="M58" s="91"/>
    </row>
  </sheetData>
  <mergeCells count="2">
    <mergeCell ref="B50:B58"/>
    <mergeCell ref="I56:J5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pane ySplit="1" topLeftCell="A47" activePane="bottomLeft" state="frozen"/>
      <selection pane="bottomLeft" activeCell="B48" sqref="B48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70.28515625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10.8554687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x14ac:dyDescent="0.3">
      <c r="A2" s="100">
        <v>1</v>
      </c>
      <c r="B2" s="102" t="s">
        <v>5</v>
      </c>
      <c r="C2" s="102" t="s">
        <v>6</v>
      </c>
      <c r="D2" s="100">
        <f>SUM(4345+1503+1501+1503+1482+1471+1503+1463+1495+1483)</f>
        <v>17749</v>
      </c>
      <c r="E2" s="100">
        <f>SUM(244+81+78+89+76+89+79+65+76+84)</f>
        <v>961</v>
      </c>
      <c r="F2" s="101">
        <f>SUM(D2/E2)</f>
        <v>18.46930280957336</v>
      </c>
      <c r="G2" s="100">
        <v>12</v>
      </c>
      <c r="H2" s="100">
        <v>10</v>
      </c>
      <c r="I2" s="100"/>
      <c r="J2" s="100">
        <v>2</v>
      </c>
      <c r="K2" s="100">
        <v>2</v>
      </c>
      <c r="L2" s="100">
        <v>49.5</v>
      </c>
      <c r="M2" s="105">
        <v>73</v>
      </c>
    </row>
    <row r="3" spans="1:13" ht="18.75" x14ac:dyDescent="0.3">
      <c r="A3" s="100">
        <v>2</v>
      </c>
      <c r="B3" s="102" t="s">
        <v>11</v>
      </c>
      <c r="C3" s="102" t="s">
        <v>6</v>
      </c>
      <c r="D3" s="100">
        <f>SUM(4499+1499+1491+1499+1385+1503+1503+1503+1501+1466)</f>
        <v>17849</v>
      </c>
      <c r="E3" s="100">
        <f>SUM(253+93+80+93+76+68+84+90+80+90)</f>
        <v>1007</v>
      </c>
      <c r="F3" s="101">
        <f>SUM(D3/E3)</f>
        <v>17.724925521350546</v>
      </c>
      <c r="G3" s="100">
        <v>12</v>
      </c>
      <c r="H3" s="100">
        <v>11</v>
      </c>
      <c r="I3" s="100">
        <v>3</v>
      </c>
      <c r="J3" s="100"/>
      <c r="K3" s="100"/>
      <c r="L3" s="100">
        <v>55</v>
      </c>
      <c r="M3" s="105">
        <v>50</v>
      </c>
    </row>
    <row r="4" spans="1:13" ht="18.75" x14ac:dyDescent="0.3">
      <c r="A4" s="100">
        <v>3</v>
      </c>
      <c r="B4" s="102" t="s">
        <v>7</v>
      </c>
      <c r="C4" s="102" t="s">
        <v>8</v>
      </c>
      <c r="D4" s="100">
        <f>SUM(4260+1327+1503+1481+1486+1503+1276+1503+1444+1485)</f>
        <v>17268</v>
      </c>
      <c r="E4" s="100">
        <f>SUM(258+90+70+75+111+88+72+80+68+84)</f>
        <v>996</v>
      </c>
      <c r="F4" s="101">
        <f>SUM(D4/E4)</f>
        <v>17.337349397590362</v>
      </c>
      <c r="G4" s="100">
        <v>12</v>
      </c>
      <c r="H4" s="100">
        <v>6</v>
      </c>
      <c r="I4" s="100"/>
      <c r="J4" s="100"/>
      <c r="K4" s="100"/>
      <c r="L4" s="100">
        <v>39.5</v>
      </c>
      <c r="M4" s="105">
        <v>20</v>
      </c>
    </row>
    <row r="5" spans="1:13" ht="18.75" x14ac:dyDescent="0.3">
      <c r="A5" s="100">
        <v>4</v>
      </c>
      <c r="B5" s="102" t="s">
        <v>120</v>
      </c>
      <c r="C5" s="102" t="s">
        <v>20</v>
      </c>
      <c r="D5" s="100">
        <f>SUM(1503+1492)</f>
        <v>2995</v>
      </c>
      <c r="E5" s="100">
        <f>SUM(95+83)</f>
        <v>178</v>
      </c>
      <c r="F5" s="101">
        <f>SUM(D5/E5)</f>
        <v>16.825842696629213</v>
      </c>
      <c r="G5" s="100">
        <v>2</v>
      </c>
      <c r="H5" s="100">
        <v>1</v>
      </c>
      <c r="I5" s="100"/>
      <c r="J5" s="100"/>
      <c r="K5" s="100"/>
      <c r="L5" s="100">
        <v>8.5</v>
      </c>
      <c r="M5" s="105"/>
    </row>
    <row r="6" spans="1:13" ht="18.75" x14ac:dyDescent="0.3">
      <c r="A6" s="100">
        <v>5</v>
      </c>
      <c r="B6" s="102" t="s">
        <v>16</v>
      </c>
      <c r="C6" s="102" t="s">
        <v>17</v>
      </c>
      <c r="D6" s="100">
        <f>SUM(4378+1497+1469+1463+1498+1425+1483+1455+1465+1387+1497)</f>
        <v>19017</v>
      </c>
      <c r="E6" s="100">
        <f>SUM(265+97+103+73+101+83+92+106+113+89+84)</f>
        <v>1206</v>
      </c>
      <c r="F6" s="101">
        <f>SUM(D6/E6)</f>
        <v>15.76865671641791</v>
      </c>
      <c r="G6" s="100">
        <v>13</v>
      </c>
      <c r="H6" s="100">
        <v>8</v>
      </c>
      <c r="I6" s="100">
        <v>1</v>
      </c>
      <c r="J6" s="100"/>
      <c r="K6" s="100"/>
      <c r="L6" s="100">
        <v>42</v>
      </c>
      <c r="M6" s="105">
        <v>20</v>
      </c>
    </row>
    <row r="7" spans="1:13" ht="18.75" x14ac:dyDescent="0.3">
      <c r="A7" s="100">
        <v>6</v>
      </c>
      <c r="B7" s="102" t="s">
        <v>12</v>
      </c>
      <c r="C7" s="102" t="s">
        <v>60</v>
      </c>
      <c r="D7" s="100">
        <f>SUM(2996+1503+1503+1500+1499+1372+1431+1407+1413)</f>
        <v>14624</v>
      </c>
      <c r="E7" s="100">
        <f>SUM(199+74+92+109+90+89+109+90+78)</f>
        <v>930</v>
      </c>
      <c r="F7" s="101">
        <f>SUM(D7/E7)</f>
        <v>15.724731182795699</v>
      </c>
      <c r="G7" s="100">
        <v>10</v>
      </c>
      <c r="H7" s="100">
        <v>6</v>
      </c>
      <c r="I7" s="100"/>
      <c r="J7" s="100">
        <v>1</v>
      </c>
      <c r="K7" s="100"/>
      <c r="L7" s="100">
        <v>37</v>
      </c>
      <c r="M7" s="105">
        <v>14</v>
      </c>
    </row>
    <row r="8" spans="1:13" ht="18.75" x14ac:dyDescent="0.3">
      <c r="A8" s="100">
        <v>7</v>
      </c>
      <c r="B8" s="102" t="s">
        <v>59</v>
      </c>
      <c r="C8" s="102" t="s">
        <v>15</v>
      </c>
      <c r="D8" s="100">
        <f>SUM(4240+943+1368+1499+1283+1375+1447+1496+1075+1267+1503)</f>
        <v>17496</v>
      </c>
      <c r="E8" s="100">
        <f>SUM(261+66+73+96+92+85+108+110+73+66+87)</f>
        <v>1117</v>
      </c>
      <c r="F8" s="101">
        <f>SUM(D8/E8)</f>
        <v>15.66338406445837</v>
      </c>
      <c r="G8" s="100">
        <v>13</v>
      </c>
      <c r="H8" s="100">
        <v>4</v>
      </c>
      <c r="I8" s="100">
        <v>1</v>
      </c>
      <c r="J8" s="100"/>
      <c r="K8" s="100"/>
      <c r="L8" s="100">
        <v>33.5</v>
      </c>
      <c r="M8" s="105">
        <v>20</v>
      </c>
    </row>
    <row r="9" spans="1:13" ht="18.75" x14ac:dyDescent="0.3">
      <c r="A9" s="100">
        <v>8</v>
      </c>
      <c r="B9" s="102" t="s">
        <v>9</v>
      </c>
      <c r="C9" s="102" t="s">
        <v>10</v>
      </c>
      <c r="D9" s="100">
        <f>SUM(4453+1487+1387+1473+1501+1339+1473+1501+1491+1488+1328)</f>
        <v>18921</v>
      </c>
      <c r="E9" s="100">
        <f>SUM(266+102+81+93+109+80+107+111+108+81+87)</f>
        <v>1225</v>
      </c>
      <c r="F9" s="101">
        <f>SUM(D9/E9)</f>
        <v>15.445714285714285</v>
      </c>
      <c r="G9" s="100">
        <v>13</v>
      </c>
      <c r="H9" s="100">
        <v>7</v>
      </c>
      <c r="I9" s="100"/>
      <c r="J9" s="100"/>
      <c r="K9" s="100"/>
      <c r="L9" s="100">
        <v>41</v>
      </c>
      <c r="M9" s="105">
        <v>10</v>
      </c>
    </row>
    <row r="10" spans="1:13" ht="18.75" x14ac:dyDescent="0.3">
      <c r="A10" s="100">
        <v>9</v>
      </c>
      <c r="B10" s="102" t="s">
        <v>19</v>
      </c>
      <c r="C10" s="102" t="s">
        <v>20</v>
      </c>
      <c r="D10" s="100">
        <f>SUM(4014+1424+1445+1425+1487+1441+1467+1264+1503+1471+1256)</f>
        <v>18197</v>
      </c>
      <c r="E10" s="100">
        <f>SUM(269+95+107+110+91+87+106+65+99+91+79)</f>
        <v>1199</v>
      </c>
      <c r="F10" s="101">
        <f>SUM(D10/E10)</f>
        <v>15.176814011676397</v>
      </c>
      <c r="G10" s="100">
        <v>13</v>
      </c>
      <c r="H10" s="100">
        <v>6</v>
      </c>
      <c r="I10" s="100">
        <v>1</v>
      </c>
      <c r="J10" s="100"/>
      <c r="K10" s="100"/>
      <c r="L10" s="100">
        <v>34.5</v>
      </c>
      <c r="M10" s="105">
        <v>20</v>
      </c>
    </row>
    <row r="11" spans="1:13" ht="18.75" x14ac:dyDescent="0.3">
      <c r="A11" s="100">
        <v>10</v>
      </c>
      <c r="B11" s="102" t="s">
        <v>50</v>
      </c>
      <c r="C11" s="102" t="s">
        <v>60</v>
      </c>
      <c r="D11" s="100">
        <f>SUM(1462+1503+1165+1503+1503)</f>
        <v>7136</v>
      </c>
      <c r="E11" s="100">
        <f>SUM(111+93+81+102+85)</f>
        <v>472</v>
      </c>
      <c r="F11" s="101">
        <f>SUM(D11/E11)</f>
        <v>15.118644067796611</v>
      </c>
      <c r="G11" s="100">
        <v>5</v>
      </c>
      <c r="H11" s="100">
        <v>4</v>
      </c>
      <c r="I11" s="100"/>
      <c r="J11" s="100"/>
      <c r="K11" s="100"/>
      <c r="L11" s="100">
        <v>20</v>
      </c>
      <c r="M11" s="105"/>
    </row>
    <row r="12" spans="1:13" ht="18.75" x14ac:dyDescent="0.3">
      <c r="A12" s="100">
        <v>11</v>
      </c>
      <c r="B12" s="102" t="s">
        <v>109</v>
      </c>
      <c r="C12" s="102" t="s">
        <v>6</v>
      </c>
      <c r="D12" s="100">
        <f>SUM(1501+1503+1357+1480+1437+1503+1494)</f>
        <v>10275</v>
      </c>
      <c r="E12" s="100">
        <f>SUM(102+90+75+103+110+98+109)</f>
        <v>687</v>
      </c>
      <c r="F12" s="101">
        <f>SUM(D12/E12)</f>
        <v>14.956331877729257</v>
      </c>
      <c r="G12" s="100">
        <v>7</v>
      </c>
      <c r="H12" s="100">
        <v>5</v>
      </c>
      <c r="I12" s="100"/>
      <c r="J12" s="100"/>
      <c r="K12" s="100"/>
      <c r="L12" s="100">
        <v>28.5</v>
      </c>
      <c r="M12" s="105">
        <v>5</v>
      </c>
    </row>
    <row r="13" spans="1:13" ht="18.75" x14ac:dyDescent="0.3">
      <c r="A13" s="100">
        <v>12</v>
      </c>
      <c r="B13" s="100" t="s">
        <v>25</v>
      </c>
      <c r="C13" s="102" t="s">
        <v>10</v>
      </c>
      <c r="D13" s="100">
        <f>SUM(4307+1495+1475+1270+1491+1484+1501+1423+1341+1503)</f>
        <v>17290</v>
      </c>
      <c r="E13" s="100">
        <f>SUM(287+93+99+86+104+105+114+85+88+97)</f>
        <v>1158</v>
      </c>
      <c r="F13" s="101">
        <f>SUM(D13/E13)</f>
        <v>14.930915371329879</v>
      </c>
      <c r="G13" s="100">
        <v>12</v>
      </c>
      <c r="H13" s="100">
        <v>7</v>
      </c>
      <c r="I13" s="100"/>
      <c r="J13" s="100"/>
      <c r="K13" s="100"/>
      <c r="L13" s="100">
        <v>42</v>
      </c>
      <c r="M13" s="105">
        <v>5</v>
      </c>
    </row>
    <row r="14" spans="1:13" ht="18.75" x14ac:dyDescent="0.3">
      <c r="A14" s="100">
        <v>13</v>
      </c>
      <c r="B14" s="102" t="s">
        <v>22</v>
      </c>
      <c r="C14" s="102" t="s">
        <v>17</v>
      </c>
      <c r="D14" s="100">
        <f>SUM(4417+1432+1483+1301+1118+1399+1503+1371+1360+1431)</f>
        <v>16815</v>
      </c>
      <c r="E14" s="100">
        <f>SUM(313+95+97+87+69+83+109+86+86+109)</f>
        <v>1134</v>
      </c>
      <c r="F14" s="101">
        <f>SUM(D14/E14)</f>
        <v>14.828042328042327</v>
      </c>
      <c r="G14" s="100">
        <v>12</v>
      </c>
      <c r="H14" s="100">
        <v>6</v>
      </c>
      <c r="I14" s="100"/>
      <c r="J14" s="100"/>
      <c r="K14" s="100"/>
      <c r="L14" s="100">
        <v>41</v>
      </c>
      <c r="M14" s="105">
        <v>5</v>
      </c>
    </row>
    <row r="15" spans="1:13" ht="18.75" x14ac:dyDescent="0.3">
      <c r="A15" s="100">
        <v>14</v>
      </c>
      <c r="B15" s="102" t="s">
        <v>13</v>
      </c>
      <c r="C15" s="102" t="s">
        <v>8</v>
      </c>
      <c r="D15" s="100">
        <f>SUM(4458+1498+1499+1363+1487+1449+1315+1293+1503+1465+1450)</f>
        <v>18780</v>
      </c>
      <c r="E15" s="100">
        <f>SUM(305+99+94+92+104+102+78+108+82+96+108)</f>
        <v>1268</v>
      </c>
      <c r="F15" s="101">
        <f>SUM(D15/E15)</f>
        <v>14.810725552050473</v>
      </c>
      <c r="G15" s="100">
        <v>13</v>
      </c>
      <c r="H15" s="100">
        <v>6</v>
      </c>
      <c r="I15" s="100"/>
      <c r="J15" s="100"/>
      <c r="K15" s="100"/>
      <c r="L15" s="100">
        <v>43</v>
      </c>
      <c r="M15" s="105"/>
    </row>
    <row r="16" spans="1:13" ht="18.75" x14ac:dyDescent="0.3">
      <c r="A16" s="100">
        <v>15</v>
      </c>
      <c r="B16" s="102" t="s">
        <v>53</v>
      </c>
      <c r="C16" s="102" t="s">
        <v>54</v>
      </c>
      <c r="D16" s="100">
        <f>SUM(3962+1414+1297+1223+1389+1244+1487+1501+1503)</f>
        <v>15020</v>
      </c>
      <c r="E16" s="100">
        <f>SUM(264+100+87+87+102+77+107+110+91)</f>
        <v>1025</v>
      </c>
      <c r="F16" s="101">
        <f>SUM(D16/E16)</f>
        <v>14.653658536585366</v>
      </c>
      <c r="G16" s="100">
        <v>11</v>
      </c>
      <c r="H16" s="100">
        <v>5</v>
      </c>
      <c r="I16" s="100"/>
      <c r="J16" s="100"/>
      <c r="K16" s="100">
        <v>1</v>
      </c>
      <c r="L16" s="100">
        <v>21.5</v>
      </c>
      <c r="M16" s="105">
        <v>10</v>
      </c>
    </row>
    <row r="17" spans="1:13" ht="18.75" x14ac:dyDescent="0.3">
      <c r="A17" s="100">
        <v>16</v>
      </c>
      <c r="B17" s="102" t="s">
        <v>31</v>
      </c>
      <c r="C17" s="102" t="s">
        <v>60</v>
      </c>
      <c r="D17" s="100">
        <f>SUM(4180+1503+1503+1503+1348+1390+1356+1464+1325+1471+1485)</f>
        <v>18528</v>
      </c>
      <c r="E17" s="100">
        <f>SUM(270+96+116+116+79+117+83+109+84+103+99)</f>
        <v>1272</v>
      </c>
      <c r="F17" s="101">
        <f>SUM(D17/E17)</f>
        <v>14.566037735849056</v>
      </c>
      <c r="G17" s="100">
        <v>13</v>
      </c>
      <c r="H17" s="100">
        <v>10</v>
      </c>
      <c r="I17" s="100"/>
      <c r="J17" s="100"/>
      <c r="K17" s="100"/>
      <c r="L17" s="100">
        <v>47.5</v>
      </c>
      <c r="M17" s="105">
        <v>10</v>
      </c>
    </row>
    <row r="18" spans="1:13" ht="18.75" x14ac:dyDescent="0.3">
      <c r="A18" s="100">
        <v>17</v>
      </c>
      <c r="B18" s="100" t="s">
        <v>24</v>
      </c>
      <c r="C18" s="102" t="s">
        <v>15</v>
      </c>
      <c r="D18" s="100">
        <f>SUM(4314+1332+1237+1359+1503+1503+1472+1210+1487+1202)</f>
        <v>16619</v>
      </c>
      <c r="E18" s="100">
        <f>SUM(296+95+82+85+89+114+108+82+101+90)</f>
        <v>1142</v>
      </c>
      <c r="F18" s="101">
        <f>SUM(D18/E18)</f>
        <v>14.552539404553414</v>
      </c>
      <c r="G18" s="100">
        <v>12</v>
      </c>
      <c r="H18" s="100">
        <v>6</v>
      </c>
      <c r="I18" s="100"/>
      <c r="J18" s="100"/>
      <c r="K18" s="100"/>
      <c r="L18" s="100">
        <v>31</v>
      </c>
      <c r="M18" s="105">
        <v>5</v>
      </c>
    </row>
    <row r="19" spans="1:13" ht="18.75" x14ac:dyDescent="0.3">
      <c r="A19" s="100">
        <v>18</v>
      </c>
      <c r="B19" s="109" t="s">
        <v>21</v>
      </c>
      <c r="C19" s="102" t="s">
        <v>17</v>
      </c>
      <c r="D19" s="100">
        <f>SUM(3916+1494+1503+1419+1500+1503+1487+1291+1503+1503)</f>
        <v>17119</v>
      </c>
      <c r="E19" s="100">
        <f>SUM(279+100+110+93+116+77+109+87+109+101)</f>
        <v>1181</v>
      </c>
      <c r="F19" s="101">
        <f>SUM(D19/E19)</f>
        <v>14.495342929720575</v>
      </c>
      <c r="G19" s="100">
        <v>12</v>
      </c>
      <c r="H19" s="100">
        <v>8</v>
      </c>
      <c r="I19" s="100"/>
      <c r="J19" s="100"/>
      <c r="K19" s="100"/>
      <c r="L19" s="100">
        <v>43.5</v>
      </c>
      <c r="M19" s="105">
        <v>5</v>
      </c>
    </row>
    <row r="20" spans="1:13" ht="18.75" x14ac:dyDescent="0.3">
      <c r="A20" s="100">
        <v>19</v>
      </c>
      <c r="B20" s="102" t="s">
        <v>92</v>
      </c>
      <c r="C20" s="102" t="s">
        <v>60</v>
      </c>
      <c r="D20" s="100">
        <f>SUM(1340+1503+1433+1503+1347+1392+1392)</f>
        <v>9910</v>
      </c>
      <c r="E20" s="100">
        <f>SUM(111+98+87+124+93+78+108)</f>
        <v>699</v>
      </c>
      <c r="F20" s="101">
        <f>SUM(D20/E20)</f>
        <v>14.177396280400572</v>
      </c>
      <c r="G20" s="100">
        <v>7</v>
      </c>
      <c r="H20" s="100">
        <v>4</v>
      </c>
      <c r="I20" s="100"/>
      <c r="J20" s="100"/>
      <c r="K20" s="100"/>
      <c r="L20" s="100">
        <v>19</v>
      </c>
      <c r="M20" s="105"/>
    </row>
    <row r="21" spans="1:13" ht="18.75" x14ac:dyDescent="0.3">
      <c r="A21" s="100">
        <v>20</v>
      </c>
      <c r="B21" s="102" t="s">
        <v>94</v>
      </c>
      <c r="C21" s="102" t="s">
        <v>10</v>
      </c>
      <c r="D21" s="100">
        <f>SUM(1503+1225+1463+1475+1457+1483+1499+1415+1483+1501)</f>
        <v>14504</v>
      </c>
      <c r="E21" s="100">
        <f>SUM(114+97+115+98+97+94+114+78+88+129)</f>
        <v>1024</v>
      </c>
      <c r="F21" s="101">
        <f>SUM(D21/E21)</f>
        <v>14.1640625</v>
      </c>
      <c r="G21" s="100">
        <v>10</v>
      </c>
      <c r="H21" s="100">
        <v>7</v>
      </c>
      <c r="I21" s="100"/>
      <c r="J21" s="100"/>
      <c r="K21" s="100"/>
      <c r="L21" s="100">
        <v>36.5</v>
      </c>
      <c r="M21" s="105">
        <v>10</v>
      </c>
    </row>
    <row r="22" spans="1:13" ht="18.75" x14ac:dyDescent="0.3">
      <c r="A22" s="100">
        <v>21</v>
      </c>
      <c r="B22" s="102" t="s">
        <v>83</v>
      </c>
      <c r="C22" s="102" t="s">
        <v>20</v>
      </c>
      <c r="D22" s="100">
        <f>SUM(1491+1497+1406+1432+1414)</f>
        <v>7240</v>
      </c>
      <c r="E22" s="100">
        <f>SUM(103+112+114+103+102)</f>
        <v>534</v>
      </c>
      <c r="F22" s="101">
        <f>SUM(D22/E22)</f>
        <v>13.558052434456929</v>
      </c>
      <c r="G22" s="100">
        <v>5</v>
      </c>
      <c r="H22" s="100">
        <v>3</v>
      </c>
      <c r="I22" s="100"/>
      <c r="J22" s="100"/>
      <c r="K22" s="100"/>
      <c r="L22" s="100">
        <v>14</v>
      </c>
      <c r="M22" s="105"/>
    </row>
    <row r="23" spans="1:13" ht="18.75" x14ac:dyDescent="0.3">
      <c r="A23" s="100">
        <v>22</v>
      </c>
      <c r="B23" s="102" t="s">
        <v>56</v>
      </c>
      <c r="C23" s="102" t="s">
        <v>54</v>
      </c>
      <c r="D23" s="100">
        <f>SUM(4033+1323+1359+1415+1407+1356+1232+1463+1215+1450)</f>
        <v>16253</v>
      </c>
      <c r="E23" s="100">
        <f>SUM(304+111+117+89+85+92+96+111+102+105)</f>
        <v>1212</v>
      </c>
      <c r="F23" s="101">
        <f>SUM(D23/E23)</f>
        <v>13.41006600660066</v>
      </c>
      <c r="G23" s="100">
        <v>12</v>
      </c>
      <c r="H23" s="100">
        <v>0</v>
      </c>
      <c r="I23" s="100"/>
      <c r="J23" s="100"/>
      <c r="K23" s="100"/>
      <c r="L23" s="100">
        <v>14</v>
      </c>
      <c r="M23" s="105">
        <v>5</v>
      </c>
    </row>
    <row r="24" spans="1:13" ht="18.75" x14ac:dyDescent="0.3">
      <c r="A24" s="100">
        <v>23</v>
      </c>
      <c r="B24" s="102" t="s">
        <v>141</v>
      </c>
      <c r="C24" s="102" t="s">
        <v>20</v>
      </c>
      <c r="D24" s="100">
        <f>SUM(1432)</f>
        <v>1432</v>
      </c>
      <c r="E24" s="100">
        <f>SUM(108)</f>
        <v>108</v>
      </c>
      <c r="F24" s="101">
        <f>SUM(D24/E24)</f>
        <v>13.25925925925926</v>
      </c>
      <c r="G24" s="100">
        <v>1</v>
      </c>
      <c r="H24" s="100"/>
      <c r="I24" s="100"/>
      <c r="J24" s="100"/>
      <c r="K24" s="100"/>
      <c r="L24" s="100">
        <v>1</v>
      </c>
      <c r="M24" s="105"/>
    </row>
    <row r="25" spans="1:13" ht="18.75" x14ac:dyDescent="0.3">
      <c r="A25" s="100">
        <v>24</v>
      </c>
      <c r="B25" s="102" t="s">
        <v>23</v>
      </c>
      <c r="C25" s="102" t="s">
        <v>20</v>
      </c>
      <c r="D25" s="100">
        <f>SUM(4015+1501+1489+1293+1413+1189+1499+1262+1322)</f>
        <v>14983</v>
      </c>
      <c r="E25" s="100">
        <f>SUM(279+142+111+90+121+84+114+111+84)</f>
        <v>1136</v>
      </c>
      <c r="F25" s="101">
        <f>SUM(D25/E25)</f>
        <v>13.189260563380282</v>
      </c>
      <c r="G25" s="100">
        <v>11</v>
      </c>
      <c r="H25" s="100">
        <v>3</v>
      </c>
      <c r="I25" s="100">
        <v>1</v>
      </c>
      <c r="J25" s="100"/>
      <c r="K25" s="100"/>
      <c r="L25" s="100">
        <v>21</v>
      </c>
      <c r="M25" s="105">
        <v>10</v>
      </c>
    </row>
    <row r="26" spans="1:13" ht="18.75" x14ac:dyDescent="0.3">
      <c r="A26" s="100">
        <v>25</v>
      </c>
      <c r="B26" s="102" t="s">
        <v>29</v>
      </c>
      <c r="C26" s="102" t="s">
        <v>17</v>
      </c>
      <c r="D26" s="100">
        <f>SUM(2825+1503+1493+1501+1503+1503+1487+1503+1503+1503+1488)</f>
        <v>17812</v>
      </c>
      <c r="E26" s="100">
        <f>SUM(212+89+141+101+92+109+117+145+118+108+130)</f>
        <v>1362</v>
      </c>
      <c r="F26" s="101">
        <f>SUM(D26/E26)</f>
        <v>13.077826725403819</v>
      </c>
      <c r="G26" s="100">
        <v>12</v>
      </c>
      <c r="H26" s="100">
        <v>9</v>
      </c>
      <c r="I26" s="100"/>
      <c r="J26" s="100"/>
      <c r="K26" s="100"/>
      <c r="L26" s="100">
        <v>43</v>
      </c>
      <c r="M26" s="105"/>
    </row>
    <row r="27" spans="1:13" ht="18.75" x14ac:dyDescent="0.3">
      <c r="A27" s="100">
        <v>26</v>
      </c>
      <c r="B27" s="102" t="s">
        <v>32</v>
      </c>
      <c r="C27" s="102" t="s">
        <v>60</v>
      </c>
      <c r="D27" s="100">
        <f>SUM(4179+1391+1460+1414+1471+1503+1467+1503+1503+1408)</f>
        <v>17299</v>
      </c>
      <c r="E27" s="100">
        <f>SUM(276+99+123+110+79+123+119+140+130+138)</f>
        <v>1337</v>
      </c>
      <c r="F27" s="101">
        <f>SUM(D27/E27)</f>
        <v>12.938668661181751</v>
      </c>
      <c r="G27" s="100">
        <v>12</v>
      </c>
      <c r="H27" s="100">
        <v>5</v>
      </c>
      <c r="I27" s="100"/>
      <c r="J27" s="100"/>
      <c r="K27" s="100"/>
      <c r="L27" s="100">
        <v>36</v>
      </c>
      <c r="M27" s="105">
        <v>5</v>
      </c>
    </row>
    <row r="28" spans="1:13" ht="18.75" x14ac:dyDescent="0.3">
      <c r="A28" s="100">
        <v>27</v>
      </c>
      <c r="B28" s="102" t="s">
        <v>18</v>
      </c>
      <c r="C28" s="102" t="s">
        <v>8</v>
      </c>
      <c r="D28" s="100">
        <f>SUM(2974+877+1208+1310+1478+1452+1493+1498+1501+1406)</f>
        <v>15197</v>
      </c>
      <c r="E28" s="100">
        <f>SUM(230+75+95+92+140+100+110+104+126+105)</f>
        <v>1177</v>
      </c>
      <c r="F28" s="101">
        <f>SUM(D28/E28)</f>
        <v>12.911639762107052</v>
      </c>
      <c r="G28" s="100">
        <v>11</v>
      </c>
      <c r="H28" s="100">
        <v>6</v>
      </c>
      <c r="I28" s="100"/>
      <c r="J28" s="100"/>
      <c r="K28" s="100"/>
      <c r="L28" s="100">
        <v>40</v>
      </c>
      <c r="M28" s="105"/>
    </row>
    <row r="29" spans="1:13" ht="18.75" x14ac:dyDescent="0.3">
      <c r="A29" s="100">
        <v>28</v>
      </c>
      <c r="B29" s="102" t="s">
        <v>52</v>
      </c>
      <c r="C29" s="102" t="s">
        <v>20</v>
      </c>
      <c r="D29" s="100">
        <f>SUM(4464+1503+1432+1431+1422+1487+1493+1503+1405)</f>
        <v>16140</v>
      </c>
      <c r="E29" s="100">
        <f>SUM(372+122+97+97+111+143+105+112+97)</f>
        <v>1256</v>
      </c>
      <c r="F29" s="101">
        <f>SUM(D29/E29)</f>
        <v>12.85031847133758</v>
      </c>
      <c r="G29" s="100">
        <v>11</v>
      </c>
      <c r="H29" s="100">
        <v>6</v>
      </c>
      <c r="I29" s="100"/>
      <c r="J29" s="100"/>
      <c r="K29" s="100"/>
      <c r="L29" s="100">
        <v>37</v>
      </c>
      <c r="M29" s="105"/>
    </row>
    <row r="30" spans="1:13" ht="18.75" x14ac:dyDescent="0.3">
      <c r="A30" s="100">
        <v>29</v>
      </c>
      <c r="B30" s="102" t="s">
        <v>14</v>
      </c>
      <c r="C30" s="102" t="s">
        <v>15</v>
      </c>
      <c r="D30" s="100">
        <f>SUM(4418+1300+1489+1476+1458+1503+1423+1219+1419+1482)</f>
        <v>17187</v>
      </c>
      <c r="E30" s="100">
        <f>SUM(337+123+102+107+116+96+114+99+124+122)</f>
        <v>1340</v>
      </c>
      <c r="F30" s="101">
        <f>SUM(D30/E30)</f>
        <v>12.826119402985075</v>
      </c>
      <c r="G30" s="100">
        <v>12</v>
      </c>
      <c r="H30" s="100">
        <v>4</v>
      </c>
      <c r="I30" s="100"/>
      <c r="J30" s="100"/>
      <c r="K30" s="100"/>
      <c r="L30" s="100">
        <v>27.5</v>
      </c>
      <c r="M30" s="105"/>
    </row>
    <row r="31" spans="1:13" ht="18.75" x14ac:dyDescent="0.3">
      <c r="A31" s="100">
        <v>30</v>
      </c>
      <c r="B31" s="102" t="s">
        <v>26</v>
      </c>
      <c r="C31" s="102" t="s">
        <v>10</v>
      </c>
      <c r="D31" s="100">
        <f>SUM(2859+1503+1483+1503)</f>
        <v>7348</v>
      </c>
      <c r="E31" s="100">
        <f>SUM(255+93+110+122)</f>
        <v>580</v>
      </c>
      <c r="F31" s="101">
        <f>SUM(D31/E31)</f>
        <v>12.668965517241379</v>
      </c>
      <c r="G31" s="100">
        <v>5</v>
      </c>
      <c r="H31" s="100">
        <v>2</v>
      </c>
      <c r="I31" s="100"/>
      <c r="J31" s="100"/>
      <c r="K31" s="100"/>
      <c r="L31" s="100">
        <v>17.5</v>
      </c>
      <c r="M31" s="105"/>
    </row>
    <row r="32" spans="1:13" ht="18.75" x14ac:dyDescent="0.3">
      <c r="A32" s="100">
        <v>31</v>
      </c>
      <c r="B32" s="102" t="s">
        <v>28</v>
      </c>
      <c r="C32" s="102" t="s">
        <v>6</v>
      </c>
      <c r="D32" s="100">
        <f>SUM(2923)</f>
        <v>2923</v>
      </c>
      <c r="E32" s="100">
        <f>SUM(232)</f>
        <v>232</v>
      </c>
      <c r="F32" s="101">
        <f>SUM(D32/E32)</f>
        <v>12.599137931034482</v>
      </c>
      <c r="G32" s="100">
        <v>2</v>
      </c>
      <c r="H32" s="100">
        <v>0</v>
      </c>
      <c r="I32" s="100">
        <v>1</v>
      </c>
      <c r="J32" s="100"/>
      <c r="K32" s="100"/>
      <c r="L32" s="100">
        <v>4.5</v>
      </c>
      <c r="M32" s="105">
        <v>10</v>
      </c>
    </row>
    <row r="33" spans="1:13" ht="18.75" x14ac:dyDescent="0.3">
      <c r="A33" s="100">
        <v>32</v>
      </c>
      <c r="B33" s="102" t="s">
        <v>80</v>
      </c>
      <c r="C33" s="102" t="s">
        <v>17</v>
      </c>
      <c r="D33" s="100">
        <f>SUM(1503+1503+1219)</f>
        <v>4225</v>
      </c>
      <c r="E33" s="100">
        <f>SUM(125+120+93)</f>
        <v>338</v>
      </c>
      <c r="F33" s="101">
        <f>SUM(D33/E33)</f>
        <v>12.5</v>
      </c>
      <c r="G33" s="100">
        <v>3</v>
      </c>
      <c r="H33" s="100">
        <v>2</v>
      </c>
      <c r="I33" s="100"/>
      <c r="J33" s="100"/>
      <c r="K33" s="100"/>
      <c r="L33" s="100">
        <v>12.5</v>
      </c>
      <c r="M33" s="105"/>
    </row>
    <row r="34" spans="1:13" ht="18.75" x14ac:dyDescent="0.3">
      <c r="A34" s="100">
        <v>33</v>
      </c>
      <c r="B34" s="102" t="s">
        <v>82</v>
      </c>
      <c r="C34" s="102" t="s">
        <v>15</v>
      </c>
      <c r="D34" s="100">
        <f>SUM(1503+1483)</f>
        <v>2986</v>
      </c>
      <c r="E34" s="100">
        <f>SUM(105+135)</f>
        <v>240</v>
      </c>
      <c r="F34" s="101">
        <f>SUM(D34/E34)</f>
        <v>12.441666666666666</v>
      </c>
      <c r="G34" s="100">
        <v>2</v>
      </c>
      <c r="H34" s="100">
        <v>2</v>
      </c>
      <c r="I34" s="100"/>
      <c r="J34" s="100"/>
      <c r="K34" s="100"/>
      <c r="L34" s="100">
        <v>5.5</v>
      </c>
      <c r="M34" s="105"/>
    </row>
    <row r="35" spans="1:13" ht="18.75" x14ac:dyDescent="0.3">
      <c r="A35" s="100">
        <v>34</v>
      </c>
      <c r="B35" s="102" t="s">
        <v>79</v>
      </c>
      <c r="C35" s="102" t="s">
        <v>60</v>
      </c>
      <c r="D35" s="100">
        <f>SUM(2822+1492+1458+1346)</f>
        <v>7118</v>
      </c>
      <c r="E35" s="100">
        <f>SUM(261+118+100+100)</f>
        <v>579</v>
      </c>
      <c r="F35" s="101">
        <f>SUM(D35/E35)</f>
        <v>12.293609671848014</v>
      </c>
      <c r="G35" s="100">
        <v>5</v>
      </c>
      <c r="H35" s="100">
        <v>3</v>
      </c>
      <c r="I35" s="100"/>
      <c r="J35" s="100"/>
      <c r="K35" s="100"/>
      <c r="L35" s="100">
        <v>21.5</v>
      </c>
      <c r="M35" s="105"/>
    </row>
    <row r="36" spans="1:13" ht="18.75" x14ac:dyDescent="0.3">
      <c r="A36" s="100">
        <v>35</v>
      </c>
      <c r="B36" s="102" t="s">
        <v>61</v>
      </c>
      <c r="C36" s="102" t="s">
        <v>6</v>
      </c>
      <c r="D36" s="100">
        <f>SUM(4453+1501+1503+1444+1480+1503+1483+1492+1503)</f>
        <v>16362</v>
      </c>
      <c r="E36" s="100">
        <f>SUM(394+142+114+116+102+95+147+117+113)</f>
        <v>1340</v>
      </c>
      <c r="F36" s="101">
        <f>SUM(D36/E36)</f>
        <v>12.210447761194029</v>
      </c>
      <c r="G36" s="100">
        <v>11</v>
      </c>
      <c r="H36" s="100">
        <v>7</v>
      </c>
      <c r="I36" s="100"/>
      <c r="J36" s="100"/>
      <c r="K36" s="100"/>
      <c r="L36" s="100">
        <v>37.5</v>
      </c>
      <c r="M36" s="105">
        <v>5</v>
      </c>
    </row>
    <row r="37" spans="1:13" ht="18.75" x14ac:dyDescent="0.3">
      <c r="A37" s="100">
        <v>36</v>
      </c>
      <c r="B37" s="102" t="s">
        <v>91</v>
      </c>
      <c r="C37" s="102" t="s">
        <v>6</v>
      </c>
      <c r="D37" s="100">
        <f>SUM(1496+1347+1501+1316)</f>
        <v>5660</v>
      </c>
      <c r="E37" s="100">
        <f>SUM(127+116+121+105)</f>
        <v>469</v>
      </c>
      <c r="F37" s="101">
        <f>SUM(D37/E37)</f>
        <v>12.068230277185501</v>
      </c>
      <c r="G37" s="100">
        <v>4</v>
      </c>
      <c r="H37" s="100">
        <v>2</v>
      </c>
      <c r="I37" s="100"/>
      <c r="J37" s="100"/>
      <c r="K37" s="100"/>
      <c r="L37" s="100">
        <v>18.5</v>
      </c>
      <c r="M37" s="105"/>
    </row>
    <row r="38" spans="1:13" ht="18.75" x14ac:dyDescent="0.3">
      <c r="A38" s="100">
        <v>37</v>
      </c>
      <c r="B38" s="100" t="s">
        <v>27</v>
      </c>
      <c r="C38" s="102" t="s">
        <v>10</v>
      </c>
      <c r="D38" s="100">
        <f>SUM(4296+1328+1494+1503+1503+1492+1369+1263+1401+1429)</f>
        <v>17078</v>
      </c>
      <c r="E38" s="100">
        <f>SUM(372+84+136+118+151+151+96+90+114+108)</f>
        <v>1420</v>
      </c>
      <c r="F38" s="101">
        <f>SUM(D38/E38)</f>
        <v>12.026760563380282</v>
      </c>
      <c r="G38" s="100">
        <v>12</v>
      </c>
      <c r="H38" s="100">
        <v>4</v>
      </c>
      <c r="I38" s="100"/>
      <c r="J38" s="100"/>
      <c r="K38" s="100"/>
      <c r="L38" s="100">
        <v>36</v>
      </c>
      <c r="M38" s="105">
        <v>5</v>
      </c>
    </row>
    <row r="39" spans="1:13" ht="18.75" x14ac:dyDescent="0.3">
      <c r="A39" s="100">
        <v>38</v>
      </c>
      <c r="B39" s="102" t="s">
        <v>58</v>
      </c>
      <c r="C39" s="102" t="s">
        <v>54</v>
      </c>
      <c r="D39" s="100">
        <f>SUM(4183+1360+1165+1035+1124+1035+1396+1487+1297+1290)</f>
        <v>15372</v>
      </c>
      <c r="E39" s="100">
        <f>SUM(385+117+96+99+87+87+120+119+108+96)</f>
        <v>1314</v>
      </c>
      <c r="F39" s="101">
        <f>SUM(D39/E39)</f>
        <v>11.698630136986301</v>
      </c>
      <c r="G39" s="100">
        <v>12</v>
      </c>
      <c r="H39" s="100">
        <v>2</v>
      </c>
      <c r="I39" s="100"/>
      <c r="J39" s="100"/>
      <c r="K39" s="100"/>
      <c r="L39" s="100">
        <v>16.5</v>
      </c>
      <c r="M39" s="105"/>
    </row>
    <row r="40" spans="1:13" ht="18.75" x14ac:dyDescent="0.3">
      <c r="A40" s="100">
        <v>39</v>
      </c>
      <c r="B40" s="102" t="s">
        <v>136</v>
      </c>
      <c r="C40" s="102" t="s">
        <v>54</v>
      </c>
      <c r="D40" s="100">
        <v>1295</v>
      </c>
      <c r="E40" s="100">
        <v>111</v>
      </c>
      <c r="F40" s="101">
        <f>SUM(D40/E40)</f>
        <v>11.666666666666666</v>
      </c>
      <c r="G40" s="100">
        <v>1</v>
      </c>
      <c r="H40" s="100"/>
      <c r="I40" s="100"/>
      <c r="J40" s="100"/>
      <c r="K40" s="100"/>
      <c r="L40" s="100">
        <v>0.5</v>
      </c>
      <c r="M40" s="105"/>
    </row>
    <row r="41" spans="1:13" ht="18.75" x14ac:dyDescent="0.3">
      <c r="A41" s="100">
        <v>40</v>
      </c>
      <c r="B41" s="102" t="s">
        <v>93</v>
      </c>
      <c r="C41" s="102" t="s">
        <v>15</v>
      </c>
      <c r="D41" s="100">
        <f>SUM(1208+1312+1237+1479+1503+1336+1209)</f>
        <v>9284</v>
      </c>
      <c r="E41" s="100">
        <f>SUM(93+114+114+125+121+114+117)</f>
        <v>798</v>
      </c>
      <c r="F41" s="101">
        <f>SUM(D41/E41)</f>
        <v>11.634085213032581</v>
      </c>
      <c r="G41" s="100">
        <v>7</v>
      </c>
      <c r="H41" s="100">
        <v>1</v>
      </c>
      <c r="I41" s="100"/>
      <c r="J41" s="100"/>
      <c r="K41" s="100"/>
      <c r="L41" s="100">
        <v>12</v>
      </c>
      <c r="M41" s="105"/>
    </row>
    <row r="42" spans="1:13" ht="18.75" x14ac:dyDescent="0.3">
      <c r="A42" s="100">
        <v>41</v>
      </c>
      <c r="B42" s="102" t="s">
        <v>81</v>
      </c>
      <c r="C42" s="102" t="s">
        <v>8</v>
      </c>
      <c r="D42" s="100">
        <f>SUM(1456+1499+1222+1379)</f>
        <v>5556</v>
      </c>
      <c r="E42" s="100">
        <f>SUM(107+138+115+120)</f>
        <v>480</v>
      </c>
      <c r="F42" s="101">
        <f>SUM(D42/E42)</f>
        <v>11.574999999999999</v>
      </c>
      <c r="G42" s="100">
        <v>4</v>
      </c>
      <c r="H42" s="100">
        <v>1</v>
      </c>
      <c r="I42" s="100"/>
      <c r="J42" s="100"/>
      <c r="K42" s="100"/>
      <c r="L42" s="100">
        <v>11</v>
      </c>
      <c r="M42" s="105"/>
    </row>
    <row r="43" spans="1:13" ht="18.75" x14ac:dyDescent="0.3">
      <c r="A43" s="100">
        <v>42</v>
      </c>
      <c r="B43" s="102" t="s">
        <v>57</v>
      </c>
      <c r="C43" s="102" t="s">
        <v>15</v>
      </c>
      <c r="D43" s="100">
        <f>SUM(1259+1503)</f>
        <v>2762</v>
      </c>
      <c r="E43" s="100">
        <f>SUM(102+139)</f>
        <v>241</v>
      </c>
      <c r="F43" s="101">
        <f>SUM(D43/E43)</f>
        <v>11.460580912863071</v>
      </c>
      <c r="G43" s="100">
        <v>2</v>
      </c>
      <c r="H43" s="100">
        <v>1</v>
      </c>
      <c r="I43" s="100"/>
      <c r="J43" s="100"/>
      <c r="K43" s="100"/>
      <c r="L43" s="100">
        <v>4</v>
      </c>
      <c r="M43" s="105"/>
    </row>
    <row r="44" spans="1:13" ht="18.75" x14ac:dyDescent="0.3">
      <c r="A44" s="100">
        <v>43</v>
      </c>
      <c r="B44" s="102" t="s">
        <v>51</v>
      </c>
      <c r="C44" s="102" t="s">
        <v>20</v>
      </c>
      <c r="D44" s="100">
        <f>SUM(2846+1454+1168+1455+1454+1501+1459+1503)</f>
        <v>12840</v>
      </c>
      <c r="E44" s="100">
        <f>SUM(250+115+105+129+101+149+180+134)</f>
        <v>1163</v>
      </c>
      <c r="F44" s="101">
        <f>SUM(D44/E44)</f>
        <v>11.040412725709372</v>
      </c>
      <c r="G44" s="100">
        <v>9</v>
      </c>
      <c r="H44" s="100">
        <v>6</v>
      </c>
      <c r="I44" s="100"/>
      <c r="J44" s="100"/>
      <c r="K44" s="100"/>
      <c r="L44" s="100">
        <v>27</v>
      </c>
      <c r="M44" s="105"/>
    </row>
    <row r="45" spans="1:13" ht="18.75" x14ac:dyDescent="0.3">
      <c r="A45" s="100">
        <v>44</v>
      </c>
      <c r="B45" s="102" t="s">
        <v>55</v>
      </c>
      <c r="C45" s="102" t="s">
        <v>54</v>
      </c>
      <c r="D45" s="100">
        <f>SUM(4065+1275+1469+1496+1425+1324+1487+1322+1263)</f>
        <v>15126</v>
      </c>
      <c r="E45" s="100">
        <f>SUM(355+120+124+117+113+150+154+124+123)</f>
        <v>1380</v>
      </c>
      <c r="F45" s="101">
        <f>SUM(D45/E45)</f>
        <v>10.960869565217392</v>
      </c>
      <c r="G45" s="100">
        <v>11</v>
      </c>
      <c r="H45" s="100">
        <v>3</v>
      </c>
      <c r="I45" s="100"/>
      <c r="J45" s="100"/>
      <c r="K45" s="100"/>
      <c r="L45" s="100">
        <v>19</v>
      </c>
      <c r="M45" s="105"/>
    </row>
    <row r="46" spans="1:13" ht="18.75" x14ac:dyDescent="0.3">
      <c r="A46" s="100">
        <v>45</v>
      </c>
      <c r="B46" s="102" t="s">
        <v>30</v>
      </c>
      <c r="C46" s="102" t="s">
        <v>8</v>
      </c>
      <c r="D46" s="100">
        <f>SUM(4393+1267+1402+1455+999+1179+1495+1282+1501+1372)</f>
        <v>16345</v>
      </c>
      <c r="E46" s="100">
        <f>SUM(432+120+135+153+90+90+129+135+169+129)</f>
        <v>1582</v>
      </c>
      <c r="F46" s="101">
        <f>SUM(D46/E46)</f>
        <v>10.331858407079647</v>
      </c>
      <c r="G46" s="100">
        <v>12</v>
      </c>
      <c r="H46" s="100">
        <v>3</v>
      </c>
      <c r="I46" s="100"/>
      <c r="J46" s="100"/>
      <c r="K46" s="100"/>
      <c r="L46" s="100">
        <v>22.5</v>
      </c>
      <c r="M46" s="105">
        <v>10</v>
      </c>
    </row>
    <row r="47" spans="1:13" ht="18.75" x14ac:dyDescent="0.3">
      <c r="A47" s="100">
        <v>46</v>
      </c>
      <c r="B47" s="102" t="s">
        <v>119</v>
      </c>
      <c r="C47" s="102" t="s">
        <v>15</v>
      </c>
      <c r="D47" s="100">
        <f>SUM(1331+1487+1345+1472)</f>
        <v>5635</v>
      </c>
      <c r="E47" s="100">
        <f>SUM(120+161+141+168)</f>
        <v>590</v>
      </c>
      <c r="F47" s="101">
        <f>SUM(D47/E47)</f>
        <v>9.5508474576271194</v>
      </c>
      <c r="G47" s="100">
        <v>4</v>
      </c>
      <c r="H47" s="100">
        <v>1</v>
      </c>
      <c r="I47" s="100"/>
      <c r="J47" s="100"/>
      <c r="K47" s="100"/>
      <c r="L47" s="100">
        <v>5</v>
      </c>
      <c r="M47" s="105"/>
    </row>
    <row r="48" spans="1:13" ht="18.75" x14ac:dyDescent="0.3">
      <c r="A48" s="100">
        <v>47</v>
      </c>
      <c r="B48" s="102" t="s">
        <v>135</v>
      </c>
      <c r="C48" s="102" t="s">
        <v>54</v>
      </c>
      <c r="D48" s="100">
        <v>1469</v>
      </c>
      <c r="E48" s="100">
        <v>180</v>
      </c>
      <c r="F48" s="101">
        <f>SUM(D48/E48)</f>
        <v>8.1611111111111114</v>
      </c>
      <c r="G48" s="100">
        <v>1</v>
      </c>
      <c r="H48" s="100"/>
      <c r="I48" s="100"/>
      <c r="J48" s="100"/>
      <c r="K48" s="100"/>
      <c r="L48" s="100">
        <v>0.5</v>
      </c>
      <c r="M48" s="105"/>
    </row>
    <row r="49" spans="1:13" ht="19.5" thickBot="1" x14ac:dyDescent="0.35">
      <c r="A49" s="92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</row>
    <row r="50" spans="1:13" ht="15" customHeight="1" thickBot="1" x14ac:dyDescent="0.35">
      <c r="A50" s="92"/>
      <c r="B50" s="115" t="s">
        <v>145</v>
      </c>
      <c r="C50" s="98" t="s">
        <v>33</v>
      </c>
      <c r="D50" s="97" t="s">
        <v>34</v>
      </c>
      <c r="E50" s="97" t="s">
        <v>35</v>
      </c>
      <c r="F50" s="97" t="s">
        <v>36</v>
      </c>
      <c r="G50" s="97"/>
      <c r="H50" s="97"/>
      <c r="I50" s="96"/>
      <c r="J50" s="91"/>
      <c r="K50" s="91"/>
      <c r="L50" s="91"/>
      <c r="M50" s="91"/>
    </row>
    <row r="51" spans="1:13" ht="18.75" x14ac:dyDescent="0.3">
      <c r="A51" s="92"/>
      <c r="B51" s="114"/>
      <c r="C51" s="92" t="s">
        <v>39</v>
      </c>
      <c r="D51" s="92">
        <v>12</v>
      </c>
      <c r="E51" s="91">
        <v>1</v>
      </c>
      <c r="F51" s="91">
        <v>212</v>
      </c>
      <c r="G51" s="91"/>
      <c r="H51" s="92" t="s">
        <v>38</v>
      </c>
      <c r="I51" s="95" t="s">
        <v>133</v>
      </c>
      <c r="J51" s="91"/>
      <c r="K51" s="95"/>
      <c r="L51" s="91"/>
      <c r="M51" s="91"/>
    </row>
    <row r="52" spans="1:13" ht="18.75" x14ac:dyDescent="0.3">
      <c r="A52" s="92"/>
      <c r="B52" s="114"/>
      <c r="C52" s="92" t="s">
        <v>42</v>
      </c>
      <c r="D52" s="92">
        <v>10</v>
      </c>
      <c r="E52" s="91">
        <v>3</v>
      </c>
      <c r="F52" s="91">
        <v>192</v>
      </c>
      <c r="G52" s="91"/>
      <c r="H52" s="92" t="s">
        <v>40</v>
      </c>
      <c r="I52" s="95" t="s">
        <v>144</v>
      </c>
      <c r="J52" s="91"/>
      <c r="K52" s="92"/>
      <c r="L52" s="91"/>
      <c r="M52" s="91"/>
    </row>
    <row r="53" spans="1:13" ht="18.75" x14ac:dyDescent="0.3">
      <c r="A53" s="92"/>
      <c r="B53" s="114"/>
      <c r="C53" s="92" t="s">
        <v>63</v>
      </c>
      <c r="D53" s="92">
        <v>9</v>
      </c>
      <c r="E53" s="92">
        <v>4</v>
      </c>
      <c r="F53" s="92">
        <v>182</v>
      </c>
      <c r="G53" s="91"/>
      <c r="H53" s="92" t="s">
        <v>41</v>
      </c>
      <c r="I53" s="95" t="s">
        <v>143</v>
      </c>
      <c r="J53" s="91"/>
      <c r="K53" s="95"/>
      <c r="L53" s="91"/>
      <c r="M53" s="91"/>
    </row>
    <row r="54" spans="1:13" ht="18.75" x14ac:dyDescent="0.3">
      <c r="A54" s="91"/>
      <c r="B54" s="114"/>
      <c r="C54" s="92" t="s">
        <v>37</v>
      </c>
      <c r="D54" s="92">
        <v>9</v>
      </c>
      <c r="E54" s="91">
        <v>4</v>
      </c>
      <c r="F54" s="91">
        <v>173</v>
      </c>
      <c r="G54" s="91"/>
      <c r="H54" s="92" t="s">
        <v>43</v>
      </c>
      <c r="I54" s="95" t="s">
        <v>142</v>
      </c>
      <c r="J54" s="91"/>
      <c r="K54" s="92"/>
      <c r="L54" s="91"/>
      <c r="M54" s="91"/>
    </row>
    <row r="55" spans="1:13" ht="18" customHeight="1" x14ac:dyDescent="0.3">
      <c r="A55" s="91"/>
      <c r="B55" s="114"/>
      <c r="C55" s="92" t="s">
        <v>48</v>
      </c>
      <c r="D55" s="92">
        <v>4</v>
      </c>
      <c r="E55" s="91">
        <v>9</v>
      </c>
      <c r="F55" s="91">
        <v>145</v>
      </c>
      <c r="G55" s="91"/>
      <c r="H55" s="92" t="s">
        <v>45</v>
      </c>
      <c r="I55" s="95" t="s">
        <v>86</v>
      </c>
      <c r="J55" s="91"/>
      <c r="K55" s="92"/>
      <c r="L55" s="91"/>
      <c r="M55" s="91"/>
    </row>
    <row r="56" spans="1:13" ht="18" customHeight="1" x14ac:dyDescent="0.3">
      <c r="A56" s="91"/>
      <c r="B56" s="114"/>
      <c r="C56" s="92" t="s">
        <v>47</v>
      </c>
      <c r="D56" s="92">
        <v>6</v>
      </c>
      <c r="E56" s="91">
        <v>7</v>
      </c>
      <c r="F56" s="91">
        <v>143</v>
      </c>
      <c r="G56" s="91"/>
      <c r="H56" s="92" t="s">
        <v>46</v>
      </c>
      <c r="I56" s="107" t="s">
        <v>99</v>
      </c>
      <c r="J56" s="107"/>
      <c r="K56" s="92"/>
      <c r="L56" s="91"/>
      <c r="M56" s="91"/>
    </row>
    <row r="57" spans="1:13" ht="18.75" x14ac:dyDescent="0.3">
      <c r="A57" s="91"/>
      <c r="B57" s="114"/>
      <c r="C57" s="92" t="s">
        <v>44</v>
      </c>
      <c r="D57" s="92">
        <v>2</v>
      </c>
      <c r="E57" s="92">
        <v>11</v>
      </c>
      <c r="F57" s="92">
        <v>120</v>
      </c>
      <c r="G57" s="91"/>
      <c r="H57" s="91"/>
      <c r="I57" s="91"/>
      <c r="J57" s="91"/>
      <c r="K57" s="91"/>
      <c r="L57" s="91"/>
      <c r="M57" s="91"/>
    </row>
    <row r="58" spans="1:13" ht="18.75" x14ac:dyDescent="0.3">
      <c r="A58" s="91"/>
      <c r="B58" s="114"/>
      <c r="C58" s="92" t="s">
        <v>49</v>
      </c>
      <c r="D58" s="92">
        <v>0</v>
      </c>
      <c r="E58" s="92">
        <v>13</v>
      </c>
      <c r="F58" s="92">
        <v>83</v>
      </c>
      <c r="G58" s="91"/>
      <c r="H58" s="91"/>
      <c r="I58" s="91"/>
      <c r="J58" s="91"/>
      <c r="K58" s="91"/>
      <c r="L58" s="91"/>
      <c r="M58" s="91"/>
    </row>
  </sheetData>
  <mergeCells count="2">
    <mergeCell ref="B50:B58"/>
    <mergeCell ref="I56:J5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9"/>
  <sheetViews>
    <sheetView workbookViewId="0">
      <pane ySplit="1" topLeftCell="A26" activePane="bottomLeft" state="frozen"/>
      <selection pane="bottomLeft" activeCell="H51" sqref="H51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12.710937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70.28515625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10.8554687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hidden="1" x14ac:dyDescent="0.3">
      <c r="A2" s="100">
        <v>2</v>
      </c>
      <c r="B2" s="102" t="s">
        <v>11</v>
      </c>
      <c r="C2" s="102" t="s">
        <v>6</v>
      </c>
      <c r="D2" s="100">
        <f>SUM(4499+1499+1491+1499+1385+1503+1503+1503+1501+1466+1503)</f>
        <v>19352</v>
      </c>
      <c r="E2" s="100">
        <f>SUM(253+93+80+93+76+68+84+90+80+90+80)</f>
        <v>1087</v>
      </c>
      <c r="F2" s="101">
        <f>SUM(D2/E2)</f>
        <v>17.803127874885003</v>
      </c>
      <c r="G2" s="100">
        <v>13</v>
      </c>
      <c r="H2" s="100">
        <v>12</v>
      </c>
      <c r="I2" s="100">
        <v>3</v>
      </c>
      <c r="J2" s="100"/>
      <c r="K2" s="100"/>
      <c r="L2" s="100">
        <v>60.5</v>
      </c>
      <c r="M2" s="105">
        <v>50</v>
      </c>
    </row>
    <row r="3" spans="1:13" ht="18.75" hidden="1" x14ac:dyDescent="0.3">
      <c r="A3" s="100">
        <v>1</v>
      </c>
      <c r="B3" s="102" t="s">
        <v>5</v>
      </c>
      <c r="C3" s="102" t="s">
        <v>6</v>
      </c>
      <c r="D3" s="100">
        <f>SUM(4345+1503+1501+1503+1482+1471+1503+1463+1495+1483+1479)</f>
        <v>19228</v>
      </c>
      <c r="E3" s="100">
        <f>SUM(244+81+78+89+76+89+79+65+76+84+70)</f>
        <v>1031</v>
      </c>
      <c r="F3" s="101">
        <f>SUM(D3/E3)</f>
        <v>18.649854510184287</v>
      </c>
      <c r="G3" s="100">
        <v>13</v>
      </c>
      <c r="H3" s="100">
        <v>10</v>
      </c>
      <c r="I3" s="100"/>
      <c r="J3" s="100">
        <v>2</v>
      </c>
      <c r="K3" s="100">
        <v>2</v>
      </c>
      <c r="L3" s="100">
        <v>51.5</v>
      </c>
      <c r="M3" s="105">
        <v>78</v>
      </c>
    </row>
    <row r="4" spans="1:13" ht="18.75" hidden="1" x14ac:dyDescent="0.3">
      <c r="A4" s="100">
        <v>18</v>
      </c>
      <c r="B4" s="100" t="s">
        <v>21</v>
      </c>
      <c r="C4" s="102" t="s">
        <v>17</v>
      </c>
      <c r="D4" s="100">
        <f>SUM(3916+1494+1503+1419+1500+1503+1487+1291+1503+1503+1503)</f>
        <v>18622</v>
      </c>
      <c r="E4" s="100">
        <f>SUM(279+100+110+93+116+77+109+87+109+101+117)</f>
        <v>1298</v>
      </c>
      <c r="F4" s="101">
        <f>SUM(D4/E4)</f>
        <v>14.346687211093991</v>
      </c>
      <c r="G4" s="100">
        <v>13</v>
      </c>
      <c r="H4" s="100">
        <v>9</v>
      </c>
      <c r="I4" s="100"/>
      <c r="J4" s="100"/>
      <c r="K4" s="100"/>
      <c r="L4" s="100">
        <v>49.5</v>
      </c>
      <c r="M4" s="105">
        <v>5</v>
      </c>
    </row>
    <row r="5" spans="1:13" ht="18.75" hidden="1" x14ac:dyDescent="0.3">
      <c r="A5" s="100">
        <v>17</v>
      </c>
      <c r="B5" s="102" t="s">
        <v>31</v>
      </c>
      <c r="C5" s="102" t="s">
        <v>60</v>
      </c>
      <c r="D5" s="100">
        <f>SUM(4180+1503+1503+1503+1348+1390+1356+1464+1325+1471+1485+1356)</f>
        <v>19884</v>
      </c>
      <c r="E5" s="100">
        <f>SUM(270+96+116+116+79+117+83+109+84+103+99+102)</f>
        <v>1374</v>
      </c>
      <c r="F5" s="101">
        <f>SUM(D5/E5)</f>
        <v>14.471615720524017</v>
      </c>
      <c r="G5" s="100">
        <v>14</v>
      </c>
      <c r="H5" s="100">
        <v>10</v>
      </c>
      <c r="I5" s="100"/>
      <c r="J5" s="100"/>
      <c r="K5" s="100"/>
      <c r="L5" s="100">
        <v>48.5</v>
      </c>
      <c r="M5" s="105">
        <v>10</v>
      </c>
    </row>
    <row r="6" spans="1:13" ht="18.75" hidden="1" x14ac:dyDescent="0.3">
      <c r="A6" s="100">
        <v>11</v>
      </c>
      <c r="B6" s="100" t="s">
        <v>25</v>
      </c>
      <c r="C6" s="102" t="s">
        <v>10</v>
      </c>
      <c r="D6" s="100">
        <f>SUM(4307+1495+1475+1270+1491+1484+1501+1423+1341+1503+1503)</f>
        <v>18793</v>
      </c>
      <c r="E6" s="100">
        <f>SUM(287+93+99+86+104+105+114+85+88+97+88)</f>
        <v>1246</v>
      </c>
      <c r="F6" s="101">
        <f>SUM(D6/E6)</f>
        <v>15.082664526484752</v>
      </c>
      <c r="G6" s="100">
        <v>13</v>
      </c>
      <c r="H6" s="100">
        <v>8</v>
      </c>
      <c r="I6" s="100"/>
      <c r="J6" s="100"/>
      <c r="K6" s="100"/>
      <c r="L6" s="100">
        <v>48</v>
      </c>
      <c r="M6" s="105">
        <v>5</v>
      </c>
    </row>
    <row r="7" spans="1:13" ht="18.75" hidden="1" x14ac:dyDescent="0.3">
      <c r="A7" s="100">
        <v>26</v>
      </c>
      <c r="B7" s="102" t="s">
        <v>29</v>
      </c>
      <c r="C7" s="102" t="s">
        <v>17</v>
      </c>
      <c r="D7" s="100">
        <f>SUM(2825+1503+1493+1501+1503+1503+1487+1503+1503+1503+1488+1503)</f>
        <v>19315</v>
      </c>
      <c r="E7" s="100">
        <f>SUM(212+89+141+101+92+109+117+145+118+108+130+115)</f>
        <v>1477</v>
      </c>
      <c r="F7" s="101">
        <f>SUM(D7/E7)</f>
        <v>13.077183480027083</v>
      </c>
      <c r="G7" s="100">
        <v>13</v>
      </c>
      <c r="H7" s="100">
        <v>10</v>
      </c>
      <c r="I7" s="100"/>
      <c r="J7" s="100"/>
      <c r="K7" s="100"/>
      <c r="L7" s="100">
        <v>48</v>
      </c>
      <c r="M7" s="105"/>
    </row>
    <row r="8" spans="1:13" ht="18.75" hidden="1" x14ac:dyDescent="0.3">
      <c r="A8" s="100">
        <v>7</v>
      </c>
      <c r="B8" s="102" t="s">
        <v>16</v>
      </c>
      <c r="C8" s="102" t="s">
        <v>17</v>
      </c>
      <c r="D8" s="100">
        <f>SUM(4378+1497+1469+1463+1498+1425+1483+1455+1465+1387+1497+1350)</f>
        <v>20367</v>
      </c>
      <c r="E8" s="100">
        <f>SUM(265+97+103+73+101+83+92+106+113+89+84+93)</f>
        <v>1299</v>
      </c>
      <c r="F8" s="101">
        <f>SUM(D8/E8)</f>
        <v>15.678983833718245</v>
      </c>
      <c r="G8" s="100">
        <v>14</v>
      </c>
      <c r="H8" s="100">
        <v>8</v>
      </c>
      <c r="I8" s="100">
        <v>1</v>
      </c>
      <c r="J8" s="100"/>
      <c r="K8" s="100"/>
      <c r="L8" s="100">
        <v>45.5</v>
      </c>
      <c r="M8" s="105">
        <v>20</v>
      </c>
    </row>
    <row r="9" spans="1:13" ht="18.75" hidden="1" x14ac:dyDescent="0.3">
      <c r="A9" s="100">
        <v>13</v>
      </c>
      <c r="B9" s="102" t="s">
        <v>22</v>
      </c>
      <c r="C9" s="102" t="s">
        <v>17</v>
      </c>
      <c r="D9" s="100">
        <f>SUM(4417+1432+1483+1301+1118+1399+1503+1371+1360+1431+1496)</f>
        <v>18311</v>
      </c>
      <c r="E9" s="100">
        <f>SUM(313+95+97+87+69+83+109+86+86+109+95)</f>
        <v>1229</v>
      </c>
      <c r="F9" s="101">
        <f>SUM(D9/E9)</f>
        <v>14.899104963384866</v>
      </c>
      <c r="G9" s="100">
        <v>13</v>
      </c>
      <c r="H9" s="100">
        <v>6</v>
      </c>
      <c r="I9" s="100"/>
      <c r="J9" s="100"/>
      <c r="K9" s="100"/>
      <c r="L9" s="100">
        <v>44.5</v>
      </c>
      <c r="M9" s="105">
        <v>5</v>
      </c>
    </row>
    <row r="10" spans="1:13" ht="18.75" hidden="1" x14ac:dyDescent="0.3">
      <c r="A10" s="100">
        <v>8</v>
      </c>
      <c r="B10" s="102" t="s">
        <v>9</v>
      </c>
      <c r="C10" s="102" t="s">
        <v>10</v>
      </c>
      <c r="D10" s="100">
        <f>SUM(4453+1487+1387+1473+1501+1339+1473+1501+1491+1488+1328+1386)</f>
        <v>20307</v>
      </c>
      <c r="E10" s="100">
        <f>SUM(266+102+81+93+109+80+107+111+108+81+87+72)</f>
        <v>1297</v>
      </c>
      <c r="F10" s="101">
        <f>SUM(D10/E10)</f>
        <v>15.656900539707015</v>
      </c>
      <c r="G10" s="100">
        <v>14</v>
      </c>
      <c r="H10" s="100">
        <v>7</v>
      </c>
      <c r="I10" s="100"/>
      <c r="J10" s="100"/>
      <c r="K10" s="100"/>
      <c r="L10" s="100">
        <v>43.5</v>
      </c>
      <c r="M10" s="105">
        <v>10</v>
      </c>
    </row>
    <row r="11" spans="1:13" ht="18.75" hidden="1" x14ac:dyDescent="0.3">
      <c r="A11" s="100">
        <v>12</v>
      </c>
      <c r="B11" s="102" t="s">
        <v>13</v>
      </c>
      <c r="C11" s="102" t="s">
        <v>8</v>
      </c>
      <c r="D11" s="100">
        <f>SUM(4458+1498+1499+1363+1487+1449+1315+1293+1503+1465+1450+1359)</f>
        <v>20139</v>
      </c>
      <c r="E11" s="100">
        <f>SUM(305+99+94+92+104+102+78+108+82+96+108+81)</f>
        <v>1349</v>
      </c>
      <c r="F11" s="101">
        <f>SUM(D11/E11)</f>
        <v>14.928836174944403</v>
      </c>
      <c r="G11" s="100">
        <v>14</v>
      </c>
      <c r="H11" s="100">
        <v>6</v>
      </c>
      <c r="I11" s="100"/>
      <c r="J11" s="100"/>
      <c r="K11" s="100"/>
      <c r="L11" s="100">
        <v>43.5</v>
      </c>
      <c r="M11" s="105"/>
    </row>
    <row r="12" spans="1:13" ht="18.75" hidden="1" x14ac:dyDescent="0.3">
      <c r="A12" s="100">
        <v>3</v>
      </c>
      <c r="B12" s="102" t="s">
        <v>7</v>
      </c>
      <c r="C12" s="102" t="s">
        <v>8</v>
      </c>
      <c r="D12" s="100">
        <f>SUM(4260+1327+1503+1481+1486+1503+1276+1503+1444+1485+1404)</f>
        <v>18672</v>
      </c>
      <c r="E12" s="100">
        <f>SUM(258+90+70+75+111+88+72+80+68+84+72)</f>
        <v>1068</v>
      </c>
      <c r="F12" s="101">
        <f>SUM(D12/E12)</f>
        <v>17.483146067415731</v>
      </c>
      <c r="G12" s="100">
        <v>13</v>
      </c>
      <c r="H12" s="100">
        <v>7</v>
      </c>
      <c r="I12" s="100"/>
      <c r="J12" s="100"/>
      <c r="K12" s="100"/>
      <c r="L12" s="100">
        <v>42</v>
      </c>
      <c r="M12" s="105">
        <v>20</v>
      </c>
    </row>
    <row r="13" spans="1:13" ht="18.75" hidden="1" x14ac:dyDescent="0.3">
      <c r="A13" s="100">
        <v>25</v>
      </c>
      <c r="B13" s="102" t="s">
        <v>18</v>
      </c>
      <c r="C13" s="102" t="s">
        <v>8</v>
      </c>
      <c r="D13" s="100">
        <f>SUM(2974+877+1208+1310+1478+1452+1493+1498+1501+1406+1429)</f>
        <v>16626</v>
      </c>
      <c r="E13" s="100">
        <f>SUM(230+75+95+92+140+100+110+104+126+105+91)</f>
        <v>1268</v>
      </c>
      <c r="F13" s="101">
        <f>SUM(D13/E13)</f>
        <v>13.11198738170347</v>
      </c>
      <c r="G13" s="100">
        <v>12</v>
      </c>
      <c r="H13" s="100">
        <v>6</v>
      </c>
      <c r="I13" s="100"/>
      <c r="J13" s="100"/>
      <c r="K13" s="100"/>
      <c r="L13" s="100">
        <v>41</v>
      </c>
      <c r="M13" s="105">
        <v>5</v>
      </c>
    </row>
    <row r="14" spans="1:13" ht="18.75" hidden="1" x14ac:dyDescent="0.3">
      <c r="A14" s="100">
        <v>5</v>
      </c>
      <c r="B14" s="102" t="s">
        <v>12</v>
      </c>
      <c r="C14" s="102" t="s">
        <v>60</v>
      </c>
      <c r="D14" s="100">
        <f>SUM(2996+1503+1503+1500+1499+1372+1431+1407+1413+1491)</f>
        <v>16115</v>
      </c>
      <c r="E14" s="100">
        <f>SUM(199+74+92+109+90+89+109+90+78+73)</f>
        <v>1003</v>
      </c>
      <c r="F14" s="101">
        <f>SUM(D14/E14)</f>
        <v>16.066799601196411</v>
      </c>
      <c r="G14" s="100">
        <v>11</v>
      </c>
      <c r="H14" s="100">
        <v>7</v>
      </c>
      <c r="I14" s="100"/>
      <c r="J14" s="100">
        <v>1</v>
      </c>
      <c r="K14" s="100"/>
      <c r="L14" s="100">
        <v>40.5</v>
      </c>
      <c r="M14" s="105">
        <v>14</v>
      </c>
    </row>
    <row r="15" spans="1:13" ht="18.75" hidden="1" x14ac:dyDescent="0.3">
      <c r="A15" s="100">
        <v>35</v>
      </c>
      <c r="B15" s="102" t="s">
        <v>61</v>
      </c>
      <c r="C15" s="102" t="s">
        <v>6</v>
      </c>
      <c r="D15" s="100">
        <f>SUM(4453+1501+1503+1444+1480+1503+1483+1492+1503+1474)</f>
        <v>17836</v>
      </c>
      <c r="E15" s="100">
        <f>SUM(394+142+114+116+102+95+147+117+113+126)</f>
        <v>1466</v>
      </c>
      <c r="F15" s="101">
        <f>SUM(D15/E15)</f>
        <v>12.166439290586631</v>
      </c>
      <c r="G15" s="100">
        <v>12</v>
      </c>
      <c r="H15" s="100">
        <v>8</v>
      </c>
      <c r="I15" s="100"/>
      <c r="J15" s="100"/>
      <c r="K15" s="100"/>
      <c r="L15" s="100">
        <v>40</v>
      </c>
      <c r="M15" s="105">
        <v>5</v>
      </c>
    </row>
    <row r="16" spans="1:13" ht="18.75" hidden="1" x14ac:dyDescent="0.3">
      <c r="A16" s="100">
        <v>10</v>
      </c>
      <c r="B16" s="102" t="s">
        <v>19</v>
      </c>
      <c r="C16" s="102" t="s">
        <v>20</v>
      </c>
      <c r="D16" s="100">
        <f>SUM(4014+1424+1445+1425+1487+1441+1467+1264+1503+1471+1256+1503)</f>
        <v>19700</v>
      </c>
      <c r="E16" s="100">
        <f>SUM(269+95+107+110+91+87+106+65+99+91+79+96)</f>
        <v>1295</v>
      </c>
      <c r="F16" s="101">
        <f>SUM(D16/E16)</f>
        <v>15.212355212355213</v>
      </c>
      <c r="G16" s="100">
        <v>14</v>
      </c>
      <c r="H16" s="100">
        <v>7</v>
      </c>
      <c r="I16" s="100">
        <v>1</v>
      </c>
      <c r="J16" s="100"/>
      <c r="K16" s="100"/>
      <c r="L16" s="100">
        <v>39.5</v>
      </c>
      <c r="M16" s="105">
        <v>25</v>
      </c>
    </row>
    <row r="17" spans="1:13" ht="18.75" hidden="1" x14ac:dyDescent="0.3">
      <c r="A17" s="100">
        <v>19</v>
      </c>
      <c r="B17" s="102" t="s">
        <v>94</v>
      </c>
      <c r="C17" s="102" t="s">
        <v>10</v>
      </c>
      <c r="D17" s="100">
        <f>SUM(1503+1225+1463+1475+1457+1483+1499+1415+1483+1501+1447)</f>
        <v>15951</v>
      </c>
      <c r="E17" s="100">
        <f>SUM(114+97+115+98+97+94+114+78+88+129+93)</f>
        <v>1117</v>
      </c>
      <c r="F17" s="101">
        <f>SUM(D17/E17)</f>
        <v>14.280214861235452</v>
      </c>
      <c r="G17" s="100">
        <v>11</v>
      </c>
      <c r="H17" s="100">
        <v>8</v>
      </c>
      <c r="I17" s="100"/>
      <c r="J17" s="100"/>
      <c r="K17" s="100"/>
      <c r="L17" s="100">
        <v>39.5</v>
      </c>
      <c r="M17" s="105">
        <v>10</v>
      </c>
    </row>
    <row r="18" spans="1:13" ht="18.75" hidden="1" x14ac:dyDescent="0.3">
      <c r="A18" s="100">
        <v>28</v>
      </c>
      <c r="B18" s="102" t="s">
        <v>52</v>
      </c>
      <c r="C18" s="102" t="s">
        <v>20</v>
      </c>
      <c r="D18" s="100">
        <f>SUM(4464+1503+1432+1431+1422+1487+1493+1503+1405+1477)</f>
        <v>17617</v>
      </c>
      <c r="E18" s="100">
        <f>SUM(372+122+97+97+111+143+105+112+97+125)</f>
        <v>1381</v>
      </c>
      <c r="F18" s="101">
        <f>SUM(D18/E18)</f>
        <v>12.756698044895003</v>
      </c>
      <c r="G18" s="100">
        <v>12</v>
      </c>
      <c r="H18" s="100">
        <v>7</v>
      </c>
      <c r="I18" s="100"/>
      <c r="J18" s="100"/>
      <c r="K18" s="100"/>
      <c r="L18" s="100">
        <v>39.5</v>
      </c>
      <c r="M18" s="105"/>
    </row>
    <row r="19" spans="1:13" ht="18.75" hidden="1" x14ac:dyDescent="0.3">
      <c r="A19" s="100">
        <v>37</v>
      </c>
      <c r="B19" s="109" t="s">
        <v>27</v>
      </c>
      <c r="C19" s="102" t="s">
        <v>10</v>
      </c>
      <c r="D19" s="100">
        <f>SUM(4296+1328+1494+1503+1503+1492+1369+1263+1401+1429)</f>
        <v>17078</v>
      </c>
      <c r="E19" s="100">
        <f>SUM(372+84+136+118+151+151+96+90+114+108)</f>
        <v>1420</v>
      </c>
      <c r="F19" s="101">
        <f>SUM(D19/E19)</f>
        <v>12.026760563380282</v>
      </c>
      <c r="G19" s="100">
        <v>12</v>
      </c>
      <c r="H19" s="100">
        <v>4</v>
      </c>
      <c r="I19" s="100"/>
      <c r="J19" s="100"/>
      <c r="K19" s="100"/>
      <c r="L19" s="100">
        <v>39</v>
      </c>
      <c r="M19" s="105">
        <v>5</v>
      </c>
    </row>
    <row r="20" spans="1:13" ht="18.75" hidden="1" x14ac:dyDescent="0.3">
      <c r="A20" s="100">
        <v>27</v>
      </c>
      <c r="B20" s="102" t="s">
        <v>32</v>
      </c>
      <c r="C20" s="102" t="s">
        <v>60</v>
      </c>
      <c r="D20" s="100">
        <f>SUM(4179+1391+1460+1414+1471+1503+1467+1503+1503+1408+1476)</f>
        <v>18775</v>
      </c>
      <c r="E20" s="100">
        <f>SUM(276+99+123+110+79+123+119+140+130+138+125)</f>
        <v>1462</v>
      </c>
      <c r="F20" s="101">
        <f>SUM(D20/E20)</f>
        <v>12.841997264021888</v>
      </c>
      <c r="G20" s="100">
        <v>13</v>
      </c>
      <c r="H20" s="100">
        <v>5</v>
      </c>
      <c r="I20" s="100"/>
      <c r="J20" s="100"/>
      <c r="K20" s="100"/>
      <c r="L20" s="100">
        <v>38</v>
      </c>
      <c r="M20" s="105">
        <v>5</v>
      </c>
    </row>
    <row r="21" spans="1:13" ht="18.75" hidden="1" x14ac:dyDescent="0.3">
      <c r="A21" s="100">
        <v>6</v>
      </c>
      <c r="B21" s="102" t="s">
        <v>59</v>
      </c>
      <c r="C21" s="102" t="s">
        <v>15</v>
      </c>
      <c r="D21" s="100">
        <f>SUM(4240+943+1368+1499+1283+1375+1447+1496+1075+1267+1503+1313)</f>
        <v>18809</v>
      </c>
      <c r="E21" s="100">
        <f>SUM(261+66+73+96+92+85+108+110+73+66+87+82)</f>
        <v>1199</v>
      </c>
      <c r="F21" s="101">
        <f>SUM(D21/E21)</f>
        <v>15.687239366138449</v>
      </c>
      <c r="G21" s="100">
        <v>14</v>
      </c>
      <c r="H21" s="100">
        <v>5</v>
      </c>
      <c r="I21" s="100">
        <v>1</v>
      </c>
      <c r="J21" s="100"/>
      <c r="K21" s="100"/>
      <c r="L21" s="100">
        <v>37.5</v>
      </c>
      <c r="M21" s="105">
        <v>20</v>
      </c>
    </row>
    <row r="22" spans="1:13" ht="18.75" hidden="1" x14ac:dyDescent="0.3">
      <c r="A22" s="100">
        <v>14</v>
      </c>
      <c r="B22" s="102" t="s">
        <v>109</v>
      </c>
      <c r="C22" s="102" t="s">
        <v>6</v>
      </c>
      <c r="D22" s="100">
        <f>SUM(1501+1503+1357+1480+1437+1503+1494+1503)</f>
        <v>11778</v>
      </c>
      <c r="E22" s="100">
        <f>SUM(102+90+75+103+110+98+109+106)</f>
        <v>793</v>
      </c>
      <c r="F22" s="101">
        <f>SUM(D22/E22)</f>
        <v>14.852459016393443</v>
      </c>
      <c r="G22" s="100">
        <v>8</v>
      </c>
      <c r="H22" s="100">
        <v>6</v>
      </c>
      <c r="I22" s="100"/>
      <c r="J22" s="100"/>
      <c r="K22" s="100"/>
      <c r="L22" s="100">
        <v>34</v>
      </c>
      <c r="M22" s="105">
        <v>5</v>
      </c>
    </row>
    <row r="23" spans="1:13" ht="18.75" hidden="1" x14ac:dyDescent="0.3">
      <c r="A23" s="100">
        <v>16</v>
      </c>
      <c r="B23" s="100" t="s">
        <v>24</v>
      </c>
      <c r="C23" s="102" t="s">
        <v>15</v>
      </c>
      <c r="D23" s="100">
        <f>SUM(4314+1332+1237+1359+1503+1503+1472+1210+1487+1202+1443)</f>
        <v>18062</v>
      </c>
      <c r="E23" s="100">
        <f>SUM(296+95+82+85+89+114+108+82+101+90+93)</f>
        <v>1235</v>
      </c>
      <c r="F23" s="101">
        <f>SUM(D23/E23)</f>
        <v>14.625101214574899</v>
      </c>
      <c r="G23" s="100">
        <v>13</v>
      </c>
      <c r="H23" s="100">
        <v>6</v>
      </c>
      <c r="I23" s="100"/>
      <c r="J23" s="100"/>
      <c r="K23" s="100"/>
      <c r="L23" s="100">
        <v>32.5</v>
      </c>
      <c r="M23" s="105">
        <v>5</v>
      </c>
    </row>
    <row r="24" spans="1:13" ht="18.75" hidden="1" x14ac:dyDescent="0.3">
      <c r="A24" s="100">
        <v>44</v>
      </c>
      <c r="B24" s="102" t="s">
        <v>51</v>
      </c>
      <c r="C24" s="102" t="s">
        <v>20</v>
      </c>
      <c r="D24" s="100">
        <f>SUM(2846+1454+1168+1455+1454+1501+1459+1503+1465)</f>
        <v>14305</v>
      </c>
      <c r="E24" s="100">
        <f>SUM(250+115+105+129+101+149+180+134+135)</f>
        <v>1298</v>
      </c>
      <c r="F24" s="101">
        <f>SUM(D24/E24)</f>
        <v>11.02080123266564</v>
      </c>
      <c r="G24" s="100">
        <v>10</v>
      </c>
      <c r="H24" s="100">
        <v>6</v>
      </c>
      <c r="I24" s="100"/>
      <c r="J24" s="100"/>
      <c r="K24" s="100"/>
      <c r="L24" s="100">
        <v>30.5</v>
      </c>
      <c r="M24" s="105"/>
    </row>
    <row r="25" spans="1:13" ht="18.75" hidden="1" x14ac:dyDescent="0.3">
      <c r="A25" s="100">
        <v>29</v>
      </c>
      <c r="B25" s="102" t="s">
        <v>14</v>
      </c>
      <c r="C25" s="102" t="s">
        <v>15</v>
      </c>
      <c r="D25" s="100">
        <f>SUM(4418+1300+1489+1476+1458+1503+1423+1219+1419+1482+1371)</f>
        <v>18558</v>
      </c>
      <c r="E25" s="100">
        <f>SUM(337+123+102+107+116+96+114+99+124+122+125)</f>
        <v>1465</v>
      </c>
      <c r="F25" s="101">
        <f>SUM(D25/E25)</f>
        <v>12.667576791808873</v>
      </c>
      <c r="G25" s="100">
        <v>13</v>
      </c>
      <c r="H25" s="100">
        <v>4</v>
      </c>
      <c r="I25" s="100"/>
      <c r="J25" s="100"/>
      <c r="K25" s="100"/>
      <c r="L25" s="100">
        <v>29</v>
      </c>
      <c r="M25" s="105"/>
    </row>
    <row r="26" spans="1:13" ht="18.75" x14ac:dyDescent="0.3">
      <c r="A26" s="100">
        <v>15</v>
      </c>
      <c r="B26" s="102" t="s">
        <v>53</v>
      </c>
      <c r="C26" s="102" t="s">
        <v>54</v>
      </c>
      <c r="D26" s="100">
        <f>SUM(3962+1414+1297+1223+1389+1244+1487+1501+1503+1463)</f>
        <v>16483</v>
      </c>
      <c r="E26" s="100">
        <f>SUM(264+100+87+87+102+77+107+110+91+99)</f>
        <v>1124</v>
      </c>
      <c r="F26" s="101">
        <f>SUM(D26/E26)</f>
        <v>14.66459074733096</v>
      </c>
      <c r="G26" s="100">
        <v>12</v>
      </c>
      <c r="H26" s="100">
        <v>6</v>
      </c>
      <c r="I26" s="100"/>
      <c r="J26" s="100"/>
      <c r="K26" s="100">
        <v>1</v>
      </c>
      <c r="L26" s="100">
        <v>24</v>
      </c>
      <c r="M26" s="105">
        <v>10</v>
      </c>
    </row>
    <row r="27" spans="1:13" ht="18.75" hidden="1" x14ac:dyDescent="0.3">
      <c r="A27" s="100">
        <v>33</v>
      </c>
      <c r="B27" s="102" t="s">
        <v>26</v>
      </c>
      <c r="C27" s="102" t="s">
        <v>10</v>
      </c>
      <c r="D27" s="100">
        <f>SUM(2859+1503+1483+1503+1503)</f>
        <v>8851</v>
      </c>
      <c r="E27" s="100">
        <f>SUM(255+93+110+122+137)</f>
        <v>717</v>
      </c>
      <c r="F27" s="101">
        <f>SUM(D27/E27)</f>
        <v>12.344490934449093</v>
      </c>
      <c r="G27" s="100">
        <v>6</v>
      </c>
      <c r="H27" s="100">
        <v>3</v>
      </c>
      <c r="I27" s="100"/>
      <c r="J27" s="100"/>
      <c r="K27" s="100"/>
      <c r="L27" s="100">
        <v>23</v>
      </c>
      <c r="M27" s="105"/>
    </row>
    <row r="28" spans="1:13" ht="18.75" hidden="1" x14ac:dyDescent="0.3">
      <c r="A28" s="100">
        <v>46</v>
      </c>
      <c r="B28" s="102" t="s">
        <v>30</v>
      </c>
      <c r="C28" s="102" t="s">
        <v>8</v>
      </c>
      <c r="D28" s="100">
        <f>SUM(4393+1267+1402+1455+999+1179+1495+1282+1501+1372+1479)</f>
        <v>17824</v>
      </c>
      <c r="E28" s="100">
        <f>SUM(432+120+135+153+90+90+129+135+169+129+134)</f>
        <v>1716</v>
      </c>
      <c r="F28" s="101">
        <f>SUM(D28/E28)</f>
        <v>10.386946386946388</v>
      </c>
      <c r="G28" s="100">
        <v>13</v>
      </c>
      <c r="H28" s="100">
        <v>3</v>
      </c>
      <c r="I28" s="100"/>
      <c r="J28" s="100"/>
      <c r="K28" s="100"/>
      <c r="L28" s="100">
        <v>22.5</v>
      </c>
      <c r="M28" s="105">
        <v>10</v>
      </c>
    </row>
    <row r="29" spans="1:13" ht="18.75" hidden="1" x14ac:dyDescent="0.3">
      <c r="A29" s="100">
        <v>34</v>
      </c>
      <c r="B29" s="102" t="s">
        <v>79</v>
      </c>
      <c r="C29" s="102" t="s">
        <v>60</v>
      </c>
      <c r="D29" s="100">
        <f>SUM(2822+1492+1458+1346)</f>
        <v>7118</v>
      </c>
      <c r="E29" s="100">
        <f>SUM(261+118+100+100)</f>
        <v>579</v>
      </c>
      <c r="F29" s="101">
        <f>SUM(D29/E29)</f>
        <v>12.293609671848014</v>
      </c>
      <c r="G29" s="100">
        <v>5</v>
      </c>
      <c r="H29" s="100">
        <v>3</v>
      </c>
      <c r="I29" s="100"/>
      <c r="J29" s="100"/>
      <c r="K29" s="100"/>
      <c r="L29" s="100">
        <v>21.5</v>
      </c>
      <c r="M29" s="105"/>
    </row>
    <row r="30" spans="1:13" ht="18.75" hidden="1" x14ac:dyDescent="0.3">
      <c r="A30" s="100">
        <v>9</v>
      </c>
      <c r="B30" s="102" t="s">
        <v>50</v>
      </c>
      <c r="C30" s="102" t="s">
        <v>60</v>
      </c>
      <c r="D30" s="100">
        <f>SUM(1462+1503+1165+1503+1503+1290)</f>
        <v>8426</v>
      </c>
      <c r="E30" s="100">
        <f>SUM(111+93+81+102+85+78)</f>
        <v>550</v>
      </c>
      <c r="F30" s="101">
        <f>SUM(D30/E30)</f>
        <v>15.32</v>
      </c>
      <c r="G30" s="100">
        <v>6</v>
      </c>
      <c r="H30" s="100">
        <v>4</v>
      </c>
      <c r="I30" s="100"/>
      <c r="J30" s="100"/>
      <c r="K30" s="100"/>
      <c r="L30" s="100">
        <v>21</v>
      </c>
      <c r="M30" s="105"/>
    </row>
    <row r="31" spans="1:13" ht="18.75" hidden="1" x14ac:dyDescent="0.3">
      <c r="A31" s="100">
        <v>24</v>
      </c>
      <c r="B31" s="102" t="s">
        <v>23</v>
      </c>
      <c r="C31" s="102" t="s">
        <v>20</v>
      </c>
      <c r="D31" s="100">
        <f>SUM(4015+1501+1489+1293+1413+1189+1499+1262+1322)</f>
        <v>14983</v>
      </c>
      <c r="E31" s="100">
        <f>SUM(279+142+111+90+121+84+114+111+84)</f>
        <v>1136</v>
      </c>
      <c r="F31" s="101">
        <f>SUM(D31/E31)</f>
        <v>13.189260563380282</v>
      </c>
      <c r="G31" s="100">
        <v>11</v>
      </c>
      <c r="H31" s="100">
        <v>3</v>
      </c>
      <c r="I31" s="100">
        <v>1</v>
      </c>
      <c r="J31" s="100"/>
      <c r="K31" s="100"/>
      <c r="L31" s="100">
        <v>21</v>
      </c>
      <c r="M31" s="105">
        <v>10</v>
      </c>
    </row>
    <row r="32" spans="1:13" ht="18.75" hidden="1" x14ac:dyDescent="0.3">
      <c r="A32" s="100">
        <v>20</v>
      </c>
      <c r="B32" s="102" t="s">
        <v>92</v>
      </c>
      <c r="C32" s="102" t="s">
        <v>60</v>
      </c>
      <c r="D32" s="100">
        <f>SUM(1340+1503+1433+1503+1347+1392+1392)</f>
        <v>9910</v>
      </c>
      <c r="E32" s="100">
        <f>SUM(111+98+87+124+93+78+108)</f>
        <v>699</v>
      </c>
      <c r="F32" s="101">
        <f>SUM(D32/E32)</f>
        <v>14.177396280400572</v>
      </c>
      <c r="G32" s="100">
        <v>7</v>
      </c>
      <c r="H32" s="100">
        <v>4</v>
      </c>
      <c r="I32" s="100"/>
      <c r="J32" s="100"/>
      <c r="K32" s="100"/>
      <c r="L32" s="100">
        <v>19.5</v>
      </c>
      <c r="M32" s="105"/>
    </row>
    <row r="33" spans="1:13" ht="18.75" hidden="1" x14ac:dyDescent="0.3">
      <c r="A33" s="100">
        <v>36</v>
      </c>
      <c r="B33" s="102" t="s">
        <v>91</v>
      </c>
      <c r="C33" s="102" t="s">
        <v>6</v>
      </c>
      <c r="D33" s="100">
        <f>SUM(1496+1347+1501+1316)</f>
        <v>5660</v>
      </c>
      <c r="E33" s="100">
        <f>SUM(127+116+121+105)</f>
        <v>469</v>
      </c>
      <c r="F33" s="101">
        <f>SUM(D33/E33)</f>
        <v>12.068230277185501</v>
      </c>
      <c r="G33" s="100">
        <v>4</v>
      </c>
      <c r="H33" s="100">
        <v>2</v>
      </c>
      <c r="I33" s="100"/>
      <c r="J33" s="100"/>
      <c r="K33" s="100"/>
      <c r="L33" s="100">
        <v>19</v>
      </c>
      <c r="M33" s="105"/>
    </row>
    <row r="34" spans="1:13" ht="18.75" x14ac:dyDescent="0.3">
      <c r="A34" s="100">
        <v>43</v>
      </c>
      <c r="B34" s="102" t="s">
        <v>55</v>
      </c>
      <c r="C34" s="102" t="s">
        <v>54</v>
      </c>
      <c r="D34" s="100">
        <f>SUM(4065+1275+1469+1496+1425+1324+1487+1322+1263+1333)</f>
        <v>16459</v>
      </c>
      <c r="E34" s="100">
        <f>SUM(355+120+124+117+113+150+154+124+123+108)</f>
        <v>1488</v>
      </c>
      <c r="F34" s="101">
        <f>SUM(D34/E34)</f>
        <v>11.061155913978494</v>
      </c>
      <c r="G34" s="100">
        <v>12</v>
      </c>
      <c r="H34" s="100">
        <v>3</v>
      </c>
      <c r="I34" s="100"/>
      <c r="J34" s="100"/>
      <c r="K34" s="100"/>
      <c r="L34" s="100">
        <v>19</v>
      </c>
      <c r="M34" s="105"/>
    </row>
    <row r="35" spans="1:13" ht="18.75" x14ac:dyDescent="0.3">
      <c r="A35" s="100">
        <v>22</v>
      </c>
      <c r="B35" s="102" t="s">
        <v>56</v>
      </c>
      <c r="C35" s="102" t="s">
        <v>54</v>
      </c>
      <c r="D35" s="100">
        <f>SUM(4033+1323+1359+1415+1407+1356+1232+1463+1215+1450+1289)</f>
        <v>17542</v>
      </c>
      <c r="E35" s="100">
        <f>SUM(304+111+117+89+85+92+96+111+102+105+90)</f>
        <v>1302</v>
      </c>
      <c r="F35" s="101">
        <f>SUM(D35/E35)</f>
        <v>13.473118279569892</v>
      </c>
      <c r="G35" s="100">
        <v>13</v>
      </c>
      <c r="H35" s="100">
        <v>1</v>
      </c>
      <c r="I35" s="100"/>
      <c r="J35" s="100"/>
      <c r="K35" s="100"/>
      <c r="L35" s="100">
        <v>17</v>
      </c>
      <c r="M35" s="105">
        <v>5</v>
      </c>
    </row>
    <row r="36" spans="1:13" ht="18.75" x14ac:dyDescent="0.3">
      <c r="A36" s="100">
        <v>38</v>
      </c>
      <c r="B36" s="102" t="s">
        <v>58</v>
      </c>
      <c r="C36" s="102" t="s">
        <v>54</v>
      </c>
      <c r="D36" s="100">
        <f>SUM(4183+1360+1165+1035+1124+1035+1396+1487+1297+1290+1409)</f>
        <v>16781</v>
      </c>
      <c r="E36" s="100">
        <f>SUM(385+117+96+99+87+87+120+119+108+96+120)</f>
        <v>1434</v>
      </c>
      <c r="F36" s="101">
        <f>SUM(D36/E36)</f>
        <v>11.702231520223153</v>
      </c>
      <c r="G36" s="100">
        <v>13</v>
      </c>
      <c r="H36" s="100">
        <v>2</v>
      </c>
      <c r="I36" s="100"/>
      <c r="J36" s="100"/>
      <c r="K36" s="100"/>
      <c r="L36" s="100">
        <v>17</v>
      </c>
      <c r="M36" s="105"/>
    </row>
    <row r="37" spans="1:13" ht="18.75" hidden="1" x14ac:dyDescent="0.3">
      <c r="A37" s="100">
        <v>21</v>
      </c>
      <c r="B37" s="102" t="s">
        <v>83</v>
      </c>
      <c r="C37" s="102" t="s">
        <v>20</v>
      </c>
      <c r="D37" s="100">
        <f>SUM(1491+1497+1406+1432+1414)</f>
        <v>7240</v>
      </c>
      <c r="E37" s="100">
        <f>SUM(103+112+114+103+102)</f>
        <v>534</v>
      </c>
      <c r="F37" s="101">
        <f>SUM(D37/E37)</f>
        <v>13.558052434456929</v>
      </c>
      <c r="G37" s="100">
        <v>5</v>
      </c>
      <c r="H37" s="100">
        <v>3</v>
      </c>
      <c r="I37" s="100"/>
      <c r="J37" s="100"/>
      <c r="K37" s="100"/>
      <c r="L37" s="100">
        <v>14</v>
      </c>
      <c r="M37" s="105"/>
    </row>
    <row r="38" spans="1:13" ht="18.75" hidden="1" x14ac:dyDescent="0.3">
      <c r="A38" s="100">
        <v>31</v>
      </c>
      <c r="B38" s="102" t="s">
        <v>80</v>
      </c>
      <c r="C38" s="102" t="s">
        <v>17</v>
      </c>
      <c r="D38" s="100">
        <f>SUM(1503+1503+1219)</f>
        <v>4225</v>
      </c>
      <c r="E38" s="100">
        <f>SUM(125+120+93)</f>
        <v>338</v>
      </c>
      <c r="F38" s="101">
        <f>SUM(D38/E38)</f>
        <v>12.5</v>
      </c>
      <c r="G38" s="100">
        <v>3</v>
      </c>
      <c r="H38" s="100">
        <v>2</v>
      </c>
      <c r="I38" s="100"/>
      <c r="J38" s="100"/>
      <c r="K38" s="100"/>
      <c r="L38" s="100">
        <v>12.5</v>
      </c>
      <c r="M38" s="105"/>
    </row>
    <row r="39" spans="1:13" ht="18.75" hidden="1" x14ac:dyDescent="0.3">
      <c r="A39" s="100">
        <v>40</v>
      </c>
      <c r="B39" s="102" t="s">
        <v>93</v>
      </c>
      <c r="C39" s="102" t="s">
        <v>15</v>
      </c>
      <c r="D39" s="100">
        <f>SUM(1208+1312+1237+1479+1503+1336+1209)</f>
        <v>9284</v>
      </c>
      <c r="E39" s="100">
        <f>SUM(93+114+114+125+121+114+117)</f>
        <v>798</v>
      </c>
      <c r="F39" s="101">
        <f>SUM(D39/E39)</f>
        <v>11.634085213032581</v>
      </c>
      <c r="G39" s="100">
        <v>7</v>
      </c>
      <c r="H39" s="100">
        <v>1</v>
      </c>
      <c r="I39" s="100"/>
      <c r="J39" s="100"/>
      <c r="K39" s="100"/>
      <c r="L39" s="100">
        <v>12</v>
      </c>
      <c r="M39" s="105"/>
    </row>
    <row r="40" spans="1:13" ht="18.75" hidden="1" x14ac:dyDescent="0.3">
      <c r="A40" s="100">
        <v>41</v>
      </c>
      <c r="B40" s="102" t="s">
        <v>81</v>
      </c>
      <c r="C40" s="102" t="s">
        <v>8</v>
      </c>
      <c r="D40" s="100">
        <f>SUM(1456+1499+1222+1379)</f>
        <v>5556</v>
      </c>
      <c r="E40" s="100">
        <f>SUM(107+138+115+120)</f>
        <v>480</v>
      </c>
      <c r="F40" s="101">
        <f>SUM(D40/E40)</f>
        <v>11.574999999999999</v>
      </c>
      <c r="G40" s="100">
        <v>4</v>
      </c>
      <c r="H40" s="100">
        <v>1</v>
      </c>
      <c r="I40" s="100"/>
      <c r="J40" s="100"/>
      <c r="K40" s="100"/>
      <c r="L40" s="100">
        <v>11</v>
      </c>
      <c r="M40" s="105"/>
    </row>
    <row r="41" spans="1:13" ht="18.75" hidden="1" x14ac:dyDescent="0.3">
      <c r="A41" s="100">
        <v>4</v>
      </c>
      <c r="B41" s="102" t="s">
        <v>120</v>
      </c>
      <c r="C41" s="102" t="s">
        <v>20</v>
      </c>
      <c r="D41" s="100">
        <f>SUM(1503+1492+1465)</f>
        <v>4460</v>
      </c>
      <c r="E41" s="100">
        <f>SUM(95+83+79)</f>
        <v>257</v>
      </c>
      <c r="F41" s="101">
        <f>SUM(D41/E41)</f>
        <v>17.354085603112839</v>
      </c>
      <c r="G41" s="100">
        <v>3</v>
      </c>
      <c r="H41" s="100">
        <v>1</v>
      </c>
      <c r="I41" s="100"/>
      <c r="J41" s="100"/>
      <c r="K41" s="100"/>
      <c r="L41" s="100">
        <v>10.5</v>
      </c>
      <c r="M41" s="105"/>
    </row>
    <row r="42" spans="1:13" ht="18.75" hidden="1" x14ac:dyDescent="0.3">
      <c r="A42" s="100">
        <v>47</v>
      </c>
      <c r="B42" s="102" t="s">
        <v>119</v>
      </c>
      <c r="C42" s="102" t="s">
        <v>15</v>
      </c>
      <c r="D42" s="100">
        <f>SUM(1331+1487+1345+1472)</f>
        <v>5635</v>
      </c>
      <c r="E42" s="100">
        <f>SUM(120+161+141+168)</f>
        <v>590</v>
      </c>
      <c r="F42" s="101">
        <f>SUM(D42/E42)</f>
        <v>9.5508474576271194</v>
      </c>
      <c r="G42" s="100">
        <v>4</v>
      </c>
      <c r="H42" s="100">
        <v>1</v>
      </c>
      <c r="I42" s="100"/>
      <c r="J42" s="100"/>
      <c r="K42" s="100"/>
      <c r="L42" s="100">
        <v>6</v>
      </c>
      <c r="M42" s="105"/>
    </row>
    <row r="43" spans="1:13" ht="18.75" hidden="1" x14ac:dyDescent="0.3">
      <c r="A43" s="100">
        <v>32</v>
      </c>
      <c r="B43" s="102" t="s">
        <v>82</v>
      </c>
      <c r="C43" s="102" t="s">
        <v>15</v>
      </c>
      <c r="D43" s="100">
        <f>SUM(1503+1483)</f>
        <v>2986</v>
      </c>
      <c r="E43" s="100">
        <f>SUM(105+135)</f>
        <v>240</v>
      </c>
      <c r="F43" s="101">
        <f>SUM(D43/E43)</f>
        <v>12.441666666666666</v>
      </c>
      <c r="G43" s="100">
        <v>2</v>
      </c>
      <c r="H43" s="100">
        <v>2</v>
      </c>
      <c r="I43" s="100"/>
      <c r="J43" s="100"/>
      <c r="K43" s="100"/>
      <c r="L43" s="100">
        <v>5.5</v>
      </c>
      <c r="M43" s="105"/>
    </row>
    <row r="44" spans="1:13" ht="18.75" hidden="1" x14ac:dyDescent="0.3">
      <c r="A44" s="100">
        <v>30</v>
      </c>
      <c r="B44" s="102" t="s">
        <v>28</v>
      </c>
      <c r="C44" s="102" t="s">
        <v>6</v>
      </c>
      <c r="D44" s="100">
        <f>SUM(2923)</f>
        <v>2923</v>
      </c>
      <c r="E44" s="100">
        <f>SUM(232)</f>
        <v>232</v>
      </c>
      <c r="F44" s="101">
        <f>SUM(D44/E44)</f>
        <v>12.599137931034482</v>
      </c>
      <c r="G44" s="100">
        <v>2</v>
      </c>
      <c r="H44" s="100">
        <v>0</v>
      </c>
      <c r="I44" s="100">
        <v>1</v>
      </c>
      <c r="J44" s="100"/>
      <c r="K44" s="100"/>
      <c r="L44" s="100">
        <v>4.5</v>
      </c>
      <c r="M44" s="105">
        <v>10</v>
      </c>
    </row>
    <row r="45" spans="1:13" ht="18.75" hidden="1" x14ac:dyDescent="0.3">
      <c r="A45" s="100">
        <v>42</v>
      </c>
      <c r="B45" s="102" t="s">
        <v>57</v>
      </c>
      <c r="C45" s="102" t="s">
        <v>15</v>
      </c>
      <c r="D45" s="100">
        <f>SUM(1259+1503)</f>
        <v>2762</v>
      </c>
      <c r="E45" s="100">
        <f>SUM(102+139)</f>
        <v>241</v>
      </c>
      <c r="F45" s="101">
        <f>SUM(D45/E45)</f>
        <v>11.460580912863071</v>
      </c>
      <c r="G45" s="100">
        <v>2</v>
      </c>
      <c r="H45" s="100">
        <v>1</v>
      </c>
      <c r="I45" s="100"/>
      <c r="J45" s="100"/>
      <c r="K45" s="100"/>
      <c r="L45" s="100">
        <v>4</v>
      </c>
      <c r="M45" s="105"/>
    </row>
    <row r="46" spans="1:13" ht="18.75" hidden="1" x14ac:dyDescent="0.3">
      <c r="A46" s="100">
        <v>45</v>
      </c>
      <c r="B46" s="102" t="s">
        <v>150</v>
      </c>
      <c r="C46" s="102" t="s">
        <v>15</v>
      </c>
      <c r="D46" s="100">
        <v>1487</v>
      </c>
      <c r="E46" s="100">
        <v>137</v>
      </c>
      <c r="F46" s="101">
        <f>SUM(D46/E46)</f>
        <v>10.854014598540147</v>
      </c>
      <c r="G46" s="100">
        <v>1</v>
      </c>
      <c r="H46" s="100">
        <v>1</v>
      </c>
      <c r="I46" s="100"/>
      <c r="J46" s="100"/>
      <c r="K46" s="100"/>
      <c r="L46" s="100">
        <v>2</v>
      </c>
      <c r="M46" s="105"/>
    </row>
    <row r="47" spans="1:13" ht="18.75" hidden="1" x14ac:dyDescent="0.3">
      <c r="A47" s="100">
        <v>23</v>
      </c>
      <c r="B47" s="102" t="s">
        <v>141</v>
      </c>
      <c r="C47" s="102" t="s">
        <v>20</v>
      </c>
      <c r="D47" s="100">
        <f>SUM(1432)</f>
        <v>1432</v>
      </c>
      <c r="E47" s="100">
        <f>SUM(108)</f>
        <v>108</v>
      </c>
      <c r="F47" s="101">
        <f>SUM(D47/E47)</f>
        <v>13.25925925925926</v>
      </c>
      <c r="G47" s="100">
        <v>1</v>
      </c>
      <c r="H47" s="100"/>
      <c r="I47" s="100"/>
      <c r="J47" s="100"/>
      <c r="K47" s="100"/>
      <c r="L47" s="100">
        <v>1</v>
      </c>
      <c r="M47" s="105"/>
    </row>
    <row r="48" spans="1:13" ht="18.75" x14ac:dyDescent="0.3">
      <c r="A48" s="100">
        <v>39</v>
      </c>
      <c r="B48" s="102" t="s">
        <v>136</v>
      </c>
      <c r="C48" s="102" t="s">
        <v>54</v>
      </c>
      <c r="D48" s="100">
        <v>1295</v>
      </c>
      <c r="E48" s="100">
        <v>111</v>
      </c>
      <c r="F48" s="101">
        <f>SUM(D48/E48)</f>
        <v>11.666666666666666</v>
      </c>
      <c r="G48" s="100">
        <v>1</v>
      </c>
      <c r="H48" s="100"/>
      <c r="I48" s="100"/>
      <c r="J48" s="100"/>
      <c r="K48" s="100"/>
      <c r="L48" s="100">
        <v>0.5</v>
      </c>
      <c r="M48" s="105"/>
    </row>
    <row r="49" spans="1:13" ht="18.75" x14ac:dyDescent="0.3">
      <c r="A49" s="100">
        <v>48</v>
      </c>
      <c r="B49" s="102" t="s">
        <v>135</v>
      </c>
      <c r="C49" s="102" t="s">
        <v>54</v>
      </c>
      <c r="D49" s="100">
        <v>1469</v>
      </c>
      <c r="E49" s="100">
        <v>180</v>
      </c>
      <c r="F49" s="101">
        <f>SUM(D49/E49)</f>
        <v>8.1611111111111114</v>
      </c>
      <c r="G49" s="100">
        <v>1</v>
      </c>
      <c r="H49" s="100"/>
      <c r="I49" s="100"/>
      <c r="J49" s="100"/>
      <c r="K49" s="100"/>
      <c r="L49" s="100">
        <v>0.5</v>
      </c>
      <c r="M49" s="105"/>
    </row>
    <row r="50" spans="1:13" ht="19.5" thickBot="1" x14ac:dyDescent="0.35">
      <c r="A50" s="92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</row>
    <row r="51" spans="1:13" ht="15" customHeight="1" thickBot="1" x14ac:dyDescent="0.35">
      <c r="A51" s="92"/>
      <c r="B51" s="112" t="s">
        <v>149</v>
      </c>
      <c r="C51" s="98" t="s">
        <v>33</v>
      </c>
      <c r="D51" s="97" t="s">
        <v>34</v>
      </c>
      <c r="E51" s="97" t="s">
        <v>35</v>
      </c>
      <c r="F51" s="97" t="s">
        <v>36</v>
      </c>
      <c r="G51" s="97"/>
      <c r="H51" s="97"/>
      <c r="I51" s="96"/>
      <c r="J51" s="91"/>
      <c r="K51" s="91"/>
      <c r="L51" s="91"/>
      <c r="M51" s="91"/>
    </row>
    <row r="52" spans="1:13" ht="18.75" x14ac:dyDescent="0.3">
      <c r="A52" s="92"/>
      <c r="B52" s="111"/>
      <c r="C52" s="92" t="s">
        <v>39</v>
      </c>
      <c r="D52" s="92">
        <v>13</v>
      </c>
      <c r="E52" s="91">
        <v>1</v>
      </c>
      <c r="F52" s="91">
        <v>228</v>
      </c>
      <c r="G52" s="91"/>
      <c r="H52" s="92" t="s">
        <v>38</v>
      </c>
      <c r="I52" s="95" t="s">
        <v>133</v>
      </c>
      <c r="J52" s="91"/>
      <c r="K52" s="95"/>
      <c r="L52" s="91"/>
      <c r="M52" s="91"/>
    </row>
    <row r="53" spans="1:13" ht="18.75" x14ac:dyDescent="0.3">
      <c r="A53" s="92"/>
      <c r="B53" s="111"/>
      <c r="C53" s="92" t="s">
        <v>42</v>
      </c>
      <c r="D53" s="92">
        <v>11</v>
      </c>
      <c r="E53" s="91">
        <v>3</v>
      </c>
      <c r="F53" s="91">
        <v>210</v>
      </c>
      <c r="G53" s="91"/>
      <c r="H53" s="92" t="s">
        <v>40</v>
      </c>
      <c r="I53" s="95" t="s">
        <v>148</v>
      </c>
      <c r="J53" s="91"/>
      <c r="K53" s="92"/>
      <c r="L53" s="91"/>
      <c r="M53" s="91"/>
    </row>
    <row r="54" spans="1:13" ht="18.75" x14ac:dyDescent="0.3">
      <c r="A54" s="92"/>
      <c r="B54" s="111"/>
      <c r="C54" s="92" t="s">
        <v>37</v>
      </c>
      <c r="D54" s="92">
        <v>10</v>
      </c>
      <c r="E54" s="91">
        <v>4</v>
      </c>
      <c r="F54" s="91">
        <v>193</v>
      </c>
      <c r="G54" s="91"/>
      <c r="H54" s="92" t="s">
        <v>41</v>
      </c>
      <c r="I54" s="95" t="s">
        <v>147</v>
      </c>
      <c r="J54" s="91"/>
      <c r="K54" s="95"/>
      <c r="L54" s="91"/>
      <c r="M54" s="91"/>
    </row>
    <row r="55" spans="1:13" ht="18.75" x14ac:dyDescent="0.3">
      <c r="A55" s="91"/>
      <c r="B55" s="111"/>
      <c r="C55" s="92" t="s">
        <v>63</v>
      </c>
      <c r="D55" s="92">
        <v>9</v>
      </c>
      <c r="E55" s="92">
        <v>5</v>
      </c>
      <c r="F55" s="92">
        <v>190</v>
      </c>
      <c r="G55" s="91"/>
      <c r="H55" s="92" t="s">
        <v>43</v>
      </c>
      <c r="I55" s="95" t="s">
        <v>146</v>
      </c>
      <c r="J55" s="91"/>
      <c r="K55" s="92"/>
      <c r="L55" s="91"/>
      <c r="M55" s="91"/>
    </row>
    <row r="56" spans="1:13" ht="18" customHeight="1" x14ac:dyDescent="0.3">
      <c r="A56" s="91"/>
      <c r="B56" s="111"/>
      <c r="C56" s="92" t="s">
        <v>48</v>
      </c>
      <c r="D56" s="92">
        <v>5</v>
      </c>
      <c r="E56" s="91">
        <v>9</v>
      </c>
      <c r="F56" s="91">
        <v>158</v>
      </c>
      <c r="G56" s="91"/>
      <c r="H56" s="92" t="s">
        <v>45</v>
      </c>
      <c r="I56" s="95" t="s">
        <v>86</v>
      </c>
      <c r="J56" s="91"/>
      <c r="K56" s="92"/>
      <c r="L56" s="91"/>
      <c r="M56" s="91"/>
    </row>
    <row r="57" spans="1:13" ht="18" customHeight="1" x14ac:dyDescent="0.3">
      <c r="A57" s="91"/>
      <c r="B57" s="111"/>
      <c r="C57" s="92" t="s">
        <v>47</v>
      </c>
      <c r="D57" s="92">
        <v>6</v>
      </c>
      <c r="E57" s="91">
        <v>8</v>
      </c>
      <c r="F57" s="91">
        <v>147</v>
      </c>
      <c r="G57" s="91"/>
      <c r="H57" s="92" t="s">
        <v>46</v>
      </c>
      <c r="I57" s="107" t="s">
        <v>99</v>
      </c>
      <c r="J57" s="107"/>
      <c r="K57" s="92"/>
      <c r="L57" s="91"/>
      <c r="M57" s="91"/>
    </row>
    <row r="58" spans="1:13" ht="18.75" x14ac:dyDescent="0.3">
      <c r="A58" s="91"/>
      <c r="B58" s="111"/>
      <c r="C58" s="92" t="s">
        <v>44</v>
      </c>
      <c r="D58" s="92">
        <v>2</v>
      </c>
      <c r="E58" s="92">
        <v>12</v>
      </c>
      <c r="F58" s="92">
        <v>131</v>
      </c>
      <c r="G58" s="91"/>
      <c r="H58" s="91"/>
      <c r="I58" s="91"/>
      <c r="J58" s="91"/>
      <c r="K58" s="91"/>
      <c r="L58" s="91"/>
      <c r="M58" s="91"/>
    </row>
    <row r="59" spans="1:13" ht="18.75" x14ac:dyDescent="0.3">
      <c r="A59" s="91"/>
      <c r="B59" s="111"/>
      <c r="C59" s="92" t="s">
        <v>49</v>
      </c>
      <c r="D59" s="92">
        <v>0</v>
      </c>
      <c r="E59" s="92">
        <v>14</v>
      </c>
      <c r="F59" s="92">
        <v>89</v>
      </c>
      <c r="G59" s="91"/>
      <c r="H59" s="91"/>
      <c r="I59" s="91"/>
      <c r="J59" s="91"/>
      <c r="K59" s="91"/>
      <c r="L59" s="91"/>
      <c r="M59" s="91"/>
    </row>
  </sheetData>
  <autoFilter ref="A1:M49">
    <filterColumn colId="2">
      <filters>
        <filter val="Silver Spur"/>
      </filters>
    </filterColumn>
  </autoFilter>
  <mergeCells count="2">
    <mergeCell ref="B51:B59"/>
    <mergeCell ref="I57:J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15" zoomScale="90" zoomScaleNormal="90" zoomScaleSheetLayoutView="80" workbookViewId="0">
      <selection activeCell="H7" sqref="H7"/>
    </sheetView>
  </sheetViews>
  <sheetFormatPr defaultRowHeight="18.75" x14ac:dyDescent="0.3"/>
  <cols>
    <col min="1" max="1" width="5.28515625" style="39" bestFit="1" customWidth="1"/>
    <col min="2" max="2" width="24.7109375" style="39" customWidth="1"/>
    <col min="3" max="3" width="35.28515625" style="39" bestFit="1" customWidth="1"/>
    <col min="4" max="4" width="8.140625" style="39" bestFit="1" customWidth="1"/>
    <col min="5" max="5" width="6.7109375" style="39" bestFit="1" customWidth="1"/>
    <col min="6" max="6" width="8.85546875" style="39" bestFit="1" customWidth="1"/>
    <col min="7" max="7" width="4.7109375" style="39" bestFit="1" customWidth="1"/>
    <col min="8" max="8" width="27.42578125" style="39" bestFit="1" customWidth="1"/>
    <col min="9" max="9" width="33.140625" style="39" bestFit="1" customWidth="1"/>
    <col min="10" max="10" width="4.42578125" style="39" bestFit="1" customWidth="1"/>
    <col min="11" max="11" width="4.5703125" style="39" bestFit="1" customWidth="1"/>
    <col min="12" max="12" width="7.85546875" style="39" bestFit="1" customWidth="1"/>
    <col min="13" max="13" width="8.85546875" style="39" bestFit="1" customWidth="1"/>
    <col min="14" max="16384" width="9.140625" style="39"/>
  </cols>
  <sheetData>
    <row r="1" spans="1:13" ht="59.25" customHeight="1" x14ac:dyDescent="0.3">
      <c r="A1" s="72" t="s">
        <v>68</v>
      </c>
      <c r="B1" s="71" t="s">
        <v>0</v>
      </c>
      <c r="C1" s="71" t="s">
        <v>1</v>
      </c>
      <c r="D1" s="71" t="s">
        <v>2</v>
      </c>
      <c r="E1" s="71" t="s">
        <v>3</v>
      </c>
      <c r="F1" s="70" t="s">
        <v>72</v>
      </c>
      <c r="G1" s="71" t="s">
        <v>69</v>
      </c>
      <c r="H1" s="71" t="s">
        <v>70</v>
      </c>
      <c r="I1" s="71">
        <v>180</v>
      </c>
      <c r="J1" s="71">
        <v>171</v>
      </c>
      <c r="K1" s="71" t="s">
        <v>4</v>
      </c>
      <c r="L1" s="70" t="s">
        <v>85</v>
      </c>
      <c r="M1" s="69" t="s">
        <v>84</v>
      </c>
    </row>
    <row r="2" spans="1:13" x14ac:dyDescent="0.3">
      <c r="A2" s="68">
        <v>1</v>
      </c>
      <c r="B2" s="65" t="s">
        <v>5</v>
      </c>
      <c r="C2" s="63" t="s">
        <v>6</v>
      </c>
      <c r="D2" s="60">
        <v>2842</v>
      </c>
      <c r="E2" s="61">
        <v>157</v>
      </c>
      <c r="F2" s="62">
        <v>18.101910828025478</v>
      </c>
      <c r="G2" s="61">
        <v>2</v>
      </c>
      <c r="H2" s="60">
        <v>1</v>
      </c>
      <c r="I2" s="59"/>
      <c r="J2" s="59"/>
      <c r="K2" s="59">
        <v>1</v>
      </c>
      <c r="L2" s="58">
        <v>7</v>
      </c>
      <c r="M2" s="57">
        <v>14</v>
      </c>
    </row>
    <row r="3" spans="1:13" x14ac:dyDescent="0.3">
      <c r="A3" s="68">
        <v>2</v>
      </c>
      <c r="B3" s="63" t="s">
        <v>9</v>
      </c>
      <c r="C3" s="63" t="s">
        <v>10</v>
      </c>
      <c r="D3" s="60">
        <v>3006</v>
      </c>
      <c r="E3" s="61">
        <v>180</v>
      </c>
      <c r="F3" s="62">
        <v>16.7</v>
      </c>
      <c r="G3" s="61">
        <v>2</v>
      </c>
      <c r="H3" s="60">
        <v>2</v>
      </c>
      <c r="I3" s="59"/>
      <c r="J3" s="59"/>
      <c r="K3" s="59"/>
      <c r="L3" s="67">
        <v>9.5</v>
      </c>
      <c r="M3" s="57"/>
    </row>
    <row r="4" spans="1:13" x14ac:dyDescent="0.3">
      <c r="A4" s="68">
        <v>3</v>
      </c>
      <c r="B4" s="63" t="s">
        <v>11</v>
      </c>
      <c r="C4" s="63" t="s">
        <v>6</v>
      </c>
      <c r="D4" s="60">
        <v>3006</v>
      </c>
      <c r="E4" s="61">
        <v>183</v>
      </c>
      <c r="F4" s="62">
        <v>16.42622950819672</v>
      </c>
      <c r="G4" s="61">
        <v>2</v>
      </c>
      <c r="H4" s="60">
        <v>2</v>
      </c>
      <c r="I4" s="59"/>
      <c r="J4" s="59"/>
      <c r="K4" s="59"/>
      <c r="L4" s="58">
        <v>9.5</v>
      </c>
      <c r="M4" s="57">
        <v>5</v>
      </c>
    </row>
    <row r="5" spans="1:13" x14ac:dyDescent="0.3">
      <c r="A5" s="68">
        <v>4</v>
      </c>
      <c r="B5" s="65" t="s">
        <v>59</v>
      </c>
      <c r="C5" s="65" t="s">
        <v>15</v>
      </c>
      <c r="D5" s="61">
        <v>2899</v>
      </c>
      <c r="E5" s="61">
        <v>179</v>
      </c>
      <c r="F5" s="57">
        <v>16.195530726256983</v>
      </c>
      <c r="G5" s="61">
        <v>2</v>
      </c>
      <c r="H5" s="61">
        <v>1</v>
      </c>
      <c r="I5" s="61"/>
      <c r="J5" s="61"/>
      <c r="K5" s="61"/>
      <c r="L5" s="61">
        <v>7</v>
      </c>
      <c r="M5" s="57">
        <v>5</v>
      </c>
    </row>
    <row r="6" spans="1:13" x14ac:dyDescent="0.3">
      <c r="A6" s="68">
        <v>5</v>
      </c>
      <c r="B6" s="63" t="s">
        <v>16</v>
      </c>
      <c r="C6" s="63" t="s">
        <v>17</v>
      </c>
      <c r="D6" s="60">
        <v>2895</v>
      </c>
      <c r="E6" s="61">
        <v>185</v>
      </c>
      <c r="F6" s="62">
        <v>15.648648648648649</v>
      </c>
      <c r="G6" s="61">
        <v>2</v>
      </c>
      <c r="H6" s="60">
        <v>0</v>
      </c>
      <c r="I6" s="59"/>
      <c r="J6" s="59"/>
      <c r="K6" s="59"/>
      <c r="L6" s="67">
        <v>5</v>
      </c>
      <c r="M6" s="57">
        <v>5</v>
      </c>
    </row>
    <row r="7" spans="1:13" x14ac:dyDescent="0.3">
      <c r="A7" s="68">
        <v>6</v>
      </c>
      <c r="B7" s="63" t="s">
        <v>7</v>
      </c>
      <c r="C7" s="63" t="s">
        <v>8</v>
      </c>
      <c r="D7" s="60">
        <v>2757</v>
      </c>
      <c r="E7" s="61">
        <v>177</v>
      </c>
      <c r="F7" s="62">
        <v>15.576271186440678</v>
      </c>
      <c r="G7" s="61">
        <v>2</v>
      </c>
      <c r="H7" s="60">
        <v>1</v>
      </c>
      <c r="I7" s="59"/>
      <c r="J7" s="59"/>
      <c r="K7" s="59"/>
      <c r="L7" s="67">
        <v>6</v>
      </c>
      <c r="M7" s="57">
        <v>5</v>
      </c>
    </row>
    <row r="8" spans="1:13" x14ac:dyDescent="0.3">
      <c r="A8" s="68">
        <v>7</v>
      </c>
      <c r="B8" s="63" t="s">
        <v>31</v>
      </c>
      <c r="C8" s="63" t="s">
        <v>60</v>
      </c>
      <c r="D8" s="60">
        <v>2777</v>
      </c>
      <c r="E8" s="61">
        <v>181</v>
      </c>
      <c r="F8" s="62">
        <v>15.342541436464089</v>
      </c>
      <c r="G8" s="61">
        <v>2</v>
      </c>
      <c r="H8" s="60">
        <v>2</v>
      </c>
      <c r="I8" s="59"/>
      <c r="J8" s="59"/>
      <c r="K8" s="59"/>
      <c r="L8" s="67">
        <v>8.5</v>
      </c>
      <c r="M8" s="57"/>
    </row>
    <row r="9" spans="1:13" x14ac:dyDescent="0.3">
      <c r="A9" s="68">
        <v>8</v>
      </c>
      <c r="B9" s="61" t="s">
        <v>24</v>
      </c>
      <c r="C9" s="63" t="s">
        <v>15</v>
      </c>
      <c r="D9" s="60">
        <v>2831</v>
      </c>
      <c r="E9" s="61">
        <v>185</v>
      </c>
      <c r="F9" s="62">
        <v>15.302702702702703</v>
      </c>
      <c r="G9" s="61">
        <v>2</v>
      </c>
      <c r="H9" s="60">
        <v>1</v>
      </c>
      <c r="I9" s="59"/>
      <c r="J9" s="59"/>
      <c r="K9" s="59"/>
      <c r="L9" s="58">
        <v>6.5</v>
      </c>
      <c r="M9" s="57">
        <v>5</v>
      </c>
    </row>
    <row r="10" spans="1:13" x14ac:dyDescent="0.3">
      <c r="A10" s="68">
        <v>9</v>
      </c>
      <c r="B10" s="63" t="s">
        <v>12</v>
      </c>
      <c r="C10" s="63" t="s">
        <v>60</v>
      </c>
      <c r="D10" s="60">
        <v>2996</v>
      </c>
      <c r="E10" s="61">
        <v>199</v>
      </c>
      <c r="F10" s="62">
        <v>15.055276381909549</v>
      </c>
      <c r="G10" s="61">
        <v>2</v>
      </c>
      <c r="H10" s="60">
        <v>2</v>
      </c>
      <c r="I10" s="59"/>
      <c r="J10" s="59"/>
      <c r="K10" s="59"/>
      <c r="L10" s="58">
        <v>8</v>
      </c>
      <c r="M10" s="57"/>
    </row>
    <row r="11" spans="1:13" x14ac:dyDescent="0.3">
      <c r="A11" s="68">
        <v>10</v>
      </c>
      <c r="B11" s="63" t="s">
        <v>32</v>
      </c>
      <c r="C11" s="63" t="s">
        <v>60</v>
      </c>
      <c r="D11" s="60">
        <v>2769</v>
      </c>
      <c r="E11" s="61">
        <v>184</v>
      </c>
      <c r="F11" s="62">
        <v>15.048913043478262</v>
      </c>
      <c r="G11" s="61">
        <v>2</v>
      </c>
      <c r="H11" s="60">
        <v>1</v>
      </c>
      <c r="I11" s="59"/>
      <c r="J11" s="59"/>
      <c r="K11" s="59"/>
      <c r="L11" s="67">
        <v>5.5</v>
      </c>
      <c r="M11" s="57"/>
    </row>
    <row r="12" spans="1:13" x14ac:dyDescent="0.3">
      <c r="A12" s="68">
        <v>11</v>
      </c>
      <c r="B12" s="61" t="s">
        <v>25</v>
      </c>
      <c r="C12" s="63" t="s">
        <v>10</v>
      </c>
      <c r="D12" s="60">
        <v>2903</v>
      </c>
      <c r="E12" s="61">
        <v>193</v>
      </c>
      <c r="F12" s="62">
        <v>15.041450777202073</v>
      </c>
      <c r="G12" s="61">
        <v>2</v>
      </c>
      <c r="H12" s="60">
        <v>1</v>
      </c>
      <c r="I12" s="59"/>
      <c r="J12" s="59"/>
      <c r="K12" s="59"/>
      <c r="L12" s="67">
        <v>7.5</v>
      </c>
      <c r="M12" s="57"/>
    </row>
    <row r="13" spans="1:13" x14ac:dyDescent="0.3">
      <c r="A13" s="68">
        <v>12</v>
      </c>
      <c r="B13" s="61" t="s">
        <v>21</v>
      </c>
      <c r="C13" s="63" t="s">
        <v>17</v>
      </c>
      <c r="D13" s="60">
        <v>2573</v>
      </c>
      <c r="E13" s="61">
        <v>173</v>
      </c>
      <c r="F13" s="62">
        <v>14.872832369942197</v>
      </c>
      <c r="G13" s="61">
        <v>2</v>
      </c>
      <c r="H13" s="60">
        <v>0</v>
      </c>
      <c r="I13" s="59"/>
      <c r="J13" s="59"/>
      <c r="K13" s="59"/>
      <c r="L13" s="67">
        <v>5</v>
      </c>
      <c r="M13" s="57"/>
    </row>
    <row r="14" spans="1:13" x14ac:dyDescent="0.3">
      <c r="A14" s="68">
        <v>13</v>
      </c>
      <c r="B14" s="63" t="s">
        <v>53</v>
      </c>
      <c r="C14" s="63" t="s">
        <v>54</v>
      </c>
      <c r="D14" s="60">
        <v>2708</v>
      </c>
      <c r="E14" s="61">
        <v>183</v>
      </c>
      <c r="F14" s="62">
        <v>14.797814207650273</v>
      </c>
      <c r="G14" s="61">
        <v>2</v>
      </c>
      <c r="H14" s="60">
        <v>1</v>
      </c>
      <c r="I14" s="59"/>
      <c r="J14" s="59"/>
      <c r="K14" s="59"/>
      <c r="L14" s="58">
        <v>4</v>
      </c>
      <c r="M14" s="57"/>
    </row>
    <row r="15" spans="1:13" x14ac:dyDescent="0.3">
      <c r="A15" s="68">
        <v>14</v>
      </c>
      <c r="B15" s="63" t="s">
        <v>83</v>
      </c>
      <c r="C15" s="63" t="s">
        <v>20</v>
      </c>
      <c r="D15" s="60">
        <v>1491</v>
      </c>
      <c r="E15" s="61">
        <v>103</v>
      </c>
      <c r="F15" s="62">
        <v>14.475728155339805</v>
      </c>
      <c r="G15" s="61">
        <v>1</v>
      </c>
      <c r="H15" s="60">
        <v>1</v>
      </c>
      <c r="I15" s="59"/>
      <c r="J15" s="59"/>
      <c r="K15" s="59"/>
      <c r="L15" s="67">
        <v>3</v>
      </c>
      <c r="M15" s="57"/>
    </row>
    <row r="16" spans="1:13" x14ac:dyDescent="0.3">
      <c r="A16" s="68">
        <v>15</v>
      </c>
      <c r="B16" s="63" t="s">
        <v>23</v>
      </c>
      <c r="C16" s="63" t="s">
        <v>20</v>
      </c>
      <c r="D16" s="60">
        <v>2814</v>
      </c>
      <c r="E16" s="61">
        <v>195</v>
      </c>
      <c r="F16" s="62">
        <v>14.430769230769231</v>
      </c>
      <c r="G16" s="61">
        <v>2</v>
      </c>
      <c r="H16" s="60">
        <v>0</v>
      </c>
      <c r="I16" s="59"/>
      <c r="J16" s="59"/>
      <c r="K16" s="59"/>
      <c r="L16" s="67">
        <v>2</v>
      </c>
      <c r="M16" s="57"/>
    </row>
    <row r="17" spans="1:13" x14ac:dyDescent="0.3">
      <c r="A17" s="68">
        <v>16</v>
      </c>
      <c r="B17" s="65" t="s">
        <v>82</v>
      </c>
      <c r="C17" s="65" t="s">
        <v>15</v>
      </c>
      <c r="D17" s="61">
        <v>1503</v>
      </c>
      <c r="E17" s="61">
        <v>105</v>
      </c>
      <c r="F17" s="61">
        <v>14.314285714285715</v>
      </c>
      <c r="G17" s="61">
        <v>1</v>
      </c>
      <c r="H17" s="61">
        <v>1</v>
      </c>
      <c r="I17" s="61"/>
      <c r="J17" s="61"/>
      <c r="K17" s="61"/>
      <c r="L17" s="61">
        <v>3.5</v>
      </c>
      <c r="M17" s="57"/>
    </row>
    <row r="18" spans="1:13" x14ac:dyDescent="0.3">
      <c r="A18" s="68">
        <v>17</v>
      </c>
      <c r="B18" s="63" t="s">
        <v>13</v>
      </c>
      <c r="C18" s="63" t="s">
        <v>8</v>
      </c>
      <c r="D18" s="60">
        <v>2955</v>
      </c>
      <c r="E18" s="61">
        <v>207</v>
      </c>
      <c r="F18" s="62">
        <v>14.27536231884058</v>
      </c>
      <c r="G18" s="61">
        <v>2</v>
      </c>
      <c r="H18" s="60">
        <v>1</v>
      </c>
      <c r="I18" s="59"/>
      <c r="J18" s="59"/>
      <c r="K18" s="59"/>
      <c r="L18" s="67">
        <v>5.5</v>
      </c>
      <c r="M18" s="57"/>
    </row>
    <row r="19" spans="1:13" x14ac:dyDescent="0.3">
      <c r="A19" s="68">
        <v>18</v>
      </c>
      <c r="B19" s="41" t="s">
        <v>29</v>
      </c>
      <c r="C19" s="63" t="s">
        <v>17</v>
      </c>
      <c r="D19" s="60">
        <v>1438</v>
      </c>
      <c r="E19" s="61">
        <v>103</v>
      </c>
      <c r="F19" s="62">
        <v>13.961165048543689</v>
      </c>
      <c r="G19" s="61">
        <v>1</v>
      </c>
      <c r="H19" s="60">
        <v>0</v>
      </c>
      <c r="I19" s="59"/>
      <c r="J19" s="59"/>
      <c r="K19" s="59"/>
      <c r="L19" s="67">
        <v>2.5</v>
      </c>
      <c r="M19" s="57"/>
    </row>
    <row r="20" spans="1:13" x14ac:dyDescent="0.3">
      <c r="A20" s="68">
        <v>19</v>
      </c>
      <c r="B20" s="65" t="s">
        <v>81</v>
      </c>
      <c r="C20" s="65" t="s">
        <v>8</v>
      </c>
      <c r="D20" s="60">
        <v>1456</v>
      </c>
      <c r="E20" s="61">
        <v>107</v>
      </c>
      <c r="F20" s="62">
        <v>13.607476635514018</v>
      </c>
      <c r="G20" s="61">
        <v>1</v>
      </c>
      <c r="H20" s="60">
        <v>1</v>
      </c>
      <c r="I20" s="59"/>
      <c r="J20" s="59"/>
      <c r="K20" s="59"/>
      <c r="L20" s="67">
        <v>3</v>
      </c>
      <c r="M20" s="57"/>
    </row>
    <row r="21" spans="1:13" x14ac:dyDescent="0.3">
      <c r="A21" s="68">
        <v>20</v>
      </c>
      <c r="B21" s="63" t="s">
        <v>19</v>
      </c>
      <c r="C21" s="63" t="s">
        <v>20</v>
      </c>
      <c r="D21" s="60">
        <v>2676</v>
      </c>
      <c r="E21" s="61">
        <v>200</v>
      </c>
      <c r="F21" s="62">
        <v>13.38</v>
      </c>
      <c r="G21" s="61">
        <v>2</v>
      </c>
      <c r="H21" s="60">
        <v>2</v>
      </c>
      <c r="I21" s="59"/>
      <c r="J21" s="59"/>
      <c r="K21" s="59"/>
      <c r="L21" s="67">
        <v>6</v>
      </c>
      <c r="M21" s="57"/>
    </row>
    <row r="22" spans="1:13" x14ac:dyDescent="0.3">
      <c r="A22" s="68">
        <v>21</v>
      </c>
      <c r="B22" s="63" t="s">
        <v>22</v>
      </c>
      <c r="C22" s="63" t="s">
        <v>17</v>
      </c>
      <c r="D22" s="60">
        <v>2914</v>
      </c>
      <c r="E22" s="61">
        <v>221</v>
      </c>
      <c r="F22" s="62">
        <v>13.18552036199095</v>
      </c>
      <c r="G22" s="61">
        <v>2</v>
      </c>
      <c r="H22" s="60">
        <v>1</v>
      </c>
      <c r="I22" s="59"/>
      <c r="J22" s="59"/>
      <c r="K22" s="59"/>
      <c r="L22" s="67">
        <v>7.5</v>
      </c>
      <c r="M22" s="57"/>
    </row>
    <row r="23" spans="1:13" x14ac:dyDescent="0.3">
      <c r="A23" s="68">
        <v>22</v>
      </c>
      <c r="B23" s="63" t="s">
        <v>50</v>
      </c>
      <c r="C23" s="63" t="s">
        <v>60</v>
      </c>
      <c r="D23" s="60">
        <v>1462</v>
      </c>
      <c r="E23" s="61">
        <v>111</v>
      </c>
      <c r="F23" s="62">
        <v>13.171171171171171</v>
      </c>
      <c r="G23" s="61">
        <v>1</v>
      </c>
      <c r="H23" s="60">
        <v>1</v>
      </c>
      <c r="I23" s="59"/>
      <c r="J23" s="59"/>
      <c r="K23" s="59"/>
      <c r="L23" s="58">
        <v>4</v>
      </c>
      <c r="M23" s="57"/>
    </row>
    <row r="24" spans="1:13" x14ac:dyDescent="0.3">
      <c r="A24" s="68">
        <v>23</v>
      </c>
      <c r="B24" s="63" t="s">
        <v>56</v>
      </c>
      <c r="C24" s="63" t="s">
        <v>54</v>
      </c>
      <c r="D24" s="60">
        <v>2664</v>
      </c>
      <c r="E24" s="61">
        <v>208</v>
      </c>
      <c r="F24" s="62">
        <v>12.807692307692308</v>
      </c>
      <c r="G24" s="61">
        <v>2</v>
      </c>
      <c r="H24" s="60">
        <v>0</v>
      </c>
      <c r="I24" s="59"/>
      <c r="J24" s="59"/>
      <c r="K24" s="59"/>
      <c r="L24" s="58">
        <v>3</v>
      </c>
      <c r="M24" s="57"/>
    </row>
    <row r="25" spans="1:13" x14ac:dyDescent="0.3">
      <c r="A25" s="68">
        <v>24</v>
      </c>
      <c r="B25" s="63" t="s">
        <v>52</v>
      </c>
      <c r="C25" s="63" t="s">
        <v>20</v>
      </c>
      <c r="D25" s="60">
        <v>2975</v>
      </c>
      <c r="E25" s="61">
        <v>236</v>
      </c>
      <c r="F25" s="62">
        <v>12.60593220338983</v>
      </c>
      <c r="G25" s="61">
        <v>2</v>
      </c>
      <c r="H25" s="60">
        <v>2</v>
      </c>
      <c r="I25" s="59"/>
      <c r="J25" s="59"/>
      <c r="K25" s="59"/>
      <c r="L25" s="58">
        <v>7.5</v>
      </c>
      <c r="M25" s="57"/>
    </row>
    <row r="26" spans="1:13" x14ac:dyDescent="0.3">
      <c r="A26" s="68">
        <v>25</v>
      </c>
      <c r="B26" s="63" t="s">
        <v>28</v>
      </c>
      <c r="C26" s="63" t="s">
        <v>6</v>
      </c>
      <c r="D26" s="60">
        <v>2923</v>
      </c>
      <c r="E26" s="61">
        <v>232</v>
      </c>
      <c r="F26" s="62">
        <v>12.599137931034482</v>
      </c>
      <c r="G26" s="61">
        <v>2</v>
      </c>
      <c r="H26" s="60">
        <v>0</v>
      </c>
      <c r="I26" s="59">
        <v>1</v>
      </c>
      <c r="J26" s="59"/>
      <c r="K26" s="59"/>
      <c r="L26" s="58">
        <v>4.5</v>
      </c>
      <c r="M26" s="57">
        <v>10</v>
      </c>
    </row>
    <row r="27" spans="1:13" x14ac:dyDescent="0.3">
      <c r="A27" s="68">
        <v>26</v>
      </c>
      <c r="B27" s="63" t="s">
        <v>14</v>
      </c>
      <c r="C27" s="63" t="s">
        <v>15</v>
      </c>
      <c r="D27" s="60">
        <v>2921</v>
      </c>
      <c r="E27" s="61">
        <v>232</v>
      </c>
      <c r="F27" s="62">
        <v>12.59051724137931</v>
      </c>
      <c r="G27" s="61">
        <v>2</v>
      </c>
      <c r="H27" s="60">
        <v>1</v>
      </c>
      <c r="I27" s="59"/>
      <c r="J27" s="59"/>
      <c r="K27" s="59"/>
      <c r="L27" s="67">
        <v>6.5</v>
      </c>
      <c r="M27" s="57"/>
    </row>
    <row r="28" spans="1:13" x14ac:dyDescent="0.3">
      <c r="A28" s="68">
        <v>27</v>
      </c>
      <c r="B28" s="65" t="s">
        <v>57</v>
      </c>
      <c r="C28" s="65" t="s">
        <v>15</v>
      </c>
      <c r="D28" s="61">
        <v>1259</v>
      </c>
      <c r="E28" s="61">
        <v>102</v>
      </c>
      <c r="F28" s="61">
        <v>12.343137254901961</v>
      </c>
      <c r="G28" s="61">
        <v>1</v>
      </c>
      <c r="H28" s="61">
        <v>0</v>
      </c>
      <c r="I28" s="61"/>
      <c r="J28" s="61"/>
      <c r="K28" s="61"/>
      <c r="L28" s="61">
        <v>1</v>
      </c>
      <c r="M28" s="61"/>
    </row>
    <row r="29" spans="1:13" x14ac:dyDescent="0.3">
      <c r="A29" s="68">
        <v>29</v>
      </c>
      <c r="B29" s="61" t="s">
        <v>27</v>
      </c>
      <c r="C29" s="63" t="s">
        <v>10</v>
      </c>
      <c r="D29" s="60">
        <v>2797</v>
      </c>
      <c r="E29" s="61">
        <v>229</v>
      </c>
      <c r="F29" s="62">
        <v>12.213973799126638</v>
      </c>
      <c r="G29" s="61">
        <v>2</v>
      </c>
      <c r="H29" s="60">
        <v>1</v>
      </c>
      <c r="I29" s="59"/>
      <c r="J29" s="59"/>
      <c r="K29" s="59"/>
      <c r="L29" s="67">
        <v>7.5</v>
      </c>
      <c r="M29" s="57">
        <v>5</v>
      </c>
    </row>
    <row r="30" spans="1:13" x14ac:dyDescent="0.3">
      <c r="A30" s="68">
        <v>29</v>
      </c>
      <c r="B30" s="65" t="s">
        <v>80</v>
      </c>
      <c r="C30" s="65" t="s">
        <v>17</v>
      </c>
      <c r="D30" s="60">
        <v>1503</v>
      </c>
      <c r="E30" s="61">
        <v>125</v>
      </c>
      <c r="F30" s="62">
        <v>12.023999999999999</v>
      </c>
      <c r="G30" s="61">
        <v>1</v>
      </c>
      <c r="H30" s="60">
        <v>1</v>
      </c>
      <c r="I30" s="59"/>
      <c r="J30" s="59"/>
      <c r="K30" s="59"/>
      <c r="L30" s="67">
        <v>5</v>
      </c>
      <c r="M30" s="57"/>
    </row>
    <row r="31" spans="1:13" x14ac:dyDescent="0.3">
      <c r="A31" s="66">
        <v>30</v>
      </c>
      <c r="B31" s="63" t="s">
        <v>18</v>
      </c>
      <c r="C31" s="63" t="s">
        <v>8</v>
      </c>
      <c r="D31" s="60">
        <v>1503</v>
      </c>
      <c r="E31" s="61">
        <v>127</v>
      </c>
      <c r="F31" s="62">
        <v>11.834645669291339</v>
      </c>
      <c r="G31" s="61">
        <v>1</v>
      </c>
      <c r="H31" s="60">
        <v>1</v>
      </c>
      <c r="I31" s="59"/>
      <c r="J31" s="59"/>
      <c r="K31" s="59"/>
      <c r="L31" s="58">
        <v>7</v>
      </c>
      <c r="M31" s="57"/>
    </row>
    <row r="32" spans="1:13" x14ac:dyDescent="0.3">
      <c r="A32" s="66">
        <v>31</v>
      </c>
      <c r="B32" s="63" t="s">
        <v>61</v>
      </c>
      <c r="C32" s="63" t="s">
        <v>6</v>
      </c>
      <c r="D32" s="60">
        <v>2960</v>
      </c>
      <c r="E32" s="61">
        <v>258</v>
      </c>
      <c r="F32" s="62">
        <v>11.472868217054264</v>
      </c>
      <c r="G32" s="61">
        <v>2</v>
      </c>
      <c r="H32" s="60">
        <v>1</v>
      </c>
      <c r="I32" s="59"/>
      <c r="J32" s="59"/>
      <c r="K32" s="59"/>
      <c r="L32" s="58">
        <v>6</v>
      </c>
      <c r="M32" s="57"/>
    </row>
    <row r="33" spans="1:13" x14ac:dyDescent="0.3">
      <c r="A33" s="66">
        <v>32</v>
      </c>
      <c r="B33" s="65" t="s">
        <v>79</v>
      </c>
      <c r="C33" s="65" t="s">
        <v>60</v>
      </c>
      <c r="D33" s="60">
        <v>1331</v>
      </c>
      <c r="E33" s="61">
        <v>117</v>
      </c>
      <c r="F33" s="62">
        <v>11.376068376068377</v>
      </c>
      <c r="G33" s="61">
        <v>1</v>
      </c>
      <c r="H33" s="60">
        <v>0</v>
      </c>
      <c r="I33" s="59"/>
      <c r="J33" s="59"/>
      <c r="K33" s="59"/>
      <c r="L33" s="67">
        <v>1</v>
      </c>
      <c r="M33" s="57"/>
    </row>
    <row r="34" spans="1:13" x14ac:dyDescent="0.3">
      <c r="A34" s="66">
        <v>33</v>
      </c>
      <c r="B34" s="63" t="s">
        <v>55</v>
      </c>
      <c r="C34" s="63" t="s">
        <v>54</v>
      </c>
      <c r="D34" s="60">
        <v>2807</v>
      </c>
      <c r="E34" s="61">
        <v>250</v>
      </c>
      <c r="F34" s="62">
        <v>11.228</v>
      </c>
      <c r="G34" s="61">
        <v>2</v>
      </c>
      <c r="H34" s="60">
        <v>1</v>
      </c>
      <c r="I34" s="59"/>
      <c r="J34" s="59"/>
      <c r="K34" s="59"/>
      <c r="L34" s="58">
        <v>5</v>
      </c>
      <c r="M34" s="57"/>
    </row>
    <row r="35" spans="1:13" x14ac:dyDescent="0.3">
      <c r="A35" s="66">
        <v>34</v>
      </c>
      <c r="B35" s="63" t="s">
        <v>26</v>
      </c>
      <c r="C35" s="63" t="s">
        <v>10</v>
      </c>
      <c r="D35" s="60">
        <v>2859</v>
      </c>
      <c r="E35" s="61">
        <v>255</v>
      </c>
      <c r="F35" s="62">
        <v>11.211764705882352</v>
      </c>
      <c r="G35" s="61">
        <v>2</v>
      </c>
      <c r="H35" s="60">
        <v>0</v>
      </c>
      <c r="I35" s="59"/>
      <c r="J35" s="59"/>
      <c r="K35" s="59"/>
      <c r="L35" s="67">
        <v>4.5</v>
      </c>
      <c r="M35" s="57"/>
    </row>
    <row r="36" spans="1:13" x14ac:dyDescent="0.3">
      <c r="A36" s="66">
        <v>35</v>
      </c>
      <c r="B36" s="63" t="s">
        <v>51</v>
      </c>
      <c r="C36" s="63" t="s">
        <v>20</v>
      </c>
      <c r="D36" s="60">
        <v>1400</v>
      </c>
      <c r="E36" s="61">
        <v>126</v>
      </c>
      <c r="F36" s="62">
        <v>11.111111111111111</v>
      </c>
      <c r="G36" s="61">
        <v>1</v>
      </c>
      <c r="H36" s="60">
        <v>0</v>
      </c>
      <c r="I36" s="59"/>
      <c r="J36" s="59"/>
      <c r="K36" s="59"/>
      <c r="L36" s="58">
        <v>1.5</v>
      </c>
      <c r="M36" s="57"/>
    </row>
    <row r="37" spans="1:13" x14ac:dyDescent="0.3">
      <c r="A37" s="66">
        <v>36</v>
      </c>
      <c r="B37" s="65" t="s">
        <v>58</v>
      </c>
      <c r="C37" s="65" t="s">
        <v>54</v>
      </c>
      <c r="D37" s="61">
        <v>2690</v>
      </c>
      <c r="E37" s="61">
        <v>254</v>
      </c>
      <c r="F37" s="57">
        <v>10.590551181102363</v>
      </c>
      <c r="G37" s="61">
        <v>2</v>
      </c>
      <c r="H37" s="61">
        <v>0</v>
      </c>
      <c r="I37" s="61"/>
      <c r="J37" s="61"/>
      <c r="K37" s="61"/>
      <c r="L37" s="61">
        <v>4</v>
      </c>
      <c r="M37" s="61"/>
    </row>
    <row r="38" spans="1:13" x14ac:dyDescent="0.3">
      <c r="A38" s="64">
        <v>37</v>
      </c>
      <c r="B38" s="63" t="s">
        <v>30</v>
      </c>
      <c r="C38" s="63" t="s">
        <v>8</v>
      </c>
      <c r="D38" s="60">
        <v>2900</v>
      </c>
      <c r="E38" s="61">
        <v>299</v>
      </c>
      <c r="F38" s="62">
        <v>9.6989966555183944</v>
      </c>
      <c r="G38" s="61">
        <v>2</v>
      </c>
      <c r="H38" s="60">
        <v>1</v>
      </c>
      <c r="I38" s="59"/>
      <c r="J38" s="59"/>
      <c r="K38" s="59"/>
      <c r="L38" s="58">
        <v>4.5</v>
      </c>
      <c r="M38" s="57"/>
    </row>
    <row r="39" spans="1:13" ht="19.5" thickBot="1" x14ac:dyDescent="0.35">
      <c r="A39" s="51"/>
      <c r="M39" s="40"/>
    </row>
    <row r="40" spans="1:13" ht="19.5" thickBot="1" x14ac:dyDescent="0.35">
      <c r="A40" s="51"/>
      <c r="B40" s="56" t="s">
        <v>78</v>
      </c>
      <c r="C40" s="55" t="s">
        <v>33</v>
      </c>
      <c r="D40" s="54" t="s">
        <v>34</v>
      </c>
      <c r="E40" s="54" t="s">
        <v>35</v>
      </c>
      <c r="F40" s="54" t="s">
        <v>36</v>
      </c>
      <c r="G40" s="54"/>
      <c r="H40" s="54"/>
      <c r="I40" s="53"/>
      <c r="M40" s="40"/>
    </row>
    <row r="41" spans="1:13" x14ac:dyDescent="0.3">
      <c r="A41" s="51"/>
      <c r="B41" s="46"/>
      <c r="C41" s="43" t="s">
        <v>37</v>
      </c>
      <c r="D41" s="43">
        <v>2</v>
      </c>
      <c r="E41" s="52">
        <v>0</v>
      </c>
      <c r="F41" s="52">
        <v>29</v>
      </c>
      <c r="H41" s="49" t="s">
        <v>38</v>
      </c>
      <c r="I41" s="48" t="s">
        <v>77</v>
      </c>
      <c r="K41" s="48"/>
      <c r="M41" s="40"/>
    </row>
    <row r="42" spans="1:13" x14ac:dyDescent="0.3">
      <c r="A42" s="51"/>
      <c r="B42" s="46"/>
      <c r="C42" s="43" t="s">
        <v>39</v>
      </c>
      <c r="D42" s="43">
        <v>2</v>
      </c>
      <c r="E42" s="39">
        <v>0</v>
      </c>
      <c r="F42" s="52">
        <v>28</v>
      </c>
      <c r="H42" s="49" t="s">
        <v>40</v>
      </c>
      <c r="I42" s="48" t="s">
        <v>76</v>
      </c>
      <c r="K42" s="47"/>
      <c r="M42" s="40"/>
    </row>
    <row r="43" spans="1:13" x14ac:dyDescent="0.3">
      <c r="A43" s="51"/>
      <c r="B43" s="46"/>
      <c r="C43" s="43" t="s">
        <v>63</v>
      </c>
      <c r="D43" s="43">
        <v>1</v>
      </c>
      <c r="E43" s="50">
        <v>1</v>
      </c>
      <c r="F43" s="50">
        <v>27</v>
      </c>
      <c r="H43" s="49" t="s">
        <v>41</v>
      </c>
      <c r="I43" s="48" t="s">
        <v>75</v>
      </c>
      <c r="K43" s="48"/>
      <c r="M43" s="40"/>
    </row>
    <row r="44" spans="1:13" x14ac:dyDescent="0.3">
      <c r="B44" s="46"/>
      <c r="C44" s="43" t="s">
        <v>44</v>
      </c>
      <c r="D44" s="43">
        <v>1</v>
      </c>
      <c r="E44" s="42">
        <v>1</v>
      </c>
      <c r="F44" s="41">
        <v>26</v>
      </c>
      <c r="H44" s="49" t="s">
        <v>43</v>
      </c>
      <c r="I44" s="48" t="s">
        <v>74</v>
      </c>
      <c r="K44" s="47"/>
      <c r="M44" s="40"/>
    </row>
    <row r="45" spans="1:13" x14ac:dyDescent="0.3">
      <c r="B45" s="46"/>
      <c r="C45" s="43" t="s">
        <v>42</v>
      </c>
      <c r="D45" s="43">
        <v>1</v>
      </c>
      <c r="E45" s="39">
        <v>1</v>
      </c>
      <c r="F45" s="45">
        <v>25</v>
      </c>
      <c r="H45" s="49" t="s">
        <v>45</v>
      </c>
      <c r="I45" s="48" t="s">
        <v>64</v>
      </c>
      <c r="K45" s="47"/>
      <c r="M45" s="40"/>
    </row>
    <row r="46" spans="1:13" x14ac:dyDescent="0.3">
      <c r="B46" s="46"/>
      <c r="C46" s="43" t="s">
        <v>47</v>
      </c>
      <c r="D46" s="43">
        <v>1</v>
      </c>
      <c r="E46" s="39">
        <v>1</v>
      </c>
      <c r="F46" s="45">
        <v>23</v>
      </c>
      <c r="H46" s="49" t="s">
        <v>46</v>
      </c>
      <c r="I46" s="48" t="s">
        <v>74</v>
      </c>
      <c r="K46" s="47"/>
      <c r="M46" s="40"/>
    </row>
    <row r="47" spans="1:13" x14ac:dyDescent="0.3">
      <c r="B47" s="46"/>
      <c r="C47" s="43" t="s">
        <v>48</v>
      </c>
      <c r="D47" s="43">
        <v>0</v>
      </c>
      <c r="E47" s="39">
        <v>2</v>
      </c>
      <c r="F47" s="45">
        <v>20</v>
      </c>
      <c r="M47" s="40"/>
    </row>
    <row r="48" spans="1:13" ht="19.5" thickBot="1" x14ac:dyDescent="0.35">
      <c r="B48" s="44"/>
      <c r="C48" s="43" t="s">
        <v>49</v>
      </c>
      <c r="D48" s="43">
        <v>0</v>
      </c>
      <c r="E48" s="42">
        <v>2</v>
      </c>
      <c r="F48" s="41">
        <v>15</v>
      </c>
      <c r="M48" s="40"/>
    </row>
  </sheetData>
  <mergeCells count="1">
    <mergeCell ref="B40:B48"/>
  </mergeCells>
  <pageMargins left="0.7" right="0.7" top="0.75" bottom="0.75" header="0.3" footer="0.3"/>
  <pageSetup paperSize="1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8" zoomScale="90" zoomScaleNormal="90" zoomScaleSheetLayoutView="80" workbookViewId="0">
      <selection activeCell="P5" sqref="P5"/>
    </sheetView>
  </sheetViews>
  <sheetFormatPr defaultRowHeight="18.75" x14ac:dyDescent="0.3"/>
  <cols>
    <col min="1" max="1" width="5.28515625" style="39" bestFit="1" customWidth="1"/>
    <col min="2" max="2" width="24.7109375" style="39" customWidth="1"/>
    <col min="3" max="3" width="35.28515625" style="39" bestFit="1" customWidth="1"/>
    <col min="4" max="4" width="8.140625" style="39" bestFit="1" customWidth="1"/>
    <col min="5" max="5" width="6.7109375" style="39" bestFit="1" customWidth="1"/>
    <col min="6" max="6" width="8.85546875" style="39" bestFit="1" customWidth="1"/>
    <col min="7" max="7" width="4.7109375" style="39" bestFit="1" customWidth="1"/>
    <col min="8" max="8" width="27.42578125" style="39" bestFit="1" customWidth="1"/>
    <col min="9" max="9" width="33.140625" style="39" bestFit="1" customWidth="1"/>
    <col min="10" max="10" width="4.42578125" style="39" bestFit="1" customWidth="1"/>
    <col min="11" max="11" width="4.5703125" style="39" bestFit="1" customWidth="1"/>
    <col min="12" max="12" width="7.85546875" style="39" bestFit="1" customWidth="1"/>
    <col min="13" max="13" width="8.85546875" style="39" bestFit="1" customWidth="1"/>
    <col min="14" max="16384" width="9.140625" style="39"/>
  </cols>
  <sheetData>
    <row r="1" spans="1:13" ht="59.25" customHeight="1" x14ac:dyDescent="0.3">
      <c r="A1" s="72" t="s">
        <v>68</v>
      </c>
      <c r="B1" s="71" t="s">
        <v>0</v>
      </c>
      <c r="C1" s="71" t="s">
        <v>1</v>
      </c>
      <c r="D1" s="71" t="s">
        <v>2</v>
      </c>
      <c r="E1" s="71" t="s">
        <v>3</v>
      </c>
      <c r="F1" s="70" t="s">
        <v>72</v>
      </c>
      <c r="G1" s="71" t="s">
        <v>69</v>
      </c>
      <c r="H1" s="71" t="s">
        <v>70</v>
      </c>
      <c r="I1" s="71">
        <v>180</v>
      </c>
      <c r="J1" s="71">
        <v>171</v>
      </c>
      <c r="K1" s="71" t="s">
        <v>4</v>
      </c>
      <c r="L1" s="70" t="s">
        <v>85</v>
      </c>
      <c r="M1" s="69" t="s">
        <v>84</v>
      </c>
    </row>
    <row r="2" spans="1:13" x14ac:dyDescent="0.3">
      <c r="A2" s="68">
        <v>1</v>
      </c>
      <c r="B2" s="65" t="s">
        <v>5</v>
      </c>
      <c r="C2" s="63" t="s">
        <v>6</v>
      </c>
      <c r="D2" s="60">
        <v>4345</v>
      </c>
      <c r="E2" s="61">
        <v>244</v>
      </c>
      <c r="F2" s="62">
        <v>17.807377049180328</v>
      </c>
      <c r="G2" s="61">
        <v>3</v>
      </c>
      <c r="H2" s="60">
        <v>2</v>
      </c>
      <c r="I2" s="59"/>
      <c r="J2" s="59"/>
      <c r="K2" s="59">
        <v>1</v>
      </c>
      <c r="L2" s="58">
        <v>12.5</v>
      </c>
      <c r="M2" s="57">
        <v>15</v>
      </c>
    </row>
    <row r="3" spans="1:13" x14ac:dyDescent="0.3">
      <c r="A3" s="68">
        <v>2</v>
      </c>
      <c r="B3" s="63" t="s">
        <v>11</v>
      </c>
      <c r="C3" s="63" t="s">
        <v>6</v>
      </c>
      <c r="D3" s="60">
        <v>4499</v>
      </c>
      <c r="E3" s="61">
        <v>253</v>
      </c>
      <c r="F3" s="62">
        <v>17.782608695652176</v>
      </c>
      <c r="G3" s="61">
        <v>3</v>
      </c>
      <c r="H3" s="60">
        <v>3</v>
      </c>
      <c r="I3" s="59">
        <v>1</v>
      </c>
      <c r="J3" s="59"/>
      <c r="K3" s="59"/>
      <c r="L3" s="58">
        <v>13.5</v>
      </c>
      <c r="M3" s="57">
        <v>20</v>
      </c>
    </row>
    <row r="4" spans="1:13" x14ac:dyDescent="0.3">
      <c r="A4" s="68">
        <v>3</v>
      </c>
      <c r="B4" s="63" t="s">
        <v>9</v>
      </c>
      <c r="C4" s="63" t="s">
        <v>10</v>
      </c>
      <c r="D4" s="60">
        <v>4453</v>
      </c>
      <c r="E4" s="61">
        <v>266</v>
      </c>
      <c r="F4" s="62">
        <v>16.7406015037594</v>
      </c>
      <c r="G4" s="61">
        <v>3</v>
      </c>
      <c r="H4" s="60">
        <v>2</v>
      </c>
      <c r="I4" s="59"/>
      <c r="J4" s="59"/>
      <c r="K4" s="59"/>
      <c r="L4" s="67">
        <v>12</v>
      </c>
      <c r="M4" s="57"/>
    </row>
    <row r="5" spans="1:13" x14ac:dyDescent="0.3">
      <c r="A5" s="68">
        <v>4</v>
      </c>
      <c r="B5" s="63" t="s">
        <v>16</v>
      </c>
      <c r="C5" s="63" t="s">
        <v>17</v>
      </c>
      <c r="D5" s="60">
        <v>4378</v>
      </c>
      <c r="E5" s="61">
        <v>265</v>
      </c>
      <c r="F5" s="62">
        <v>16.520754716981131</v>
      </c>
      <c r="G5" s="61">
        <v>3</v>
      </c>
      <c r="H5" s="60">
        <v>1</v>
      </c>
      <c r="I5" s="59">
        <v>1</v>
      </c>
      <c r="J5" s="59"/>
      <c r="K5" s="59"/>
      <c r="L5" s="67">
        <v>9</v>
      </c>
      <c r="M5" s="57">
        <v>15</v>
      </c>
    </row>
    <row r="6" spans="1:13" x14ac:dyDescent="0.3">
      <c r="A6" s="68">
        <v>5</v>
      </c>
      <c r="B6" s="63" t="s">
        <v>7</v>
      </c>
      <c r="C6" s="63" t="s">
        <v>8</v>
      </c>
      <c r="D6" s="60">
        <v>4260</v>
      </c>
      <c r="E6" s="61">
        <v>258</v>
      </c>
      <c r="F6" s="62">
        <v>16.511627906976745</v>
      </c>
      <c r="G6" s="61">
        <v>3</v>
      </c>
      <c r="H6" s="60">
        <v>2</v>
      </c>
      <c r="I6" s="59"/>
      <c r="J6" s="59"/>
      <c r="K6" s="59"/>
      <c r="L6" s="67">
        <v>12</v>
      </c>
      <c r="M6" s="57">
        <v>5</v>
      </c>
    </row>
    <row r="7" spans="1:13" x14ac:dyDescent="0.3">
      <c r="A7" s="68">
        <v>6</v>
      </c>
      <c r="B7" s="65" t="s">
        <v>59</v>
      </c>
      <c r="C7" s="65" t="s">
        <v>15</v>
      </c>
      <c r="D7" s="61">
        <v>4240</v>
      </c>
      <c r="E7" s="61">
        <v>261</v>
      </c>
      <c r="F7" s="57">
        <v>16.245210727969347</v>
      </c>
      <c r="G7" s="61">
        <v>3</v>
      </c>
      <c r="H7" s="61">
        <v>1</v>
      </c>
      <c r="I7" s="61"/>
      <c r="J7" s="61"/>
      <c r="K7" s="61"/>
      <c r="L7" s="61">
        <v>9</v>
      </c>
      <c r="M7" s="57">
        <v>5</v>
      </c>
    </row>
    <row r="8" spans="1:13" x14ac:dyDescent="0.3">
      <c r="A8" s="68">
        <v>7</v>
      </c>
      <c r="B8" s="63" t="s">
        <v>31</v>
      </c>
      <c r="C8" s="63" t="s">
        <v>60</v>
      </c>
      <c r="D8" s="60">
        <v>4180</v>
      </c>
      <c r="E8" s="61">
        <v>270</v>
      </c>
      <c r="F8" s="62">
        <v>15.481481481481481</v>
      </c>
      <c r="G8" s="61">
        <v>3</v>
      </c>
      <c r="H8" s="60">
        <v>3</v>
      </c>
      <c r="I8" s="59"/>
      <c r="J8" s="59"/>
      <c r="K8" s="59"/>
      <c r="L8" s="67">
        <v>12</v>
      </c>
      <c r="M8" s="57"/>
    </row>
    <row r="9" spans="1:13" x14ac:dyDescent="0.3">
      <c r="A9" s="68">
        <v>8</v>
      </c>
      <c r="B9" s="63" t="s">
        <v>32</v>
      </c>
      <c r="C9" s="63" t="s">
        <v>60</v>
      </c>
      <c r="D9" s="60">
        <v>4179</v>
      </c>
      <c r="E9" s="61">
        <v>276</v>
      </c>
      <c r="F9" s="62">
        <v>15.141304347826088</v>
      </c>
      <c r="G9" s="61">
        <v>3</v>
      </c>
      <c r="H9" s="60">
        <v>1</v>
      </c>
      <c r="I9" s="59"/>
      <c r="J9" s="59"/>
      <c r="K9" s="59"/>
      <c r="L9" s="67">
        <v>7.5</v>
      </c>
      <c r="M9" s="57"/>
    </row>
    <row r="10" spans="1:13" x14ac:dyDescent="0.3">
      <c r="A10" s="68">
        <v>9</v>
      </c>
      <c r="B10" s="63" t="s">
        <v>12</v>
      </c>
      <c r="C10" s="63" t="s">
        <v>60</v>
      </c>
      <c r="D10" s="60">
        <v>2996</v>
      </c>
      <c r="E10" s="61">
        <v>199</v>
      </c>
      <c r="F10" s="62">
        <v>15.055276381909549</v>
      </c>
      <c r="G10" s="61">
        <v>2</v>
      </c>
      <c r="H10" s="60">
        <v>2</v>
      </c>
      <c r="I10" s="59"/>
      <c r="J10" s="59"/>
      <c r="K10" s="59"/>
      <c r="L10" s="58">
        <v>8</v>
      </c>
      <c r="M10" s="57"/>
    </row>
    <row r="11" spans="1:13" x14ac:dyDescent="0.3">
      <c r="A11" s="68">
        <v>10</v>
      </c>
      <c r="B11" s="63" t="s">
        <v>53</v>
      </c>
      <c r="C11" s="63" t="s">
        <v>54</v>
      </c>
      <c r="D11" s="60">
        <v>3962</v>
      </c>
      <c r="E11" s="61">
        <v>264</v>
      </c>
      <c r="F11" s="62">
        <v>15.007575757575758</v>
      </c>
      <c r="G11" s="61">
        <v>3</v>
      </c>
      <c r="H11" s="60">
        <v>1</v>
      </c>
      <c r="I11" s="59"/>
      <c r="J11" s="59"/>
      <c r="K11" s="59"/>
      <c r="L11" s="58">
        <v>4</v>
      </c>
      <c r="M11" s="57"/>
    </row>
    <row r="12" spans="1:13" x14ac:dyDescent="0.3">
      <c r="A12" s="68">
        <v>11</v>
      </c>
      <c r="B12" s="61" t="s">
        <v>25</v>
      </c>
      <c r="C12" s="63" t="s">
        <v>10</v>
      </c>
      <c r="D12" s="60">
        <v>4307</v>
      </c>
      <c r="E12" s="61">
        <v>287</v>
      </c>
      <c r="F12" s="62">
        <v>15.006968641114982</v>
      </c>
      <c r="G12" s="61">
        <v>3</v>
      </c>
      <c r="H12" s="60">
        <v>2</v>
      </c>
      <c r="I12" s="59"/>
      <c r="J12" s="59"/>
      <c r="K12" s="59"/>
      <c r="L12" s="67">
        <v>12</v>
      </c>
      <c r="M12" s="57"/>
    </row>
    <row r="13" spans="1:13" x14ac:dyDescent="0.3">
      <c r="A13" s="68">
        <v>12</v>
      </c>
      <c r="B13" s="63" t="s">
        <v>19</v>
      </c>
      <c r="C13" s="63" t="s">
        <v>20</v>
      </c>
      <c r="D13" s="60">
        <v>4014</v>
      </c>
      <c r="E13" s="61">
        <v>269</v>
      </c>
      <c r="F13" s="62">
        <v>14.921933085501859</v>
      </c>
      <c r="G13" s="61">
        <v>3</v>
      </c>
      <c r="H13" s="60">
        <v>2</v>
      </c>
      <c r="I13" s="59"/>
      <c r="J13" s="59"/>
      <c r="K13" s="59"/>
      <c r="L13" s="67">
        <v>7.5</v>
      </c>
      <c r="M13" s="57">
        <v>5</v>
      </c>
    </row>
    <row r="14" spans="1:13" x14ac:dyDescent="0.3">
      <c r="A14" s="68">
        <v>13</v>
      </c>
      <c r="B14" s="63" t="s">
        <v>13</v>
      </c>
      <c r="C14" s="63" t="s">
        <v>8</v>
      </c>
      <c r="D14" s="60">
        <v>4458</v>
      </c>
      <c r="E14" s="61">
        <v>305</v>
      </c>
      <c r="F14" s="62">
        <v>14.61639344262295</v>
      </c>
      <c r="G14" s="61">
        <v>3</v>
      </c>
      <c r="H14" s="60">
        <v>2</v>
      </c>
      <c r="I14" s="59"/>
      <c r="J14" s="59"/>
      <c r="K14" s="59"/>
      <c r="L14" s="67">
        <v>11.5</v>
      </c>
      <c r="M14" s="57"/>
    </row>
    <row r="15" spans="1:13" x14ac:dyDescent="0.3">
      <c r="A15" s="68">
        <v>14</v>
      </c>
      <c r="B15" s="61" t="s">
        <v>24</v>
      </c>
      <c r="C15" s="63" t="s">
        <v>15</v>
      </c>
      <c r="D15" s="60">
        <v>4314</v>
      </c>
      <c r="E15" s="61">
        <v>296</v>
      </c>
      <c r="F15" s="62">
        <v>14.574324324324325</v>
      </c>
      <c r="G15" s="61">
        <v>3</v>
      </c>
      <c r="H15" s="60">
        <v>2</v>
      </c>
      <c r="I15" s="59"/>
      <c r="J15" s="59"/>
      <c r="K15" s="59"/>
      <c r="L15" s="58">
        <v>9</v>
      </c>
      <c r="M15" s="57">
        <v>5</v>
      </c>
    </row>
    <row r="16" spans="1:13" x14ac:dyDescent="0.3">
      <c r="A16" s="68">
        <v>15</v>
      </c>
      <c r="B16" s="63" t="s">
        <v>83</v>
      </c>
      <c r="C16" s="63" t="s">
        <v>20</v>
      </c>
      <c r="D16" s="60">
        <v>1491</v>
      </c>
      <c r="E16" s="61">
        <v>103</v>
      </c>
      <c r="F16" s="62">
        <v>14.475728155339805</v>
      </c>
      <c r="G16" s="61">
        <v>1</v>
      </c>
      <c r="H16" s="60">
        <v>1</v>
      </c>
      <c r="I16" s="59"/>
      <c r="J16" s="59"/>
      <c r="K16" s="59"/>
      <c r="L16" s="67">
        <v>3</v>
      </c>
      <c r="M16" s="57"/>
    </row>
    <row r="17" spans="1:13" x14ac:dyDescent="0.3">
      <c r="A17" s="68">
        <v>16</v>
      </c>
      <c r="B17" s="63" t="s">
        <v>23</v>
      </c>
      <c r="C17" s="63" t="s">
        <v>20</v>
      </c>
      <c r="D17" s="60">
        <v>4015</v>
      </c>
      <c r="E17" s="61">
        <v>279</v>
      </c>
      <c r="F17" s="62">
        <v>14.390681003584229</v>
      </c>
      <c r="G17" s="61">
        <v>3</v>
      </c>
      <c r="H17" s="60">
        <v>0</v>
      </c>
      <c r="I17" s="59">
        <v>1</v>
      </c>
      <c r="J17" s="59"/>
      <c r="K17" s="59"/>
      <c r="L17" s="67">
        <v>3</v>
      </c>
      <c r="M17" s="57">
        <v>10</v>
      </c>
    </row>
    <row r="18" spans="1:13" x14ac:dyDescent="0.3">
      <c r="A18" s="68">
        <v>17</v>
      </c>
      <c r="B18" s="65" t="s">
        <v>82</v>
      </c>
      <c r="C18" s="65" t="s">
        <v>15</v>
      </c>
      <c r="D18" s="61">
        <v>1503</v>
      </c>
      <c r="E18" s="61">
        <v>105</v>
      </c>
      <c r="F18" s="61">
        <v>14.314285714285715</v>
      </c>
      <c r="G18" s="61">
        <v>1</v>
      </c>
      <c r="H18" s="61">
        <v>1</v>
      </c>
      <c r="I18" s="61"/>
      <c r="J18" s="61"/>
      <c r="K18" s="61"/>
      <c r="L18" s="61">
        <v>3.5</v>
      </c>
      <c r="M18" s="57"/>
    </row>
    <row r="19" spans="1:13" x14ac:dyDescent="0.3">
      <c r="A19" s="68">
        <v>18</v>
      </c>
      <c r="B19" s="73" t="s">
        <v>22</v>
      </c>
      <c r="C19" s="63" t="s">
        <v>17</v>
      </c>
      <c r="D19" s="60">
        <v>4417</v>
      </c>
      <c r="E19" s="61">
        <v>313</v>
      </c>
      <c r="F19" s="62">
        <v>14.111821086261982</v>
      </c>
      <c r="G19" s="61">
        <v>3</v>
      </c>
      <c r="H19" s="60">
        <v>2</v>
      </c>
      <c r="I19" s="59"/>
      <c r="J19" s="59"/>
      <c r="K19" s="59"/>
      <c r="L19" s="67">
        <v>13</v>
      </c>
      <c r="M19" s="57"/>
    </row>
    <row r="20" spans="1:13" x14ac:dyDescent="0.3">
      <c r="A20" s="68">
        <v>19</v>
      </c>
      <c r="B20" s="61" t="s">
        <v>21</v>
      </c>
      <c r="C20" s="63" t="s">
        <v>17</v>
      </c>
      <c r="D20" s="60">
        <v>3916</v>
      </c>
      <c r="E20" s="61">
        <v>279</v>
      </c>
      <c r="F20" s="62">
        <v>14.035842293906811</v>
      </c>
      <c r="G20" s="61">
        <v>3</v>
      </c>
      <c r="H20" s="60">
        <v>0</v>
      </c>
      <c r="I20" s="59"/>
      <c r="J20" s="59"/>
      <c r="K20" s="59"/>
      <c r="L20" s="67">
        <v>8.5</v>
      </c>
      <c r="M20" s="57"/>
    </row>
    <row r="21" spans="1:13" x14ac:dyDescent="0.3">
      <c r="A21" s="68">
        <v>20</v>
      </c>
      <c r="B21" s="65" t="s">
        <v>81</v>
      </c>
      <c r="C21" s="65" t="s">
        <v>8</v>
      </c>
      <c r="D21" s="60">
        <v>1456</v>
      </c>
      <c r="E21" s="61">
        <v>107</v>
      </c>
      <c r="F21" s="62">
        <v>13.607476635514018</v>
      </c>
      <c r="G21" s="61">
        <v>1</v>
      </c>
      <c r="H21" s="60">
        <v>1</v>
      </c>
      <c r="I21" s="59"/>
      <c r="J21" s="59"/>
      <c r="K21" s="59"/>
      <c r="L21" s="67">
        <v>3</v>
      </c>
      <c r="M21" s="57"/>
    </row>
    <row r="22" spans="1:13" x14ac:dyDescent="0.3">
      <c r="A22" s="68">
        <v>21</v>
      </c>
      <c r="B22" s="65" t="s">
        <v>29</v>
      </c>
      <c r="C22" s="63" t="s">
        <v>17</v>
      </c>
      <c r="D22" s="60">
        <v>2825</v>
      </c>
      <c r="E22" s="61">
        <v>212</v>
      </c>
      <c r="F22" s="62">
        <v>13.325471698113208</v>
      </c>
      <c r="G22" s="61">
        <v>2</v>
      </c>
      <c r="H22" s="60">
        <v>0</v>
      </c>
      <c r="I22" s="59"/>
      <c r="J22" s="59"/>
      <c r="K22" s="59"/>
      <c r="L22" s="67">
        <v>5.5</v>
      </c>
      <c r="M22" s="57"/>
    </row>
    <row r="23" spans="1:13" x14ac:dyDescent="0.3">
      <c r="A23" s="68">
        <v>22</v>
      </c>
      <c r="B23" s="63" t="s">
        <v>56</v>
      </c>
      <c r="C23" s="63" t="s">
        <v>54</v>
      </c>
      <c r="D23" s="60">
        <v>4033</v>
      </c>
      <c r="E23" s="61">
        <v>304</v>
      </c>
      <c r="F23" s="62">
        <v>13.266447368421053</v>
      </c>
      <c r="G23" s="61">
        <v>3</v>
      </c>
      <c r="H23" s="60">
        <v>0</v>
      </c>
      <c r="I23" s="59"/>
      <c r="J23" s="59"/>
      <c r="K23" s="59"/>
      <c r="L23" s="58">
        <v>3</v>
      </c>
      <c r="M23" s="57"/>
    </row>
    <row r="24" spans="1:13" x14ac:dyDescent="0.3">
      <c r="A24" s="68">
        <v>23</v>
      </c>
      <c r="B24" s="63" t="s">
        <v>94</v>
      </c>
      <c r="C24" s="63" t="s">
        <v>10</v>
      </c>
      <c r="D24" s="60">
        <v>1503</v>
      </c>
      <c r="E24" s="61">
        <v>114</v>
      </c>
      <c r="F24" s="62">
        <v>13.184210526315789</v>
      </c>
      <c r="G24" s="61">
        <v>1</v>
      </c>
      <c r="H24" s="60">
        <v>1</v>
      </c>
      <c r="I24" s="59"/>
      <c r="J24" s="59"/>
      <c r="K24" s="59"/>
      <c r="L24" s="58">
        <v>4.5</v>
      </c>
      <c r="M24" s="57"/>
    </row>
    <row r="25" spans="1:13" x14ac:dyDescent="0.3">
      <c r="A25" s="68">
        <v>24</v>
      </c>
      <c r="B25" s="63" t="s">
        <v>50</v>
      </c>
      <c r="C25" s="63" t="s">
        <v>60</v>
      </c>
      <c r="D25" s="60">
        <v>1462</v>
      </c>
      <c r="E25" s="61">
        <v>111</v>
      </c>
      <c r="F25" s="62">
        <v>13.171171171171171</v>
      </c>
      <c r="G25" s="61">
        <v>1</v>
      </c>
      <c r="H25" s="60">
        <v>1</v>
      </c>
      <c r="I25" s="59"/>
      <c r="J25" s="59"/>
      <c r="K25" s="59"/>
      <c r="L25" s="58">
        <v>4</v>
      </c>
      <c r="M25" s="57"/>
    </row>
    <row r="26" spans="1:13" x14ac:dyDescent="0.3">
      <c r="A26" s="68">
        <v>25</v>
      </c>
      <c r="B26" s="63" t="s">
        <v>14</v>
      </c>
      <c r="C26" s="63" t="s">
        <v>15</v>
      </c>
      <c r="D26" s="60">
        <v>4418</v>
      </c>
      <c r="E26" s="61">
        <v>337</v>
      </c>
      <c r="F26" s="62">
        <v>13.109792284866469</v>
      </c>
      <c r="G26" s="61">
        <v>3</v>
      </c>
      <c r="H26" s="60">
        <v>2</v>
      </c>
      <c r="I26" s="59"/>
      <c r="J26" s="59"/>
      <c r="K26" s="59"/>
      <c r="L26" s="67">
        <v>9.5</v>
      </c>
      <c r="M26" s="57"/>
    </row>
    <row r="27" spans="1:13" x14ac:dyDescent="0.3">
      <c r="A27" s="68">
        <v>26</v>
      </c>
      <c r="B27" s="63" t="s">
        <v>93</v>
      </c>
      <c r="C27" s="63" t="s">
        <v>15</v>
      </c>
      <c r="D27" s="60">
        <v>1208</v>
      </c>
      <c r="E27" s="61">
        <v>93</v>
      </c>
      <c r="F27" s="62">
        <v>12.989247311827956</v>
      </c>
      <c r="G27" s="61">
        <v>1</v>
      </c>
      <c r="H27" s="60">
        <v>0</v>
      </c>
      <c r="I27" s="59"/>
      <c r="J27" s="59"/>
      <c r="K27" s="59"/>
      <c r="L27" s="58">
        <v>0.5</v>
      </c>
      <c r="M27" s="57"/>
    </row>
    <row r="28" spans="1:13" x14ac:dyDescent="0.3">
      <c r="A28" s="68">
        <v>27</v>
      </c>
      <c r="B28" s="63" t="s">
        <v>18</v>
      </c>
      <c r="C28" s="63" t="s">
        <v>8</v>
      </c>
      <c r="D28" s="60">
        <v>2974</v>
      </c>
      <c r="E28" s="61">
        <v>230</v>
      </c>
      <c r="F28" s="62">
        <v>12.930434782608696</v>
      </c>
      <c r="G28" s="61">
        <v>2</v>
      </c>
      <c r="H28" s="60">
        <v>2</v>
      </c>
      <c r="I28" s="59"/>
      <c r="J28" s="59"/>
      <c r="K28" s="59"/>
      <c r="L28" s="58">
        <v>10.5</v>
      </c>
      <c r="M28" s="57"/>
    </row>
    <row r="29" spans="1:13" x14ac:dyDescent="0.3">
      <c r="A29" s="68">
        <v>29</v>
      </c>
      <c r="B29" s="63" t="s">
        <v>28</v>
      </c>
      <c r="C29" s="63" t="s">
        <v>6</v>
      </c>
      <c r="D29" s="60">
        <v>2923</v>
      </c>
      <c r="E29" s="61">
        <v>232</v>
      </c>
      <c r="F29" s="62">
        <v>12.599137931034482</v>
      </c>
      <c r="G29" s="61">
        <v>2</v>
      </c>
      <c r="H29" s="60">
        <v>0</v>
      </c>
      <c r="I29" s="59">
        <v>1</v>
      </c>
      <c r="J29" s="59"/>
      <c r="K29" s="59"/>
      <c r="L29" s="58">
        <v>4.5</v>
      </c>
      <c r="M29" s="57">
        <v>10</v>
      </c>
    </row>
    <row r="30" spans="1:13" x14ac:dyDescent="0.3">
      <c r="A30" s="68">
        <v>29</v>
      </c>
      <c r="B30" s="65" t="s">
        <v>57</v>
      </c>
      <c r="C30" s="65" t="s">
        <v>15</v>
      </c>
      <c r="D30" s="61">
        <v>1259</v>
      </c>
      <c r="E30" s="61">
        <v>102</v>
      </c>
      <c r="F30" s="61">
        <v>12.343137254901961</v>
      </c>
      <c r="G30" s="61">
        <v>1</v>
      </c>
      <c r="H30" s="61">
        <v>0</v>
      </c>
      <c r="I30" s="61"/>
      <c r="J30" s="61"/>
      <c r="K30" s="61"/>
      <c r="L30" s="61">
        <v>1</v>
      </c>
      <c r="M30" s="61"/>
    </row>
    <row r="31" spans="1:13" x14ac:dyDescent="0.3">
      <c r="A31" s="66">
        <v>30</v>
      </c>
      <c r="B31" s="63" t="s">
        <v>92</v>
      </c>
      <c r="C31" s="63" t="s">
        <v>60</v>
      </c>
      <c r="D31" s="60">
        <v>1340</v>
      </c>
      <c r="E31" s="61">
        <v>111</v>
      </c>
      <c r="F31" s="62">
        <v>12.072072072072071</v>
      </c>
      <c r="G31" s="61">
        <v>1</v>
      </c>
      <c r="H31" s="60">
        <v>0</v>
      </c>
      <c r="I31" s="59"/>
      <c r="J31" s="59"/>
      <c r="K31" s="59"/>
      <c r="L31" s="58">
        <v>1</v>
      </c>
      <c r="M31" s="57"/>
    </row>
    <row r="32" spans="1:13" x14ac:dyDescent="0.3">
      <c r="A32" s="66">
        <v>31</v>
      </c>
      <c r="B32" s="65" t="s">
        <v>80</v>
      </c>
      <c r="C32" s="65" t="s">
        <v>17</v>
      </c>
      <c r="D32" s="60">
        <v>1503</v>
      </c>
      <c r="E32" s="61">
        <v>125</v>
      </c>
      <c r="F32" s="62">
        <v>12.023999999999999</v>
      </c>
      <c r="G32" s="61">
        <v>1</v>
      </c>
      <c r="H32" s="60">
        <v>1</v>
      </c>
      <c r="I32" s="59"/>
      <c r="J32" s="59"/>
      <c r="K32" s="59"/>
      <c r="L32" s="67">
        <v>5</v>
      </c>
      <c r="M32" s="57"/>
    </row>
    <row r="33" spans="1:13" x14ac:dyDescent="0.3">
      <c r="A33" s="66">
        <v>32</v>
      </c>
      <c r="B33" s="63" t="s">
        <v>52</v>
      </c>
      <c r="C33" s="63" t="s">
        <v>20</v>
      </c>
      <c r="D33" s="60">
        <v>4464</v>
      </c>
      <c r="E33" s="61">
        <v>372</v>
      </c>
      <c r="F33" s="62">
        <v>12</v>
      </c>
      <c r="G33" s="61">
        <v>3</v>
      </c>
      <c r="H33" s="60">
        <v>2</v>
      </c>
      <c r="I33" s="59"/>
      <c r="J33" s="59"/>
      <c r="K33" s="59"/>
      <c r="L33" s="58">
        <v>9.5</v>
      </c>
      <c r="M33" s="57"/>
    </row>
    <row r="34" spans="1:13" x14ac:dyDescent="0.3">
      <c r="A34" s="66">
        <v>33</v>
      </c>
      <c r="B34" s="63" t="s">
        <v>91</v>
      </c>
      <c r="C34" s="63" t="s">
        <v>6</v>
      </c>
      <c r="D34" s="60">
        <v>1496</v>
      </c>
      <c r="E34" s="61">
        <v>127</v>
      </c>
      <c r="F34" s="62">
        <v>11.779527559055119</v>
      </c>
      <c r="G34" s="61">
        <v>1</v>
      </c>
      <c r="H34" s="60">
        <v>1</v>
      </c>
      <c r="I34" s="59"/>
      <c r="J34" s="59"/>
      <c r="K34" s="59"/>
      <c r="L34" s="58">
        <v>4.5</v>
      </c>
      <c r="M34" s="57"/>
    </row>
    <row r="35" spans="1:13" x14ac:dyDescent="0.3">
      <c r="A35" s="66">
        <v>34</v>
      </c>
      <c r="B35" s="61" t="s">
        <v>27</v>
      </c>
      <c r="C35" s="63" t="s">
        <v>10</v>
      </c>
      <c r="D35" s="60">
        <v>4296</v>
      </c>
      <c r="E35" s="61">
        <v>372</v>
      </c>
      <c r="F35" s="62">
        <v>11.548387096774194</v>
      </c>
      <c r="G35" s="61">
        <v>3</v>
      </c>
      <c r="H35" s="60">
        <v>2</v>
      </c>
      <c r="I35" s="59"/>
      <c r="J35" s="59"/>
      <c r="K35" s="59"/>
      <c r="L35" s="67">
        <v>12</v>
      </c>
      <c r="M35" s="57">
        <v>5</v>
      </c>
    </row>
    <row r="36" spans="1:13" x14ac:dyDescent="0.3">
      <c r="A36" s="66">
        <v>35</v>
      </c>
      <c r="B36" s="63" t="s">
        <v>55</v>
      </c>
      <c r="C36" s="63" t="s">
        <v>54</v>
      </c>
      <c r="D36" s="60">
        <v>4065</v>
      </c>
      <c r="E36" s="61">
        <v>355</v>
      </c>
      <c r="F36" s="62">
        <v>11.450704225352112</v>
      </c>
      <c r="G36" s="61">
        <v>3</v>
      </c>
      <c r="H36" s="60">
        <v>1</v>
      </c>
      <c r="I36" s="59"/>
      <c r="J36" s="59"/>
      <c r="K36" s="59"/>
      <c r="L36" s="58">
        <v>7.5</v>
      </c>
      <c r="M36" s="57"/>
    </row>
    <row r="37" spans="1:13" x14ac:dyDescent="0.3">
      <c r="A37" s="66">
        <v>36</v>
      </c>
      <c r="B37" s="63" t="s">
        <v>51</v>
      </c>
      <c r="C37" s="63" t="s">
        <v>20</v>
      </c>
      <c r="D37" s="60">
        <v>2846</v>
      </c>
      <c r="E37" s="61">
        <v>250</v>
      </c>
      <c r="F37" s="62">
        <v>11.384</v>
      </c>
      <c r="G37" s="61">
        <v>2</v>
      </c>
      <c r="H37" s="60">
        <v>0</v>
      </c>
      <c r="I37" s="59"/>
      <c r="J37" s="59"/>
      <c r="K37" s="59"/>
      <c r="L37" s="58">
        <v>3</v>
      </c>
      <c r="M37" s="57"/>
    </row>
    <row r="38" spans="1:13" x14ac:dyDescent="0.3">
      <c r="A38" s="64">
        <v>37</v>
      </c>
      <c r="B38" s="63" t="s">
        <v>61</v>
      </c>
      <c r="C38" s="63" t="s">
        <v>6</v>
      </c>
      <c r="D38" s="60">
        <v>4453</v>
      </c>
      <c r="E38" s="61">
        <v>394</v>
      </c>
      <c r="F38" s="62">
        <v>11.302030456852792</v>
      </c>
      <c r="G38" s="61">
        <v>3</v>
      </c>
      <c r="H38" s="60">
        <v>2</v>
      </c>
      <c r="I38" s="59"/>
      <c r="J38" s="59"/>
      <c r="K38" s="59"/>
      <c r="L38" s="58">
        <v>10</v>
      </c>
      <c r="M38" s="57">
        <v>5</v>
      </c>
    </row>
    <row r="39" spans="1:13" x14ac:dyDescent="0.3">
      <c r="A39" s="64">
        <v>38</v>
      </c>
      <c r="B39" s="63" t="s">
        <v>26</v>
      </c>
      <c r="C39" s="63" t="s">
        <v>10</v>
      </c>
      <c r="D39" s="60">
        <v>2859</v>
      </c>
      <c r="E39" s="61">
        <v>255</v>
      </c>
      <c r="F39" s="62">
        <v>11.211764705882352</v>
      </c>
      <c r="G39" s="61">
        <v>2</v>
      </c>
      <c r="H39" s="60">
        <v>0</v>
      </c>
      <c r="I39" s="59"/>
      <c r="J39" s="59"/>
      <c r="K39" s="59"/>
      <c r="L39" s="67">
        <v>4.5</v>
      </c>
      <c r="M39" s="57"/>
    </row>
    <row r="40" spans="1:13" x14ac:dyDescent="0.3">
      <c r="A40" s="64">
        <v>39</v>
      </c>
      <c r="B40" s="65" t="s">
        <v>58</v>
      </c>
      <c r="C40" s="65" t="s">
        <v>54</v>
      </c>
      <c r="D40" s="61">
        <v>4183</v>
      </c>
      <c r="E40" s="61">
        <v>385</v>
      </c>
      <c r="F40" s="57">
        <v>10.864935064935064</v>
      </c>
      <c r="G40" s="61">
        <v>3</v>
      </c>
      <c r="H40" s="61">
        <v>1</v>
      </c>
      <c r="I40" s="61"/>
      <c r="J40" s="61"/>
      <c r="K40" s="61"/>
      <c r="L40" s="61">
        <v>7.5</v>
      </c>
      <c r="M40" s="61"/>
    </row>
    <row r="41" spans="1:13" x14ac:dyDescent="0.3">
      <c r="A41" s="64">
        <v>40</v>
      </c>
      <c r="B41" s="65" t="s">
        <v>79</v>
      </c>
      <c r="C41" s="65" t="s">
        <v>60</v>
      </c>
      <c r="D41" s="60">
        <v>2822</v>
      </c>
      <c r="E41" s="61">
        <v>261</v>
      </c>
      <c r="F41" s="62">
        <v>10.812260536398467</v>
      </c>
      <c r="G41" s="61">
        <v>2</v>
      </c>
      <c r="H41" s="60">
        <v>0</v>
      </c>
      <c r="I41" s="59"/>
      <c r="J41" s="59"/>
      <c r="K41" s="59"/>
      <c r="L41" s="67">
        <v>2.5</v>
      </c>
      <c r="M41" s="57"/>
    </row>
    <row r="42" spans="1:13" x14ac:dyDescent="0.3">
      <c r="A42" s="64">
        <v>41</v>
      </c>
      <c r="B42" s="63" t="s">
        <v>30</v>
      </c>
      <c r="C42" s="63" t="s">
        <v>8</v>
      </c>
      <c r="D42" s="60">
        <v>4393</v>
      </c>
      <c r="E42" s="61">
        <v>432</v>
      </c>
      <c r="F42" s="62">
        <v>10.168981481481481</v>
      </c>
      <c r="G42" s="61">
        <v>3</v>
      </c>
      <c r="H42" s="60">
        <v>1</v>
      </c>
      <c r="I42" s="59"/>
      <c r="J42" s="59"/>
      <c r="K42" s="59"/>
      <c r="L42" s="58">
        <v>7</v>
      </c>
      <c r="M42" s="57"/>
    </row>
    <row r="43" spans="1:13" ht="19.5" thickBot="1" x14ac:dyDescent="0.35">
      <c r="A43" s="51"/>
      <c r="M43" s="40"/>
    </row>
    <row r="44" spans="1:13" ht="19.5" thickBot="1" x14ac:dyDescent="0.35">
      <c r="A44" s="51"/>
      <c r="B44" s="56" t="s">
        <v>90</v>
      </c>
      <c r="C44" s="55" t="s">
        <v>33</v>
      </c>
      <c r="D44" s="54" t="s">
        <v>34</v>
      </c>
      <c r="E44" s="54" t="s">
        <v>35</v>
      </c>
      <c r="F44" s="54" t="s">
        <v>36</v>
      </c>
      <c r="G44" s="54"/>
      <c r="H44" s="54"/>
      <c r="I44" s="53"/>
      <c r="M44" s="40"/>
    </row>
    <row r="45" spans="1:13" x14ac:dyDescent="0.3">
      <c r="A45" s="51"/>
      <c r="B45" s="46"/>
      <c r="C45" s="43" t="s">
        <v>39</v>
      </c>
      <c r="D45" s="43">
        <v>3</v>
      </c>
      <c r="E45" s="39">
        <v>0</v>
      </c>
      <c r="F45" s="52">
        <v>46</v>
      </c>
      <c r="H45" s="49" t="s">
        <v>38</v>
      </c>
      <c r="I45" s="48" t="s">
        <v>89</v>
      </c>
      <c r="K45" s="48"/>
      <c r="M45" s="40"/>
    </row>
    <row r="46" spans="1:13" x14ac:dyDescent="0.3">
      <c r="A46" s="51"/>
      <c r="B46" s="46"/>
      <c r="C46" s="43" t="s">
        <v>37</v>
      </c>
      <c r="D46" s="43">
        <v>3</v>
      </c>
      <c r="E46" s="52">
        <v>0</v>
      </c>
      <c r="F46" s="52">
        <v>45</v>
      </c>
      <c r="H46" s="49" t="s">
        <v>40</v>
      </c>
      <c r="I46" s="48" t="s">
        <v>88</v>
      </c>
      <c r="K46" s="47"/>
      <c r="M46" s="40"/>
    </row>
    <row r="47" spans="1:13" x14ac:dyDescent="0.3">
      <c r="A47" s="51"/>
      <c r="B47" s="46"/>
      <c r="C47" s="43" t="s">
        <v>42</v>
      </c>
      <c r="D47" s="43">
        <v>2</v>
      </c>
      <c r="E47" s="39">
        <v>1</v>
      </c>
      <c r="F47" s="45">
        <v>41</v>
      </c>
      <c r="H47" s="49" t="s">
        <v>41</v>
      </c>
      <c r="I47" s="48" t="s">
        <v>86</v>
      </c>
      <c r="K47" s="48"/>
      <c r="M47" s="40"/>
    </row>
    <row r="48" spans="1:13" x14ac:dyDescent="0.3">
      <c r="B48" s="46"/>
      <c r="C48" s="43" t="s">
        <v>47</v>
      </c>
      <c r="D48" s="43">
        <v>2</v>
      </c>
      <c r="E48" s="39">
        <v>1</v>
      </c>
      <c r="F48" s="45">
        <v>41</v>
      </c>
      <c r="H48" s="49" t="s">
        <v>43</v>
      </c>
      <c r="I48" s="48" t="s">
        <v>87</v>
      </c>
      <c r="K48" s="47"/>
      <c r="M48" s="40"/>
    </row>
    <row r="49" spans="2:13" x14ac:dyDescent="0.3">
      <c r="B49" s="46"/>
      <c r="C49" s="43" t="s">
        <v>63</v>
      </c>
      <c r="D49" s="43">
        <v>1</v>
      </c>
      <c r="E49" s="50">
        <v>2</v>
      </c>
      <c r="F49" s="50">
        <v>35</v>
      </c>
      <c r="H49" s="49" t="s">
        <v>45</v>
      </c>
      <c r="I49" s="48" t="s">
        <v>86</v>
      </c>
      <c r="K49" s="47"/>
      <c r="M49" s="40"/>
    </row>
    <row r="50" spans="2:13" x14ac:dyDescent="0.3">
      <c r="B50" s="46"/>
      <c r="C50" s="43" t="s">
        <v>44</v>
      </c>
      <c r="D50" s="43">
        <v>1</v>
      </c>
      <c r="E50" s="42">
        <v>2</v>
      </c>
      <c r="F50" s="41">
        <v>34</v>
      </c>
      <c r="H50" s="49" t="s">
        <v>46</v>
      </c>
      <c r="I50" s="48" t="s">
        <v>74</v>
      </c>
      <c r="K50" s="47"/>
      <c r="M50" s="40"/>
    </row>
    <row r="51" spans="2:13" x14ac:dyDescent="0.3">
      <c r="B51" s="46"/>
      <c r="C51" s="43" t="s">
        <v>48</v>
      </c>
      <c r="D51" s="43">
        <v>0</v>
      </c>
      <c r="E51" s="39">
        <v>3</v>
      </c>
      <c r="F51" s="45">
        <v>26</v>
      </c>
      <c r="M51" s="40"/>
    </row>
    <row r="52" spans="2:13" ht="19.5" thickBot="1" x14ac:dyDescent="0.35">
      <c r="B52" s="44"/>
      <c r="C52" s="43" t="s">
        <v>49</v>
      </c>
      <c r="D52" s="43">
        <v>0</v>
      </c>
      <c r="E52" s="42">
        <v>3</v>
      </c>
      <c r="F52" s="41">
        <v>21</v>
      </c>
      <c r="M52" s="40"/>
    </row>
  </sheetData>
  <mergeCells count="1">
    <mergeCell ref="B44:B52"/>
  </mergeCells>
  <pageMargins left="0.7" right="0.7" top="0.75" bottom="0.75" header="0.3" footer="0.3"/>
  <pageSetup paperSize="1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I53" sqref="I53"/>
    </sheetView>
  </sheetViews>
  <sheetFormatPr defaultRowHeight="15.75" x14ac:dyDescent="0.25"/>
  <cols>
    <col min="1" max="1" width="5.42578125" style="74" bestFit="1" customWidth="1"/>
    <col min="2" max="2" width="22" style="74" bestFit="1" customWidth="1"/>
    <col min="3" max="3" width="31.140625" style="74" bestFit="1" customWidth="1"/>
    <col min="4" max="4" width="7.7109375" style="74" bestFit="1" customWidth="1"/>
    <col min="5" max="5" width="7.42578125" style="74" bestFit="1" customWidth="1"/>
    <col min="6" max="6" width="18.7109375" style="74" bestFit="1" customWidth="1"/>
    <col min="7" max="7" width="7.5703125" style="74" bestFit="1" customWidth="1"/>
    <col min="8" max="8" width="30.140625" style="74" bestFit="1" customWidth="1"/>
    <col min="9" max="9" width="36.5703125" style="74" bestFit="1" customWidth="1"/>
    <col min="10" max="10" width="5.140625" style="74" bestFit="1" customWidth="1"/>
    <col min="11" max="11" width="5.28515625" style="74" bestFit="1" customWidth="1"/>
    <col min="12" max="12" width="7.140625" style="74" bestFit="1" customWidth="1"/>
    <col min="13" max="13" width="6.140625" style="74" bestFit="1" customWidth="1"/>
    <col min="14" max="16384" width="9.140625" style="74"/>
  </cols>
  <sheetData>
    <row r="1" spans="1:13" ht="63.75" x14ac:dyDescent="0.25">
      <c r="A1" s="90" t="s">
        <v>68</v>
      </c>
      <c r="B1" s="90" t="s">
        <v>0</v>
      </c>
      <c r="C1" s="90" t="s">
        <v>1</v>
      </c>
      <c r="D1" s="90" t="s">
        <v>2</v>
      </c>
      <c r="E1" s="90" t="s">
        <v>3</v>
      </c>
      <c r="F1" s="89" t="s">
        <v>72</v>
      </c>
      <c r="G1" s="90" t="s">
        <v>69</v>
      </c>
      <c r="H1" s="90" t="s">
        <v>70</v>
      </c>
      <c r="I1" s="90">
        <v>180</v>
      </c>
      <c r="J1" s="90">
        <v>171</v>
      </c>
      <c r="K1" s="90" t="s">
        <v>4</v>
      </c>
      <c r="L1" s="89" t="s">
        <v>85</v>
      </c>
      <c r="M1" s="89" t="s">
        <v>84</v>
      </c>
    </row>
    <row r="2" spans="1:13" x14ac:dyDescent="0.25">
      <c r="A2" s="85">
        <v>1</v>
      </c>
      <c r="B2" s="87" t="s">
        <v>5</v>
      </c>
      <c r="C2" s="87" t="s">
        <v>6</v>
      </c>
      <c r="D2" s="85">
        <f>SUM(4345)</f>
        <v>4345</v>
      </c>
      <c r="E2" s="85">
        <f>SUM(244)</f>
        <v>244</v>
      </c>
      <c r="F2" s="86">
        <f>SUM(D2/E2)</f>
        <v>17.807377049180328</v>
      </c>
      <c r="G2" s="85">
        <v>3</v>
      </c>
      <c r="H2" s="85">
        <v>2</v>
      </c>
      <c r="I2" s="85"/>
      <c r="J2" s="85"/>
      <c r="K2" s="85">
        <v>1</v>
      </c>
      <c r="L2" s="85">
        <v>12.5</v>
      </c>
      <c r="M2" s="85">
        <v>15</v>
      </c>
    </row>
    <row r="3" spans="1:13" x14ac:dyDescent="0.25">
      <c r="A3" s="85">
        <v>2</v>
      </c>
      <c r="B3" s="87" t="s">
        <v>11</v>
      </c>
      <c r="C3" s="87" t="s">
        <v>6</v>
      </c>
      <c r="D3" s="85">
        <f>SUM(4499)</f>
        <v>4499</v>
      </c>
      <c r="E3" s="85">
        <f>SUM(253)</f>
        <v>253</v>
      </c>
      <c r="F3" s="86">
        <f>SUM(D3/E3)</f>
        <v>17.782608695652176</v>
      </c>
      <c r="G3" s="85">
        <v>3</v>
      </c>
      <c r="H3" s="85">
        <v>3</v>
      </c>
      <c r="I3" s="85">
        <v>1</v>
      </c>
      <c r="J3" s="85"/>
      <c r="K3" s="85"/>
      <c r="L3" s="85">
        <v>13.5</v>
      </c>
      <c r="M3" s="85">
        <v>20</v>
      </c>
    </row>
    <row r="4" spans="1:13" x14ac:dyDescent="0.25">
      <c r="A4" s="85">
        <v>3</v>
      </c>
      <c r="B4" s="87" t="s">
        <v>12</v>
      </c>
      <c r="C4" s="87" t="s">
        <v>60</v>
      </c>
      <c r="D4" s="85">
        <f>SUM(2996+1503)</f>
        <v>4499</v>
      </c>
      <c r="E4" s="85">
        <f>SUM(199+74)</f>
        <v>273</v>
      </c>
      <c r="F4" s="86">
        <f>SUM(D4/E4)</f>
        <v>16.479853479853478</v>
      </c>
      <c r="G4" s="85">
        <v>3</v>
      </c>
      <c r="H4" s="85">
        <v>3</v>
      </c>
      <c r="I4" s="85"/>
      <c r="J4" s="85">
        <v>1</v>
      </c>
      <c r="K4" s="85"/>
      <c r="L4" s="85">
        <v>14</v>
      </c>
      <c r="M4" s="85">
        <v>9</v>
      </c>
    </row>
    <row r="5" spans="1:13" x14ac:dyDescent="0.25">
      <c r="A5" s="85">
        <v>4</v>
      </c>
      <c r="B5" s="87" t="s">
        <v>59</v>
      </c>
      <c r="C5" s="87" t="s">
        <v>15</v>
      </c>
      <c r="D5" s="85">
        <f>SUM(4240)</f>
        <v>4240</v>
      </c>
      <c r="E5" s="85">
        <f>SUM(261)</f>
        <v>261</v>
      </c>
      <c r="F5" s="86">
        <f>SUM(D5/E5)</f>
        <v>16.245210727969347</v>
      </c>
      <c r="G5" s="85">
        <v>3</v>
      </c>
      <c r="H5" s="85">
        <v>1</v>
      </c>
      <c r="I5" s="85"/>
      <c r="J5" s="85"/>
      <c r="K5" s="85"/>
      <c r="L5" s="85">
        <v>9</v>
      </c>
      <c r="M5" s="85">
        <v>5</v>
      </c>
    </row>
    <row r="6" spans="1:13" x14ac:dyDescent="0.25">
      <c r="A6" s="85">
        <v>5</v>
      </c>
      <c r="B6" s="87" t="s">
        <v>16</v>
      </c>
      <c r="C6" s="87" t="s">
        <v>17</v>
      </c>
      <c r="D6" s="85">
        <f>SUM(4378+1497)</f>
        <v>5875</v>
      </c>
      <c r="E6" s="85">
        <f>SUM(265+97)</f>
        <v>362</v>
      </c>
      <c r="F6" s="86">
        <f>SUM(D6/E6)</f>
        <v>16.229281767955801</v>
      </c>
      <c r="G6" s="85">
        <v>4</v>
      </c>
      <c r="H6" s="85">
        <v>1</v>
      </c>
      <c r="I6" s="85">
        <v>1</v>
      </c>
      <c r="J6" s="85"/>
      <c r="K6" s="85"/>
      <c r="L6" s="85">
        <v>9</v>
      </c>
      <c r="M6" s="85">
        <v>15</v>
      </c>
    </row>
    <row r="7" spans="1:13" x14ac:dyDescent="0.25">
      <c r="A7" s="85">
        <v>6</v>
      </c>
      <c r="B7" s="87" t="s">
        <v>9</v>
      </c>
      <c r="C7" s="87" t="s">
        <v>10</v>
      </c>
      <c r="D7" s="85">
        <f>SUM(4453+1487)</f>
        <v>5940</v>
      </c>
      <c r="E7" s="85">
        <f>SUM(266+102)</f>
        <v>368</v>
      </c>
      <c r="F7" s="86">
        <f>SUM(D7/E7)</f>
        <v>16.141304347826086</v>
      </c>
      <c r="G7" s="85">
        <v>4</v>
      </c>
      <c r="H7" s="85">
        <v>3</v>
      </c>
      <c r="I7" s="85"/>
      <c r="J7" s="85"/>
      <c r="K7" s="85"/>
      <c r="L7" s="85">
        <v>16</v>
      </c>
      <c r="M7" s="85"/>
    </row>
    <row r="8" spans="1:13" x14ac:dyDescent="0.25">
      <c r="A8" s="85">
        <v>7</v>
      </c>
      <c r="B8" s="87" t="s">
        <v>7</v>
      </c>
      <c r="C8" s="87" t="s">
        <v>8</v>
      </c>
      <c r="D8" s="85">
        <f>SUM(4260+1327)</f>
        <v>5587</v>
      </c>
      <c r="E8" s="85">
        <f>SUM(258+90)</f>
        <v>348</v>
      </c>
      <c r="F8" s="86">
        <f>SUM(D8/E8)</f>
        <v>16.054597701149426</v>
      </c>
      <c r="G8" s="85">
        <v>4</v>
      </c>
      <c r="H8" s="85">
        <v>2</v>
      </c>
      <c r="I8" s="85"/>
      <c r="J8" s="85"/>
      <c r="K8" s="85"/>
      <c r="L8" s="85">
        <v>13</v>
      </c>
      <c r="M8" s="85">
        <v>5</v>
      </c>
    </row>
    <row r="9" spans="1:13" x14ac:dyDescent="0.25">
      <c r="A9" s="85">
        <v>8</v>
      </c>
      <c r="B9" s="87" t="s">
        <v>31</v>
      </c>
      <c r="C9" s="87" t="s">
        <v>60</v>
      </c>
      <c r="D9" s="85">
        <f>SUM(4180+1503)</f>
        <v>5683</v>
      </c>
      <c r="E9" s="85">
        <f>SUM(270+96)</f>
        <v>366</v>
      </c>
      <c r="F9" s="86">
        <f>SUM(D9/E9)</f>
        <v>15.527322404371585</v>
      </c>
      <c r="G9" s="85">
        <v>4</v>
      </c>
      <c r="H9" s="85">
        <v>4</v>
      </c>
      <c r="I9" s="85"/>
      <c r="J9" s="85"/>
      <c r="K9" s="85"/>
      <c r="L9" s="85">
        <v>16</v>
      </c>
      <c r="M9" s="85"/>
    </row>
    <row r="10" spans="1:13" x14ac:dyDescent="0.25">
      <c r="A10" s="85">
        <v>9</v>
      </c>
      <c r="B10" s="85" t="s">
        <v>25</v>
      </c>
      <c r="C10" s="87" t="s">
        <v>10</v>
      </c>
      <c r="D10" s="85">
        <f>SUM(4307+1495)</f>
        <v>5802</v>
      </c>
      <c r="E10" s="85">
        <f>SUM(287+93)</f>
        <v>380</v>
      </c>
      <c r="F10" s="86">
        <f>SUM(D10/E10)</f>
        <v>15.268421052631579</v>
      </c>
      <c r="G10" s="85">
        <v>4</v>
      </c>
      <c r="H10" s="85">
        <v>3</v>
      </c>
      <c r="I10" s="85"/>
      <c r="J10" s="85"/>
      <c r="K10" s="85"/>
      <c r="L10" s="85">
        <v>17</v>
      </c>
      <c r="M10" s="85"/>
    </row>
    <row r="11" spans="1:13" x14ac:dyDescent="0.25">
      <c r="A11" s="85">
        <v>10</v>
      </c>
      <c r="B11" s="87" t="s">
        <v>19</v>
      </c>
      <c r="C11" s="87" t="s">
        <v>20</v>
      </c>
      <c r="D11" s="85">
        <f>SUM(4014+1424)</f>
        <v>5438</v>
      </c>
      <c r="E11" s="85">
        <f>SUM(269+95)</f>
        <v>364</v>
      </c>
      <c r="F11" s="86">
        <f>SUM(D11/E11)</f>
        <v>14.93956043956044</v>
      </c>
      <c r="G11" s="85">
        <v>4</v>
      </c>
      <c r="H11" s="85">
        <v>2</v>
      </c>
      <c r="I11" s="85"/>
      <c r="J11" s="85"/>
      <c r="K11" s="85"/>
      <c r="L11" s="85">
        <v>10</v>
      </c>
      <c r="M11" s="85">
        <v>5</v>
      </c>
    </row>
    <row r="12" spans="1:13" x14ac:dyDescent="0.25">
      <c r="A12" s="85">
        <v>11</v>
      </c>
      <c r="B12" s="87" t="s">
        <v>32</v>
      </c>
      <c r="C12" s="87" t="s">
        <v>60</v>
      </c>
      <c r="D12" s="85">
        <f>SUM(4179+1391)</f>
        <v>5570</v>
      </c>
      <c r="E12" s="85">
        <f>SUM(276+99)</f>
        <v>375</v>
      </c>
      <c r="F12" s="86">
        <f>SUM(D12/E12)</f>
        <v>14.853333333333333</v>
      </c>
      <c r="G12" s="85">
        <v>4</v>
      </c>
      <c r="H12" s="85">
        <v>1</v>
      </c>
      <c r="I12" s="85"/>
      <c r="J12" s="85"/>
      <c r="K12" s="85"/>
      <c r="L12" s="85">
        <v>9.5</v>
      </c>
      <c r="M12" s="85"/>
    </row>
    <row r="13" spans="1:13" x14ac:dyDescent="0.25">
      <c r="A13" s="85">
        <v>12</v>
      </c>
      <c r="B13" s="87" t="s">
        <v>53</v>
      </c>
      <c r="C13" s="87" t="s">
        <v>54</v>
      </c>
      <c r="D13" s="85">
        <f>SUM(3962+1414)</f>
        <v>5376</v>
      </c>
      <c r="E13" s="85">
        <f>SUM(264+100)</f>
        <v>364</v>
      </c>
      <c r="F13" s="86">
        <f>SUM(D13/E13)</f>
        <v>14.76923076923077</v>
      </c>
      <c r="G13" s="85">
        <v>4</v>
      </c>
      <c r="H13" s="85">
        <v>2</v>
      </c>
      <c r="I13" s="85"/>
      <c r="J13" s="85"/>
      <c r="K13" s="85"/>
      <c r="L13" s="85">
        <v>7.5</v>
      </c>
      <c r="M13" s="85"/>
    </row>
    <row r="14" spans="1:13" x14ac:dyDescent="0.25">
      <c r="A14" s="85">
        <v>13</v>
      </c>
      <c r="B14" s="87" t="s">
        <v>13</v>
      </c>
      <c r="C14" s="87" t="s">
        <v>8</v>
      </c>
      <c r="D14" s="85">
        <f>SUM(4458+1498)</f>
        <v>5956</v>
      </c>
      <c r="E14" s="85">
        <f>SUM(305+99)</f>
        <v>404</v>
      </c>
      <c r="F14" s="86">
        <f>SUM(D14/E14)</f>
        <v>14.742574257425742</v>
      </c>
      <c r="G14" s="85">
        <v>4</v>
      </c>
      <c r="H14" s="85">
        <v>3</v>
      </c>
      <c r="I14" s="85"/>
      <c r="J14" s="85"/>
      <c r="K14" s="85"/>
      <c r="L14" s="85">
        <v>15.5</v>
      </c>
      <c r="M14" s="85"/>
    </row>
    <row r="15" spans="1:13" x14ac:dyDescent="0.25">
      <c r="A15" s="85">
        <v>14</v>
      </c>
      <c r="B15" s="85" t="s">
        <v>24</v>
      </c>
      <c r="C15" s="87" t="s">
        <v>15</v>
      </c>
      <c r="D15" s="85">
        <f>SUM(4314)</f>
        <v>4314</v>
      </c>
      <c r="E15" s="85">
        <f>SUM(296)</f>
        <v>296</v>
      </c>
      <c r="F15" s="86">
        <f>SUM(D15/E15)</f>
        <v>14.574324324324325</v>
      </c>
      <c r="G15" s="85">
        <v>3</v>
      </c>
      <c r="H15" s="85">
        <v>2</v>
      </c>
      <c r="I15" s="85"/>
      <c r="J15" s="85"/>
      <c r="K15" s="85"/>
      <c r="L15" s="85">
        <v>9</v>
      </c>
      <c r="M15" s="85">
        <v>5</v>
      </c>
    </row>
    <row r="16" spans="1:13" x14ac:dyDescent="0.25">
      <c r="A16" s="85">
        <v>15</v>
      </c>
      <c r="B16" s="87" t="s">
        <v>23</v>
      </c>
      <c r="C16" s="87" t="s">
        <v>20</v>
      </c>
      <c r="D16" s="85">
        <f>SUM(4015)</f>
        <v>4015</v>
      </c>
      <c r="E16" s="85">
        <f>SUM(279)</f>
        <v>279</v>
      </c>
      <c r="F16" s="86">
        <f>SUM(D16/E16)</f>
        <v>14.390681003584229</v>
      </c>
      <c r="G16" s="85">
        <v>3</v>
      </c>
      <c r="H16" s="85">
        <v>0</v>
      </c>
      <c r="I16" s="85">
        <v>1</v>
      </c>
      <c r="J16" s="85"/>
      <c r="K16" s="85"/>
      <c r="L16" s="85">
        <v>3</v>
      </c>
      <c r="M16" s="85">
        <v>10</v>
      </c>
    </row>
    <row r="17" spans="1:13" x14ac:dyDescent="0.25">
      <c r="A17" s="85">
        <v>16</v>
      </c>
      <c r="B17" s="87" t="s">
        <v>29</v>
      </c>
      <c r="C17" s="87" t="s">
        <v>17</v>
      </c>
      <c r="D17" s="85">
        <f>SUM(2825+1503)</f>
        <v>4328</v>
      </c>
      <c r="E17" s="85">
        <f>SUM(212+89)</f>
        <v>301</v>
      </c>
      <c r="F17" s="86">
        <f>SUM(D17/E17)</f>
        <v>14.378737541528238</v>
      </c>
      <c r="G17" s="85">
        <v>3</v>
      </c>
      <c r="H17" s="85">
        <v>1</v>
      </c>
      <c r="I17" s="85"/>
      <c r="J17" s="85"/>
      <c r="K17" s="85"/>
      <c r="L17" s="85">
        <v>5.5</v>
      </c>
      <c r="M17" s="85"/>
    </row>
    <row r="18" spans="1:13" x14ac:dyDescent="0.25">
      <c r="A18" s="85">
        <v>17</v>
      </c>
      <c r="B18" s="87" t="s">
        <v>22</v>
      </c>
      <c r="C18" s="87" t="s">
        <v>17</v>
      </c>
      <c r="D18" s="85">
        <f>SUM(4417+1432)</f>
        <v>5849</v>
      </c>
      <c r="E18" s="85">
        <f>SUM(313+95)</f>
        <v>408</v>
      </c>
      <c r="F18" s="86">
        <f>SUM(D18/E18)</f>
        <v>14.33578431372549</v>
      </c>
      <c r="G18" s="85">
        <v>4</v>
      </c>
      <c r="H18" s="85">
        <v>2</v>
      </c>
      <c r="I18" s="85"/>
      <c r="J18" s="85"/>
      <c r="K18" s="85"/>
      <c r="L18" s="85">
        <v>13</v>
      </c>
      <c r="M18" s="85"/>
    </row>
    <row r="19" spans="1:13" x14ac:dyDescent="0.25">
      <c r="A19" s="85">
        <v>18</v>
      </c>
      <c r="B19" s="88" t="s">
        <v>82</v>
      </c>
      <c r="C19" s="87" t="s">
        <v>15</v>
      </c>
      <c r="D19" s="85">
        <f>SUM(1503)</f>
        <v>1503</v>
      </c>
      <c r="E19" s="85">
        <f>SUM(105)</f>
        <v>105</v>
      </c>
      <c r="F19" s="86">
        <f>SUM(D19/E19)</f>
        <v>14.314285714285715</v>
      </c>
      <c r="G19" s="85">
        <v>1</v>
      </c>
      <c r="H19" s="85">
        <v>1</v>
      </c>
      <c r="I19" s="85"/>
      <c r="J19" s="85"/>
      <c r="K19" s="85"/>
      <c r="L19" s="85">
        <v>3.5</v>
      </c>
      <c r="M19" s="85"/>
    </row>
    <row r="20" spans="1:13" x14ac:dyDescent="0.25">
      <c r="A20" s="85">
        <v>19</v>
      </c>
      <c r="B20" s="85" t="s">
        <v>21</v>
      </c>
      <c r="C20" s="87" t="s">
        <v>17</v>
      </c>
      <c r="D20" s="85">
        <f>SUM(3916+1494)</f>
        <v>5410</v>
      </c>
      <c r="E20" s="85">
        <f>SUM(279+100)</f>
        <v>379</v>
      </c>
      <c r="F20" s="86">
        <f>SUM(D20/E20)</f>
        <v>14.274406332453825</v>
      </c>
      <c r="G20" s="85">
        <v>4</v>
      </c>
      <c r="H20" s="85">
        <v>1</v>
      </c>
      <c r="I20" s="85"/>
      <c r="J20" s="85"/>
      <c r="K20" s="85"/>
      <c r="L20" s="85">
        <v>8.5</v>
      </c>
      <c r="M20" s="85">
        <v>5</v>
      </c>
    </row>
    <row r="21" spans="1:13" x14ac:dyDescent="0.25">
      <c r="A21" s="85">
        <v>20</v>
      </c>
      <c r="B21" s="87" t="s">
        <v>83</v>
      </c>
      <c r="C21" s="87" t="s">
        <v>20</v>
      </c>
      <c r="D21" s="85">
        <f>SUM(1491+1497)</f>
        <v>2988</v>
      </c>
      <c r="E21" s="85">
        <f>SUM(103+112)</f>
        <v>215</v>
      </c>
      <c r="F21" s="86">
        <f>SUM(D21/E21)</f>
        <v>13.897674418604652</v>
      </c>
      <c r="G21" s="85">
        <v>2</v>
      </c>
      <c r="H21" s="85">
        <v>2</v>
      </c>
      <c r="I21" s="85"/>
      <c r="J21" s="85"/>
      <c r="K21" s="85"/>
      <c r="L21" s="85">
        <v>8</v>
      </c>
      <c r="M21" s="85"/>
    </row>
    <row r="22" spans="1:13" x14ac:dyDescent="0.25">
      <c r="A22" s="85">
        <v>21</v>
      </c>
      <c r="B22" s="87" t="s">
        <v>81</v>
      </c>
      <c r="C22" s="87" t="s">
        <v>8</v>
      </c>
      <c r="D22" s="85">
        <f>SUM(1456)</f>
        <v>1456</v>
      </c>
      <c r="E22" s="85">
        <f>SUM(107)</f>
        <v>107</v>
      </c>
      <c r="F22" s="86">
        <f>SUM(D22/E22)</f>
        <v>13.607476635514018</v>
      </c>
      <c r="G22" s="85">
        <v>1</v>
      </c>
      <c r="H22" s="85">
        <v>1</v>
      </c>
      <c r="I22" s="85"/>
      <c r="J22" s="85"/>
      <c r="K22" s="85"/>
      <c r="L22" s="85">
        <v>3</v>
      </c>
      <c r="M22" s="85"/>
    </row>
    <row r="23" spans="1:13" x14ac:dyDescent="0.25">
      <c r="A23" s="85">
        <v>22</v>
      </c>
      <c r="B23" s="87" t="s">
        <v>50</v>
      </c>
      <c r="C23" s="87" t="s">
        <v>60</v>
      </c>
      <c r="D23" s="85">
        <f>SUM(1462)</f>
        <v>1462</v>
      </c>
      <c r="E23" s="85">
        <f>SUM(111)</f>
        <v>111</v>
      </c>
      <c r="F23" s="86">
        <f>SUM(D23/E23)</f>
        <v>13.171171171171171</v>
      </c>
      <c r="G23" s="85">
        <v>1</v>
      </c>
      <c r="H23" s="85">
        <v>1</v>
      </c>
      <c r="I23" s="85"/>
      <c r="J23" s="85"/>
      <c r="K23" s="85"/>
      <c r="L23" s="85">
        <v>4</v>
      </c>
      <c r="M23" s="85"/>
    </row>
    <row r="24" spans="1:13" x14ac:dyDescent="0.25">
      <c r="A24" s="85">
        <v>23</v>
      </c>
      <c r="B24" s="87" t="s">
        <v>14</v>
      </c>
      <c r="C24" s="87" t="s">
        <v>15</v>
      </c>
      <c r="D24" s="85">
        <f>SUM(4418)</f>
        <v>4418</v>
      </c>
      <c r="E24" s="85">
        <f>SUM(337)</f>
        <v>337</v>
      </c>
      <c r="F24" s="86">
        <f>SUM(D24/E24)</f>
        <v>13.109792284866469</v>
      </c>
      <c r="G24" s="85">
        <v>3</v>
      </c>
      <c r="H24" s="85">
        <v>2</v>
      </c>
      <c r="I24" s="85"/>
      <c r="J24" s="85"/>
      <c r="K24" s="85"/>
      <c r="L24" s="85">
        <v>9.5</v>
      </c>
      <c r="M24" s="85"/>
    </row>
    <row r="25" spans="1:13" x14ac:dyDescent="0.25">
      <c r="A25" s="85">
        <v>24</v>
      </c>
      <c r="B25" s="87" t="s">
        <v>93</v>
      </c>
      <c r="C25" s="87" t="s">
        <v>15</v>
      </c>
      <c r="D25" s="85">
        <f>SUM(1208)</f>
        <v>1208</v>
      </c>
      <c r="E25" s="85">
        <f>SUM(93)</f>
        <v>93</v>
      </c>
      <c r="F25" s="86">
        <f>SUM(D25/E25)</f>
        <v>12.989247311827956</v>
      </c>
      <c r="G25" s="85">
        <v>1</v>
      </c>
      <c r="H25" s="85">
        <v>0</v>
      </c>
      <c r="I25" s="85"/>
      <c r="J25" s="85"/>
      <c r="K25" s="85"/>
      <c r="L25" s="85">
        <v>0.5</v>
      </c>
      <c r="M25" s="85"/>
    </row>
    <row r="26" spans="1:13" x14ac:dyDescent="0.25">
      <c r="A26" s="85">
        <v>25</v>
      </c>
      <c r="B26" s="87" t="s">
        <v>94</v>
      </c>
      <c r="C26" s="87" t="s">
        <v>10</v>
      </c>
      <c r="D26" s="85">
        <f>SUM(1503+1225)</f>
        <v>2728</v>
      </c>
      <c r="E26" s="85">
        <f>SUM(114+97)</f>
        <v>211</v>
      </c>
      <c r="F26" s="86">
        <f>SUM(D26/E26)</f>
        <v>12.928909952606634</v>
      </c>
      <c r="G26" s="85">
        <v>2</v>
      </c>
      <c r="H26" s="85">
        <v>1</v>
      </c>
      <c r="I26" s="85"/>
      <c r="J26" s="85"/>
      <c r="K26" s="85"/>
      <c r="L26" s="85">
        <v>7.5</v>
      </c>
      <c r="M26" s="85"/>
    </row>
    <row r="27" spans="1:13" x14ac:dyDescent="0.25">
      <c r="A27" s="85">
        <v>26</v>
      </c>
      <c r="B27" s="87" t="s">
        <v>56</v>
      </c>
      <c r="C27" s="87" t="s">
        <v>54</v>
      </c>
      <c r="D27" s="85">
        <f>SUM(4033+1323)</f>
        <v>5356</v>
      </c>
      <c r="E27" s="85">
        <f>SUM(304+111)</f>
        <v>415</v>
      </c>
      <c r="F27" s="86">
        <f>SUM(D27/E27)</f>
        <v>12.906024096385542</v>
      </c>
      <c r="G27" s="85">
        <v>4</v>
      </c>
      <c r="H27" s="85">
        <v>0</v>
      </c>
      <c r="I27" s="85"/>
      <c r="J27" s="85"/>
      <c r="K27" s="85"/>
      <c r="L27" s="85">
        <v>5.5</v>
      </c>
      <c r="M27" s="85"/>
    </row>
    <row r="28" spans="1:13" x14ac:dyDescent="0.25">
      <c r="A28" s="85">
        <v>27</v>
      </c>
      <c r="B28" s="87" t="s">
        <v>18</v>
      </c>
      <c r="C28" s="87" t="s">
        <v>8</v>
      </c>
      <c r="D28" s="85">
        <f>SUM(2974+877)</f>
        <v>3851</v>
      </c>
      <c r="E28" s="85">
        <f>SUM(230+75)</f>
        <v>305</v>
      </c>
      <c r="F28" s="86">
        <f>SUM(D28/E28)</f>
        <v>12.626229508196721</v>
      </c>
      <c r="G28" s="85">
        <v>3</v>
      </c>
      <c r="H28" s="85">
        <v>2</v>
      </c>
      <c r="I28" s="85"/>
      <c r="J28" s="85"/>
      <c r="K28" s="85"/>
      <c r="L28" s="85">
        <v>11.5</v>
      </c>
      <c r="M28" s="85"/>
    </row>
    <row r="29" spans="1:13" x14ac:dyDescent="0.25">
      <c r="A29" s="85">
        <v>28</v>
      </c>
      <c r="B29" s="87" t="s">
        <v>28</v>
      </c>
      <c r="C29" s="87" t="s">
        <v>6</v>
      </c>
      <c r="D29" s="85">
        <f>SUM(2923)</f>
        <v>2923</v>
      </c>
      <c r="E29" s="85">
        <f>SUM(232)</f>
        <v>232</v>
      </c>
      <c r="F29" s="86">
        <f>SUM(D29/E29)</f>
        <v>12.599137931034482</v>
      </c>
      <c r="G29" s="85">
        <v>2</v>
      </c>
      <c r="H29" s="85">
        <v>0</v>
      </c>
      <c r="I29" s="85">
        <v>1</v>
      </c>
      <c r="J29" s="85"/>
      <c r="K29" s="85"/>
      <c r="L29" s="85">
        <v>4.5</v>
      </c>
      <c r="M29" s="85">
        <v>10</v>
      </c>
    </row>
    <row r="30" spans="1:13" x14ac:dyDescent="0.25">
      <c r="A30" s="85">
        <v>29</v>
      </c>
      <c r="B30" s="87" t="s">
        <v>57</v>
      </c>
      <c r="C30" s="87" t="s">
        <v>15</v>
      </c>
      <c r="D30" s="85">
        <f>SUM(1259)</f>
        <v>1259</v>
      </c>
      <c r="E30" s="85">
        <f>SUM(102)</f>
        <v>102</v>
      </c>
      <c r="F30" s="86">
        <f>SUM(D30/E30)</f>
        <v>12.343137254901961</v>
      </c>
      <c r="G30" s="85">
        <v>1</v>
      </c>
      <c r="H30" s="85">
        <v>0</v>
      </c>
      <c r="I30" s="85"/>
      <c r="J30" s="85"/>
      <c r="K30" s="85"/>
      <c r="L30" s="85">
        <v>1</v>
      </c>
      <c r="M30" s="85"/>
    </row>
    <row r="31" spans="1:13" x14ac:dyDescent="0.25">
      <c r="A31" s="85">
        <v>30</v>
      </c>
      <c r="B31" s="85" t="s">
        <v>27</v>
      </c>
      <c r="C31" s="87" t="s">
        <v>10</v>
      </c>
      <c r="D31" s="85">
        <f>SUM(4296+1328)</f>
        <v>5624</v>
      </c>
      <c r="E31" s="85">
        <f>SUM(372+84)</f>
        <v>456</v>
      </c>
      <c r="F31" s="86">
        <f>SUM(D31/E31)</f>
        <v>12.333333333333334</v>
      </c>
      <c r="G31" s="85">
        <v>4</v>
      </c>
      <c r="H31" s="85">
        <v>2</v>
      </c>
      <c r="I31" s="85"/>
      <c r="J31" s="85"/>
      <c r="K31" s="85"/>
      <c r="L31" s="85">
        <v>15</v>
      </c>
      <c r="M31" s="85">
        <v>5</v>
      </c>
    </row>
    <row r="32" spans="1:13" x14ac:dyDescent="0.25">
      <c r="A32" s="85">
        <v>31</v>
      </c>
      <c r="B32" s="87" t="s">
        <v>52</v>
      </c>
      <c r="C32" s="87" t="s">
        <v>20</v>
      </c>
      <c r="D32" s="85">
        <f>SUM(4464+1503)</f>
        <v>5967</v>
      </c>
      <c r="E32" s="85">
        <f>SUM(372+122)</f>
        <v>494</v>
      </c>
      <c r="F32" s="86">
        <f>SUM(D32/E32)</f>
        <v>12.078947368421053</v>
      </c>
      <c r="G32" s="85">
        <v>4</v>
      </c>
      <c r="H32" s="85">
        <v>3</v>
      </c>
      <c r="I32" s="85"/>
      <c r="J32" s="85"/>
      <c r="K32" s="85"/>
      <c r="L32" s="85">
        <v>15.5</v>
      </c>
      <c r="M32" s="85"/>
    </row>
    <row r="33" spans="1:13" x14ac:dyDescent="0.25">
      <c r="A33" s="85">
        <v>32</v>
      </c>
      <c r="B33" s="87" t="s">
        <v>92</v>
      </c>
      <c r="C33" s="87" t="s">
        <v>60</v>
      </c>
      <c r="D33" s="85">
        <f>SUM(1340)</f>
        <v>1340</v>
      </c>
      <c r="E33" s="85">
        <f>SUM(111)</f>
        <v>111</v>
      </c>
      <c r="F33" s="86">
        <f>SUM(D33/E33)</f>
        <v>12.072072072072071</v>
      </c>
      <c r="G33" s="85">
        <v>1</v>
      </c>
      <c r="H33" s="85">
        <v>0</v>
      </c>
      <c r="I33" s="85"/>
      <c r="J33" s="85"/>
      <c r="K33" s="85"/>
      <c r="L33" s="85">
        <v>1</v>
      </c>
      <c r="M33" s="85"/>
    </row>
    <row r="34" spans="1:13" x14ac:dyDescent="0.25">
      <c r="A34" s="85">
        <v>33</v>
      </c>
      <c r="B34" s="87" t="s">
        <v>80</v>
      </c>
      <c r="C34" s="87" t="s">
        <v>17</v>
      </c>
      <c r="D34" s="85">
        <f>SUM(1503)</f>
        <v>1503</v>
      </c>
      <c r="E34" s="85">
        <f>SUM(125)</f>
        <v>125</v>
      </c>
      <c r="F34" s="86">
        <f>SUM(D34/E34)</f>
        <v>12.023999999999999</v>
      </c>
      <c r="G34" s="85">
        <v>1</v>
      </c>
      <c r="H34" s="85">
        <v>1</v>
      </c>
      <c r="I34" s="85"/>
      <c r="J34" s="85"/>
      <c r="K34" s="85"/>
      <c r="L34" s="85">
        <v>5</v>
      </c>
      <c r="M34" s="85"/>
    </row>
    <row r="35" spans="1:13" x14ac:dyDescent="0.25">
      <c r="A35" s="85">
        <v>34</v>
      </c>
      <c r="B35" s="87" t="s">
        <v>51</v>
      </c>
      <c r="C35" s="87" t="s">
        <v>20</v>
      </c>
      <c r="D35" s="85">
        <f>SUM(2846+1454)</f>
        <v>4300</v>
      </c>
      <c r="E35" s="85">
        <f>SUM(250+115)</f>
        <v>365</v>
      </c>
      <c r="F35" s="86">
        <f>SUM(D35/E35)</f>
        <v>11.780821917808218</v>
      </c>
      <c r="G35" s="85">
        <v>3</v>
      </c>
      <c r="H35" s="85">
        <v>1</v>
      </c>
      <c r="I35" s="85"/>
      <c r="J35" s="85"/>
      <c r="K35" s="85"/>
      <c r="L35" s="85">
        <v>6.5</v>
      </c>
      <c r="M35" s="85"/>
    </row>
    <row r="36" spans="1:13" x14ac:dyDescent="0.25">
      <c r="A36" s="85">
        <v>35</v>
      </c>
      <c r="B36" s="87" t="s">
        <v>91</v>
      </c>
      <c r="C36" s="87" t="s">
        <v>6</v>
      </c>
      <c r="D36" s="85">
        <f>SUM(1496)</f>
        <v>1496</v>
      </c>
      <c r="E36" s="85">
        <f>SUM(127)</f>
        <v>127</v>
      </c>
      <c r="F36" s="86">
        <f>SUM(D36/E36)</f>
        <v>11.779527559055119</v>
      </c>
      <c r="G36" s="85">
        <v>1</v>
      </c>
      <c r="H36" s="85">
        <v>1</v>
      </c>
      <c r="I36" s="85"/>
      <c r="J36" s="85"/>
      <c r="K36" s="85"/>
      <c r="L36" s="85">
        <v>4.5</v>
      </c>
      <c r="M36" s="85"/>
    </row>
    <row r="37" spans="1:13" x14ac:dyDescent="0.25">
      <c r="A37" s="85">
        <v>36</v>
      </c>
      <c r="B37" s="87" t="s">
        <v>79</v>
      </c>
      <c r="C37" s="87" t="s">
        <v>60</v>
      </c>
      <c r="D37" s="85">
        <f>SUM(2822+1492)</f>
        <v>4314</v>
      </c>
      <c r="E37" s="85">
        <f>SUM(261+118)</f>
        <v>379</v>
      </c>
      <c r="F37" s="86">
        <f>SUM(D37/E37)</f>
        <v>11.382585751978892</v>
      </c>
      <c r="G37" s="85">
        <v>3</v>
      </c>
      <c r="H37" s="85">
        <v>1</v>
      </c>
      <c r="I37" s="85"/>
      <c r="J37" s="85"/>
      <c r="K37" s="85"/>
      <c r="L37" s="85">
        <v>7.5</v>
      </c>
      <c r="M37" s="85"/>
    </row>
    <row r="38" spans="1:13" x14ac:dyDescent="0.25">
      <c r="A38" s="85">
        <v>37</v>
      </c>
      <c r="B38" s="87" t="s">
        <v>61</v>
      </c>
      <c r="C38" s="87" t="s">
        <v>6</v>
      </c>
      <c r="D38" s="85">
        <f>SUM(4453)</f>
        <v>4453</v>
      </c>
      <c r="E38" s="85">
        <f>SUM(394)</f>
        <v>394</v>
      </c>
      <c r="F38" s="86">
        <f>SUM(D38/E38)</f>
        <v>11.302030456852792</v>
      </c>
      <c r="G38" s="85">
        <v>3</v>
      </c>
      <c r="H38" s="85">
        <v>2</v>
      </c>
      <c r="I38" s="85"/>
      <c r="J38" s="85"/>
      <c r="K38" s="85"/>
      <c r="L38" s="85">
        <v>10</v>
      </c>
      <c r="M38" s="85">
        <v>5</v>
      </c>
    </row>
    <row r="39" spans="1:13" x14ac:dyDescent="0.25">
      <c r="A39" s="85">
        <v>38</v>
      </c>
      <c r="B39" s="87" t="s">
        <v>55</v>
      </c>
      <c r="C39" s="87" t="s">
        <v>54</v>
      </c>
      <c r="D39" s="85">
        <f>SUM(4065+1275)</f>
        <v>5340</v>
      </c>
      <c r="E39" s="85">
        <f>SUM(355+120)</f>
        <v>475</v>
      </c>
      <c r="F39" s="86">
        <f>SUM(D39/E39)</f>
        <v>11.242105263157894</v>
      </c>
      <c r="G39" s="85">
        <v>4</v>
      </c>
      <c r="H39" s="85">
        <v>1</v>
      </c>
      <c r="I39" s="85"/>
      <c r="J39" s="85"/>
      <c r="K39" s="85"/>
      <c r="L39" s="85">
        <v>7.5</v>
      </c>
      <c r="M39" s="85">
        <v>5</v>
      </c>
    </row>
    <row r="40" spans="1:13" x14ac:dyDescent="0.25">
      <c r="A40" s="85">
        <v>39</v>
      </c>
      <c r="B40" s="87" t="s">
        <v>26</v>
      </c>
      <c r="C40" s="87" t="s">
        <v>10</v>
      </c>
      <c r="D40" s="85">
        <f>SUM(2859)</f>
        <v>2859</v>
      </c>
      <c r="E40" s="85">
        <f>SUM(255)</f>
        <v>255</v>
      </c>
      <c r="F40" s="86">
        <f>SUM(D40/E40)</f>
        <v>11.211764705882352</v>
      </c>
      <c r="G40" s="85">
        <v>2</v>
      </c>
      <c r="H40" s="85">
        <v>0</v>
      </c>
      <c r="I40" s="85"/>
      <c r="J40" s="85"/>
      <c r="K40" s="85"/>
      <c r="L40" s="85">
        <v>4.5</v>
      </c>
      <c r="M40" s="85"/>
    </row>
    <row r="41" spans="1:13" x14ac:dyDescent="0.25">
      <c r="A41" s="85">
        <v>40</v>
      </c>
      <c r="B41" s="87" t="s">
        <v>58</v>
      </c>
      <c r="C41" s="87" t="s">
        <v>54</v>
      </c>
      <c r="D41" s="85">
        <f>SUM(4183+1360)</f>
        <v>5543</v>
      </c>
      <c r="E41" s="85">
        <f>SUM(385+117)</f>
        <v>502</v>
      </c>
      <c r="F41" s="86">
        <f>SUM(D41/E41)</f>
        <v>11.041832669322709</v>
      </c>
      <c r="G41" s="85">
        <v>4</v>
      </c>
      <c r="H41" s="85">
        <v>1</v>
      </c>
      <c r="I41" s="85"/>
      <c r="J41" s="85"/>
      <c r="K41" s="85"/>
      <c r="L41" s="85">
        <v>8.5</v>
      </c>
      <c r="M41" s="85"/>
    </row>
    <row r="42" spans="1:13" x14ac:dyDescent="0.25">
      <c r="A42" s="85">
        <v>41</v>
      </c>
      <c r="B42" s="87" t="s">
        <v>30</v>
      </c>
      <c r="C42" s="87" t="s">
        <v>8</v>
      </c>
      <c r="D42" s="85">
        <f>SUM(4393+1267)</f>
        <v>5660</v>
      </c>
      <c r="E42" s="85">
        <f>SUM(432+120)</f>
        <v>552</v>
      </c>
      <c r="F42" s="86">
        <f>SUM(D42/E42)</f>
        <v>10.253623188405797</v>
      </c>
      <c r="G42" s="85">
        <v>4</v>
      </c>
      <c r="H42" s="85">
        <v>1</v>
      </c>
      <c r="I42" s="85"/>
      <c r="J42" s="85"/>
      <c r="K42" s="85"/>
      <c r="L42" s="85">
        <v>8</v>
      </c>
      <c r="M42" s="85"/>
    </row>
    <row r="43" spans="1:13" ht="16.5" thickBot="1" x14ac:dyDescent="0.3">
      <c r="A43" s="76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1:13" ht="15" customHeight="1" thickBot="1" x14ac:dyDescent="0.3">
      <c r="A44" s="76"/>
      <c r="B44" s="84" t="s">
        <v>98</v>
      </c>
      <c r="C44" s="83" t="s">
        <v>33</v>
      </c>
      <c r="D44" s="82" t="s">
        <v>34</v>
      </c>
      <c r="E44" s="82" t="s">
        <v>35</v>
      </c>
      <c r="F44" s="82" t="s">
        <v>36</v>
      </c>
      <c r="G44" s="82"/>
      <c r="H44" s="82"/>
      <c r="I44" s="81"/>
      <c r="J44" s="75"/>
      <c r="K44" s="75"/>
      <c r="L44" s="75"/>
      <c r="M44" s="75"/>
    </row>
    <row r="45" spans="1:13" x14ac:dyDescent="0.25">
      <c r="A45" s="76"/>
      <c r="B45" s="78"/>
      <c r="C45" s="76" t="s">
        <v>37</v>
      </c>
      <c r="D45" s="76">
        <v>4</v>
      </c>
      <c r="E45" s="75">
        <v>0</v>
      </c>
      <c r="F45" s="75">
        <v>60</v>
      </c>
      <c r="G45" s="75"/>
      <c r="H45" s="76" t="s">
        <v>38</v>
      </c>
      <c r="I45" s="80" t="s">
        <v>89</v>
      </c>
      <c r="J45" s="75"/>
      <c r="K45" s="80"/>
      <c r="L45" s="75"/>
      <c r="M45" s="75"/>
    </row>
    <row r="46" spans="1:13" x14ac:dyDescent="0.25">
      <c r="A46" s="76"/>
      <c r="B46" s="78"/>
      <c r="C46" s="76" t="s">
        <v>63</v>
      </c>
      <c r="D46" s="76">
        <v>2</v>
      </c>
      <c r="E46" s="76">
        <v>2</v>
      </c>
      <c r="F46" s="76">
        <v>52</v>
      </c>
      <c r="G46" s="75"/>
      <c r="H46" s="76" t="s">
        <v>40</v>
      </c>
      <c r="I46" s="80" t="s">
        <v>97</v>
      </c>
      <c r="J46" s="75"/>
      <c r="K46" s="76"/>
      <c r="L46" s="75"/>
      <c r="M46" s="75"/>
    </row>
    <row r="47" spans="1:13" x14ac:dyDescent="0.25">
      <c r="A47" s="76"/>
      <c r="B47" s="78"/>
      <c r="C47" s="76" t="s">
        <v>42</v>
      </c>
      <c r="D47" s="76">
        <v>2</v>
      </c>
      <c r="E47" s="75">
        <v>2</v>
      </c>
      <c r="F47" s="75">
        <v>50</v>
      </c>
      <c r="G47" s="75"/>
      <c r="H47" s="76" t="s">
        <v>41</v>
      </c>
      <c r="I47" s="80" t="s">
        <v>96</v>
      </c>
      <c r="J47" s="75"/>
      <c r="K47" s="80"/>
      <c r="L47" s="75"/>
      <c r="M47" s="75"/>
    </row>
    <row r="48" spans="1:13" x14ac:dyDescent="0.25">
      <c r="A48" s="75"/>
      <c r="B48" s="78"/>
      <c r="C48" s="76" t="s">
        <v>47</v>
      </c>
      <c r="D48" s="76">
        <v>2</v>
      </c>
      <c r="E48" s="75">
        <v>2</v>
      </c>
      <c r="F48" s="75">
        <v>48</v>
      </c>
      <c r="G48" s="75"/>
      <c r="H48" s="76" t="s">
        <v>43</v>
      </c>
      <c r="I48" s="80" t="s">
        <v>95</v>
      </c>
      <c r="J48" s="75"/>
      <c r="K48" s="76"/>
      <c r="L48" s="75"/>
      <c r="M48" s="75"/>
    </row>
    <row r="49" spans="1:13" ht="18" customHeight="1" x14ac:dyDescent="0.25">
      <c r="A49" s="75"/>
      <c r="B49" s="78"/>
      <c r="C49" s="76" t="s">
        <v>39</v>
      </c>
      <c r="D49" s="76">
        <v>3</v>
      </c>
      <c r="E49" s="75">
        <v>0</v>
      </c>
      <c r="F49" s="75">
        <v>46</v>
      </c>
      <c r="G49" s="75"/>
      <c r="H49" s="76" t="s">
        <v>45</v>
      </c>
      <c r="I49" s="80" t="s">
        <v>86</v>
      </c>
      <c r="J49" s="75"/>
      <c r="K49" s="76"/>
      <c r="L49" s="75"/>
      <c r="M49" s="75"/>
    </row>
    <row r="50" spans="1:13" ht="18" customHeight="1" x14ac:dyDescent="0.25">
      <c r="A50" s="75"/>
      <c r="B50" s="78"/>
      <c r="C50" s="76" t="s">
        <v>48</v>
      </c>
      <c r="D50" s="76">
        <v>1</v>
      </c>
      <c r="E50" s="75">
        <v>3</v>
      </c>
      <c r="F50" s="75">
        <v>43</v>
      </c>
      <c r="G50" s="75"/>
      <c r="H50" s="76" t="s">
        <v>46</v>
      </c>
      <c r="I50" s="79" t="s">
        <v>74</v>
      </c>
      <c r="J50" s="79"/>
      <c r="K50" s="76"/>
      <c r="L50" s="75"/>
      <c r="M50" s="75"/>
    </row>
    <row r="51" spans="1:13" x14ac:dyDescent="0.25">
      <c r="A51" s="75"/>
      <c r="B51" s="78"/>
      <c r="C51" s="76" t="s">
        <v>44</v>
      </c>
      <c r="D51" s="76">
        <v>1</v>
      </c>
      <c r="E51" s="76">
        <v>2</v>
      </c>
      <c r="F51" s="76">
        <v>34</v>
      </c>
      <c r="G51" s="75"/>
      <c r="H51" s="75"/>
      <c r="I51" s="75"/>
      <c r="J51" s="75"/>
      <c r="K51" s="75"/>
      <c r="L51" s="75"/>
      <c r="M51" s="75"/>
    </row>
    <row r="52" spans="1:13" ht="16.5" thickBot="1" x14ac:dyDescent="0.3">
      <c r="A52" s="75"/>
      <c r="B52" s="77"/>
      <c r="C52" s="76" t="s">
        <v>49</v>
      </c>
      <c r="D52" s="76">
        <v>0</v>
      </c>
      <c r="E52" s="76">
        <v>4</v>
      </c>
      <c r="F52" s="76">
        <v>28</v>
      </c>
      <c r="G52" s="75"/>
      <c r="H52" s="75"/>
      <c r="I52" s="75"/>
      <c r="J52" s="75"/>
      <c r="K52" s="75"/>
      <c r="L52" s="75"/>
      <c r="M52" s="75"/>
    </row>
  </sheetData>
  <mergeCells count="2">
    <mergeCell ref="B44:B52"/>
    <mergeCell ref="I50:J5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B1" workbookViewId="0">
      <selection activeCell="C1" sqref="C1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7.710937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51.28515625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6.14062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x14ac:dyDescent="0.3">
      <c r="A2" s="100">
        <v>1</v>
      </c>
      <c r="B2" s="102" t="s">
        <v>5</v>
      </c>
      <c r="C2" s="102" t="s">
        <v>6</v>
      </c>
      <c r="D2" s="100">
        <f>SUM(4345+1503+1501)</f>
        <v>7349</v>
      </c>
      <c r="E2" s="100">
        <f>SUM(244+81+78)</f>
        <v>403</v>
      </c>
      <c r="F2" s="101">
        <f>SUM(D2/E2)</f>
        <v>18.23573200992556</v>
      </c>
      <c r="G2" s="100">
        <v>5</v>
      </c>
      <c r="H2" s="100">
        <v>4</v>
      </c>
      <c r="I2" s="100"/>
      <c r="J2" s="100"/>
      <c r="K2" s="100">
        <v>1</v>
      </c>
      <c r="L2" s="100">
        <v>21.5</v>
      </c>
      <c r="M2" s="100">
        <v>20</v>
      </c>
    </row>
    <row r="3" spans="1:13" ht="18.75" x14ac:dyDescent="0.3">
      <c r="A3" s="100">
        <v>2</v>
      </c>
      <c r="B3" s="102" t="s">
        <v>11</v>
      </c>
      <c r="C3" s="102" t="s">
        <v>6</v>
      </c>
      <c r="D3" s="100">
        <f>SUM(4499+1499+1491)</f>
        <v>7489</v>
      </c>
      <c r="E3" s="100">
        <f>SUM(253+93+80)</f>
        <v>426</v>
      </c>
      <c r="F3" s="101">
        <f>SUM(D3/E3)</f>
        <v>17.579812206572768</v>
      </c>
      <c r="G3" s="100">
        <v>5</v>
      </c>
      <c r="H3" s="100">
        <v>5</v>
      </c>
      <c r="I3" s="100">
        <v>2</v>
      </c>
      <c r="J3" s="100"/>
      <c r="K3" s="100"/>
      <c r="L3" s="100">
        <v>22.5</v>
      </c>
      <c r="M3" s="100">
        <v>30</v>
      </c>
    </row>
    <row r="4" spans="1:13" ht="18.75" x14ac:dyDescent="0.3">
      <c r="A4" s="100">
        <v>3</v>
      </c>
      <c r="B4" s="102" t="s">
        <v>7</v>
      </c>
      <c r="C4" s="102" t="s">
        <v>8</v>
      </c>
      <c r="D4" s="100">
        <f>SUM(4260+1327+1503)</f>
        <v>7090</v>
      </c>
      <c r="E4" s="100">
        <f>SUM(258+90+70)</f>
        <v>418</v>
      </c>
      <c r="F4" s="101">
        <f>SUM(D4/E4)</f>
        <v>16.961722488038276</v>
      </c>
      <c r="G4" s="100">
        <v>5</v>
      </c>
      <c r="H4" s="100">
        <v>3</v>
      </c>
      <c r="I4" s="100"/>
      <c r="J4" s="100"/>
      <c r="K4" s="100"/>
      <c r="L4" s="100">
        <v>18.5</v>
      </c>
      <c r="M4" s="100">
        <v>15</v>
      </c>
    </row>
    <row r="5" spans="1:13" ht="18.75" x14ac:dyDescent="0.3">
      <c r="A5" s="100">
        <v>4</v>
      </c>
      <c r="B5" s="102" t="s">
        <v>12</v>
      </c>
      <c r="C5" s="102" t="s">
        <v>60</v>
      </c>
      <c r="D5" s="100">
        <f>SUM(2996+1503+1503)</f>
        <v>6002</v>
      </c>
      <c r="E5" s="100">
        <f>SUM(199+74+92)</f>
        <v>365</v>
      </c>
      <c r="F5" s="101">
        <f>SUM(D5/E5)</f>
        <v>16.443835616438356</v>
      </c>
      <c r="G5" s="100">
        <v>4</v>
      </c>
      <c r="H5" s="100">
        <v>4</v>
      </c>
      <c r="I5" s="100"/>
      <c r="J5" s="100">
        <v>1</v>
      </c>
      <c r="K5" s="100"/>
      <c r="L5" s="100">
        <v>20</v>
      </c>
      <c r="M5" s="100">
        <v>9</v>
      </c>
    </row>
    <row r="6" spans="1:13" ht="18.75" x14ac:dyDescent="0.3">
      <c r="A6" s="100">
        <v>5</v>
      </c>
      <c r="B6" s="102" t="s">
        <v>59</v>
      </c>
      <c r="C6" s="102" t="s">
        <v>15</v>
      </c>
      <c r="D6" s="100">
        <f>SUM(4240+943+1368)</f>
        <v>6551</v>
      </c>
      <c r="E6" s="100">
        <f>SUM(261+66+73)</f>
        <v>400</v>
      </c>
      <c r="F6" s="101">
        <f>SUM(D6/E6)</f>
        <v>16.377500000000001</v>
      </c>
      <c r="G6" s="100">
        <v>5</v>
      </c>
      <c r="H6" s="100">
        <v>1</v>
      </c>
      <c r="I6" s="100"/>
      <c r="J6" s="100"/>
      <c r="K6" s="100"/>
      <c r="L6" s="100">
        <v>12</v>
      </c>
      <c r="M6" s="100">
        <v>5</v>
      </c>
    </row>
    <row r="7" spans="1:13" ht="18.75" x14ac:dyDescent="0.3">
      <c r="A7" s="100">
        <v>6</v>
      </c>
      <c r="B7" s="102" t="s">
        <v>9</v>
      </c>
      <c r="C7" s="102" t="s">
        <v>10</v>
      </c>
      <c r="D7" s="100">
        <f>SUM(4453+1487+1387)</f>
        <v>7327</v>
      </c>
      <c r="E7" s="100">
        <f>SUM(266+102+81)</f>
        <v>449</v>
      </c>
      <c r="F7" s="101">
        <f>SUM(D7/E7)</f>
        <v>16.318485523385302</v>
      </c>
      <c r="G7" s="100">
        <v>5</v>
      </c>
      <c r="H7" s="100">
        <v>3</v>
      </c>
      <c r="I7" s="100"/>
      <c r="J7" s="100"/>
      <c r="K7" s="100"/>
      <c r="L7" s="100">
        <v>17</v>
      </c>
      <c r="M7" s="100"/>
    </row>
    <row r="8" spans="1:13" ht="18.75" x14ac:dyDescent="0.3">
      <c r="A8" s="100">
        <v>7</v>
      </c>
      <c r="B8" s="102" t="s">
        <v>16</v>
      </c>
      <c r="C8" s="102" t="s">
        <v>17</v>
      </c>
      <c r="D8" s="100">
        <f>SUM(4378+1497+1469)</f>
        <v>7344</v>
      </c>
      <c r="E8" s="100">
        <f>SUM(265+97+103)</f>
        <v>465</v>
      </c>
      <c r="F8" s="101">
        <f>SUM(D8/E8)</f>
        <v>15.793548387096774</v>
      </c>
      <c r="G8" s="100">
        <v>5</v>
      </c>
      <c r="H8" s="100">
        <v>2</v>
      </c>
      <c r="I8" s="100">
        <v>1</v>
      </c>
      <c r="J8" s="100"/>
      <c r="K8" s="100"/>
      <c r="L8" s="100">
        <v>13.5</v>
      </c>
      <c r="M8" s="100">
        <v>15</v>
      </c>
    </row>
    <row r="9" spans="1:13" ht="18.75" x14ac:dyDescent="0.3">
      <c r="A9" s="100">
        <v>8</v>
      </c>
      <c r="B9" s="100" t="s">
        <v>25</v>
      </c>
      <c r="C9" s="102" t="s">
        <v>10</v>
      </c>
      <c r="D9" s="100">
        <f>SUM(4307+1495+1475)</f>
        <v>7277</v>
      </c>
      <c r="E9" s="100">
        <f>SUM(287+93+99)</f>
        <v>479</v>
      </c>
      <c r="F9" s="101">
        <f>SUM(D9/E9)</f>
        <v>15.192066805845512</v>
      </c>
      <c r="G9" s="100">
        <v>5</v>
      </c>
      <c r="H9" s="100">
        <v>3</v>
      </c>
      <c r="I9" s="100"/>
      <c r="J9" s="100"/>
      <c r="K9" s="100"/>
      <c r="L9" s="100">
        <v>18.5</v>
      </c>
      <c r="M9" s="100"/>
    </row>
    <row r="10" spans="1:13" ht="18.75" x14ac:dyDescent="0.3">
      <c r="A10" s="100">
        <v>9</v>
      </c>
      <c r="B10" s="102" t="s">
        <v>13</v>
      </c>
      <c r="C10" s="102" t="s">
        <v>8</v>
      </c>
      <c r="D10" s="100">
        <f>SUM(4458+1498+1499)</f>
        <v>7455</v>
      </c>
      <c r="E10" s="100">
        <f>SUM(305+99+94)</f>
        <v>498</v>
      </c>
      <c r="F10" s="101">
        <f>SUM(D10/E10)</f>
        <v>14.96987951807229</v>
      </c>
      <c r="G10" s="100">
        <v>5</v>
      </c>
      <c r="H10" s="100">
        <v>4</v>
      </c>
      <c r="I10" s="100"/>
      <c r="J10" s="100"/>
      <c r="K10" s="100"/>
      <c r="L10" s="100">
        <v>20</v>
      </c>
      <c r="M10" s="100"/>
    </row>
    <row r="11" spans="1:13" ht="18.75" x14ac:dyDescent="0.3">
      <c r="A11" s="100">
        <v>10</v>
      </c>
      <c r="B11" s="102" t="s">
        <v>31</v>
      </c>
      <c r="C11" s="102" t="s">
        <v>60</v>
      </c>
      <c r="D11" s="100">
        <f>SUM(4180+1503+1503)</f>
        <v>7186</v>
      </c>
      <c r="E11" s="100">
        <f>SUM(270+96+116)</f>
        <v>482</v>
      </c>
      <c r="F11" s="101">
        <f>SUM(D11/E11)</f>
        <v>14.908713692946058</v>
      </c>
      <c r="G11" s="100">
        <v>5</v>
      </c>
      <c r="H11" s="100">
        <v>5</v>
      </c>
      <c r="I11" s="100"/>
      <c r="J11" s="100"/>
      <c r="K11" s="100"/>
      <c r="L11" s="100">
        <v>21</v>
      </c>
      <c r="M11" s="100"/>
    </row>
    <row r="12" spans="1:13" ht="18.75" x14ac:dyDescent="0.3">
      <c r="A12" s="100">
        <v>11</v>
      </c>
      <c r="B12" s="102" t="s">
        <v>53</v>
      </c>
      <c r="C12" s="102" t="s">
        <v>54</v>
      </c>
      <c r="D12" s="100">
        <f>SUM(3962+1414+1297)</f>
        <v>6673</v>
      </c>
      <c r="E12" s="100">
        <f>SUM(264+100+87)</f>
        <v>451</v>
      </c>
      <c r="F12" s="101">
        <f>SUM(D12/E12)</f>
        <v>14.796008869179602</v>
      </c>
      <c r="G12" s="100">
        <v>5</v>
      </c>
      <c r="H12" s="100">
        <v>2</v>
      </c>
      <c r="I12" s="100"/>
      <c r="J12" s="100"/>
      <c r="K12" s="100"/>
      <c r="L12" s="100">
        <v>7.5</v>
      </c>
      <c r="M12" s="100"/>
    </row>
    <row r="13" spans="1:13" ht="18.75" x14ac:dyDescent="0.3">
      <c r="A13" s="100">
        <v>12</v>
      </c>
      <c r="B13" s="102" t="s">
        <v>19</v>
      </c>
      <c r="C13" s="102" t="s">
        <v>20</v>
      </c>
      <c r="D13" s="100">
        <f>SUM(4014+1424+1445)</f>
        <v>6883</v>
      </c>
      <c r="E13" s="100">
        <f>SUM(269+95+107)</f>
        <v>471</v>
      </c>
      <c r="F13" s="101">
        <f>SUM(D13/E13)</f>
        <v>14.613588110403397</v>
      </c>
      <c r="G13" s="100">
        <v>5</v>
      </c>
      <c r="H13" s="100">
        <v>2</v>
      </c>
      <c r="I13" s="100"/>
      <c r="J13" s="100"/>
      <c r="K13" s="100"/>
      <c r="L13" s="100">
        <v>11.5</v>
      </c>
      <c r="M13" s="100">
        <v>5</v>
      </c>
    </row>
    <row r="14" spans="1:13" ht="18.75" x14ac:dyDescent="0.3">
      <c r="A14" s="100">
        <v>13</v>
      </c>
      <c r="B14" s="100" t="s">
        <v>24</v>
      </c>
      <c r="C14" s="102" t="s">
        <v>15</v>
      </c>
      <c r="D14" s="100">
        <f>SUM(4314+1332+1237)</f>
        <v>6883</v>
      </c>
      <c r="E14" s="100">
        <f>SUM(296+95+82)</f>
        <v>473</v>
      </c>
      <c r="F14" s="101">
        <f>SUM(D14/E14)</f>
        <v>14.551797040169133</v>
      </c>
      <c r="G14" s="100">
        <v>5</v>
      </c>
      <c r="H14" s="100">
        <v>2</v>
      </c>
      <c r="I14" s="100"/>
      <c r="J14" s="100"/>
      <c r="K14" s="100"/>
      <c r="L14" s="100">
        <v>13</v>
      </c>
      <c r="M14" s="100">
        <v>5</v>
      </c>
    </row>
    <row r="15" spans="1:13" ht="18.75" x14ac:dyDescent="0.3">
      <c r="A15" s="100">
        <v>14</v>
      </c>
      <c r="B15" s="102" t="s">
        <v>22</v>
      </c>
      <c r="C15" s="102" t="s">
        <v>17</v>
      </c>
      <c r="D15" s="100">
        <f>SUM(4417+1432+1483)</f>
        <v>7332</v>
      </c>
      <c r="E15" s="100">
        <f>SUM(313+95+97)</f>
        <v>505</v>
      </c>
      <c r="F15" s="101">
        <f>SUM(D15/E15)</f>
        <v>14.518811881188119</v>
      </c>
      <c r="G15" s="100">
        <v>5</v>
      </c>
      <c r="H15" s="100">
        <v>3</v>
      </c>
      <c r="I15" s="100"/>
      <c r="J15" s="100"/>
      <c r="K15" s="100"/>
      <c r="L15" s="100">
        <v>17</v>
      </c>
      <c r="M15" s="100"/>
    </row>
    <row r="16" spans="1:13" ht="18.75" x14ac:dyDescent="0.3">
      <c r="A16" s="100">
        <v>15</v>
      </c>
      <c r="B16" s="100" t="s">
        <v>21</v>
      </c>
      <c r="C16" s="102" t="s">
        <v>17</v>
      </c>
      <c r="D16" s="100">
        <f>SUM(3916+1494+1503)</f>
        <v>6913</v>
      </c>
      <c r="E16" s="100">
        <f>SUM(279+100+110)</f>
        <v>489</v>
      </c>
      <c r="F16" s="101">
        <f>SUM(D16/E16)</f>
        <v>14.137014314928425</v>
      </c>
      <c r="G16" s="100">
        <v>5</v>
      </c>
      <c r="H16" s="100">
        <v>2</v>
      </c>
      <c r="I16" s="100"/>
      <c r="J16" s="100"/>
      <c r="K16" s="100"/>
      <c r="L16" s="100">
        <v>13.5</v>
      </c>
      <c r="M16" s="100"/>
    </row>
    <row r="17" spans="1:13" ht="18.75" x14ac:dyDescent="0.3">
      <c r="A17" s="100">
        <v>16</v>
      </c>
      <c r="B17" s="102" t="s">
        <v>32</v>
      </c>
      <c r="C17" s="102" t="s">
        <v>60</v>
      </c>
      <c r="D17" s="100">
        <f>SUM(4179+1391+1460)</f>
        <v>7030</v>
      </c>
      <c r="E17" s="100">
        <f>SUM(276+99+123)</f>
        <v>498</v>
      </c>
      <c r="F17" s="101">
        <f>SUM(D17/E17)</f>
        <v>14.116465863453815</v>
      </c>
      <c r="G17" s="100">
        <v>5</v>
      </c>
      <c r="H17" s="100">
        <v>1</v>
      </c>
      <c r="I17" s="100"/>
      <c r="J17" s="100"/>
      <c r="K17" s="100"/>
      <c r="L17" s="100">
        <v>13.5</v>
      </c>
      <c r="M17" s="100"/>
    </row>
    <row r="18" spans="1:13" ht="18.75" x14ac:dyDescent="0.3">
      <c r="A18" s="100">
        <v>17</v>
      </c>
      <c r="B18" s="102" t="s">
        <v>83</v>
      </c>
      <c r="C18" s="102" t="s">
        <v>20</v>
      </c>
      <c r="D18" s="100">
        <f>SUM(1491+1497)</f>
        <v>2988</v>
      </c>
      <c r="E18" s="100">
        <f>SUM(103+112)</f>
        <v>215</v>
      </c>
      <c r="F18" s="101">
        <f>SUM(D18/E18)</f>
        <v>13.897674418604652</v>
      </c>
      <c r="G18" s="100">
        <v>2</v>
      </c>
      <c r="H18" s="100">
        <v>2</v>
      </c>
      <c r="I18" s="100"/>
      <c r="J18" s="100"/>
      <c r="K18" s="100"/>
      <c r="L18" s="100">
        <v>8</v>
      </c>
      <c r="M18" s="100"/>
    </row>
    <row r="19" spans="1:13" ht="18.75" x14ac:dyDescent="0.3">
      <c r="A19" s="100">
        <v>18</v>
      </c>
      <c r="B19" s="92" t="s">
        <v>92</v>
      </c>
      <c r="C19" s="102" t="s">
        <v>60</v>
      </c>
      <c r="D19" s="100">
        <f>SUM(1340+1503)</f>
        <v>2843</v>
      </c>
      <c r="E19" s="100">
        <f>SUM(111+98)</f>
        <v>209</v>
      </c>
      <c r="F19" s="101">
        <f>SUM(D19/E19)</f>
        <v>13.602870813397129</v>
      </c>
      <c r="G19" s="100">
        <v>2</v>
      </c>
      <c r="H19" s="100">
        <v>1</v>
      </c>
      <c r="I19" s="100"/>
      <c r="J19" s="100"/>
      <c r="K19" s="100"/>
      <c r="L19" s="100">
        <v>4.5</v>
      </c>
      <c r="M19" s="100"/>
    </row>
    <row r="20" spans="1:13" ht="18.75" x14ac:dyDescent="0.3">
      <c r="A20" s="100">
        <v>19</v>
      </c>
      <c r="B20" s="102" t="s">
        <v>50</v>
      </c>
      <c r="C20" s="102" t="s">
        <v>60</v>
      </c>
      <c r="D20" s="100">
        <f>SUM(1462)</f>
        <v>1462</v>
      </c>
      <c r="E20" s="100">
        <f>SUM(111)</f>
        <v>111</v>
      </c>
      <c r="F20" s="101">
        <f>SUM(D20/E20)</f>
        <v>13.171171171171171</v>
      </c>
      <c r="G20" s="100">
        <v>1</v>
      </c>
      <c r="H20" s="100">
        <v>1</v>
      </c>
      <c r="I20" s="100"/>
      <c r="J20" s="100"/>
      <c r="K20" s="100"/>
      <c r="L20" s="100">
        <v>4</v>
      </c>
      <c r="M20" s="100"/>
    </row>
    <row r="21" spans="1:13" ht="18.75" x14ac:dyDescent="0.3">
      <c r="A21" s="100">
        <v>20</v>
      </c>
      <c r="B21" s="102" t="s">
        <v>29</v>
      </c>
      <c r="C21" s="102" t="s">
        <v>17</v>
      </c>
      <c r="D21" s="100">
        <f>SUM(2825+1503+1493)</f>
        <v>5821</v>
      </c>
      <c r="E21" s="100">
        <f>SUM(212+89+141)</f>
        <v>442</v>
      </c>
      <c r="F21" s="101">
        <f>SUM(D21/E21)</f>
        <v>13.169683257918551</v>
      </c>
      <c r="G21" s="100">
        <v>4</v>
      </c>
      <c r="H21" s="100">
        <v>1</v>
      </c>
      <c r="I21" s="100"/>
      <c r="J21" s="100"/>
      <c r="K21" s="100"/>
      <c r="L21" s="100">
        <v>8</v>
      </c>
      <c r="M21" s="100"/>
    </row>
    <row r="22" spans="1:13" ht="18.75" x14ac:dyDescent="0.3">
      <c r="A22" s="100">
        <v>21</v>
      </c>
      <c r="B22" s="102" t="s">
        <v>23</v>
      </c>
      <c r="C22" s="102" t="s">
        <v>20</v>
      </c>
      <c r="D22" s="100">
        <f>SUM(4015+1501)</f>
        <v>5516</v>
      </c>
      <c r="E22" s="100">
        <f>SUM(279+142)</f>
        <v>421</v>
      </c>
      <c r="F22" s="101">
        <f>SUM(D22/E22)</f>
        <v>13.102137767220903</v>
      </c>
      <c r="G22" s="100">
        <v>4</v>
      </c>
      <c r="H22" s="100">
        <v>1</v>
      </c>
      <c r="I22" s="100">
        <v>1</v>
      </c>
      <c r="J22" s="100"/>
      <c r="K22" s="100"/>
      <c r="L22" s="100">
        <v>5.5</v>
      </c>
      <c r="M22" s="100">
        <v>10</v>
      </c>
    </row>
    <row r="23" spans="1:13" ht="18.75" x14ac:dyDescent="0.3">
      <c r="A23" s="100">
        <v>22</v>
      </c>
      <c r="B23" s="102" t="s">
        <v>94</v>
      </c>
      <c r="C23" s="102" t="s">
        <v>10</v>
      </c>
      <c r="D23" s="100">
        <f>SUM(1503+1225+1463)</f>
        <v>4191</v>
      </c>
      <c r="E23" s="100">
        <f>SUM(114+97+115)</f>
        <v>326</v>
      </c>
      <c r="F23" s="101">
        <f>SUM(D23/E23)</f>
        <v>12.855828220858896</v>
      </c>
      <c r="G23" s="100">
        <v>3</v>
      </c>
      <c r="H23" s="100">
        <v>2</v>
      </c>
      <c r="I23" s="100"/>
      <c r="J23" s="100"/>
      <c r="K23" s="100"/>
      <c r="L23" s="100">
        <v>10.5</v>
      </c>
      <c r="M23" s="100"/>
    </row>
    <row r="24" spans="1:13" ht="18.75" x14ac:dyDescent="0.3">
      <c r="A24" s="100">
        <v>23</v>
      </c>
      <c r="B24" s="102" t="s">
        <v>18</v>
      </c>
      <c r="C24" s="102" t="s">
        <v>8</v>
      </c>
      <c r="D24" s="100">
        <f>SUM(2974+877)</f>
        <v>3851</v>
      </c>
      <c r="E24" s="100">
        <f>SUM(230+75)</f>
        <v>305</v>
      </c>
      <c r="F24" s="101">
        <f>SUM(D24/E24)</f>
        <v>12.626229508196721</v>
      </c>
      <c r="G24" s="100">
        <v>3</v>
      </c>
      <c r="H24" s="100">
        <v>2</v>
      </c>
      <c r="I24" s="100"/>
      <c r="J24" s="100"/>
      <c r="K24" s="100"/>
      <c r="L24" s="100">
        <v>11.5</v>
      </c>
      <c r="M24" s="100"/>
    </row>
    <row r="25" spans="1:13" ht="18.75" x14ac:dyDescent="0.3">
      <c r="A25" s="100">
        <v>24</v>
      </c>
      <c r="B25" s="102" t="s">
        <v>56</v>
      </c>
      <c r="C25" s="102" t="s">
        <v>54</v>
      </c>
      <c r="D25" s="100">
        <f>SUM(4033+1323+1359)</f>
        <v>6715</v>
      </c>
      <c r="E25" s="100">
        <f>SUM(304+111+117)</f>
        <v>532</v>
      </c>
      <c r="F25" s="101">
        <f>SUM(D25/E25)</f>
        <v>12.62218045112782</v>
      </c>
      <c r="G25" s="100">
        <v>5</v>
      </c>
      <c r="H25" s="100">
        <v>0</v>
      </c>
      <c r="I25" s="100"/>
      <c r="J25" s="100"/>
      <c r="K25" s="100"/>
      <c r="L25" s="100">
        <v>5.5</v>
      </c>
      <c r="M25" s="100"/>
    </row>
    <row r="26" spans="1:13" ht="18.75" x14ac:dyDescent="0.3">
      <c r="A26" s="100">
        <v>25</v>
      </c>
      <c r="B26" s="102" t="s">
        <v>28</v>
      </c>
      <c r="C26" s="102" t="s">
        <v>6</v>
      </c>
      <c r="D26" s="100">
        <f>SUM(2923)</f>
        <v>2923</v>
      </c>
      <c r="E26" s="100">
        <f>SUM(232)</f>
        <v>232</v>
      </c>
      <c r="F26" s="101">
        <f>SUM(D26/E26)</f>
        <v>12.599137931034482</v>
      </c>
      <c r="G26" s="100">
        <v>2</v>
      </c>
      <c r="H26" s="100">
        <v>0</v>
      </c>
      <c r="I26" s="100">
        <v>1</v>
      </c>
      <c r="J26" s="100"/>
      <c r="K26" s="100"/>
      <c r="L26" s="100">
        <v>4.5</v>
      </c>
      <c r="M26" s="100">
        <v>10</v>
      </c>
    </row>
    <row r="27" spans="1:13" ht="18.75" x14ac:dyDescent="0.3">
      <c r="A27" s="100">
        <v>26</v>
      </c>
      <c r="B27" s="102" t="s">
        <v>52</v>
      </c>
      <c r="C27" s="102" t="s">
        <v>20</v>
      </c>
      <c r="D27" s="100">
        <f>SUM(4464+1503+1432)</f>
        <v>7399</v>
      </c>
      <c r="E27" s="100">
        <f>SUM(372+122+97)</f>
        <v>591</v>
      </c>
      <c r="F27" s="101">
        <f>SUM(D27/E27)</f>
        <v>12.519458544839255</v>
      </c>
      <c r="G27" s="100">
        <v>5</v>
      </c>
      <c r="H27" s="100">
        <v>3</v>
      </c>
      <c r="I27" s="100"/>
      <c r="J27" s="100"/>
      <c r="K27" s="100"/>
      <c r="L27" s="100">
        <v>17</v>
      </c>
      <c r="M27" s="100"/>
    </row>
    <row r="28" spans="1:13" ht="18.75" x14ac:dyDescent="0.3">
      <c r="A28" s="100">
        <v>27</v>
      </c>
      <c r="B28" s="102" t="s">
        <v>82</v>
      </c>
      <c r="C28" s="102" t="s">
        <v>15</v>
      </c>
      <c r="D28" s="100">
        <f>SUM(1503+1483)</f>
        <v>2986</v>
      </c>
      <c r="E28" s="100">
        <f>SUM(105+135)</f>
        <v>240</v>
      </c>
      <c r="F28" s="101">
        <f>SUM(D28/E28)</f>
        <v>12.441666666666666</v>
      </c>
      <c r="G28" s="100">
        <v>2</v>
      </c>
      <c r="H28" s="100">
        <v>2</v>
      </c>
      <c r="I28" s="100"/>
      <c r="J28" s="100"/>
      <c r="K28" s="100"/>
      <c r="L28" s="100">
        <v>5.5</v>
      </c>
      <c r="M28" s="100"/>
    </row>
    <row r="29" spans="1:13" ht="18.75" x14ac:dyDescent="0.3">
      <c r="A29" s="100">
        <v>28</v>
      </c>
      <c r="B29" s="102" t="s">
        <v>14</v>
      </c>
      <c r="C29" s="102" t="s">
        <v>15</v>
      </c>
      <c r="D29" s="100">
        <f>SUM(4418+1300)</f>
        <v>5718</v>
      </c>
      <c r="E29" s="100">
        <f>SUM(337+123)</f>
        <v>460</v>
      </c>
      <c r="F29" s="101">
        <f>SUM(D29/E29)</f>
        <v>12.430434782608696</v>
      </c>
      <c r="G29" s="100">
        <v>4</v>
      </c>
      <c r="H29" s="100">
        <v>2</v>
      </c>
      <c r="I29" s="100"/>
      <c r="J29" s="100"/>
      <c r="K29" s="100"/>
      <c r="L29" s="100">
        <v>9.5</v>
      </c>
      <c r="M29" s="100"/>
    </row>
    <row r="30" spans="1:13" ht="18.75" x14ac:dyDescent="0.3">
      <c r="A30" s="100">
        <v>29</v>
      </c>
      <c r="B30" s="102" t="s">
        <v>93</v>
      </c>
      <c r="C30" s="102" t="s">
        <v>15</v>
      </c>
      <c r="D30" s="100">
        <f>SUM(1208+1312)</f>
        <v>2520</v>
      </c>
      <c r="E30" s="100">
        <f>SUM(93+114)</f>
        <v>207</v>
      </c>
      <c r="F30" s="101">
        <f>SUM(D30/E30)</f>
        <v>12.173913043478262</v>
      </c>
      <c r="G30" s="100">
        <v>2</v>
      </c>
      <c r="H30" s="100">
        <v>0</v>
      </c>
      <c r="I30" s="100"/>
      <c r="J30" s="100"/>
      <c r="K30" s="100"/>
      <c r="L30" s="100">
        <v>0.5</v>
      </c>
      <c r="M30" s="100"/>
    </row>
    <row r="31" spans="1:13" ht="18.75" x14ac:dyDescent="0.3">
      <c r="A31" s="100">
        <v>30</v>
      </c>
      <c r="B31" s="102" t="s">
        <v>81</v>
      </c>
      <c r="C31" s="102" t="s">
        <v>8</v>
      </c>
      <c r="D31" s="100">
        <f>SUM(1456+1499)</f>
        <v>2955</v>
      </c>
      <c r="E31" s="100">
        <f>SUM(107+138)</f>
        <v>245</v>
      </c>
      <c r="F31" s="101">
        <f>SUM(D31/E31)</f>
        <v>12.061224489795919</v>
      </c>
      <c r="G31" s="100">
        <v>2</v>
      </c>
      <c r="H31" s="100">
        <v>1</v>
      </c>
      <c r="I31" s="100"/>
      <c r="J31" s="100"/>
      <c r="K31" s="100"/>
      <c r="L31" s="100">
        <v>7</v>
      </c>
      <c r="M31" s="100"/>
    </row>
    <row r="32" spans="1:13" ht="18.75" x14ac:dyDescent="0.3">
      <c r="A32" s="100">
        <v>31</v>
      </c>
      <c r="B32" s="102" t="s">
        <v>80</v>
      </c>
      <c r="C32" s="102" t="s">
        <v>17</v>
      </c>
      <c r="D32" s="100">
        <f>SUM(1503)</f>
        <v>1503</v>
      </c>
      <c r="E32" s="100">
        <f>SUM(125)</f>
        <v>125</v>
      </c>
      <c r="F32" s="101">
        <f>SUM(D32/E32)</f>
        <v>12.023999999999999</v>
      </c>
      <c r="G32" s="100">
        <v>1</v>
      </c>
      <c r="H32" s="100">
        <v>1</v>
      </c>
      <c r="I32" s="100"/>
      <c r="J32" s="100"/>
      <c r="K32" s="100"/>
      <c r="L32" s="100">
        <v>5</v>
      </c>
      <c r="M32" s="100"/>
    </row>
    <row r="33" spans="1:13" ht="18.75" x14ac:dyDescent="0.3">
      <c r="A33" s="100">
        <v>32</v>
      </c>
      <c r="B33" s="100" t="s">
        <v>27</v>
      </c>
      <c r="C33" s="102" t="s">
        <v>10</v>
      </c>
      <c r="D33" s="100">
        <f>SUM(4296+1328+1494)</f>
        <v>7118</v>
      </c>
      <c r="E33" s="100">
        <f>SUM(372+84+136)</f>
        <v>592</v>
      </c>
      <c r="F33" s="101">
        <f>SUM(D33/E33)</f>
        <v>12.023648648648649</v>
      </c>
      <c r="G33" s="100">
        <v>5</v>
      </c>
      <c r="H33" s="100">
        <v>2</v>
      </c>
      <c r="I33" s="100"/>
      <c r="J33" s="100"/>
      <c r="K33" s="100"/>
      <c r="L33" s="100">
        <v>16.5</v>
      </c>
      <c r="M33" s="100">
        <v>5</v>
      </c>
    </row>
    <row r="34" spans="1:13" ht="18.75" x14ac:dyDescent="0.3">
      <c r="A34" s="100">
        <v>33</v>
      </c>
      <c r="B34" s="102" t="s">
        <v>91</v>
      </c>
      <c r="C34" s="102" t="s">
        <v>6</v>
      </c>
      <c r="D34" s="100">
        <f>SUM(1496+1347+1501)</f>
        <v>4344</v>
      </c>
      <c r="E34" s="100">
        <f>SUM(127+116+121)</f>
        <v>364</v>
      </c>
      <c r="F34" s="101">
        <f>SUM(D34/E34)</f>
        <v>11.934065934065934</v>
      </c>
      <c r="G34" s="100">
        <v>3</v>
      </c>
      <c r="H34" s="100">
        <v>2</v>
      </c>
      <c r="I34" s="100"/>
      <c r="J34" s="100"/>
      <c r="K34" s="100"/>
      <c r="L34" s="100">
        <v>12.5</v>
      </c>
      <c r="M34" s="100"/>
    </row>
    <row r="35" spans="1:13" ht="18.75" x14ac:dyDescent="0.3">
      <c r="A35" s="100">
        <v>34</v>
      </c>
      <c r="B35" s="102" t="s">
        <v>51</v>
      </c>
      <c r="C35" s="102" t="s">
        <v>20</v>
      </c>
      <c r="D35" s="100">
        <f>SUM(2846+1454+1168)</f>
        <v>5468</v>
      </c>
      <c r="E35" s="100">
        <f>SUM(250+115+105)</f>
        <v>470</v>
      </c>
      <c r="F35" s="101">
        <f>SUM(D35/E35)</f>
        <v>11.63404255319149</v>
      </c>
      <c r="G35" s="100">
        <v>4</v>
      </c>
      <c r="H35" s="100">
        <v>1</v>
      </c>
      <c r="I35" s="100"/>
      <c r="J35" s="100"/>
      <c r="K35" s="100"/>
      <c r="L35" s="100">
        <v>7</v>
      </c>
      <c r="M35" s="100"/>
    </row>
    <row r="36" spans="1:13" ht="18.75" x14ac:dyDescent="0.3">
      <c r="A36" s="100">
        <v>35</v>
      </c>
      <c r="B36" s="102" t="s">
        <v>61</v>
      </c>
      <c r="C36" s="102" t="s">
        <v>6</v>
      </c>
      <c r="D36" s="100">
        <f>SUM(4453+1501+1503)</f>
        <v>7457</v>
      </c>
      <c r="E36" s="100">
        <f>SUM(394+142+114)</f>
        <v>650</v>
      </c>
      <c r="F36" s="101">
        <f>SUM(D36/E36)</f>
        <v>11.472307692307693</v>
      </c>
      <c r="G36" s="100">
        <v>5</v>
      </c>
      <c r="H36" s="100">
        <v>4</v>
      </c>
      <c r="I36" s="100"/>
      <c r="J36" s="100"/>
      <c r="K36" s="100"/>
      <c r="L36" s="100">
        <v>20</v>
      </c>
      <c r="M36" s="100">
        <v>5</v>
      </c>
    </row>
    <row r="37" spans="1:13" ht="18.75" x14ac:dyDescent="0.3">
      <c r="A37" s="100">
        <v>36</v>
      </c>
      <c r="B37" s="102" t="s">
        <v>57</v>
      </c>
      <c r="C37" s="102" t="s">
        <v>15</v>
      </c>
      <c r="D37" s="100">
        <f>SUM(1259+1503)</f>
        <v>2762</v>
      </c>
      <c r="E37" s="100">
        <f>SUM(102+139)</f>
        <v>241</v>
      </c>
      <c r="F37" s="101">
        <f>SUM(D37/E37)</f>
        <v>11.460580912863071</v>
      </c>
      <c r="G37" s="100">
        <v>2</v>
      </c>
      <c r="H37" s="100">
        <v>1</v>
      </c>
      <c r="I37" s="100"/>
      <c r="J37" s="100"/>
      <c r="K37" s="100"/>
      <c r="L37" s="100">
        <v>4</v>
      </c>
      <c r="M37" s="100"/>
    </row>
    <row r="38" spans="1:13" ht="18.75" x14ac:dyDescent="0.3">
      <c r="A38" s="100">
        <v>37</v>
      </c>
      <c r="B38" s="102" t="s">
        <v>79</v>
      </c>
      <c r="C38" s="102" t="s">
        <v>60</v>
      </c>
      <c r="D38" s="100">
        <f>SUM(2822+1492)</f>
        <v>4314</v>
      </c>
      <c r="E38" s="100">
        <f>SUM(261+118)</f>
        <v>379</v>
      </c>
      <c r="F38" s="101">
        <f>SUM(D38/E38)</f>
        <v>11.382585751978892</v>
      </c>
      <c r="G38" s="100">
        <v>3</v>
      </c>
      <c r="H38" s="100">
        <v>1</v>
      </c>
      <c r="I38" s="100"/>
      <c r="J38" s="100"/>
      <c r="K38" s="100"/>
      <c r="L38" s="100">
        <v>9</v>
      </c>
      <c r="M38" s="100"/>
    </row>
    <row r="39" spans="1:13" ht="18.75" x14ac:dyDescent="0.3">
      <c r="A39" s="100">
        <v>38</v>
      </c>
      <c r="B39" s="102" t="s">
        <v>55</v>
      </c>
      <c r="C39" s="102" t="s">
        <v>54</v>
      </c>
      <c r="D39" s="100">
        <f>SUM(4065+1275+1469)</f>
        <v>6809</v>
      </c>
      <c r="E39" s="100">
        <f>SUM(355+120+124)</f>
        <v>599</v>
      </c>
      <c r="F39" s="101">
        <f>SUM(D39/E39)</f>
        <v>11.367278797996661</v>
      </c>
      <c r="G39" s="100">
        <v>5</v>
      </c>
      <c r="H39" s="100">
        <v>1</v>
      </c>
      <c r="I39" s="100"/>
      <c r="J39" s="100"/>
      <c r="K39" s="100"/>
      <c r="L39" s="100">
        <v>7.5</v>
      </c>
      <c r="M39" s="100"/>
    </row>
    <row r="40" spans="1:13" ht="18.75" x14ac:dyDescent="0.3">
      <c r="A40" s="100">
        <v>39</v>
      </c>
      <c r="B40" s="102" t="s">
        <v>58</v>
      </c>
      <c r="C40" s="102" t="s">
        <v>54</v>
      </c>
      <c r="D40" s="100">
        <f>SUM(4183+1360+1165)</f>
        <v>6708</v>
      </c>
      <c r="E40" s="100">
        <f>SUM(385+117+96)</f>
        <v>598</v>
      </c>
      <c r="F40" s="101">
        <f>SUM(D40/E40)</f>
        <v>11.217391304347826</v>
      </c>
      <c r="G40" s="100">
        <v>5</v>
      </c>
      <c r="H40" s="100">
        <v>1</v>
      </c>
      <c r="I40" s="100"/>
      <c r="J40" s="100"/>
      <c r="K40" s="100"/>
      <c r="L40" s="100">
        <v>8.5</v>
      </c>
      <c r="M40" s="100"/>
    </row>
    <row r="41" spans="1:13" ht="18.75" x14ac:dyDescent="0.3">
      <c r="A41" s="100">
        <v>40</v>
      </c>
      <c r="B41" s="102" t="s">
        <v>26</v>
      </c>
      <c r="C41" s="102" t="s">
        <v>10</v>
      </c>
      <c r="D41" s="100">
        <f>SUM(2859)</f>
        <v>2859</v>
      </c>
      <c r="E41" s="100">
        <f>SUM(255)</f>
        <v>255</v>
      </c>
      <c r="F41" s="101">
        <f>SUM(D41/E41)</f>
        <v>11.211764705882352</v>
      </c>
      <c r="G41" s="100">
        <v>2</v>
      </c>
      <c r="H41" s="100">
        <v>0</v>
      </c>
      <c r="I41" s="100"/>
      <c r="J41" s="100"/>
      <c r="K41" s="100"/>
      <c r="L41" s="100">
        <v>4.5</v>
      </c>
      <c r="M41" s="100"/>
    </row>
    <row r="42" spans="1:13" ht="18.75" x14ac:dyDescent="0.3">
      <c r="A42" s="100">
        <v>41</v>
      </c>
      <c r="B42" s="102" t="s">
        <v>30</v>
      </c>
      <c r="C42" s="102" t="s">
        <v>8</v>
      </c>
      <c r="D42" s="100">
        <f>SUM(4393+1267+1402)</f>
        <v>7062</v>
      </c>
      <c r="E42" s="100">
        <f>SUM(432+120+135)</f>
        <v>687</v>
      </c>
      <c r="F42" s="101">
        <f>SUM(D42/E42)</f>
        <v>10.279475982532752</v>
      </c>
      <c r="G42" s="100">
        <v>5</v>
      </c>
      <c r="H42" s="100">
        <v>1</v>
      </c>
      <c r="I42" s="100"/>
      <c r="J42" s="100"/>
      <c r="K42" s="100"/>
      <c r="L42" s="100">
        <v>11</v>
      </c>
      <c r="M42" s="100"/>
    </row>
    <row r="43" spans="1:13" ht="19.5" thickBot="1" x14ac:dyDescent="0.35">
      <c r="A43" s="92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</row>
    <row r="44" spans="1:13" ht="15" customHeight="1" thickBot="1" x14ac:dyDescent="0.35">
      <c r="A44" s="92"/>
      <c r="B44" s="99" t="s">
        <v>103</v>
      </c>
      <c r="C44" s="98" t="s">
        <v>33</v>
      </c>
      <c r="D44" s="97" t="s">
        <v>34</v>
      </c>
      <c r="E44" s="97" t="s">
        <v>35</v>
      </c>
      <c r="F44" s="97" t="s">
        <v>36</v>
      </c>
      <c r="G44" s="97"/>
      <c r="H44" s="97"/>
      <c r="I44" s="96"/>
      <c r="J44" s="91"/>
      <c r="K44" s="91"/>
      <c r="L44" s="91"/>
      <c r="M44" s="91"/>
    </row>
    <row r="45" spans="1:13" ht="18.75" x14ac:dyDescent="0.3">
      <c r="A45" s="92"/>
      <c r="B45" s="93"/>
      <c r="C45" s="92" t="s">
        <v>39</v>
      </c>
      <c r="D45" s="92">
        <v>5</v>
      </c>
      <c r="E45" s="91">
        <v>0</v>
      </c>
      <c r="F45" s="91">
        <v>82</v>
      </c>
      <c r="G45" s="91"/>
      <c r="H45" s="92" t="s">
        <v>38</v>
      </c>
      <c r="I45" s="95" t="s">
        <v>102</v>
      </c>
      <c r="J45" s="91"/>
      <c r="K45" s="95"/>
      <c r="L45" s="91"/>
      <c r="M45" s="91"/>
    </row>
    <row r="46" spans="1:13" ht="18.75" x14ac:dyDescent="0.3">
      <c r="A46" s="92"/>
      <c r="B46" s="93"/>
      <c r="C46" s="92" t="s">
        <v>63</v>
      </c>
      <c r="D46" s="92">
        <v>3</v>
      </c>
      <c r="E46" s="92">
        <v>2</v>
      </c>
      <c r="F46" s="92">
        <v>72</v>
      </c>
      <c r="G46" s="91"/>
      <c r="H46" s="92" t="s">
        <v>40</v>
      </c>
      <c r="I46" s="95" t="s">
        <v>101</v>
      </c>
      <c r="J46" s="91"/>
      <c r="K46" s="92"/>
      <c r="L46" s="91"/>
      <c r="M46" s="91"/>
    </row>
    <row r="47" spans="1:13" ht="18.75" x14ac:dyDescent="0.3">
      <c r="A47" s="92"/>
      <c r="B47" s="93"/>
      <c r="C47" s="92" t="s">
        <v>37</v>
      </c>
      <c r="D47" s="92">
        <v>4</v>
      </c>
      <c r="E47" s="91">
        <v>1</v>
      </c>
      <c r="F47" s="91">
        <v>67</v>
      </c>
      <c r="G47" s="91"/>
      <c r="H47" s="92" t="s">
        <v>41</v>
      </c>
      <c r="I47" s="95" t="s">
        <v>100</v>
      </c>
      <c r="J47" s="91"/>
      <c r="K47" s="95"/>
      <c r="L47" s="91"/>
      <c r="M47" s="91"/>
    </row>
    <row r="48" spans="1:13" ht="18.75" x14ac:dyDescent="0.3">
      <c r="A48" s="91"/>
      <c r="B48" s="93"/>
      <c r="C48" s="92" t="s">
        <v>42</v>
      </c>
      <c r="D48" s="92">
        <v>3</v>
      </c>
      <c r="E48" s="91">
        <v>2</v>
      </c>
      <c r="F48" s="91">
        <v>67</v>
      </c>
      <c r="G48" s="91"/>
      <c r="H48" s="92" t="s">
        <v>43</v>
      </c>
      <c r="I48" s="95" t="s">
        <v>99</v>
      </c>
      <c r="J48" s="91"/>
      <c r="K48" s="92"/>
      <c r="L48" s="91"/>
      <c r="M48" s="91"/>
    </row>
    <row r="49" spans="1:13" ht="18" customHeight="1" x14ac:dyDescent="0.3">
      <c r="A49" s="91"/>
      <c r="B49" s="93"/>
      <c r="C49" s="92" t="s">
        <v>47</v>
      </c>
      <c r="D49" s="92">
        <v>3</v>
      </c>
      <c r="E49" s="91">
        <v>2</v>
      </c>
      <c r="F49" s="91">
        <v>65</v>
      </c>
      <c r="G49" s="91"/>
      <c r="H49" s="92" t="s">
        <v>45</v>
      </c>
      <c r="I49" s="95" t="s">
        <v>86</v>
      </c>
      <c r="J49" s="91"/>
      <c r="K49" s="92"/>
      <c r="L49" s="91"/>
      <c r="M49" s="91"/>
    </row>
    <row r="50" spans="1:13" ht="18" customHeight="1" x14ac:dyDescent="0.3">
      <c r="A50" s="91"/>
      <c r="B50" s="93"/>
      <c r="C50" s="92" t="s">
        <v>48</v>
      </c>
      <c r="D50" s="92">
        <v>1</v>
      </c>
      <c r="E50" s="91">
        <v>4</v>
      </c>
      <c r="F50" s="91">
        <v>50</v>
      </c>
      <c r="G50" s="91"/>
      <c r="H50" s="92" t="s">
        <v>46</v>
      </c>
      <c r="I50" s="94" t="s">
        <v>99</v>
      </c>
      <c r="J50" s="94"/>
      <c r="K50" s="92"/>
      <c r="L50" s="91"/>
      <c r="M50" s="91"/>
    </row>
    <row r="51" spans="1:13" ht="18.75" x14ac:dyDescent="0.3">
      <c r="A51" s="91"/>
      <c r="B51" s="93"/>
      <c r="C51" s="92" t="s">
        <v>44</v>
      </c>
      <c r="D51" s="92">
        <v>1</v>
      </c>
      <c r="E51" s="92">
        <v>4</v>
      </c>
      <c r="F51" s="92">
        <v>46</v>
      </c>
      <c r="G51" s="91"/>
      <c r="H51" s="91"/>
      <c r="I51" s="91"/>
      <c r="J51" s="91"/>
      <c r="K51" s="91"/>
      <c r="L51" s="91"/>
      <c r="M51" s="91"/>
    </row>
    <row r="52" spans="1:13" ht="18.75" x14ac:dyDescent="0.3">
      <c r="A52" s="91"/>
      <c r="B52" s="93"/>
      <c r="C52" s="92" t="s">
        <v>49</v>
      </c>
      <c r="D52" s="92">
        <v>0</v>
      </c>
      <c r="E52" s="92">
        <v>5</v>
      </c>
      <c r="F52" s="92">
        <v>32</v>
      </c>
      <c r="G52" s="91"/>
      <c r="H52" s="91"/>
      <c r="I52" s="91"/>
      <c r="J52" s="91"/>
      <c r="K52" s="91"/>
      <c r="L52" s="91"/>
      <c r="M52" s="91"/>
    </row>
  </sheetData>
  <mergeCells count="2">
    <mergeCell ref="B44:B52"/>
    <mergeCell ref="I50:J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C7" sqref="C7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7.710937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63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10.2851562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x14ac:dyDescent="0.3">
      <c r="A2" s="100">
        <v>1</v>
      </c>
      <c r="B2" s="102" t="s">
        <v>5</v>
      </c>
      <c r="C2" s="102" t="s">
        <v>6</v>
      </c>
      <c r="D2" s="100">
        <f>SUM(4345+1503+1501+1503)</f>
        <v>8852</v>
      </c>
      <c r="E2" s="100">
        <f>SUM(244+81+78+89)</f>
        <v>492</v>
      </c>
      <c r="F2" s="101">
        <f>SUM(D2/E2)</f>
        <v>17.991869918699187</v>
      </c>
      <c r="G2" s="100">
        <v>6</v>
      </c>
      <c r="H2" s="100">
        <v>5</v>
      </c>
      <c r="I2" s="100"/>
      <c r="J2" s="100"/>
      <c r="K2" s="100">
        <v>1</v>
      </c>
      <c r="L2" s="100">
        <v>27</v>
      </c>
      <c r="M2" s="105">
        <v>20</v>
      </c>
    </row>
    <row r="3" spans="1:13" ht="18.75" x14ac:dyDescent="0.3">
      <c r="A3" s="100">
        <v>2</v>
      </c>
      <c r="B3" s="102" t="s">
        <v>7</v>
      </c>
      <c r="C3" s="102" t="s">
        <v>8</v>
      </c>
      <c r="D3" s="100">
        <f>SUM(4260+1327+1503+1481)</f>
        <v>8571</v>
      </c>
      <c r="E3" s="100">
        <f>SUM(258+90+70+75)</f>
        <v>493</v>
      </c>
      <c r="F3" s="101">
        <f>SUM(D3/E3)</f>
        <v>17.385395537525355</v>
      </c>
      <c r="G3" s="100">
        <v>6</v>
      </c>
      <c r="H3" s="100">
        <v>3</v>
      </c>
      <c r="I3" s="100"/>
      <c r="J3" s="100"/>
      <c r="K3" s="100"/>
      <c r="L3" s="100">
        <v>20.5</v>
      </c>
      <c r="M3" s="105">
        <v>15</v>
      </c>
    </row>
    <row r="4" spans="1:13" ht="18.75" x14ac:dyDescent="0.3">
      <c r="A4" s="100">
        <v>3</v>
      </c>
      <c r="B4" s="102" t="s">
        <v>11</v>
      </c>
      <c r="C4" s="102" t="s">
        <v>6</v>
      </c>
      <c r="D4" s="100">
        <f>SUM(4499+1499+1491+1499)</f>
        <v>8988</v>
      </c>
      <c r="E4" s="100">
        <f>SUM(253+93+80+93)</f>
        <v>519</v>
      </c>
      <c r="F4" s="101">
        <f>SUM(D4/E4)</f>
        <v>17.317919075144509</v>
      </c>
      <c r="G4" s="100">
        <v>6</v>
      </c>
      <c r="H4" s="100">
        <v>6</v>
      </c>
      <c r="I4" s="100">
        <v>2</v>
      </c>
      <c r="J4" s="100"/>
      <c r="K4" s="100"/>
      <c r="L4" s="100">
        <v>27.5</v>
      </c>
      <c r="M4" s="105">
        <v>30</v>
      </c>
    </row>
    <row r="5" spans="1:13" ht="18.75" x14ac:dyDescent="0.3">
      <c r="A5" s="100">
        <v>4</v>
      </c>
      <c r="B5" s="102" t="s">
        <v>16</v>
      </c>
      <c r="C5" s="102" t="s">
        <v>17</v>
      </c>
      <c r="D5" s="100">
        <f>SUM(4378+1497+1469+1463)</f>
        <v>8807</v>
      </c>
      <c r="E5" s="100">
        <f>SUM(265+97+103+73)</f>
        <v>538</v>
      </c>
      <c r="F5" s="101">
        <f>SUM(D5/E5)</f>
        <v>16.369888475836433</v>
      </c>
      <c r="G5" s="100">
        <v>6</v>
      </c>
      <c r="H5" s="100">
        <v>3</v>
      </c>
      <c r="I5" s="100">
        <v>1</v>
      </c>
      <c r="J5" s="100"/>
      <c r="K5" s="100"/>
      <c r="L5" s="100">
        <v>17.5</v>
      </c>
      <c r="M5" s="105">
        <v>20</v>
      </c>
    </row>
    <row r="6" spans="1:13" ht="18.75" x14ac:dyDescent="0.3">
      <c r="A6" s="100">
        <v>5</v>
      </c>
      <c r="B6" s="102" t="s">
        <v>9</v>
      </c>
      <c r="C6" s="102" t="s">
        <v>10</v>
      </c>
      <c r="D6" s="100">
        <f>SUM(4453+1487+1387+1473)</f>
        <v>8800</v>
      </c>
      <c r="E6" s="100">
        <f>SUM(266+102+81+93)</f>
        <v>542</v>
      </c>
      <c r="F6" s="101">
        <f>SUM(D6/E6)</f>
        <v>16.236162361623617</v>
      </c>
      <c r="G6" s="100">
        <v>6</v>
      </c>
      <c r="H6" s="100">
        <v>3</v>
      </c>
      <c r="I6" s="100"/>
      <c r="J6" s="100"/>
      <c r="K6" s="100"/>
      <c r="L6" s="100">
        <v>20</v>
      </c>
      <c r="M6" s="105"/>
    </row>
    <row r="7" spans="1:13" ht="18.75" x14ac:dyDescent="0.3">
      <c r="A7" s="100">
        <v>6</v>
      </c>
      <c r="B7" s="102" t="s">
        <v>59</v>
      </c>
      <c r="C7" s="102" t="s">
        <v>15</v>
      </c>
      <c r="D7" s="100">
        <f>SUM(4240+943+1368+1499)</f>
        <v>8050</v>
      </c>
      <c r="E7" s="100">
        <f>SUM(261+66+73+96)</f>
        <v>496</v>
      </c>
      <c r="F7" s="101">
        <f>SUM(D7/E7)</f>
        <v>16.22983870967742</v>
      </c>
      <c r="G7" s="100">
        <v>6</v>
      </c>
      <c r="H7" s="100">
        <v>2</v>
      </c>
      <c r="I7" s="100"/>
      <c r="J7" s="100"/>
      <c r="K7" s="100"/>
      <c r="L7" s="100">
        <v>15</v>
      </c>
      <c r="M7" s="105">
        <v>5</v>
      </c>
    </row>
    <row r="8" spans="1:13" ht="18.75" x14ac:dyDescent="0.3">
      <c r="A8" s="100">
        <v>7</v>
      </c>
      <c r="B8" s="102" t="s">
        <v>12</v>
      </c>
      <c r="C8" s="102" t="s">
        <v>60</v>
      </c>
      <c r="D8" s="100">
        <f>SUM(2996+1503+1503+1500)</f>
        <v>7502</v>
      </c>
      <c r="E8" s="100">
        <f>SUM(199+74+92+109)</f>
        <v>474</v>
      </c>
      <c r="F8" s="101">
        <f>SUM(D8/E8)</f>
        <v>15.827004219409282</v>
      </c>
      <c r="G8" s="100">
        <v>5</v>
      </c>
      <c r="H8" s="100">
        <v>5</v>
      </c>
      <c r="I8" s="100"/>
      <c r="J8" s="100">
        <v>1</v>
      </c>
      <c r="K8" s="100"/>
      <c r="L8" s="100">
        <v>23.5</v>
      </c>
      <c r="M8" s="105">
        <v>9</v>
      </c>
    </row>
    <row r="9" spans="1:13" ht="18.75" x14ac:dyDescent="0.3">
      <c r="A9" s="100">
        <v>8</v>
      </c>
      <c r="B9" s="100" t="s">
        <v>25</v>
      </c>
      <c r="C9" s="102" t="s">
        <v>10</v>
      </c>
      <c r="D9" s="100">
        <f>SUM(4307+1495+1475+1270)</f>
        <v>8547</v>
      </c>
      <c r="E9" s="100">
        <f>SUM(287+93+99+86)</f>
        <v>565</v>
      </c>
      <c r="F9" s="101">
        <f>SUM(D9/E9)</f>
        <v>15.127433628318585</v>
      </c>
      <c r="G9" s="100">
        <v>6</v>
      </c>
      <c r="H9" s="100">
        <v>3</v>
      </c>
      <c r="I9" s="100"/>
      <c r="J9" s="100"/>
      <c r="K9" s="100"/>
      <c r="L9" s="100">
        <v>21.5</v>
      </c>
      <c r="M9" s="105">
        <v>5</v>
      </c>
    </row>
    <row r="10" spans="1:13" ht="18.75" x14ac:dyDescent="0.3">
      <c r="A10" s="100">
        <v>9</v>
      </c>
      <c r="B10" s="102" t="s">
        <v>13</v>
      </c>
      <c r="C10" s="102" t="s">
        <v>8</v>
      </c>
      <c r="D10" s="100">
        <f>SUM(4458+1498+1499+1363)</f>
        <v>8818</v>
      </c>
      <c r="E10" s="100">
        <f>SUM(305+99+94+92)</f>
        <v>590</v>
      </c>
      <c r="F10" s="101">
        <f>SUM(D10/E10)</f>
        <v>14.945762711864408</v>
      </c>
      <c r="G10" s="100">
        <v>6</v>
      </c>
      <c r="H10" s="100">
        <v>4</v>
      </c>
      <c r="I10" s="100"/>
      <c r="J10" s="100"/>
      <c r="K10" s="100"/>
      <c r="L10" s="100">
        <v>22</v>
      </c>
      <c r="M10" s="105"/>
    </row>
    <row r="11" spans="1:13" ht="18.75" x14ac:dyDescent="0.3">
      <c r="A11" s="100">
        <v>10</v>
      </c>
      <c r="B11" s="100" t="s">
        <v>24</v>
      </c>
      <c r="C11" s="102" t="s">
        <v>15</v>
      </c>
      <c r="D11" s="100">
        <f>SUM(4314+1332+1237+1359)</f>
        <v>8242</v>
      </c>
      <c r="E11" s="100">
        <f>SUM(296+95+82+85)</f>
        <v>558</v>
      </c>
      <c r="F11" s="101">
        <f>SUM(D11/E11)</f>
        <v>14.770609318996415</v>
      </c>
      <c r="G11" s="100">
        <v>6</v>
      </c>
      <c r="H11" s="100">
        <v>3</v>
      </c>
      <c r="I11" s="100"/>
      <c r="J11" s="100"/>
      <c r="K11" s="100"/>
      <c r="L11" s="100">
        <v>16</v>
      </c>
      <c r="M11" s="105">
        <v>5</v>
      </c>
    </row>
    <row r="12" spans="1:13" ht="18.75" x14ac:dyDescent="0.3">
      <c r="A12" s="100">
        <v>11</v>
      </c>
      <c r="B12" s="102" t="s">
        <v>109</v>
      </c>
      <c r="C12" s="102" t="s">
        <v>6</v>
      </c>
      <c r="D12" s="100">
        <f>SUM(1501)</f>
        <v>1501</v>
      </c>
      <c r="E12" s="100">
        <f>SUM(102)</f>
        <v>102</v>
      </c>
      <c r="F12" s="101">
        <f>SUM(D12/E12)</f>
        <v>14.715686274509803</v>
      </c>
      <c r="G12" s="100">
        <v>1</v>
      </c>
      <c r="H12" s="100">
        <v>1</v>
      </c>
      <c r="I12" s="100"/>
      <c r="J12" s="100"/>
      <c r="K12" s="100"/>
      <c r="L12" s="100">
        <v>5</v>
      </c>
      <c r="M12" s="105">
        <v>5</v>
      </c>
    </row>
    <row r="13" spans="1:13" ht="18.75" x14ac:dyDescent="0.3">
      <c r="A13" s="100">
        <v>12</v>
      </c>
      <c r="B13" s="102" t="s">
        <v>53</v>
      </c>
      <c r="C13" s="102" t="s">
        <v>54</v>
      </c>
      <c r="D13" s="100">
        <f>SUM(3962+1414+1297+1223)</f>
        <v>7896</v>
      </c>
      <c r="E13" s="100">
        <f>SUM(264+100+87+87)</f>
        <v>538</v>
      </c>
      <c r="F13" s="101">
        <f>SUM(D13/E13)</f>
        <v>14.676579925650557</v>
      </c>
      <c r="G13" s="100">
        <v>6</v>
      </c>
      <c r="H13" s="100">
        <v>2</v>
      </c>
      <c r="I13" s="100"/>
      <c r="J13" s="100"/>
      <c r="K13" s="100"/>
      <c r="L13" s="100">
        <v>8</v>
      </c>
      <c r="M13" s="105"/>
    </row>
    <row r="14" spans="1:13" ht="18.75" x14ac:dyDescent="0.3">
      <c r="A14" s="100">
        <v>13</v>
      </c>
      <c r="B14" s="102" t="s">
        <v>31</v>
      </c>
      <c r="C14" s="102" t="s">
        <v>60</v>
      </c>
      <c r="D14" s="100">
        <f>SUM(4180+1503+1503+1503)</f>
        <v>8689</v>
      </c>
      <c r="E14" s="100">
        <f>SUM(270+96+116+116)</f>
        <v>598</v>
      </c>
      <c r="F14" s="101">
        <f>SUM(D14/E14)</f>
        <v>14.530100334448161</v>
      </c>
      <c r="G14" s="100">
        <v>6</v>
      </c>
      <c r="H14" s="100">
        <v>6</v>
      </c>
      <c r="I14" s="100"/>
      <c r="J14" s="100"/>
      <c r="K14" s="100"/>
      <c r="L14" s="100">
        <v>26</v>
      </c>
      <c r="M14" s="105"/>
    </row>
    <row r="15" spans="1:13" ht="18.75" x14ac:dyDescent="0.3">
      <c r="A15" s="100">
        <v>14</v>
      </c>
      <c r="B15" s="102" t="s">
        <v>22</v>
      </c>
      <c r="C15" s="102" t="s">
        <v>17</v>
      </c>
      <c r="D15" s="100">
        <f>SUM(4417+1432+1483)</f>
        <v>7332</v>
      </c>
      <c r="E15" s="100">
        <f>SUM(313+95+97)</f>
        <v>505</v>
      </c>
      <c r="F15" s="101">
        <f>SUM(D15/E15)</f>
        <v>14.518811881188119</v>
      </c>
      <c r="G15" s="100">
        <v>5</v>
      </c>
      <c r="H15" s="100">
        <v>3</v>
      </c>
      <c r="I15" s="100"/>
      <c r="J15" s="100"/>
      <c r="K15" s="100"/>
      <c r="L15" s="100">
        <v>17</v>
      </c>
      <c r="M15" s="105"/>
    </row>
    <row r="16" spans="1:13" ht="18.75" x14ac:dyDescent="0.3">
      <c r="A16" s="100">
        <v>15</v>
      </c>
      <c r="B16" s="100" t="s">
        <v>21</v>
      </c>
      <c r="C16" s="102" t="s">
        <v>17</v>
      </c>
      <c r="D16" s="100">
        <f>SUM(3916+1494+1503+1419)</f>
        <v>8332</v>
      </c>
      <c r="E16" s="100">
        <f>SUM(279+100+110+93)</f>
        <v>582</v>
      </c>
      <c r="F16" s="101">
        <f>SUM(D16/E16)</f>
        <v>14.316151202749142</v>
      </c>
      <c r="G16" s="100">
        <v>6</v>
      </c>
      <c r="H16" s="100">
        <v>3</v>
      </c>
      <c r="I16" s="100"/>
      <c r="J16" s="100"/>
      <c r="K16" s="100"/>
      <c r="L16" s="100">
        <v>17.5</v>
      </c>
      <c r="M16" s="105"/>
    </row>
    <row r="17" spans="1:13" ht="18.75" x14ac:dyDescent="0.3">
      <c r="A17" s="100">
        <v>16</v>
      </c>
      <c r="B17" s="102" t="s">
        <v>19</v>
      </c>
      <c r="C17" s="102" t="s">
        <v>20</v>
      </c>
      <c r="D17" s="100">
        <f>SUM(4014+1424+1445+1425)</f>
        <v>8308</v>
      </c>
      <c r="E17" s="100">
        <f>SUM(269+95+107+110)</f>
        <v>581</v>
      </c>
      <c r="F17" s="101">
        <f>SUM(D17/E17)</f>
        <v>14.299483648881239</v>
      </c>
      <c r="G17" s="100">
        <v>6</v>
      </c>
      <c r="H17" s="100">
        <v>2</v>
      </c>
      <c r="I17" s="100"/>
      <c r="J17" s="100"/>
      <c r="K17" s="100"/>
      <c r="L17" s="100">
        <v>13.5</v>
      </c>
      <c r="M17" s="105">
        <v>5</v>
      </c>
    </row>
    <row r="18" spans="1:13" ht="18.75" x14ac:dyDescent="0.3">
      <c r="A18" s="100">
        <v>17</v>
      </c>
      <c r="B18" s="102" t="s">
        <v>32</v>
      </c>
      <c r="C18" s="102" t="s">
        <v>60</v>
      </c>
      <c r="D18" s="100">
        <f>SUM(4179+1391+1460+1414)</f>
        <v>8444</v>
      </c>
      <c r="E18" s="100">
        <f>SUM(276+99+123+110)</f>
        <v>608</v>
      </c>
      <c r="F18" s="101">
        <f>SUM(D18/E18)</f>
        <v>13.888157894736842</v>
      </c>
      <c r="G18" s="100">
        <v>6</v>
      </c>
      <c r="H18" s="100">
        <v>1</v>
      </c>
      <c r="I18" s="100"/>
      <c r="J18" s="100"/>
      <c r="K18" s="100"/>
      <c r="L18" s="100">
        <v>16.5</v>
      </c>
      <c r="M18" s="105"/>
    </row>
    <row r="19" spans="1:13" ht="18.75" x14ac:dyDescent="0.3">
      <c r="A19" s="100">
        <v>18</v>
      </c>
      <c r="B19" s="92" t="s">
        <v>92</v>
      </c>
      <c r="C19" s="102" t="s">
        <v>60</v>
      </c>
      <c r="D19" s="100">
        <f>SUM(1340+1503)</f>
        <v>2843</v>
      </c>
      <c r="E19" s="100">
        <f>SUM(111+98)</f>
        <v>209</v>
      </c>
      <c r="F19" s="101">
        <f>SUM(D19/E19)</f>
        <v>13.602870813397129</v>
      </c>
      <c r="G19" s="100">
        <v>2</v>
      </c>
      <c r="H19" s="100">
        <v>1</v>
      </c>
      <c r="I19" s="100"/>
      <c r="J19" s="100"/>
      <c r="K19" s="100"/>
      <c r="L19" s="100">
        <v>4.5</v>
      </c>
      <c r="M19" s="105"/>
    </row>
    <row r="20" spans="1:13" ht="18.75" x14ac:dyDescent="0.3">
      <c r="A20" s="100">
        <v>19</v>
      </c>
      <c r="B20" s="102" t="s">
        <v>29</v>
      </c>
      <c r="C20" s="102" t="s">
        <v>17</v>
      </c>
      <c r="D20" s="100">
        <f>SUM(2825+1503+1493+1501)</f>
        <v>7322</v>
      </c>
      <c r="E20" s="100">
        <f>SUM(212+89+141+101)</f>
        <v>543</v>
      </c>
      <c r="F20" s="101">
        <f>SUM(D20/E20)</f>
        <v>13.484346224677717</v>
      </c>
      <c r="G20" s="100">
        <v>5</v>
      </c>
      <c r="H20" s="100">
        <v>2</v>
      </c>
      <c r="I20" s="100"/>
      <c r="J20" s="100"/>
      <c r="K20" s="100"/>
      <c r="L20" s="100">
        <v>12</v>
      </c>
      <c r="M20" s="105"/>
    </row>
    <row r="21" spans="1:13" ht="18.75" x14ac:dyDescent="0.3">
      <c r="A21" s="100">
        <v>20</v>
      </c>
      <c r="B21" s="102" t="s">
        <v>94</v>
      </c>
      <c r="C21" s="102" t="s">
        <v>10</v>
      </c>
      <c r="D21" s="100">
        <f>SUM(1503+1225+1463+1475)</f>
        <v>5666</v>
      </c>
      <c r="E21" s="100">
        <f>SUM(114+97+115+98)</f>
        <v>424</v>
      </c>
      <c r="F21" s="101">
        <f>SUM(D21/E21)</f>
        <v>13.363207547169811</v>
      </c>
      <c r="G21" s="100">
        <v>4</v>
      </c>
      <c r="H21" s="100">
        <v>2</v>
      </c>
      <c r="I21" s="100"/>
      <c r="J21" s="100"/>
      <c r="K21" s="100"/>
      <c r="L21" s="100">
        <v>13.5</v>
      </c>
      <c r="M21" s="105"/>
    </row>
    <row r="22" spans="1:13" ht="18.75" x14ac:dyDescent="0.3">
      <c r="A22" s="100">
        <v>21</v>
      </c>
      <c r="B22" s="102" t="s">
        <v>83</v>
      </c>
      <c r="C22" s="102" t="s">
        <v>20</v>
      </c>
      <c r="D22" s="100">
        <f>SUM(1491+1497+1406)</f>
        <v>4394</v>
      </c>
      <c r="E22" s="100">
        <f>SUM(103+112+114)</f>
        <v>329</v>
      </c>
      <c r="F22" s="101">
        <f>SUM(D22/E22)</f>
        <v>13.355623100303951</v>
      </c>
      <c r="G22" s="100">
        <v>3</v>
      </c>
      <c r="H22" s="100">
        <v>2</v>
      </c>
      <c r="I22" s="100"/>
      <c r="J22" s="100"/>
      <c r="K22" s="100"/>
      <c r="L22" s="100">
        <v>8.5</v>
      </c>
      <c r="M22" s="105"/>
    </row>
    <row r="23" spans="1:13" ht="18.75" x14ac:dyDescent="0.3">
      <c r="A23" s="100">
        <v>22</v>
      </c>
      <c r="B23" s="102" t="s">
        <v>50</v>
      </c>
      <c r="C23" s="102" t="s">
        <v>60</v>
      </c>
      <c r="D23" s="100">
        <f>SUM(1462)</f>
        <v>1462</v>
      </c>
      <c r="E23" s="100">
        <f>SUM(111)</f>
        <v>111</v>
      </c>
      <c r="F23" s="101">
        <f>SUM(D23/E23)</f>
        <v>13.171171171171171</v>
      </c>
      <c r="G23" s="100">
        <v>1</v>
      </c>
      <c r="H23" s="100">
        <v>1</v>
      </c>
      <c r="I23" s="100"/>
      <c r="J23" s="100"/>
      <c r="K23" s="100"/>
      <c r="L23" s="100">
        <v>4</v>
      </c>
      <c r="M23" s="105"/>
    </row>
    <row r="24" spans="1:13" ht="18.75" x14ac:dyDescent="0.3">
      <c r="A24" s="100">
        <v>23</v>
      </c>
      <c r="B24" s="102" t="s">
        <v>23</v>
      </c>
      <c r="C24" s="102" t="s">
        <v>20</v>
      </c>
      <c r="D24" s="100">
        <f>SUM(4015+1501+1489)</f>
        <v>7005</v>
      </c>
      <c r="E24" s="100">
        <f>SUM(279+142+111)</f>
        <v>532</v>
      </c>
      <c r="F24" s="101">
        <f>SUM(D24/E24)</f>
        <v>13.167293233082706</v>
      </c>
      <c r="G24" s="100">
        <v>5</v>
      </c>
      <c r="H24" s="100">
        <v>2</v>
      </c>
      <c r="I24" s="100">
        <v>1</v>
      </c>
      <c r="J24" s="100"/>
      <c r="K24" s="100"/>
      <c r="L24" s="100">
        <v>9</v>
      </c>
      <c r="M24" s="105">
        <v>10</v>
      </c>
    </row>
    <row r="25" spans="1:13" ht="18.75" x14ac:dyDescent="0.3">
      <c r="A25" s="100">
        <v>24</v>
      </c>
      <c r="B25" s="102" t="s">
        <v>56</v>
      </c>
      <c r="C25" s="102" t="s">
        <v>54</v>
      </c>
      <c r="D25" s="100">
        <f>SUM(4033+1323+1359+1415)</f>
        <v>8130</v>
      </c>
      <c r="E25" s="100">
        <f>SUM(304+111+117+89)</f>
        <v>621</v>
      </c>
      <c r="F25" s="101">
        <f>SUM(D25/E25)</f>
        <v>13.091787439613526</v>
      </c>
      <c r="G25" s="100">
        <v>6</v>
      </c>
      <c r="H25" s="100">
        <v>0</v>
      </c>
      <c r="I25" s="100"/>
      <c r="J25" s="100"/>
      <c r="K25" s="100"/>
      <c r="L25" s="100">
        <v>6.5</v>
      </c>
      <c r="M25" s="105"/>
    </row>
    <row r="26" spans="1:13" ht="18.75" x14ac:dyDescent="0.3">
      <c r="A26" s="100">
        <v>25</v>
      </c>
      <c r="B26" s="102" t="s">
        <v>52</v>
      </c>
      <c r="C26" s="102" t="s">
        <v>20</v>
      </c>
      <c r="D26" s="100">
        <f>SUM(4464+1503+1432+1431)</f>
        <v>8830</v>
      </c>
      <c r="E26" s="100">
        <f>SUM(372+122+97+97)</f>
        <v>688</v>
      </c>
      <c r="F26" s="101">
        <f>SUM(D26/E26)</f>
        <v>12.834302325581396</v>
      </c>
      <c r="G26" s="100">
        <v>6</v>
      </c>
      <c r="H26" s="100">
        <v>3</v>
      </c>
      <c r="I26" s="100"/>
      <c r="J26" s="100"/>
      <c r="K26" s="100"/>
      <c r="L26" s="100">
        <v>19</v>
      </c>
      <c r="M26" s="105"/>
    </row>
    <row r="27" spans="1:13" ht="18.75" x14ac:dyDescent="0.3">
      <c r="A27" s="100">
        <v>26</v>
      </c>
      <c r="B27" s="102" t="s">
        <v>14</v>
      </c>
      <c r="C27" s="102" t="s">
        <v>15</v>
      </c>
      <c r="D27" s="100">
        <f>SUM(4418+1300+1489)</f>
        <v>7207</v>
      </c>
      <c r="E27" s="100">
        <f>SUM(337+123+102)</f>
        <v>562</v>
      </c>
      <c r="F27" s="101">
        <f>SUM(D27/E27)</f>
        <v>12.823843416370106</v>
      </c>
      <c r="G27" s="100">
        <v>5</v>
      </c>
      <c r="H27" s="100">
        <v>3</v>
      </c>
      <c r="I27" s="100"/>
      <c r="J27" s="100"/>
      <c r="K27" s="100"/>
      <c r="L27" s="100">
        <v>12.5</v>
      </c>
      <c r="M27" s="105"/>
    </row>
    <row r="28" spans="1:13" ht="18.75" x14ac:dyDescent="0.3">
      <c r="A28" s="100">
        <v>27</v>
      </c>
      <c r="B28" s="102" t="s">
        <v>18</v>
      </c>
      <c r="C28" s="102" t="s">
        <v>8</v>
      </c>
      <c r="D28" s="100">
        <f>SUM(2974+877+1208)</f>
        <v>5059</v>
      </c>
      <c r="E28" s="100">
        <f>SUM(230+75+95)</f>
        <v>400</v>
      </c>
      <c r="F28" s="101">
        <f>SUM(D28/E28)</f>
        <v>12.647500000000001</v>
      </c>
      <c r="G28" s="100">
        <v>4</v>
      </c>
      <c r="H28" s="100">
        <v>2</v>
      </c>
      <c r="I28" s="100"/>
      <c r="J28" s="100"/>
      <c r="K28" s="100"/>
      <c r="L28" s="100">
        <v>13.5</v>
      </c>
      <c r="M28" s="105"/>
    </row>
    <row r="29" spans="1:13" ht="18.75" x14ac:dyDescent="0.3">
      <c r="A29" s="100">
        <v>28</v>
      </c>
      <c r="B29" s="102" t="s">
        <v>28</v>
      </c>
      <c r="C29" s="102" t="s">
        <v>6</v>
      </c>
      <c r="D29" s="100">
        <f>SUM(2923)</f>
        <v>2923</v>
      </c>
      <c r="E29" s="100">
        <f>SUM(232)</f>
        <v>232</v>
      </c>
      <c r="F29" s="101">
        <f>SUM(D29/E29)</f>
        <v>12.599137931034482</v>
      </c>
      <c r="G29" s="100">
        <v>2</v>
      </c>
      <c r="H29" s="100">
        <v>0</v>
      </c>
      <c r="I29" s="100">
        <v>1</v>
      </c>
      <c r="J29" s="100"/>
      <c r="K29" s="100"/>
      <c r="L29" s="100">
        <v>4.5</v>
      </c>
      <c r="M29" s="105">
        <v>10</v>
      </c>
    </row>
    <row r="30" spans="1:13" ht="18.75" x14ac:dyDescent="0.3">
      <c r="A30" s="100">
        <v>29</v>
      </c>
      <c r="B30" s="102" t="s">
        <v>82</v>
      </c>
      <c r="C30" s="102" t="s">
        <v>15</v>
      </c>
      <c r="D30" s="100">
        <f>SUM(1503+1483)</f>
        <v>2986</v>
      </c>
      <c r="E30" s="100">
        <f>SUM(105+135)</f>
        <v>240</v>
      </c>
      <c r="F30" s="101">
        <f>SUM(D30/E30)</f>
        <v>12.441666666666666</v>
      </c>
      <c r="G30" s="100">
        <v>2</v>
      </c>
      <c r="H30" s="100">
        <v>2</v>
      </c>
      <c r="I30" s="100"/>
      <c r="J30" s="100"/>
      <c r="K30" s="100"/>
      <c r="L30" s="100">
        <v>5.5</v>
      </c>
      <c r="M30" s="105"/>
    </row>
    <row r="31" spans="1:13" ht="18.75" x14ac:dyDescent="0.3">
      <c r="A31" s="100">
        <v>30</v>
      </c>
      <c r="B31" s="102" t="s">
        <v>80</v>
      </c>
      <c r="C31" s="102" t="s">
        <v>17</v>
      </c>
      <c r="D31" s="100">
        <f>SUM(1503+1503)</f>
        <v>3006</v>
      </c>
      <c r="E31" s="100">
        <f>SUM(125+120)</f>
        <v>245</v>
      </c>
      <c r="F31" s="101">
        <f>SUM(D31/E31)</f>
        <v>12.269387755102041</v>
      </c>
      <c r="G31" s="100">
        <v>2</v>
      </c>
      <c r="H31" s="100">
        <v>2</v>
      </c>
      <c r="I31" s="100"/>
      <c r="J31" s="100"/>
      <c r="K31" s="100"/>
      <c r="L31" s="100">
        <v>10</v>
      </c>
      <c r="M31" s="105"/>
    </row>
    <row r="32" spans="1:13" ht="18.75" x14ac:dyDescent="0.3">
      <c r="A32" s="100">
        <v>31</v>
      </c>
      <c r="B32" s="100" t="s">
        <v>27</v>
      </c>
      <c r="C32" s="102" t="s">
        <v>10</v>
      </c>
      <c r="D32" s="100">
        <f>SUM(4296+1328+1494+1503)</f>
        <v>8621</v>
      </c>
      <c r="E32" s="100">
        <f>SUM(372+84+136+118)</f>
        <v>710</v>
      </c>
      <c r="F32" s="101">
        <f>SUM(D32/E32)</f>
        <v>12.14225352112676</v>
      </c>
      <c r="G32" s="100">
        <v>6</v>
      </c>
      <c r="H32" s="100">
        <v>3</v>
      </c>
      <c r="I32" s="100"/>
      <c r="J32" s="100"/>
      <c r="K32" s="100"/>
      <c r="L32" s="100">
        <v>21.5</v>
      </c>
      <c r="M32" s="105">
        <v>5</v>
      </c>
    </row>
    <row r="33" spans="1:13" ht="18.75" x14ac:dyDescent="0.3">
      <c r="A33" s="100">
        <v>32</v>
      </c>
      <c r="B33" s="102" t="s">
        <v>79</v>
      </c>
      <c r="C33" s="102" t="s">
        <v>60</v>
      </c>
      <c r="D33" s="100">
        <f>SUM(2822+1492+1458)</f>
        <v>5772</v>
      </c>
      <c r="E33" s="100">
        <f>SUM(261+118+100)</f>
        <v>479</v>
      </c>
      <c r="F33" s="101">
        <f>SUM(D33/E33)</f>
        <v>12.050104384133611</v>
      </c>
      <c r="G33" s="100">
        <v>4</v>
      </c>
      <c r="H33" s="100">
        <v>2</v>
      </c>
      <c r="I33" s="100"/>
      <c r="J33" s="100"/>
      <c r="K33" s="100"/>
      <c r="L33" s="100">
        <v>12.5</v>
      </c>
      <c r="M33" s="105"/>
    </row>
    <row r="34" spans="1:13" ht="18.75" x14ac:dyDescent="0.3">
      <c r="A34" s="100">
        <v>33</v>
      </c>
      <c r="B34" s="102" t="s">
        <v>91</v>
      </c>
      <c r="C34" s="102" t="s">
        <v>6</v>
      </c>
      <c r="D34" s="100">
        <f>SUM(1496+1347+1501)</f>
        <v>4344</v>
      </c>
      <c r="E34" s="100">
        <f>SUM(127+116+121)</f>
        <v>364</v>
      </c>
      <c r="F34" s="101">
        <f>SUM(D34/E34)</f>
        <v>11.934065934065934</v>
      </c>
      <c r="G34" s="100">
        <v>3</v>
      </c>
      <c r="H34" s="100">
        <v>2</v>
      </c>
      <c r="I34" s="100"/>
      <c r="J34" s="100"/>
      <c r="K34" s="100"/>
      <c r="L34" s="100">
        <v>12.5</v>
      </c>
      <c r="M34" s="105"/>
    </row>
    <row r="35" spans="1:13" ht="18.75" x14ac:dyDescent="0.3">
      <c r="A35" s="100">
        <v>34</v>
      </c>
      <c r="B35" s="102" t="s">
        <v>93</v>
      </c>
      <c r="C35" s="102" t="s">
        <v>15</v>
      </c>
      <c r="D35" s="100">
        <f>SUM(1208+1312+1237)</f>
        <v>3757</v>
      </c>
      <c r="E35" s="100">
        <f>SUM(93+114+114)</f>
        <v>321</v>
      </c>
      <c r="F35" s="101">
        <f>SUM(D35/E35)</f>
        <v>11.70404984423676</v>
      </c>
      <c r="G35" s="100">
        <v>3</v>
      </c>
      <c r="H35" s="100">
        <v>0</v>
      </c>
      <c r="I35" s="100"/>
      <c r="J35" s="100"/>
      <c r="K35" s="100"/>
      <c r="L35" s="100">
        <v>1.5</v>
      </c>
      <c r="M35" s="105"/>
    </row>
    <row r="36" spans="1:13" ht="18.75" x14ac:dyDescent="0.3">
      <c r="A36" s="100">
        <v>35</v>
      </c>
      <c r="B36" s="102" t="s">
        <v>51</v>
      </c>
      <c r="C36" s="102" t="s">
        <v>20</v>
      </c>
      <c r="D36" s="100">
        <f>SUM(2846+1454+1168)</f>
        <v>5468</v>
      </c>
      <c r="E36" s="100">
        <f>SUM(250+115+105)</f>
        <v>470</v>
      </c>
      <c r="F36" s="101">
        <f>SUM(D36/E36)</f>
        <v>11.63404255319149</v>
      </c>
      <c r="G36" s="100">
        <v>4</v>
      </c>
      <c r="H36" s="100">
        <v>1</v>
      </c>
      <c r="I36" s="100"/>
      <c r="J36" s="100"/>
      <c r="K36" s="100"/>
      <c r="L36" s="100">
        <v>8</v>
      </c>
      <c r="M36" s="105"/>
    </row>
    <row r="37" spans="1:13" ht="18.75" x14ac:dyDescent="0.3">
      <c r="A37" s="100">
        <v>36</v>
      </c>
      <c r="B37" s="102" t="s">
        <v>61</v>
      </c>
      <c r="C37" s="102" t="s">
        <v>6</v>
      </c>
      <c r="D37" s="100">
        <f>SUM(4453+1501+1503+1444)</f>
        <v>8901</v>
      </c>
      <c r="E37" s="100">
        <f>SUM(394+142+114+116)</f>
        <v>766</v>
      </c>
      <c r="F37" s="101">
        <f>SUM(D37/E37)</f>
        <v>11.620104438642297</v>
      </c>
      <c r="G37" s="100">
        <v>6</v>
      </c>
      <c r="H37" s="100">
        <v>4</v>
      </c>
      <c r="I37" s="100"/>
      <c r="J37" s="100"/>
      <c r="K37" s="100"/>
      <c r="L37" s="100">
        <v>22</v>
      </c>
      <c r="M37" s="105">
        <v>5</v>
      </c>
    </row>
    <row r="38" spans="1:13" ht="18.75" x14ac:dyDescent="0.3">
      <c r="A38" s="100">
        <v>37</v>
      </c>
      <c r="B38" s="102" t="s">
        <v>81</v>
      </c>
      <c r="C38" s="102" t="s">
        <v>8</v>
      </c>
      <c r="D38" s="100">
        <f>SUM(1456+1499+1222)</f>
        <v>4177</v>
      </c>
      <c r="E38" s="100">
        <f>SUM(107+138+115)</f>
        <v>360</v>
      </c>
      <c r="F38" s="101">
        <f>SUM(D38/E38)</f>
        <v>11.602777777777778</v>
      </c>
      <c r="G38" s="100">
        <v>3</v>
      </c>
      <c r="H38" s="100">
        <v>1</v>
      </c>
      <c r="I38" s="100"/>
      <c r="J38" s="100"/>
      <c r="K38" s="100"/>
      <c r="L38" s="100">
        <v>8</v>
      </c>
      <c r="M38" s="105"/>
    </row>
    <row r="39" spans="1:13" ht="18.75" x14ac:dyDescent="0.3">
      <c r="A39" s="100">
        <v>38</v>
      </c>
      <c r="B39" s="102" t="s">
        <v>55</v>
      </c>
      <c r="C39" s="102" t="s">
        <v>54</v>
      </c>
      <c r="D39" s="100">
        <f>SUM(4065+1275+1469+1496)</f>
        <v>8305</v>
      </c>
      <c r="E39" s="100">
        <f>SUM(355+120+124+117)</f>
        <v>716</v>
      </c>
      <c r="F39" s="101">
        <f>SUM(D39/E39)</f>
        <v>11.599162011173185</v>
      </c>
      <c r="G39" s="100">
        <v>6</v>
      </c>
      <c r="H39" s="100">
        <v>2</v>
      </c>
      <c r="I39" s="100"/>
      <c r="J39" s="100"/>
      <c r="K39" s="100"/>
      <c r="L39" s="100">
        <v>10</v>
      </c>
      <c r="M39" s="105"/>
    </row>
    <row r="40" spans="1:13" ht="18.75" x14ac:dyDescent="0.3">
      <c r="A40" s="100">
        <v>39</v>
      </c>
      <c r="B40" s="102" t="s">
        <v>57</v>
      </c>
      <c r="C40" s="102" t="s">
        <v>15</v>
      </c>
      <c r="D40" s="100">
        <f>SUM(1259+1503)</f>
        <v>2762</v>
      </c>
      <c r="E40" s="100">
        <f>SUM(102+139)</f>
        <v>241</v>
      </c>
      <c r="F40" s="101">
        <f>SUM(D40/E40)</f>
        <v>11.460580912863071</v>
      </c>
      <c r="G40" s="100">
        <v>2</v>
      </c>
      <c r="H40" s="100">
        <v>1</v>
      </c>
      <c r="I40" s="100"/>
      <c r="J40" s="100"/>
      <c r="K40" s="100"/>
      <c r="L40" s="100">
        <v>4</v>
      </c>
      <c r="M40" s="105"/>
    </row>
    <row r="41" spans="1:13" ht="18.75" x14ac:dyDescent="0.3">
      <c r="A41" s="100">
        <v>40</v>
      </c>
      <c r="B41" s="102" t="s">
        <v>26</v>
      </c>
      <c r="C41" s="102" t="s">
        <v>10</v>
      </c>
      <c r="D41" s="100">
        <f>SUM(2859)</f>
        <v>2859</v>
      </c>
      <c r="E41" s="100">
        <f>SUM(255)</f>
        <v>255</v>
      </c>
      <c r="F41" s="101">
        <f>SUM(D41/E41)</f>
        <v>11.211764705882352</v>
      </c>
      <c r="G41" s="100">
        <v>2</v>
      </c>
      <c r="H41" s="100">
        <v>0</v>
      </c>
      <c r="I41" s="100"/>
      <c r="J41" s="100"/>
      <c r="K41" s="100"/>
      <c r="L41" s="100">
        <v>4.5</v>
      </c>
      <c r="M41" s="105"/>
    </row>
    <row r="42" spans="1:13" ht="18.75" x14ac:dyDescent="0.3">
      <c r="A42" s="100">
        <v>41</v>
      </c>
      <c r="B42" s="102" t="s">
        <v>58</v>
      </c>
      <c r="C42" s="102" t="s">
        <v>54</v>
      </c>
      <c r="D42" s="100">
        <f>SUM(4183+1360+1165+1035)</f>
        <v>7743</v>
      </c>
      <c r="E42" s="100">
        <f>SUM(385+117+96+99)</f>
        <v>697</v>
      </c>
      <c r="F42" s="101">
        <f>SUM(D42/E42)</f>
        <v>11.109038737446198</v>
      </c>
      <c r="G42" s="100">
        <v>6</v>
      </c>
      <c r="H42" s="100">
        <v>1</v>
      </c>
      <c r="I42" s="100"/>
      <c r="J42" s="100"/>
      <c r="K42" s="100"/>
      <c r="L42" s="100">
        <v>9.5</v>
      </c>
      <c r="M42" s="105"/>
    </row>
    <row r="43" spans="1:13" ht="18.75" x14ac:dyDescent="0.3">
      <c r="A43" s="100">
        <v>42</v>
      </c>
      <c r="B43" s="102" t="s">
        <v>30</v>
      </c>
      <c r="C43" s="102" t="s">
        <v>8</v>
      </c>
      <c r="D43" s="100">
        <f>SUM(4393+1267+1402)</f>
        <v>7062</v>
      </c>
      <c r="E43" s="100">
        <f>SUM(432+120+135)</f>
        <v>687</v>
      </c>
      <c r="F43" s="101">
        <f>SUM(D43/E43)</f>
        <v>10.279475982532752</v>
      </c>
      <c r="G43" s="100">
        <v>5</v>
      </c>
      <c r="H43" s="100">
        <v>1</v>
      </c>
      <c r="I43" s="100"/>
      <c r="J43" s="100"/>
      <c r="K43" s="100"/>
      <c r="L43" s="100">
        <v>11</v>
      </c>
      <c r="M43" s="105"/>
    </row>
    <row r="44" spans="1:13" ht="19.5" thickBot="1" x14ac:dyDescent="0.35">
      <c r="A44" s="92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</row>
    <row r="45" spans="1:13" ht="15" customHeight="1" thickBot="1" x14ac:dyDescent="0.35">
      <c r="A45" s="92"/>
      <c r="B45" s="99" t="s">
        <v>108</v>
      </c>
      <c r="C45" s="98" t="s">
        <v>33</v>
      </c>
      <c r="D45" s="97" t="s">
        <v>34</v>
      </c>
      <c r="E45" s="97" t="s">
        <v>35</v>
      </c>
      <c r="F45" s="97" t="s">
        <v>36</v>
      </c>
      <c r="G45" s="97"/>
      <c r="H45" s="97"/>
      <c r="I45" s="96"/>
      <c r="J45" s="91"/>
      <c r="K45" s="91"/>
      <c r="L45" s="91"/>
      <c r="M45" s="91"/>
    </row>
    <row r="46" spans="1:13" ht="18.75" x14ac:dyDescent="0.3">
      <c r="A46" s="92"/>
      <c r="B46" s="93"/>
      <c r="C46" s="92" t="s">
        <v>39</v>
      </c>
      <c r="D46" s="92">
        <v>6</v>
      </c>
      <c r="E46" s="91">
        <v>0</v>
      </c>
      <c r="F46" s="91">
        <v>101</v>
      </c>
      <c r="G46" s="91"/>
      <c r="H46" s="92" t="s">
        <v>38</v>
      </c>
      <c r="I46" s="95" t="s">
        <v>107</v>
      </c>
      <c r="J46" s="91"/>
      <c r="K46" s="95"/>
      <c r="L46" s="91"/>
      <c r="M46" s="91"/>
    </row>
    <row r="47" spans="1:13" ht="18.75" x14ac:dyDescent="0.3">
      <c r="A47" s="92"/>
      <c r="B47" s="93"/>
      <c r="C47" s="92" t="s">
        <v>63</v>
      </c>
      <c r="D47" s="92">
        <v>4</v>
      </c>
      <c r="E47" s="92">
        <v>2</v>
      </c>
      <c r="F47" s="92">
        <v>87</v>
      </c>
      <c r="G47" s="91"/>
      <c r="H47" s="92" t="s">
        <v>40</v>
      </c>
      <c r="I47" s="95" t="s">
        <v>106</v>
      </c>
      <c r="J47" s="91"/>
      <c r="K47" s="92"/>
      <c r="L47" s="91"/>
      <c r="M47" s="91"/>
    </row>
    <row r="48" spans="1:13" ht="18.75" x14ac:dyDescent="0.3">
      <c r="A48" s="92"/>
      <c r="B48" s="93"/>
      <c r="C48" s="92" t="s">
        <v>42</v>
      </c>
      <c r="D48" s="92">
        <v>4</v>
      </c>
      <c r="E48" s="91">
        <v>2</v>
      </c>
      <c r="F48" s="91">
        <v>84</v>
      </c>
      <c r="G48" s="91"/>
      <c r="H48" s="92" t="s">
        <v>41</v>
      </c>
      <c r="I48" s="95" t="s">
        <v>105</v>
      </c>
      <c r="J48" s="91"/>
      <c r="K48" s="95"/>
      <c r="L48" s="91"/>
      <c r="M48" s="91"/>
    </row>
    <row r="49" spans="1:13" ht="18.75" x14ac:dyDescent="0.3">
      <c r="A49" s="91"/>
      <c r="B49" s="93"/>
      <c r="C49" s="92" t="s">
        <v>37</v>
      </c>
      <c r="D49" s="92">
        <v>5</v>
      </c>
      <c r="E49" s="91">
        <v>1</v>
      </c>
      <c r="F49" s="91">
        <v>81</v>
      </c>
      <c r="G49" s="91"/>
      <c r="H49" s="92" t="s">
        <v>43</v>
      </c>
      <c r="I49" s="95" t="s">
        <v>104</v>
      </c>
      <c r="J49" s="91"/>
      <c r="K49" s="92"/>
      <c r="L49" s="91"/>
      <c r="M49" s="91"/>
    </row>
    <row r="50" spans="1:13" ht="18" customHeight="1" x14ac:dyDescent="0.3">
      <c r="A50" s="91"/>
      <c r="B50" s="93"/>
      <c r="C50" s="92" t="s">
        <v>47</v>
      </c>
      <c r="D50" s="92">
        <v>3</v>
      </c>
      <c r="E50" s="91">
        <v>3</v>
      </c>
      <c r="F50" s="91">
        <v>72</v>
      </c>
      <c r="G50" s="91"/>
      <c r="H50" s="92" t="s">
        <v>45</v>
      </c>
      <c r="I50" s="95" t="s">
        <v>86</v>
      </c>
      <c r="J50" s="91"/>
      <c r="K50" s="92"/>
      <c r="L50" s="91"/>
      <c r="M50" s="91"/>
    </row>
    <row r="51" spans="1:13" ht="18" customHeight="1" x14ac:dyDescent="0.3">
      <c r="A51" s="91"/>
      <c r="B51" s="93"/>
      <c r="C51" s="92" t="s">
        <v>48</v>
      </c>
      <c r="D51" s="92">
        <v>1</v>
      </c>
      <c r="E51" s="91">
        <v>5</v>
      </c>
      <c r="F51" s="91">
        <v>59</v>
      </c>
      <c r="G51" s="91"/>
      <c r="H51" s="92" t="s">
        <v>46</v>
      </c>
      <c r="I51" s="94" t="s">
        <v>99</v>
      </c>
      <c r="J51" s="94"/>
      <c r="K51" s="92"/>
      <c r="L51" s="91"/>
      <c r="M51" s="91"/>
    </row>
    <row r="52" spans="1:13" ht="18.75" x14ac:dyDescent="0.3">
      <c r="A52" s="91"/>
      <c r="B52" s="93"/>
      <c r="C52" s="92" t="s">
        <v>44</v>
      </c>
      <c r="D52" s="92">
        <v>1</v>
      </c>
      <c r="E52" s="92">
        <v>5</v>
      </c>
      <c r="F52" s="92">
        <v>56</v>
      </c>
      <c r="G52" s="91"/>
      <c r="H52" s="91"/>
      <c r="I52" s="91"/>
      <c r="J52" s="91"/>
      <c r="K52" s="91"/>
      <c r="L52" s="91"/>
      <c r="M52" s="91"/>
    </row>
    <row r="53" spans="1:13" ht="18.75" x14ac:dyDescent="0.3">
      <c r="A53" s="91"/>
      <c r="B53" s="93"/>
      <c r="C53" s="92" t="s">
        <v>49</v>
      </c>
      <c r="D53" s="92">
        <v>0</v>
      </c>
      <c r="E53" s="92">
        <v>6</v>
      </c>
      <c r="F53" s="92">
        <v>37</v>
      </c>
      <c r="G53" s="91"/>
      <c r="H53" s="91"/>
      <c r="I53" s="91"/>
      <c r="J53" s="91"/>
      <c r="K53" s="91"/>
      <c r="L53" s="91"/>
      <c r="M53" s="91"/>
    </row>
  </sheetData>
  <mergeCells count="2">
    <mergeCell ref="B45:B53"/>
    <mergeCell ref="I51:J5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B5" sqref="B5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66.42578125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10.8554687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x14ac:dyDescent="0.3">
      <c r="A2" s="100">
        <v>1</v>
      </c>
      <c r="B2" s="102" t="s">
        <v>5</v>
      </c>
      <c r="C2" s="102" t="s">
        <v>6</v>
      </c>
      <c r="D2" s="100">
        <f>SUM(4345+1503+1501+1503+1482)</f>
        <v>10334</v>
      </c>
      <c r="E2" s="100">
        <f>SUM(244+81+78+89+76)</f>
        <v>568</v>
      </c>
      <c r="F2" s="101">
        <f>SUM(D2/E2)</f>
        <v>18.193661971830984</v>
      </c>
      <c r="G2" s="100">
        <v>7</v>
      </c>
      <c r="H2" s="100">
        <v>5</v>
      </c>
      <c r="I2" s="100"/>
      <c r="J2" s="100"/>
      <c r="K2" s="100">
        <v>1</v>
      </c>
      <c r="L2" s="100">
        <v>30</v>
      </c>
      <c r="M2" s="105">
        <v>25</v>
      </c>
    </row>
    <row r="3" spans="1:13" ht="18.75" x14ac:dyDescent="0.3">
      <c r="A3" s="100">
        <v>2</v>
      </c>
      <c r="B3" s="102" t="s">
        <v>11</v>
      </c>
      <c r="C3" s="102" t="s">
        <v>6</v>
      </c>
      <c r="D3" s="100">
        <f>SUM(4499+1499+1491+1499+1385)</f>
        <v>10373</v>
      </c>
      <c r="E3" s="100">
        <f>SUM(253+93+80+93+76)</f>
        <v>595</v>
      </c>
      <c r="F3" s="101">
        <f>SUM(D3/E3)</f>
        <v>17.43361344537815</v>
      </c>
      <c r="G3" s="100">
        <v>7</v>
      </c>
      <c r="H3" s="100">
        <v>6</v>
      </c>
      <c r="I3" s="100">
        <v>2</v>
      </c>
      <c r="J3" s="100"/>
      <c r="K3" s="100"/>
      <c r="L3" s="100">
        <v>31</v>
      </c>
      <c r="M3" s="105">
        <v>35</v>
      </c>
    </row>
    <row r="4" spans="1:13" ht="18.75" x14ac:dyDescent="0.3">
      <c r="A4" s="100">
        <v>3</v>
      </c>
      <c r="B4" s="102" t="s">
        <v>7</v>
      </c>
      <c r="C4" s="102" t="s">
        <v>8</v>
      </c>
      <c r="D4" s="100">
        <f>SUM(4260+1327+1503+1481+1486)</f>
        <v>10057</v>
      </c>
      <c r="E4" s="100">
        <f>SUM(258+90+70+75+111)</f>
        <v>604</v>
      </c>
      <c r="F4" s="101">
        <f>SUM(D4/E4)</f>
        <v>16.650662251655628</v>
      </c>
      <c r="G4" s="100">
        <v>7</v>
      </c>
      <c r="H4" s="100">
        <v>3</v>
      </c>
      <c r="I4" s="100"/>
      <c r="J4" s="100"/>
      <c r="K4" s="100"/>
      <c r="L4" s="100">
        <v>23.5</v>
      </c>
      <c r="M4" s="105">
        <v>15</v>
      </c>
    </row>
    <row r="5" spans="1:13" ht="18.75" x14ac:dyDescent="0.3">
      <c r="A5" s="100">
        <v>4</v>
      </c>
      <c r="B5" s="102" t="s">
        <v>16</v>
      </c>
      <c r="C5" s="102" t="s">
        <v>17</v>
      </c>
      <c r="D5" s="100">
        <f>SUM(4378+1497+1469+1463+1498)</f>
        <v>10305</v>
      </c>
      <c r="E5" s="100">
        <f>SUM(265+97+103+73+101)</f>
        <v>639</v>
      </c>
      <c r="F5" s="101">
        <f>SUM(D5/E5)</f>
        <v>16.12676056338028</v>
      </c>
      <c r="G5" s="100">
        <v>7</v>
      </c>
      <c r="H5" s="100">
        <v>4</v>
      </c>
      <c r="I5" s="100">
        <v>1</v>
      </c>
      <c r="J5" s="100"/>
      <c r="K5" s="100"/>
      <c r="L5" s="100">
        <v>22</v>
      </c>
      <c r="M5" s="105">
        <v>20</v>
      </c>
    </row>
    <row r="6" spans="1:13" ht="18.75" x14ac:dyDescent="0.3">
      <c r="A6" s="100">
        <v>5</v>
      </c>
      <c r="B6" s="102" t="s">
        <v>59</v>
      </c>
      <c r="C6" s="102" t="s">
        <v>15</v>
      </c>
      <c r="D6" s="100">
        <f>SUM(4240+943+1368+1499+1283)</f>
        <v>9333</v>
      </c>
      <c r="E6" s="100">
        <f>SUM(261+66+73+96+92)</f>
        <v>588</v>
      </c>
      <c r="F6" s="101">
        <f>SUM(D6/E6)</f>
        <v>15.872448979591837</v>
      </c>
      <c r="G6" s="100">
        <v>7</v>
      </c>
      <c r="H6" s="100">
        <v>2</v>
      </c>
      <c r="I6" s="100"/>
      <c r="J6" s="100"/>
      <c r="K6" s="100"/>
      <c r="L6" s="100">
        <v>17</v>
      </c>
      <c r="M6" s="105">
        <v>5</v>
      </c>
    </row>
    <row r="7" spans="1:13" ht="18.75" x14ac:dyDescent="0.3">
      <c r="A7" s="100">
        <v>6</v>
      </c>
      <c r="B7" s="102" t="s">
        <v>12</v>
      </c>
      <c r="C7" s="102" t="s">
        <v>60</v>
      </c>
      <c r="D7" s="100">
        <f>SUM(2996+1503+1503+1500)</f>
        <v>7502</v>
      </c>
      <c r="E7" s="100">
        <f>SUM(199+74+92+109)</f>
        <v>474</v>
      </c>
      <c r="F7" s="101">
        <f>SUM(D7/E7)</f>
        <v>15.827004219409282</v>
      </c>
      <c r="G7" s="100">
        <v>5</v>
      </c>
      <c r="H7" s="100">
        <v>5</v>
      </c>
      <c r="I7" s="100"/>
      <c r="J7" s="100">
        <v>1</v>
      </c>
      <c r="K7" s="100"/>
      <c r="L7" s="100">
        <v>23.5</v>
      </c>
      <c r="M7" s="105">
        <v>9</v>
      </c>
    </row>
    <row r="8" spans="1:13" ht="18.75" x14ac:dyDescent="0.3">
      <c r="A8" s="100">
        <v>7</v>
      </c>
      <c r="B8" s="102" t="s">
        <v>9</v>
      </c>
      <c r="C8" s="102" t="s">
        <v>10</v>
      </c>
      <c r="D8" s="100">
        <f>SUM(4453+1487+1387+1473+1501)</f>
        <v>10301</v>
      </c>
      <c r="E8" s="100">
        <f>SUM(266+102+81+93+109)</f>
        <v>651</v>
      </c>
      <c r="F8" s="101">
        <f>SUM(D8/E8)</f>
        <v>15.823348694316437</v>
      </c>
      <c r="G8" s="100">
        <v>7</v>
      </c>
      <c r="H8" s="100">
        <v>4</v>
      </c>
      <c r="I8" s="100"/>
      <c r="J8" s="100"/>
      <c r="K8" s="100"/>
      <c r="L8" s="100">
        <v>23</v>
      </c>
      <c r="M8" s="105">
        <v>5</v>
      </c>
    </row>
    <row r="9" spans="1:13" ht="18.75" x14ac:dyDescent="0.3">
      <c r="A9" s="100">
        <v>8</v>
      </c>
      <c r="B9" s="102" t="s">
        <v>109</v>
      </c>
      <c r="C9" s="102" t="s">
        <v>6</v>
      </c>
      <c r="D9" s="100">
        <f>SUM(1501+1503)</f>
        <v>3004</v>
      </c>
      <c r="E9" s="100">
        <f>SUM(102+90)</f>
        <v>192</v>
      </c>
      <c r="F9" s="101">
        <f>SUM(D9/E9)</f>
        <v>15.645833333333334</v>
      </c>
      <c r="G9" s="100">
        <v>2</v>
      </c>
      <c r="H9" s="100">
        <v>2</v>
      </c>
      <c r="I9" s="100"/>
      <c r="J9" s="100"/>
      <c r="K9" s="100"/>
      <c r="L9" s="100">
        <v>10.5</v>
      </c>
      <c r="M9" s="105">
        <v>5</v>
      </c>
    </row>
    <row r="10" spans="1:13" ht="18.75" x14ac:dyDescent="0.3">
      <c r="A10" s="100">
        <v>9</v>
      </c>
      <c r="B10" s="100" t="s">
        <v>24</v>
      </c>
      <c r="C10" s="102" t="s">
        <v>15</v>
      </c>
      <c r="D10" s="100">
        <f>SUM(4314+1332+1237+1359+1503)</f>
        <v>9745</v>
      </c>
      <c r="E10" s="100">
        <f>SUM(296+95+82+85+89)</f>
        <v>647</v>
      </c>
      <c r="F10" s="101">
        <f>SUM(D10/E10)</f>
        <v>15.061823802163833</v>
      </c>
      <c r="G10" s="100">
        <v>7</v>
      </c>
      <c r="H10" s="100">
        <v>4</v>
      </c>
      <c r="I10" s="100"/>
      <c r="J10" s="100"/>
      <c r="K10" s="100"/>
      <c r="L10" s="100">
        <v>20</v>
      </c>
      <c r="M10" s="105">
        <v>5</v>
      </c>
    </row>
    <row r="11" spans="1:13" ht="18.75" x14ac:dyDescent="0.3">
      <c r="A11" s="100">
        <v>10</v>
      </c>
      <c r="B11" s="100" t="s">
        <v>25</v>
      </c>
      <c r="C11" s="102" t="s">
        <v>10</v>
      </c>
      <c r="D11" s="100">
        <f>SUM(4307+1495+1475+1270+1491)</f>
        <v>10038</v>
      </c>
      <c r="E11" s="100">
        <f>SUM(287+93+99+86+104)</f>
        <v>669</v>
      </c>
      <c r="F11" s="101">
        <f>SUM(D11/E11)</f>
        <v>15.004484304932735</v>
      </c>
      <c r="G11" s="100">
        <v>7</v>
      </c>
      <c r="H11" s="100">
        <v>3</v>
      </c>
      <c r="I11" s="100"/>
      <c r="J11" s="100"/>
      <c r="K11" s="100"/>
      <c r="L11" s="100">
        <v>25</v>
      </c>
      <c r="M11" s="105">
        <v>5</v>
      </c>
    </row>
    <row r="12" spans="1:13" ht="18.75" x14ac:dyDescent="0.3">
      <c r="A12" s="100">
        <v>11</v>
      </c>
      <c r="B12" s="102" t="s">
        <v>13</v>
      </c>
      <c r="C12" s="102" t="s">
        <v>8</v>
      </c>
      <c r="D12" s="100">
        <f>SUM(4458+1498+1499+1363+1487)</f>
        <v>10305</v>
      </c>
      <c r="E12" s="100">
        <f>SUM(305+99+94+92+104)</f>
        <v>694</v>
      </c>
      <c r="F12" s="101">
        <f>SUM(D12/E12)</f>
        <v>14.848703170028818</v>
      </c>
      <c r="G12" s="100">
        <v>7</v>
      </c>
      <c r="H12" s="100">
        <v>5</v>
      </c>
      <c r="I12" s="100"/>
      <c r="J12" s="100"/>
      <c r="K12" s="100"/>
      <c r="L12" s="100">
        <v>26</v>
      </c>
      <c r="M12" s="105"/>
    </row>
    <row r="13" spans="1:13" ht="18.75" x14ac:dyDescent="0.3">
      <c r="A13" s="100">
        <v>12</v>
      </c>
      <c r="B13" s="102" t="s">
        <v>31</v>
      </c>
      <c r="C13" s="102" t="s">
        <v>60</v>
      </c>
      <c r="D13" s="100">
        <f>SUM(4180+1503+1503+1503+1348)</f>
        <v>10037</v>
      </c>
      <c r="E13" s="100">
        <f>SUM(270+96+116+116+79)</f>
        <v>677</v>
      </c>
      <c r="F13" s="101">
        <f>SUM(D13/E13)</f>
        <v>14.825701624815363</v>
      </c>
      <c r="G13" s="100">
        <v>7</v>
      </c>
      <c r="H13" s="100">
        <v>7</v>
      </c>
      <c r="I13" s="100"/>
      <c r="J13" s="100"/>
      <c r="K13" s="100"/>
      <c r="L13" s="100">
        <v>28.5</v>
      </c>
      <c r="M13" s="105"/>
    </row>
    <row r="14" spans="1:13" ht="18.75" x14ac:dyDescent="0.3">
      <c r="A14" s="100">
        <v>13</v>
      </c>
      <c r="B14" s="102" t="s">
        <v>22</v>
      </c>
      <c r="C14" s="102" t="s">
        <v>17</v>
      </c>
      <c r="D14" s="100">
        <f>SUM(4417+1432+1483+1301)</f>
        <v>8633</v>
      </c>
      <c r="E14" s="100">
        <f>SUM(313+95+97+87)</f>
        <v>592</v>
      </c>
      <c r="F14" s="101">
        <f>SUM(D14/E14)</f>
        <v>14.58277027027027</v>
      </c>
      <c r="G14" s="100">
        <v>6</v>
      </c>
      <c r="H14" s="100">
        <v>4</v>
      </c>
      <c r="I14" s="100"/>
      <c r="J14" s="100"/>
      <c r="K14" s="100"/>
      <c r="L14" s="100">
        <v>21.5</v>
      </c>
      <c r="M14" s="105">
        <v>5</v>
      </c>
    </row>
    <row r="15" spans="1:13" ht="18.75" x14ac:dyDescent="0.3">
      <c r="A15" s="100">
        <v>14</v>
      </c>
      <c r="B15" s="102" t="s">
        <v>19</v>
      </c>
      <c r="C15" s="102" t="s">
        <v>20</v>
      </c>
      <c r="D15" s="100">
        <f>SUM(4014+1424+1445+1425+1487)</f>
        <v>9795</v>
      </c>
      <c r="E15" s="100">
        <f>SUM(269+95+107+110+91)</f>
        <v>672</v>
      </c>
      <c r="F15" s="101">
        <f>SUM(D15/E15)</f>
        <v>14.575892857142858</v>
      </c>
      <c r="G15" s="100">
        <v>7</v>
      </c>
      <c r="H15" s="100">
        <v>3</v>
      </c>
      <c r="I15" s="100"/>
      <c r="J15" s="100"/>
      <c r="K15" s="100"/>
      <c r="L15" s="100">
        <v>17</v>
      </c>
      <c r="M15" s="105">
        <v>5</v>
      </c>
    </row>
    <row r="16" spans="1:13" ht="18.75" x14ac:dyDescent="0.3">
      <c r="A16" s="100">
        <v>15</v>
      </c>
      <c r="B16" s="102" t="s">
        <v>53</v>
      </c>
      <c r="C16" s="102" t="s">
        <v>54</v>
      </c>
      <c r="D16" s="100">
        <f>SUM(3962+1414+1297+1223+1389)</f>
        <v>9285</v>
      </c>
      <c r="E16" s="100">
        <f>SUM(264+100+87+87+102)</f>
        <v>640</v>
      </c>
      <c r="F16" s="101">
        <f>SUM(D16/E16)</f>
        <v>14.5078125</v>
      </c>
      <c r="G16" s="100">
        <v>7</v>
      </c>
      <c r="H16" s="100">
        <v>2</v>
      </c>
      <c r="I16" s="100"/>
      <c r="J16" s="100"/>
      <c r="K16" s="100"/>
      <c r="L16" s="100">
        <v>9.5</v>
      </c>
      <c r="M16" s="105"/>
    </row>
    <row r="17" spans="1:13" ht="18.75" x14ac:dyDescent="0.3">
      <c r="A17" s="100">
        <v>16</v>
      </c>
      <c r="B17" s="102" t="s">
        <v>92</v>
      </c>
      <c r="C17" s="102" t="s">
        <v>60</v>
      </c>
      <c r="D17" s="100">
        <f>SUM(1340+1503+1433)</f>
        <v>4276</v>
      </c>
      <c r="E17" s="100">
        <f>SUM(111+98+87)</f>
        <v>296</v>
      </c>
      <c r="F17" s="101">
        <f>SUM(D17/E17)</f>
        <v>14.445945945945946</v>
      </c>
      <c r="G17" s="100">
        <v>3</v>
      </c>
      <c r="H17" s="100">
        <v>1</v>
      </c>
      <c r="I17" s="100"/>
      <c r="J17" s="100"/>
      <c r="K17" s="100"/>
      <c r="L17" s="100">
        <v>5</v>
      </c>
      <c r="M17" s="105"/>
    </row>
    <row r="18" spans="1:13" ht="18.75" x14ac:dyDescent="0.3">
      <c r="A18" s="100">
        <v>17</v>
      </c>
      <c r="B18" s="102" t="s">
        <v>32</v>
      </c>
      <c r="C18" s="102" t="s">
        <v>60</v>
      </c>
      <c r="D18" s="100">
        <f>SUM(4179+1391+1460+1414+1471)</f>
        <v>9915</v>
      </c>
      <c r="E18" s="100">
        <f>SUM(276+99+123+110+79)</f>
        <v>687</v>
      </c>
      <c r="F18" s="101">
        <f>SUM(D18/E18)</f>
        <v>14.43231441048035</v>
      </c>
      <c r="G18" s="100">
        <v>7</v>
      </c>
      <c r="H18" s="100">
        <v>2</v>
      </c>
      <c r="I18" s="100"/>
      <c r="J18" s="100"/>
      <c r="K18" s="100"/>
      <c r="L18" s="100">
        <v>19.5</v>
      </c>
      <c r="M18" s="105"/>
    </row>
    <row r="19" spans="1:13" ht="18.75" x14ac:dyDescent="0.3">
      <c r="A19" s="100">
        <v>18</v>
      </c>
      <c r="B19" s="109" t="s">
        <v>21</v>
      </c>
      <c r="C19" s="102" t="s">
        <v>17</v>
      </c>
      <c r="D19" s="100">
        <f>SUM(3916+1494+1503+1419+1500)</f>
        <v>9832</v>
      </c>
      <c r="E19" s="100">
        <f>SUM(279+100+110+93+116)</f>
        <v>698</v>
      </c>
      <c r="F19" s="101">
        <f>SUM(D19/E19)</f>
        <v>14.085959885386819</v>
      </c>
      <c r="G19" s="100">
        <v>7</v>
      </c>
      <c r="H19" s="100">
        <v>4</v>
      </c>
      <c r="I19" s="100"/>
      <c r="J19" s="100"/>
      <c r="K19" s="100"/>
      <c r="L19" s="100">
        <v>22</v>
      </c>
      <c r="M19" s="105"/>
    </row>
    <row r="20" spans="1:13" ht="18.75" x14ac:dyDescent="0.3">
      <c r="A20" s="100">
        <v>19</v>
      </c>
      <c r="B20" s="102" t="s">
        <v>29</v>
      </c>
      <c r="C20" s="102" t="s">
        <v>17</v>
      </c>
      <c r="D20" s="100">
        <f>SUM(2825+1503+1493+1501+1503)</f>
        <v>8825</v>
      </c>
      <c r="E20" s="100">
        <f>SUM(212+89+141+101+92)</f>
        <v>635</v>
      </c>
      <c r="F20" s="101">
        <f>SUM(D20/E20)</f>
        <v>13.897637795275591</v>
      </c>
      <c r="G20" s="100">
        <v>6</v>
      </c>
      <c r="H20" s="100">
        <v>3</v>
      </c>
      <c r="I20" s="100"/>
      <c r="J20" s="100"/>
      <c r="K20" s="100"/>
      <c r="L20" s="100">
        <v>17.5</v>
      </c>
      <c r="M20" s="105"/>
    </row>
    <row r="21" spans="1:13" ht="18.75" x14ac:dyDescent="0.3">
      <c r="A21" s="100">
        <v>20</v>
      </c>
      <c r="B21" s="102" t="s">
        <v>94</v>
      </c>
      <c r="C21" s="102" t="s">
        <v>10</v>
      </c>
      <c r="D21" s="100">
        <f>SUM(1503+1225+1463+1475+1457)</f>
        <v>7123</v>
      </c>
      <c r="E21" s="100">
        <f>SUM(114+97+115+98+97)</f>
        <v>521</v>
      </c>
      <c r="F21" s="101">
        <f>SUM(D21/E21)</f>
        <v>13.671785028790786</v>
      </c>
      <c r="G21" s="100">
        <v>5</v>
      </c>
      <c r="H21" s="100">
        <v>3</v>
      </c>
      <c r="I21" s="100"/>
      <c r="J21" s="100"/>
      <c r="K21" s="100"/>
      <c r="L21" s="100">
        <v>16.5</v>
      </c>
      <c r="M21" s="105"/>
    </row>
    <row r="22" spans="1:13" ht="18.75" x14ac:dyDescent="0.3">
      <c r="A22" s="100">
        <v>21</v>
      </c>
      <c r="B22" s="102" t="s">
        <v>56</v>
      </c>
      <c r="C22" s="102" t="s">
        <v>54</v>
      </c>
      <c r="D22" s="100">
        <f>SUM(4033+1323+1359+1415+1407)</f>
        <v>9537</v>
      </c>
      <c r="E22" s="100">
        <f>SUM(304+111+117+89+85)</f>
        <v>706</v>
      </c>
      <c r="F22" s="101">
        <f>SUM(D22/E22)</f>
        <v>13.508498583569406</v>
      </c>
      <c r="G22" s="100">
        <v>7</v>
      </c>
      <c r="H22" s="100">
        <v>0</v>
      </c>
      <c r="I22" s="100"/>
      <c r="J22" s="100"/>
      <c r="K22" s="100"/>
      <c r="L22" s="100">
        <v>8</v>
      </c>
      <c r="M22" s="105"/>
    </row>
    <row r="23" spans="1:13" ht="18.75" x14ac:dyDescent="0.3">
      <c r="A23" s="100">
        <v>22</v>
      </c>
      <c r="B23" s="102" t="s">
        <v>83</v>
      </c>
      <c r="C23" s="102" t="s">
        <v>20</v>
      </c>
      <c r="D23" s="100">
        <f>SUM(1491+1497+1406)</f>
        <v>4394</v>
      </c>
      <c r="E23" s="100">
        <f>SUM(103+112+114)</f>
        <v>329</v>
      </c>
      <c r="F23" s="101">
        <f>SUM(D23/E23)</f>
        <v>13.355623100303951</v>
      </c>
      <c r="G23" s="100">
        <v>3</v>
      </c>
      <c r="H23" s="100">
        <v>2</v>
      </c>
      <c r="I23" s="100"/>
      <c r="J23" s="100"/>
      <c r="K23" s="100"/>
      <c r="L23" s="100">
        <v>8.5</v>
      </c>
      <c r="M23" s="105"/>
    </row>
    <row r="24" spans="1:13" ht="18.75" x14ac:dyDescent="0.3">
      <c r="A24" s="100">
        <v>23</v>
      </c>
      <c r="B24" s="102" t="s">
        <v>23</v>
      </c>
      <c r="C24" s="102" t="s">
        <v>20</v>
      </c>
      <c r="D24" s="100">
        <f>SUM(4015+1501+1489+1293)</f>
        <v>8298</v>
      </c>
      <c r="E24" s="100">
        <f>SUM(279+142+111+90)</f>
        <v>622</v>
      </c>
      <c r="F24" s="101">
        <f>SUM(D24/E24)</f>
        <v>13.340836012861736</v>
      </c>
      <c r="G24" s="100">
        <v>6</v>
      </c>
      <c r="H24" s="100">
        <v>2</v>
      </c>
      <c r="I24" s="100">
        <v>1</v>
      </c>
      <c r="J24" s="100"/>
      <c r="K24" s="100"/>
      <c r="L24" s="100">
        <v>11.5</v>
      </c>
      <c r="M24" s="105">
        <v>10</v>
      </c>
    </row>
    <row r="25" spans="1:13" ht="18.75" x14ac:dyDescent="0.3">
      <c r="A25" s="100">
        <v>24</v>
      </c>
      <c r="B25" s="102" t="s">
        <v>50</v>
      </c>
      <c r="C25" s="102" t="s">
        <v>60</v>
      </c>
      <c r="D25" s="100">
        <f>SUM(1462)</f>
        <v>1462</v>
      </c>
      <c r="E25" s="100">
        <f>SUM(111)</f>
        <v>111</v>
      </c>
      <c r="F25" s="101">
        <f>SUM(D25/E25)</f>
        <v>13.171171171171171</v>
      </c>
      <c r="G25" s="100">
        <v>1</v>
      </c>
      <c r="H25" s="100">
        <v>1</v>
      </c>
      <c r="I25" s="100"/>
      <c r="J25" s="100"/>
      <c r="K25" s="100"/>
      <c r="L25" s="100">
        <v>4</v>
      </c>
      <c r="M25" s="105"/>
    </row>
    <row r="26" spans="1:13" ht="18.75" x14ac:dyDescent="0.3">
      <c r="A26" s="100">
        <v>25</v>
      </c>
      <c r="B26" s="102" t="s">
        <v>14</v>
      </c>
      <c r="C26" s="102" t="s">
        <v>15</v>
      </c>
      <c r="D26" s="100">
        <f>SUM(4418+1300+1489+1476)</f>
        <v>8683</v>
      </c>
      <c r="E26" s="100">
        <f>SUM(337+123+102+107)</f>
        <v>669</v>
      </c>
      <c r="F26" s="101">
        <f>SUM(D26/E26)</f>
        <v>12.979073243647235</v>
      </c>
      <c r="G26" s="100">
        <v>6</v>
      </c>
      <c r="H26" s="100">
        <v>3</v>
      </c>
      <c r="I26" s="100"/>
      <c r="J26" s="100"/>
      <c r="K26" s="100"/>
      <c r="L26" s="100">
        <v>14</v>
      </c>
      <c r="M26" s="105"/>
    </row>
    <row r="27" spans="1:13" ht="18.75" x14ac:dyDescent="0.3">
      <c r="A27" s="100">
        <v>26</v>
      </c>
      <c r="B27" s="102" t="s">
        <v>18</v>
      </c>
      <c r="C27" s="102" t="s">
        <v>8</v>
      </c>
      <c r="D27" s="100">
        <f>SUM(2974+877+1208+1310)</f>
        <v>6369</v>
      </c>
      <c r="E27" s="100">
        <f>SUM(230+75+95+92)</f>
        <v>492</v>
      </c>
      <c r="F27" s="101">
        <f>SUM(D27/E27)</f>
        <v>12.945121951219512</v>
      </c>
      <c r="G27" s="100">
        <v>5</v>
      </c>
      <c r="H27" s="100">
        <v>2</v>
      </c>
      <c r="I27" s="100"/>
      <c r="J27" s="100"/>
      <c r="K27" s="100"/>
      <c r="L27" s="100">
        <v>15</v>
      </c>
      <c r="M27" s="105"/>
    </row>
    <row r="28" spans="1:13" ht="18.75" x14ac:dyDescent="0.3">
      <c r="A28" s="100">
        <v>27</v>
      </c>
      <c r="B28" s="102" t="s">
        <v>52</v>
      </c>
      <c r="C28" s="102" t="s">
        <v>20</v>
      </c>
      <c r="D28" s="100">
        <f>SUM(4464+1503+1432+1431+1422)</f>
        <v>10252</v>
      </c>
      <c r="E28" s="100">
        <f>SUM(372+122+97+97+111)</f>
        <v>799</v>
      </c>
      <c r="F28" s="101">
        <f>SUM(D28/E28)</f>
        <v>12.831038798498122</v>
      </c>
      <c r="G28" s="100">
        <v>7</v>
      </c>
      <c r="H28" s="100">
        <v>4</v>
      </c>
      <c r="I28" s="100"/>
      <c r="J28" s="100"/>
      <c r="K28" s="100"/>
      <c r="L28" s="100">
        <v>23.5</v>
      </c>
      <c r="M28" s="105"/>
    </row>
    <row r="29" spans="1:13" ht="18.75" x14ac:dyDescent="0.3">
      <c r="A29" s="100">
        <v>28</v>
      </c>
      <c r="B29" s="102" t="s">
        <v>28</v>
      </c>
      <c r="C29" s="102" t="s">
        <v>6</v>
      </c>
      <c r="D29" s="100">
        <f>SUM(2923)</f>
        <v>2923</v>
      </c>
      <c r="E29" s="100">
        <f>SUM(232)</f>
        <v>232</v>
      </c>
      <c r="F29" s="101">
        <f>SUM(D29/E29)</f>
        <v>12.599137931034482</v>
      </c>
      <c r="G29" s="100">
        <v>2</v>
      </c>
      <c r="H29" s="100">
        <v>0</v>
      </c>
      <c r="I29" s="100">
        <v>1</v>
      </c>
      <c r="J29" s="100"/>
      <c r="K29" s="100"/>
      <c r="L29" s="100">
        <v>4.5</v>
      </c>
      <c r="M29" s="105">
        <v>10</v>
      </c>
    </row>
    <row r="30" spans="1:13" ht="18.75" x14ac:dyDescent="0.3">
      <c r="A30" s="100">
        <v>29</v>
      </c>
      <c r="B30" s="102" t="s">
        <v>82</v>
      </c>
      <c r="C30" s="102" t="s">
        <v>15</v>
      </c>
      <c r="D30" s="100">
        <f>SUM(1503+1483)</f>
        <v>2986</v>
      </c>
      <c r="E30" s="100">
        <f>SUM(105+135)</f>
        <v>240</v>
      </c>
      <c r="F30" s="101">
        <f>SUM(D30/E30)</f>
        <v>12.441666666666666</v>
      </c>
      <c r="G30" s="100">
        <v>2</v>
      </c>
      <c r="H30" s="100">
        <v>2</v>
      </c>
      <c r="I30" s="100"/>
      <c r="J30" s="100"/>
      <c r="K30" s="100"/>
      <c r="L30" s="100">
        <v>5.5</v>
      </c>
      <c r="M30" s="105"/>
    </row>
    <row r="31" spans="1:13" ht="18.75" x14ac:dyDescent="0.3">
      <c r="A31" s="100">
        <v>30</v>
      </c>
      <c r="B31" s="102" t="s">
        <v>79</v>
      </c>
      <c r="C31" s="102" t="s">
        <v>60</v>
      </c>
      <c r="D31" s="100">
        <f>SUM(2822+1492+1458+1346)</f>
        <v>7118</v>
      </c>
      <c r="E31" s="100">
        <f>SUM(261+118+100+100)</f>
        <v>579</v>
      </c>
      <c r="F31" s="101">
        <f>SUM(D31/E31)</f>
        <v>12.293609671848014</v>
      </c>
      <c r="G31" s="100">
        <v>5</v>
      </c>
      <c r="H31" s="100">
        <v>3</v>
      </c>
      <c r="I31" s="100"/>
      <c r="J31" s="100"/>
      <c r="K31" s="100"/>
      <c r="L31" s="100">
        <v>15.5</v>
      </c>
      <c r="M31" s="105"/>
    </row>
    <row r="32" spans="1:13" ht="18.75" x14ac:dyDescent="0.3">
      <c r="A32" s="100">
        <v>31</v>
      </c>
      <c r="B32" s="102" t="s">
        <v>80</v>
      </c>
      <c r="C32" s="102" t="s">
        <v>17</v>
      </c>
      <c r="D32" s="100">
        <f>SUM(1503+1503)</f>
        <v>3006</v>
      </c>
      <c r="E32" s="100">
        <f>SUM(125+120)</f>
        <v>245</v>
      </c>
      <c r="F32" s="101">
        <f>SUM(D32/E32)</f>
        <v>12.269387755102041</v>
      </c>
      <c r="G32" s="100">
        <v>2</v>
      </c>
      <c r="H32" s="100">
        <v>2</v>
      </c>
      <c r="I32" s="100"/>
      <c r="J32" s="100"/>
      <c r="K32" s="100"/>
      <c r="L32" s="100">
        <v>10</v>
      </c>
      <c r="M32" s="105"/>
    </row>
    <row r="33" spans="1:13" ht="18.75" x14ac:dyDescent="0.3">
      <c r="A33" s="100">
        <v>32</v>
      </c>
      <c r="B33" s="102" t="s">
        <v>61</v>
      </c>
      <c r="C33" s="102" t="s">
        <v>6</v>
      </c>
      <c r="D33" s="100">
        <f>SUM(4453+1501+1503+1444+1480)</f>
        <v>10381</v>
      </c>
      <c r="E33" s="100">
        <f>SUM(394+142+114+116+102)</f>
        <v>868</v>
      </c>
      <c r="F33" s="101">
        <f>SUM(D33/E33)</f>
        <v>11.959677419354838</v>
      </c>
      <c r="G33" s="100">
        <v>7</v>
      </c>
      <c r="H33" s="100">
        <v>4</v>
      </c>
      <c r="I33" s="100"/>
      <c r="J33" s="100"/>
      <c r="K33" s="100"/>
      <c r="L33" s="100">
        <v>23</v>
      </c>
      <c r="M33" s="105">
        <v>5</v>
      </c>
    </row>
    <row r="34" spans="1:13" ht="18.75" x14ac:dyDescent="0.3">
      <c r="A34" s="100">
        <v>33</v>
      </c>
      <c r="B34" s="102" t="s">
        <v>91</v>
      </c>
      <c r="C34" s="102" t="s">
        <v>6</v>
      </c>
      <c r="D34" s="100">
        <f>SUM(1496+1347+1501)</f>
        <v>4344</v>
      </c>
      <c r="E34" s="100">
        <f>SUM(127+116+121)</f>
        <v>364</v>
      </c>
      <c r="F34" s="101">
        <f>SUM(D34/E34)</f>
        <v>11.934065934065934</v>
      </c>
      <c r="G34" s="100">
        <v>3</v>
      </c>
      <c r="H34" s="100">
        <v>2</v>
      </c>
      <c r="I34" s="100"/>
      <c r="J34" s="100"/>
      <c r="K34" s="100"/>
      <c r="L34" s="100">
        <v>14.5</v>
      </c>
      <c r="M34" s="105"/>
    </row>
    <row r="35" spans="1:13" ht="18.75" x14ac:dyDescent="0.3">
      <c r="A35" s="100">
        <v>34</v>
      </c>
      <c r="B35" s="100" t="s">
        <v>27</v>
      </c>
      <c r="C35" s="102" t="s">
        <v>10</v>
      </c>
      <c r="D35" s="100">
        <f>SUM(4296+1328+1494+1503+1503)</f>
        <v>10124</v>
      </c>
      <c r="E35" s="100">
        <f>SUM(372+84+136+118+151)</f>
        <v>861</v>
      </c>
      <c r="F35" s="101">
        <f>SUM(D35/E35)</f>
        <v>11.758420441347271</v>
      </c>
      <c r="G35" s="100">
        <v>7</v>
      </c>
      <c r="H35" s="100">
        <v>4</v>
      </c>
      <c r="I35" s="100"/>
      <c r="J35" s="100"/>
      <c r="K35" s="100"/>
      <c r="L35" s="100">
        <v>27</v>
      </c>
      <c r="M35" s="105">
        <v>5</v>
      </c>
    </row>
    <row r="36" spans="1:13" ht="18.75" x14ac:dyDescent="0.3">
      <c r="A36" s="100">
        <v>35</v>
      </c>
      <c r="B36" s="102" t="s">
        <v>93</v>
      </c>
      <c r="C36" s="102" t="s">
        <v>15</v>
      </c>
      <c r="D36" s="100">
        <f>SUM(1208+1312+1237+1479)</f>
        <v>5236</v>
      </c>
      <c r="E36" s="100">
        <f>SUM(93+114+114+125)</f>
        <v>446</v>
      </c>
      <c r="F36" s="101">
        <f>SUM(D36/E36)</f>
        <v>11.739910313901346</v>
      </c>
      <c r="G36" s="100">
        <v>4</v>
      </c>
      <c r="H36" s="100">
        <v>0</v>
      </c>
      <c r="I36" s="100"/>
      <c r="J36" s="100"/>
      <c r="K36" s="100"/>
      <c r="L36" s="100">
        <v>4</v>
      </c>
      <c r="M36" s="105"/>
    </row>
    <row r="37" spans="1:13" ht="18.75" x14ac:dyDescent="0.3">
      <c r="A37" s="100">
        <v>36</v>
      </c>
      <c r="B37" s="102" t="s">
        <v>55</v>
      </c>
      <c r="C37" s="102" t="s">
        <v>54</v>
      </c>
      <c r="D37" s="100">
        <f>SUM(4065+1275+1469+1496+1425)</f>
        <v>9730</v>
      </c>
      <c r="E37" s="100">
        <f>SUM(355+120+124+117+113)</f>
        <v>829</v>
      </c>
      <c r="F37" s="101">
        <f>SUM(D37/E37)</f>
        <v>11.737032569360675</v>
      </c>
      <c r="G37" s="100">
        <v>7</v>
      </c>
      <c r="H37" s="100">
        <v>2</v>
      </c>
      <c r="I37" s="100"/>
      <c r="J37" s="100"/>
      <c r="K37" s="100"/>
      <c r="L37" s="100">
        <v>11.5</v>
      </c>
      <c r="M37" s="105"/>
    </row>
    <row r="38" spans="1:13" ht="18.75" x14ac:dyDescent="0.3">
      <c r="A38" s="100">
        <v>37</v>
      </c>
      <c r="B38" s="102" t="s">
        <v>81</v>
      </c>
      <c r="C38" s="102" t="s">
        <v>8</v>
      </c>
      <c r="D38" s="100">
        <f>SUM(1456+1499+1222)</f>
        <v>4177</v>
      </c>
      <c r="E38" s="100">
        <f>SUM(107+138+115)</f>
        <v>360</v>
      </c>
      <c r="F38" s="101">
        <f>SUM(D38/E38)</f>
        <v>11.602777777777778</v>
      </c>
      <c r="G38" s="100">
        <v>3</v>
      </c>
      <c r="H38" s="100">
        <v>1</v>
      </c>
      <c r="I38" s="100"/>
      <c r="J38" s="100"/>
      <c r="K38" s="100"/>
      <c r="L38" s="100">
        <v>8</v>
      </c>
      <c r="M38" s="105"/>
    </row>
    <row r="39" spans="1:13" ht="18.75" x14ac:dyDescent="0.3">
      <c r="A39" s="100">
        <v>38</v>
      </c>
      <c r="B39" s="102" t="s">
        <v>51</v>
      </c>
      <c r="C39" s="102" t="s">
        <v>20</v>
      </c>
      <c r="D39" s="100">
        <f>SUM(2846+1454+1168+1455)</f>
        <v>6923</v>
      </c>
      <c r="E39" s="100">
        <f>SUM(250+115+105+129)</f>
        <v>599</v>
      </c>
      <c r="F39" s="101">
        <f>SUM(D39/E39)</f>
        <v>11.557595993322204</v>
      </c>
      <c r="G39" s="100">
        <v>5</v>
      </c>
      <c r="H39" s="100">
        <v>2</v>
      </c>
      <c r="I39" s="100"/>
      <c r="J39" s="100"/>
      <c r="K39" s="100"/>
      <c r="L39" s="100">
        <v>11.5</v>
      </c>
      <c r="M39" s="105"/>
    </row>
    <row r="40" spans="1:13" ht="18.75" x14ac:dyDescent="0.3">
      <c r="A40" s="100">
        <v>39</v>
      </c>
      <c r="B40" s="102" t="s">
        <v>57</v>
      </c>
      <c r="C40" s="102" t="s">
        <v>15</v>
      </c>
      <c r="D40" s="100">
        <f>SUM(1259+1503)</f>
        <v>2762</v>
      </c>
      <c r="E40" s="100">
        <f>SUM(102+139)</f>
        <v>241</v>
      </c>
      <c r="F40" s="101">
        <f>SUM(D40/E40)</f>
        <v>11.460580912863071</v>
      </c>
      <c r="G40" s="100">
        <v>2</v>
      </c>
      <c r="H40" s="100">
        <v>1</v>
      </c>
      <c r="I40" s="100"/>
      <c r="J40" s="100"/>
      <c r="K40" s="100"/>
      <c r="L40" s="100">
        <v>4</v>
      </c>
      <c r="M40" s="105"/>
    </row>
    <row r="41" spans="1:13" ht="18.75" x14ac:dyDescent="0.3">
      <c r="A41" s="100">
        <v>40</v>
      </c>
      <c r="B41" s="102" t="s">
        <v>58</v>
      </c>
      <c r="C41" s="102" t="s">
        <v>54</v>
      </c>
      <c r="D41" s="100">
        <f>SUM(4183+1360+1165+1035+1124)</f>
        <v>8867</v>
      </c>
      <c r="E41" s="100">
        <f>SUM(385+117+96+99+87)</f>
        <v>784</v>
      </c>
      <c r="F41" s="101">
        <f>SUM(D41/E41)</f>
        <v>11.309948979591837</v>
      </c>
      <c r="G41" s="100">
        <v>7</v>
      </c>
      <c r="H41" s="100">
        <v>1</v>
      </c>
      <c r="I41" s="100"/>
      <c r="J41" s="100"/>
      <c r="K41" s="100"/>
      <c r="L41" s="100">
        <v>10</v>
      </c>
      <c r="M41" s="105"/>
    </row>
    <row r="42" spans="1:13" ht="18.75" x14ac:dyDescent="0.3">
      <c r="A42" s="100">
        <v>41</v>
      </c>
      <c r="B42" s="102" t="s">
        <v>26</v>
      </c>
      <c r="C42" s="102" t="s">
        <v>10</v>
      </c>
      <c r="D42" s="100">
        <f>SUM(2859)</f>
        <v>2859</v>
      </c>
      <c r="E42" s="100">
        <f>SUM(255)</f>
        <v>255</v>
      </c>
      <c r="F42" s="101">
        <f>SUM(D42/E42)</f>
        <v>11.211764705882352</v>
      </c>
      <c r="G42" s="100">
        <v>2</v>
      </c>
      <c r="H42" s="100">
        <v>0</v>
      </c>
      <c r="I42" s="100"/>
      <c r="J42" s="100"/>
      <c r="K42" s="100"/>
      <c r="L42" s="100">
        <v>4.5</v>
      </c>
      <c r="M42" s="105"/>
    </row>
    <row r="43" spans="1:13" ht="18.75" x14ac:dyDescent="0.3">
      <c r="A43" s="100">
        <v>42</v>
      </c>
      <c r="B43" s="102" t="s">
        <v>30</v>
      </c>
      <c r="C43" s="102" t="s">
        <v>8</v>
      </c>
      <c r="D43" s="100">
        <f>SUM(4393+1267+1402+1455)</f>
        <v>8517</v>
      </c>
      <c r="E43" s="100">
        <f>SUM(432+120+135+153)</f>
        <v>840</v>
      </c>
      <c r="F43" s="101">
        <f>SUM(D43/E43)</f>
        <v>10.139285714285714</v>
      </c>
      <c r="G43" s="100">
        <v>6</v>
      </c>
      <c r="H43" s="100">
        <v>1</v>
      </c>
      <c r="I43" s="100"/>
      <c r="J43" s="100"/>
      <c r="K43" s="100"/>
      <c r="L43" s="100">
        <v>11.5</v>
      </c>
      <c r="M43" s="105"/>
    </row>
    <row r="44" spans="1:13" ht="19.5" thickBot="1" x14ac:dyDescent="0.35">
      <c r="A44" s="92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</row>
    <row r="45" spans="1:13" ht="15" customHeight="1" thickBot="1" x14ac:dyDescent="0.35">
      <c r="A45" s="92"/>
      <c r="B45" s="106" t="s">
        <v>114</v>
      </c>
      <c r="C45" s="108" t="s">
        <v>33</v>
      </c>
      <c r="D45" s="97" t="s">
        <v>34</v>
      </c>
      <c r="E45" s="97" t="s">
        <v>35</v>
      </c>
      <c r="F45" s="97" t="s">
        <v>36</v>
      </c>
      <c r="G45" s="97"/>
      <c r="H45" s="97"/>
      <c r="I45" s="96"/>
      <c r="J45" s="91"/>
      <c r="K45" s="91"/>
      <c r="L45" s="91"/>
      <c r="M45" s="91"/>
    </row>
    <row r="46" spans="1:13" ht="18.75" x14ac:dyDescent="0.3">
      <c r="A46" s="92"/>
      <c r="B46" s="106"/>
      <c r="C46" s="92" t="s">
        <v>39</v>
      </c>
      <c r="D46" s="92">
        <v>7</v>
      </c>
      <c r="E46" s="91">
        <v>0</v>
      </c>
      <c r="F46" s="91">
        <v>116</v>
      </c>
      <c r="G46" s="91"/>
      <c r="H46" s="92" t="s">
        <v>38</v>
      </c>
      <c r="I46" s="95" t="s">
        <v>113</v>
      </c>
      <c r="J46" s="91"/>
      <c r="K46" s="95"/>
      <c r="L46" s="91"/>
      <c r="M46" s="91"/>
    </row>
    <row r="47" spans="1:13" ht="18.75" x14ac:dyDescent="0.3">
      <c r="A47" s="92"/>
      <c r="B47" s="106"/>
      <c r="C47" s="92" t="s">
        <v>42</v>
      </c>
      <c r="D47" s="92">
        <v>5</v>
      </c>
      <c r="E47" s="91">
        <v>2</v>
      </c>
      <c r="F47" s="91">
        <v>103</v>
      </c>
      <c r="G47" s="91"/>
      <c r="H47" s="92" t="s">
        <v>40</v>
      </c>
      <c r="I47" s="95" t="s">
        <v>112</v>
      </c>
      <c r="J47" s="91"/>
      <c r="K47" s="92"/>
      <c r="L47" s="91"/>
      <c r="M47" s="91"/>
    </row>
    <row r="48" spans="1:13" ht="18.75" x14ac:dyDescent="0.3">
      <c r="A48" s="92"/>
      <c r="B48" s="106"/>
      <c r="C48" s="92" t="s">
        <v>63</v>
      </c>
      <c r="D48" s="92">
        <v>4</v>
      </c>
      <c r="E48" s="92">
        <v>3</v>
      </c>
      <c r="F48" s="92">
        <v>96</v>
      </c>
      <c r="G48" s="91"/>
      <c r="H48" s="92" t="s">
        <v>41</v>
      </c>
      <c r="I48" s="95" t="s">
        <v>111</v>
      </c>
      <c r="J48" s="91"/>
      <c r="K48" s="95"/>
      <c r="L48" s="91"/>
      <c r="M48" s="91"/>
    </row>
    <row r="49" spans="1:13" ht="18.75" x14ac:dyDescent="0.3">
      <c r="A49" s="91"/>
      <c r="B49" s="106"/>
      <c r="C49" s="92" t="s">
        <v>37</v>
      </c>
      <c r="D49" s="92">
        <v>6</v>
      </c>
      <c r="E49" s="91">
        <v>1</v>
      </c>
      <c r="F49" s="91">
        <v>96</v>
      </c>
      <c r="G49" s="91"/>
      <c r="H49" s="92" t="s">
        <v>43</v>
      </c>
      <c r="I49" s="95" t="s">
        <v>110</v>
      </c>
      <c r="J49" s="91"/>
      <c r="K49" s="92"/>
      <c r="L49" s="91"/>
      <c r="M49" s="91"/>
    </row>
    <row r="50" spans="1:13" ht="18" customHeight="1" x14ac:dyDescent="0.3">
      <c r="A50" s="91"/>
      <c r="B50" s="106"/>
      <c r="C50" s="92" t="s">
        <v>47</v>
      </c>
      <c r="D50" s="92">
        <v>3</v>
      </c>
      <c r="E50" s="91">
        <v>4</v>
      </c>
      <c r="F50" s="91">
        <v>81</v>
      </c>
      <c r="G50" s="91"/>
      <c r="H50" s="92" t="s">
        <v>45</v>
      </c>
      <c r="I50" s="95" t="s">
        <v>86</v>
      </c>
      <c r="J50" s="91"/>
      <c r="K50" s="92"/>
      <c r="L50" s="91"/>
      <c r="M50" s="91"/>
    </row>
    <row r="51" spans="1:13" ht="18" customHeight="1" x14ac:dyDescent="0.3">
      <c r="A51" s="91"/>
      <c r="B51" s="106"/>
      <c r="C51" s="92" t="s">
        <v>48</v>
      </c>
      <c r="D51" s="92">
        <v>2</v>
      </c>
      <c r="E51" s="91">
        <v>5</v>
      </c>
      <c r="F51" s="91">
        <v>73</v>
      </c>
      <c r="G51" s="91"/>
      <c r="H51" s="92" t="s">
        <v>46</v>
      </c>
      <c r="I51" s="107" t="s">
        <v>99</v>
      </c>
      <c r="J51" s="107"/>
      <c r="K51" s="92"/>
      <c r="L51" s="91"/>
      <c r="M51" s="91"/>
    </row>
    <row r="52" spans="1:13" ht="18.75" x14ac:dyDescent="0.3">
      <c r="A52" s="91"/>
      <c r="B52" s="106"/>
      <c r="C52" s="92" t="s">
        <v>44</v>
      </c>
      <c r="D52" s="92">
        <v>1</v>
      </c>
      <c r="E52" s="92">
        <v>6</v>
      </c>
      <c r="F52" s="92">
        <v>66</v>
      </c>
      <c r="G52" s="91"/>
      <c r="H52" s="91"/>
      <c r="I52" s="91"/>
      <c r="J52" s="91"/>
      <c r="K52" s="91"/>
      <c r="L52" s="91"/>
      <c r="M52" s="91"/>
    </row>
    <row r="53" spans="1:13" ht="18.75" x14ac:dyDescent="0.3">
      <c r="A53" s="91"/>
      <c r="B53" s="106"/>
      <c r="C53" s="92" t="s">
        <v>49</v>
      </c>
      <c r="D53" s="92">
        <v>0</v>
      </c>
      <c r="E53" s="92">
        <v>7</v>
      </c>
      <c r="F53" s="92">
        <v>42</v>
      </c>
      <c r="G53" s="91"/>
      <c r="H53" s="91"/>
      <c r="I53" s="91"/>
      <c r="J53" s="91"/>
      <c r="K53" s="91"/>
      <c r="L53" s="91"/>
      <c r="M53" s="91"/>
    </row>
  </sheetData>
  <mergeCells count="2">
    <mergeCell ref="B45:B53"/>
    <mergeCell ref="I51:J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B1" sqref="B1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66.42578125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10.8554687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x14ac:dyDescent="0.3">
      <c r="A2" s="100">
        <v>1</v>
      </c>
      <c r="B2" s="102" t="s">
        <v>5</v>
      </c>
      <c r="C2" s="102" t="s">
        <v>6</v>
      </c>
      <c r="D2" s="100">
        <f>SUM(4345+1503+1501+1503+1482+1471)</f>
        <v>11805</v>
      </c>
      <c r="E2" s="100">
        <f>SUM(244+81+78+89+76+89)</f>
        <v>657</v>
      </c>
      <c r="F2" s="101">
        <f>SUM(D2/E2)</f>
        <v>17.968036529680365</v>
      </c>
      <c r="G2" s="100">
        <v>8</v>
      </c>
      <c r="H2" s="100">
        <v>6</v>
      </c>
      <c r="I2" s="100"/>
      <c r="J2" s="100"/>
      <c r="K2" s="100">
        <v>2</v>
      </c>
      <c r="L2" s="100">
        <v>33</v>
      </c>
      <c r="M2" s="105">
        <v>35</v>
      </c>
    </row>
    <row r="3" spans="1:13" ht="18.75" x14ac:dyDescent="0.3">
      <c r="A3" s="100">
        <v>2</v>
      </c>
      <c r="B3" s="102" t="s">
        <v>11</v>
      </c>
      <c r="C3" s="102" t="s">
        <v>6</v>
      </c>
      <c r="D3" s="100">
        <f>SUM(4499+1499+1491+1499+1385+1503)</f>
        <v>11876</v>
      </c>
      <c r="E3" s="100">
        <f>SUM(253+93+80+93+76+68)</f>
        <v>663</v>
      </c>
      <c r="F3" s="101">
        <f>SUM(D3/E3)</f>
        <v>17.912518853695325</v>
      </c>
      <c r="G3" s="100">
        <v>8</v>
      </c>
      <c r="H3" s="100">
        <v>7</v>
      </c>
      <c r="I3" s="100">
        <v>2</v>
      </c>
      <c r="J3" s="100"/>
      <c r="K3" s="100"/>
      <c r="L3" s="100">
        <v>35.5</v>
      </c>
      <c r="M3" s="105">
        <v>40</v>
      </c>
    </row>
    <row r="4" spans="1:13" ht="18.75" x14ac:dyDescent="0.3">
      <c r="A4" s="100">
        <v>3</v>
      </c>
      <c r="B4" s="102" t="s">
        <v>7</v>
      </c>
      <c r="C4" s="102" t="s">
        <v>8</v>
      </c>
      <c r="D4" s="100">
        <f>SUM(4260+1327+1503+1481+1486+1503)</f>
        <v>11560</v>
      </c>
      <c r="E4" s="100">
        <f>SUM(258+90+70+75+111+88)</f>
        <v>692</v>
      </c>
      <c r="F4" s="101">
        <f>SUM(D4/E4)</f>
        <v>16.705202312138727</v>
      </c>
      <c r="G4" s="100">
        <v>8</v>
      </c>
      <c r="H4" s="100">
        <v>4</v>
      </c>
      <c r="I4" s="100"/>
      <c r="J4" s="100"/>
      <c r="K4" s="100"/>
      <c r="L4" s="100">
        <v>26.5</v>
      </c>
      <c r="M4" s="105">
        <v>15</v>
      </c>
    </row>
    <row r="5" spans="1:13" ht="18.75" x14ac:dyDescent="0.3">
      <c r="A5" s="100">
        <v>4</v>
      </c>
      <c r="B5" s="102" t="s">
        <v>109</v>
      </c>
      <c r="C5" s="102" t="s">
        <v>6</v>
      </c>
      <c r="D5" s="100">
        <f>SUM(1501+1503+1357)</f>
        <v>4361</v>
      </c>
      <c r="E5" s="100">
        <f>SUM(102+90+75)</f>
        <v>267</v>
      </c>
      <c r="F5" s="101">
        <f>SUM(D5/E5)</f>
        <v>16.333333333333332</v>
      </c>
      <c r="G5" s="100">
        <v>3</v>
      </c>
      <c r="H5" s="100">
        <v>2</v>
      </c>
      <c r="I5" s="100"/>
      <c r="J5" s="100"/>
      <c r="K5" s="100"/>
      <c r="L5" s="100">
        <v>12</v>
      </c>
      <c r="M5" s="105">
        <v>5</v>
      </c>
    </row>
    <row r="6" spans="1:13" ht="18.75" x14ac:dyDescent="0.3">
      <c r="A6" s="100">
        <v>5</v>
      </c>
      <c r="B6" s="102" t="s">
        <v>16</v>
      </c>
      <c r="C6" s="102" t="s">
        <v>17</v>
      </c>
      <c r="D6" s="100">
        <f>SUM(4378+1497+1469+1463+1498+1425)</f>
        <v>11730</v>
      </c>
      <c r="E6" s="100">
        <f>SUM(265+97+103+73+101+83)</f>
        <v>722</v>
      </c>
      <c r="F6" s="101">
        <f>SUM(D6/E6)</f>
        <v>16.246537396121884</v>
      </c>
      <c r="G6" s="100">
        <v>8</v>
      </c>
      <c r="H6" s="100">
        <v>4</v>
      </c>
      <c r="I6" s="100">
        <v>1</v>
      </c>
      <c r="J6" s="100"/>
      <c r="K6" s="100"/>
      <c r="L6" s="100">
        <v>24.5</v>
      </c>
      <c r="M6" s="105">
        <v>20</v>
      </c>
    </row>
    <row r="7" spans="1:13" ht="18.75" x14ac:dyDescent="0.3">
      <c r="A7" s="100">
        <v>6</v>
      </c>
      <c r="B7" s="102" t="s">
        <v>12</v>
      </c>
      <c r="C7" s="102" t="s">
        <v>60</v>
      </c>
      <c r="D7" s="100">
        <f>SUM(2996+1503+1503+1500+1499)</f>
        <v>9001</v>
      </c>
      <c r="E7" s="100">
        <f>SUM(199+74+92+109+90)</f>
        <v>564</v>
      </c>
      <c r="F7" s="101">
        <f>SUM(D7/E7)</f>
        <v>15.959219858156029</v>
      </c>
      <c r="G7" s="100">
        <v>6</v>
      </c>
      <c r="H7" s="100">
        <v>6</v>
      </c>
      <c r="I7" s="100"/>
      <c r="J7" s="100">
        <v>1</v>
      </c>
      <c r="K7" s="100"/>
      <c r="L7" s="100">
        <v>28.5</v>
      </c>
      <c r="M7" s="105">
        <v>9</v>
      </c>
    </row>
    <row r="8" spans="1:13" ht="18.75" x14ac:dyDescent="0.3">
      <c r="A8" s="100">
        <v>7</v>
      </c>
      <c r="B8" s="102" t="s">
        <v>9</v>
      </c>
      <c r="C8" s="102" t="s">
        <v>10</v>
      </c>
      <c r="D8" s="100">
        <f>SUM(4453+1487+1387+1473+1501+1339)</f>
        <v>11640</v>
      </c>
      <c r="E8" s="100">
        <f>SUM(266+102+81+93+109+80)</f>
        <v>731</v>
      </c>
      <c r="F8" s="101">
        <f>SUM(D8/E8)</f>
        <v>15.923392612859097</v>
      </c>
      <c r="G8" s="100">
        <v>8</v>
      </c>
      <c r="H8" s="100">
        <v>5</v>
      </c>
      <c r="I8" s="100"/>
      <c r="J8" s="100"/>
      <c r="K8" s="100"/>
      <c r="L8" s="100">
        <v>28</v>
      </c>
      <c r="M8" s="105">
        <v>10</v>
      </c>
    </row>
    <row r="9" spans="1:13" ht="18.75" x14ac:dyDescent="0.3">
      <c r="A9" s="100">
        <v>8</v>
      </c>
      <c r="B9" s="102" t="s">
        <v>59</v>
      </c>
      <c r="C9" s="102" t="s">
        <v>15</v>
      </c>
      <c r="D9" s="100">
        <f>SUM(4240+943+1368+1499+1283+1375)</f>
        <v>10708</v>
      </c>
      <c r="E9" s="100">
        <f>SUM(261+66+73+96+92+85)</f>
        <v>673</v>
      </c>
      <c r="F9" s="101">
        <f>SUM(D9/E9)</f>
        <v>15.910846953937593</v>
      </c>
      <c r="G9" s="100">
        <v>8</v>
      </c>
      <c r="H9" s="100">
        <v>2</v>
      </c>
      <c r="I9" s="100"/>
      <c r="J9" s="100"/>
      <c r="K9" s="100"/>
      <c r="L9" s="100">
        <v>18</v>
      </c>
      <c r="M9" s="105">
        <v>5</v>
      </c>
    </row>
    <row r="10" spans="1:13" ht="18.75" x14ac:dyDescent="0.3">
      <c r="A10" s="100">
        <v>9</v>
      </c>
      <c r="B10" s="102" t="s">
        <v>120</v>
      </c>
      <c r="C10" s="102" t="s">
        <v>20</v>
      </c>
      <c r="D10" s="100">
        <v>1503</v>
      </c>
      <c r="E10" s="100">
        <v>95</v>
      </c>
      <c r="F10" s="101">
        <f>SUM(D10/E10)</f>
        <v>15.821052631578947</v>
      </c>
      <c r="G10" s="100">
        <v>1</v>
      </c>
      <c r="H10" s="100">
        <v>1</v>
      </c>
      <c r="I10" s="100"/>
      <c r="J10" s="100"/>
      <c r="K10" s="100"/>
      <c r="L10" s="100">
        <v>6</v>
      </c>
      <c r="M10" s="105"/>
    </row>
    <row r="11" spans="1:13" ht="18.75" x14ac:dyDescent="0.3">
      <c r="A11" s="100">
        <v>10</v>
      </c>
      <c r="B11" s="100" t="s">
        <v>25</v>
      </c>
      <c r="C11" s="102" t="s">
        <v>10</v>
      </c>
      <c r="D11" s="100">
        <f>SUM(4307+1495+1475+1270+1491)</f>
        <v>10038</v>
      </c>
      <c r="E11" s="100">
        <f>SUM(287+93+99+86+104)</f>
        <v>669</v>
      </c>
      <c r="F11" s="101">
        <f>SUM(D11/E11)</f>
        <v>15.004484304932735</v>
      </c>
      <c r="G11" s="100">
        <v>7</v>
      </c>
      <c r="H11" s="100">
        <v>3</v>
      </c>
      <c r="I11" s="100"/>
      <c r="J11" s="100"/>
      <c r="K11" s="100"/>
      <c r="L11" s="100">
        <v>25</v>
      </c>
      <c r="M11" s="105">
        <v>5</v>
      </c>
    </row>
    <row r="12" spans="1:13" ht="18.75" x14ac:dyDescent="0.3">
      <c r="A12" s="100">
        <v>11</v>
      </c>
      <c r="B12" s="102" t="s">
        <v>19</v>
      </c>
      <c r="C12" s="102" t="s">
        <v>20</v>
      </c>
      <c r="D12" s="100">
        <f>SUM(4014+1424+1445+1425+1487+1441)</f>
        <v>11236</v>
      </c>
      <c r="E12" s="100">
        <f>SUM(269+95+107+110+91+87)</f>
        <v>759</v>
      </c>
      <c r="F12" s="101">
        <f>SUM(D12/E12)</f>
        <v>14.803689064558629</v>
      </c>
      <c r="G12" s="100">
        <v>8</v>
      </c>
      <c r="H12" s="100">
        <v>3</v>
      </c>
      <c r="I12" s="100">
        <v>1</v>
      </c>
      <c r="J12" s="100"/>
      <c r="K12" s="100"/>
      <c r="L12" s="100">
        <v>20</v>
      </c>
      <c r="M12" s="105">
        <v>15</v>
      </c>
    </row>
    <row r="13" spans="1:13" ht="18.75" x14ac:dyDescent="0.3">
      <c r="A13" s="100">
        <v>12</v>
      </c>
      <c r="B13" s="100" t="s">
        <v>24</v>
      </c>
      <c r="C13" s="102" t="s">
        <v>15</v>
      </c>
      <c r="D13" s="100">
        <f>SUM(4314+1332+1237+1359+1503+1503)</f>
        <v>11248</v>
      </c>
      <c r="E13" s="100">
        <f>SUM(296+95+82+85+89+114)</f>
        <v>761</v>
      </c>
      <c r="F13" s="101">
        <f>SUM(D13/E13)</f>
        <v>14.780551905387648</v>
      </c>
      <c r="G13" s="100">
        <v>8</v>
      </c>
      <c r="H13" s="100">
        <v>5</v>
      </c>
      <c r="I13" s="100"/>
      <c r="J13" s="100"/>
      <c r="K13" s="100"/>
      <c r="L13" s="100">
        <v>23</v>
      </c>
      <c r="M13" s="105">
        <v>5</v>
      </c>
    </row>
    <row r="14" spans="1:13" ht="18.75" x14ac:dyDescent="0.3">
      <c r="A14" s="100">
        <v>13</v>
      </c>
      <c r="B14" s="102" t="s">
        <v>13</v>
      </c>
      <c r="C14" s="102" t="s">
        <v>8</v>
      </c>
      <c r="D14" s="100">
        <f>SUM(4458+1498+1499+1363+1487+1449)</f>
        <v>11754</v>
      </c>
      <c r="E14" s="100">
        <f>SUM(305+99+94+92+104+102)</f>
        <v>796</v>
      </c>
      <c r="F14" s="101">
        <f>SUM(D14/E14)</f>
        <v>14.766331658291458</v>
      </c>
      <c r="G14" s="100">
        <v>8</v>
      </c>
      <c r="H14" s="100">
        <v>5</v>
      </c>
      <c r="I14" s="100"/>
      <c r="J14" s="100"/>
      <c r="K14" s="100"/>
      <c r="L14" s="100">
        <v>28</v>
      </c>
      <c r="M14" s="105"/>
    </row>
    <row r="15" spans="1:13" ht="18.75" x14ac:dyDescent="0.3">
      <c r="A15" s="100">
        <v>14</v>
      </c>
      <c r="B15" s="102" t="s">
        <v>22</v>
      </c>
      <c r="C15" s="102" t="s">
        <v>17</v>
      </c>
      <c r="D15" s="100">
        <f>SUM(4417+1432+1483+1301+1118)</f>
        <v>9751</v>
      </c>
      <c r="E15" s="100">
        <f>SUM(313+95+97+87+69)</f>
        <v>661</v>
      </c>
      <c r="F15" s="101">
        <f>SUM(D15/E15)</f>
        <v>14.751891074130105</v>
      </c>
      <c r="G15" s="100">
        <v>7</v>
      </c>
      <c r="H15" s="100">
        <v>4</v>
      </c>
      <c r="I15" s="100"/>
      <c r="J15" s="100"/>
      <c r="K15" s="100"/>
      <c r="L15" s="100">
        <v>23.5</v>
      </c>
      <c r="M15" s="105">
        <v>5</v>
      </c>
    </row>
    <row r="16" spans="1:13" ht="18.75" x14ac:dyDescent="0.3">
      <c r="A16" s="100">
        <v>15</v>
      </c>
      <c r="B16" s="102" t="s">
        <v>53</v>
      </c>
      <c r="C16" s="102" t="s">
        <v>54</v>
      </c>
      <c r="D16" s="100">
        <f>SUM(3962+1414+1297+1223+1389+1244)</f>
        <v>10529</v>
      </c>
      <c r="E16" s="100">
        <f>SUM(264+100+87+87+102+77)</f>
        <v>717</v>
      </c>
      <c r="F16" s="101">
        <f>SUM(D16/E16)</f>
        <v>14.684797768479777</v>
      </c>
      <c r="G16" s="100">
        <v>8</v>
      </c>
      <c r="H16" s="100">
        <v>2</v>
      </c>
      <c r="I16" s="100"/>
      <c r="J16" s="100"/>
      <c r="K16" s="100"/>
      <c r="L16" s="100">
        <v>10.5</v>
      </c>
      <c r="M16" s="105"/>
    </row>
    <row r="17" spans="1:13" ht="18.75" x14ac:dyDescent="0.3">
      <c r="A17" s="100">
        <v>16</v>
      </c>
      <c r="B17" s="100" t="s">
        <v>21</v>
      </c>
      <c r="C17" s="102" t="s">
        <v>17</v>
      </c>
      <c r="D17" s="100">
        <f>SUM(3916+1494+1503+1419+1500+1503)</f>
        <v>11335</v>
      </c>
      <c r="E17" s="100">
        <f>SUM(279+100+110+93+116+77)</f>
        <v>775</v>
      </c>
      <c r="F17" s="101">
        <f>SUM(D17/E17)</f>
        <v>14.625806451612902</v>
      </c>
      <c r="G17" s="100">
        <v>8</v>
      </c>
      <c r="H17" s="100">
        <v>5</v>
      </c>
      <c r="I17" s="100"/>
      <c r="J17" s="100"/>
      <c r="K17" s="100"/>
      <c r="L17" s="100">
        <v>27</v>
      </c>
      <c r="M17" s="105"/>
    </row>
    <row r="18" spans="1:13" ht="18.75" x14ac:dyDescent="0.3">
      <c r="A18" s="100">
        <v>17</v>
      </c>
      <c r="B18" s="102" t="s">
        <v>31</v>
      </c>
      <c r="C18" s="102" t="s">
        <v>60</v>
      </c>
      <c r="D18" s="100">
        <f>SUM(4180+1503+1503+1503+1348+1390)</f>
        <v>11427</v>
      </c>
      <c r="E18" s="100">
        <f>SUM(270+96+116+116+79+117)</f>
        <v>794</v>
      </c>
      <c r="F18" s="101">
        <f>SUM(D18/E18)</f>
        <v>14.391687657430731</v>
      </c>
      <c r="G18" s="100">
        <v>8</v>
      </c>
      <c r="H18" s="100">
        <v>7</v>
      </c>
      <c r="I18" s="100"/>
      <c r="J18" s="100"/>
      <c r="K18" s="100"/>
      <c r="L18" s="100">
        <v>31.5</v>
      </c>
      <c r="M18" s="105"/>
    </row>
    <row r="19" spans="1:13" ht="18.75" x14ac:dyDescent="0.3">
      <c r="A19" s="100">
        <v>18</v>
      </c>
      <c r="B19" s="113" t="s">
        <v>32</v>
      </c>
      <c r="C19" s="102" t="s">
        <v>60</v>
      </c>
      <c r="D19" s="100">
        <f>SUM(4179+1391+1460+1414+1471+1503)</f>
        <v>11418</v>
      </c>
      <c r="E19" s="100">
        <f>SUM(276+99+123+110+79+123)</f>
        <v>810</v>
      </c>
      <c r="F19" s="101">
        <f>SUM(D19/E19)</f>
        <v>14.096296296296297</v>
      </c>
      <c r="G19" s="100">
        <v>8</v>
      </c>
      <c r="H19" s="100">
        <v>3</v>
      </c>
      <c r="I19" s="100"/>
      <c r="J19" s="100"/>
      <c r="K19" s="100"/>
      <c r="L19" s="100">
        <v>25.5</v>
      </c>
      <c r="M19" s="105"/>
    </row>
    <row r="20" spans="1:13" ht="18.75" x14ac:dyDescent="0.3">
      <c r="A20" s="100">
        <v>19</v>
      </c>
      <c r="B20" s="102" t="s">
        <v>94</v>
      </c>
      <c r="C20" s="102" t="s">
        <v>10</v>
      </c>
      <c r="D20" s="100">
        <f>SUM(1503+1225+1463+1475+1457+1483)</f>
        <v>8606</v>
      </c>
      <c r="E20" s="100">
        <f>SUM(114+97+115+98+97+94)</f>
        <v>615</v>
      </c>
      <c r="F20" s="101">
        <f>SUM(D20/E20)</f>
        <v>13.99349593495935</v>
      </c>
      <c r="G20" s="100">
        <v>6</v>
      </c>
      <c r="H20" s="100">
        <v>4</v>
      </c>
      <c r="I20" s="100"/>
      <c r="J20" s="100"/>
      <c r="K20" s="100"/>
      <c r="L20" s="100">
        <v>21</v>
      </c>
      <c r="M20" s="105"/>
    </row>
    <row r="21" spans="1:13" ht="18.75" x14ac:dyDescent="0.3">
      <c r="A21" s="100">
        <v>20</v>
      </c>
      <c r="B21" s="102" t="s">
        <v>29</v>
      </c>
      <c r="C21" s="102" t="s">
        <v>17</v>
      </c>
      <c r="D21" s="100">
        <f>SUM(2825+1503+1493+1501+1503+1503)</f>
        <v>10328</v>
      </c>
      <c r="E21" s="100">
        <f>SUM(212+89+141+101+92+109)</f>
        <v>744</v>
      </c>
      <c r="F21" s="101">
        <f>SUM(D21/E21)</f>
        <v>13.881720430107526</v>
      </c>
      <c r="G21" s="100">
        <v>7</v>
      </c>
      <c r="H21" s="100">
        <v>4</v>
      </c>
      <c r="I21" s="100"/>
      <c r="J21" s="100"/>
      <c r="K21" s="100"/>
      <c r="L21" s="100">
        <v>22</v>
      </c>
      <c r="M21" s="105"/>
    </row>
    <row r="22" spans="1:13" ht="18.75" x14ac:dyDescent="0.3">
      <c r="A22" s="100">
        <v>21</v>
      </c>
      <c r="B22" s="102" t="s">
        <v>92</v>
      </c>
      <c r="C22" s="102" t="s">
        <v>60</v>
      </c>
      <c r="D22" s="100">
        <f>SUM(1340+1503+1433+1503)</f>
        <v>5779</v>
      </c>
      <c r="E22" s="100">
        <f>SUM(111+98+87+124)</f>
        <v>420</v>
      </c>
      <c r="F22" s="101">
        <f>SUM(D22/E22)</f>
        <v>13.759523809523809</v>
      </c>
      <c r="G22" s="100">
        <v>4</v>
      </c>
      <c r="H22" s="100">
        <v>2</v>
      </c>
      <c r="I22" s="100"/>
      <c r="J22" s="100"/>
      <c r="K22" s="100"/>
      <c r="L22" s="100">
        <v>11</v>
      </c>
      <c r="M22" s="105"/>
    </row>
    <row r="23" spans="1:13" ht="18.75" x14ac:dyDescent="0.3">
      <c r="A23" s="100">
        <v>22</v>
      </c>
      <c r="B23" s="102" t="s">
        <v>56</v>
      </c>
      <c r="C23" s="102" t="s">
        <v>54</v>
      </c>
      <c r="D23" s="100">
        <f>SUM(4033+1323+1359+1415+1407+1356)</f>
        <v>10893</v>
      </c>
      <c r="E23" s="100">
        <f>SUM(304+111+117+89+85+92)</f>
        <v>798</v>
      </c>
      <c r="F23" s="101">
        <f>SUM(D23/E23)</f>
        <v>13.650375939849624</v>
      </c>
      <c r="G23" s="100">
        <v>8</v>
      </c>
      <c r="H23" s="100">
        <v>0</v>
      </c>
      <c r="I23" s="100"/>
      <c r="J23" s="100"/>
      <c r="K23" s="100"/>
      <c r="L23" s="100">
        <v>9.5</v>
      </c>
      <c r="M23" s="105">
        <v>5</v>
      </c>
    </row>
    <row r="24" spans="1:13" ht="18.75" x14ac:dyDescent="0.3">
      <c r="A24" s="100">
        <v>23</v>
      </c>
      <c r="B24" s="102" t="s">
        <v>83</v>
      </c>
      <c r="C24" s="102" t="s">
        <v>20</v>
      </c>
      <c r="D24" s="100">
        <f>SUM(1491+1497+1406+1432)</f>
        <v>5826</v>
      </c>
      <c r="E24" s="100">
        <f>SUM(103+112+114+103)</f>
        <v>432</v>
      </c>
      <c r="F24" s="101">
        <f>SUM(D24/E24)</f>
        <v>13.486111111111111</v>
      </c>
      <c r="G24" s="100">
        <v>4</v>
      </c>
      <c r="H24" s="100">
        <v>3</v>
      </c>
      <c r="I24" s="100"/>
      <c r="J24" s="100"/>
      <c r="K24" s="100"/>
      <c r="L24" s="100">
        <v>12.5</v>
      </c>
      <c r="M24" s="105"/>
    </row>
    <row r="25" spans="1:13" ht="18.75" x14ac:dyDescent="0.3">
      <c r="A25" s="100">
        <v>24</v>
      </c>
      <c r="B25" s="102" t="s">
        <v>23</v>
      </c>
      <c r="C25" s="102" t="s">
        <v>20</v>
      </c>
      <c r="D25" s="100">
        <f>SUM(4015+1501+1489+1293)</f>
        <v>8298</v>
      </c>
      <c r="E25" s="100">
        <f>SUM(279+142+111+90)</f>
        <v>622</v>
      </c>
      <c r="F25" s="101">
        <f>SUM(D25/E25)</f>
        <v>13.340836012861736</v>
      </c>
      <c r="G25" s="100">
        <v>6</v>
      </c>
      <c r="H25" s="100">
        <v>2</v>
      </c>
      <c r="I25" s="100">
        <v>1</v>
      </c>
      <c r="J25" s="100"/>
      <c r="K25" s="100"/>
      <c r="L25" s="100">
        <v>11.5</v>
      </c>
      <c r="M25" s="105">
        <v>10</v>
      </c>
    </row>
    <row r="26" spans="1:13" ht="18.75" x14ac:dyDescent="0.3">
      <c r="A26" s="100">
        <v>25</v>
      </c>
      <c r="B26" s="102" t="s">
        <v>50</v>
      </c>
      <c r="C26" s="102" t="s">
        <v>60</v>
      </c>
      <c r="D26" s="100">
        <f>SUM(1462)</f>
        <v>1462</v>
      </c>
      <c r="E26" s="100">
        <f>SUM(111)</f>
        <v>111</v>
      </c>
      <c r="F26" s="101">
        <f>SUM(D26/E26)</f>
        <v>13.171171171171171</v>
      </c>
      <c r="G26" s="100">
        <v>1</v>
      </c>
      <c r="H26" s="100">
        <v>1</v>
      </c>
      <c r="I26" s="100"/>
      <c r="J26" s="100"/>
      <c r="K26" s="100"/>
      <c r="L26" s="100">
        <v>4</v>
      </c>
      <c r="M26" s="105"/>
    </row>
    <row r="27" spans="1:13" ht="18.75" x14ac:dyDescent="0.3">
      <c r="A27" s="100">
        <v>26</v>
      </c>
      <c r="B27" s="102" t="s">
        <v>14</v>
      </c>
      <c r="C27" s="102" t="s">
        <v>15</v>
      </c>
      <c r="D27" s="100">
        <f>SUM(4418+1300+1489+1476+1458)</f>
        <v>10141</v>
      </c>
      <c r="E27" s="100">
        <f>SUM(337+123+102+107+116)</f>
        <v>785</v>
      </c>
      <c r="F27" s="101">
        <f>SUM(D27/E27)</f>
        <v>12.918471337579618</v>
      </c>
      <c r="G27" s="100">
        <v>7</v>
      </c>
      <c r="H27" s="100">
        <v>3</v>
      </c>
      <c r="I27" s="100"/>
      <c r="J27" s="100"/>
      <c r="K27" s="100"/>
      <c r="L27" s="100">
        <v>14</v>
      </c>
      <c r="M27" s="105"/>
    </row>
    <row r="28" spans="1:13" ht="18.75" x14ac:dyDescent="0.3">
      <c r="A28" s="100">
        <v>27</v>
      </c>
      <c r="B28" s="102" t="s">
        <v>28</v>
      </c>
      <c r="C28" s="102" t="s">
        <v>6</v>
      </c>
      <c r="D28" s="100">
        <f>SUM(2923)</f>
        <v>2923</v>
      </c>
      <c r="E28" s="100">
        <f>SUM(232)</f>
        <v>232</v>
      </c>
      <c r="F28" s="101">
        <f>SUM(D28/E28)</f>
        <v>12.599137931034482</v>
      </c>
      <c r="G28" s="100">
        <v>2</v>
      </c>
      <c r="H28" s="100">
        <v>0</v>
      </c>
      <c r="I28" s="100">
        <v>1</v>
      </c>
      <c r="J28" s="100"/>
      <c r="K28" s="100"/>
      <c r="L28" s="100">
        <v>4.5</v>
      </c>
      <c r="M28" s="105">
        <v>10</v>
      </c>
    </row>
    <row r="29" spans="1:13" ht="18.75" x14ac:dyDescent="0.3">
      <c r="A29" s="100">
        <v>28</v>
      </c>
      <c r="B29" s="102" t="s">
        <v>26</v>
      </c>
      <c r="C29" s="102" t="s">
        <v>10</v>
      </c>
      <c r="D29" s="100">
        <f>SUM(2859+1503)</f>
        <v>4362</v>
      </c>
      <c r="E29" s="100">
        <f>SUM(255+93)</f>
        <v>348</v>
      </c>
      <c r="F29" s="101">
        <f>SUM(D29/E29)</f>
        <v>12.53448275862069</v>
      </c>
      <c r="G29" s="100">
        <v>3</v>
      </c>
      <c r="H29" s="100">
        <v>1</v>
      </c>
      <c r="I29" s="100"/>
      <c r="J29" s="100"/>
      <c r="K29" s="100"/>
      <c r="L29" s="100">
        <v>10.5</v>
      </c>
      <c r="M29" s="105"/>
    </row>
    <row r="30" spans="1:13" ht="18.75" x14ac:dyDescent="0.3">
      <c r="A30" s="100">
        <v>29</v>
      </c>
      <c r="B30" s="102" t="s">
        <v>52</v>
      </c>
      <c r="C30" s="102" t="s">
        <v>20</v>
      </c>
      <c r="D30" s="100">
        <f>SUM(4464+1503+1432+1431+1422+1487)</f>
        <v>11739</v>
      </c>
      <c r="E30" s="100">
        <f>SUM(372+122+97+97+111+143)</f>
        <v>942</v>
      </c>
      <c r="F30" s="101">
        <f>SUM(D30/E30)</f>
        <v>12.461783439490446</v>
      </c>
      <c r="G30" s="100">
        <v>8</v>
      </c>
      <c r="H30" s="100">
        <v>4</v>
      </c>
      <c r="I30" s="100"/>
      <c r="J30" s="100"/>
      <c r="K30" s="100"/>
      <c r="L30" s="100">
        <v>26.5</v>
      </c>
      <c r="M30" s="105"/>
    </row>
    <row r="31" spans="1:13" ht="18.75" x14ac:dyDescent="0.3">
      <c r="A31" s="100">
        <v>30</v>
      </c>
      <c r="B31" s="102" t="s">
        <v>82</v>
      </c>
      <c r="C31" s="102" t="s">
        <v>15</v>
      </c>
      <c r="D31" s="100">
        <f>SUM(1503+1483)</f>
        <v>2986</v>
      </c>
      <c r="E31" s="100">
        <f>SUM(105+135)</f>
        <v>240</v>
      </c>
      <c r="F31" s="101">
        <f>SUM(D31/E31)</f>
        <v>12.441666666666666</v>
      </c>
      <c r="G31" s="100">
        <v>2</v>
      </c>
      <c r="H31" s="100">
        <v>2</v>
      </c>
      <c r="I31" s="100"/>
      <c r="J31" s="100"/>
      <c r="K31" s="100"/>
      <c r="L31" s="100">
        <v>5.5</v>
      </c>
      <c r="M31" s="105"/>
    </row>
    <row r="32" spans="1:13" ht="18.75" x14ac:dyDescent="0.3">
      <c r="A32" s="100">
        <v>31</v>
      </c>
      <c r="B32" s="102" t="s">
        <v>18</v>
      </c>
      <c r="C32" s="102" t="s">
        <v>8</v>
      </c>
      <c r="D32" s="100">
        <f>SUM(2974+877+1208+1310+1478)</f>
        <v>7847</v>
      </c>
      <c r="E32" s="100">
        <f>SUM(230+75+95+92+140)</f>
        <v>632</v>
      </c>
      <c r="F32" s="101">
        <f>SUM(D32/E32)</f>
        <v>12.416139240506329</v>
      </c>
      <c r="G32" s="100">
        <v>6</v>
      </c>
      <c r="H32" s="100">
        <v>3</v>
      </c>
      <c r="I32" s="100"/>
      <c r="J32" s="100"/>
      <c r="K32" s="100"/>
      <c r="L32" s="100">
        <v>18</v>
      </c>
      <c r="M32" s="105"/>
    </row>
    <row r="33" spans="1:13" ht="18.75" x14ac:dyDescent="0.3">
      <c r="A33" s="100">
        <v>32</v>
      </c>
      <c r="B33" s="102" t="s">
        <v>79</v>
      </c>
      <c r="C33" s="102" t="s">
        <v>60</v>
      </c>
      <c r="D33" s="100">
        <f>SUM(2822+1492+1458+1346)</f>
        <v>7118</v>
      </c>
      <c r="E33" s="100">
        <f>SUM(261+118+100+100)</f>
        <v>579</v>
      </c>
      <c r="F33" s="101">
        <f>SUM(D33/E33)</f>
        <v>12.293609671848014</v>
      </c>
      <c r="G33" s="100">
        <v>5</v>
      </c>
      <c r="H33" s="100">
        <v>3</v>
      </c>
      <c r="I33" s="100"/>
      <c r="J33" s="100"/>
      <c r="K33" s="100"/>
      <c r="L33" s="100">
        <v>15.5</v>
      </c>
      <c r="M33" s="105"/>
    </row>
    <row r="34" spans="1:13" ht="18.75" x14ac:dyDescent="0.3">
      <c r="A34" s="100">
        <v>33</v>
      </c>
      <c r="B34" s="102" t="s">
        <v>80</v>
      </c>
      <c r="C34" s="102" t="s">
        <v>17</v>
      </c>
      <c r="D34" s="100">
        <f>SUM(1503+1503)</f>
        <v>3006</v>
      </c>
      <c r="E34" s="100">
        <f>SUM(125+120)</f>
        <v>245</v>
      </c>
      <c r="F34" s="101">
        <f>SUM(D34/E34)</f>
        <v>12.269387755102041</v>
      </c>
      <c r="G34" s="100">
        <v>2</v>
      </c>
      <c r="H34" s="100">
        <v>2</v>
      </c>
      <c r="I34" s="100"/>
      <c r="J34" s="100"/>
      <c r="K34" s="100"/>
      <c r="L34" s="100">
        <v>10</v>
      </c>
      <c r="M34" s="105"/>
    </row>
    <row r="35" spans="1:13" ht="18.75" x14ac:dyDescent="0.3">
      <c r="A35" s="100">
        <v>34</v>
      </c>
      <c r="B35" s="102" t="s">
        <v>91</v>
      </c>
      <c r="C35" s="102" t="s">
        <v>6</v>
      </c>
      <c r="D35" s="100">
        <f>SUM(1496+1347+1501+1316)</f>
        <v>5660</v>
      </c>
      <c r="E35" s="100">
        <f>SUM(127+116+121+105)</f>
        <v>469</v>
      </c>
      <c r="F35" s="101">
        <f>SUM(D35/E35)</f>
        <v>12.068230277185501</v>
      </c>
      <c r="G35" s="100">
        <v>4</v>
      </c>
      <c r="H35" s="100">
        <v>2</v>
      </c>
      <c r="I35" s="100"/>
      <c r="J35" s="100"/>
      <c r="K35" s="100"/>
      <c r="L35" s="100">
        <v>15.5</v>
      </c>
      <c r="M35" s="105"/>
    </row>
    <row r="36" spans="1:13" ht="18.75" x14ac:dyDescent="0.3">
      <c r="A36" s="100">
        <v>35</v>
      </c>
      <c r="B36" s="102" t="s">
        <v>61</v>
      </c>
      <c r="C36" s="102" t="s">
        <v>6</v>
      </c>
      <c r="D36" s="100">
        <f>SUM(4453+1501+1503+1444+1480)</f>
        <v>10381</v>
      </c>
      <c r="E36" s="100">
        <f>SUM(394+142+114+116+102)</f>
        <v>868</v>
      </c>
      <c r="F36" s="101">
        <f>SUM(D36/E36)</f>
        <v>11.959677419354838</v>
      </c>
      <c r="G36" s="100">
        <v>7</v>
      </c>
      <c r="H36" s="100">
        <v>4</v>
      </c>
      <c r="I36" s="100"/>
      <c r="J36" s="100"/>
      <c r="K36" s="100"/>
      <c r="L36" s="100">
        <v>23</v>
      </c>
      <c r="M36" s="105">
        <v>5</v>
      </c>
    </row>
    <row r="37" spans="1:13" ht="18.75" x14ac:dyDescent="0.3">
      <c r="A37" s="100">
        <v>36</v>
      </c>
      <c r="B37" s="102" t="s">
        <v>93</v>
      </c>
      <c r="C37" s="102" t="s">
        <v>15</v>
      </c>
      <c r="D37" s="100">
        <f>SUM(1208+1312+1237+1479)</f>
        <v>5236</v>
      </c>
      <c r="E37" s="100">
        <f>SUM(93+114+114+125)</f>
        <v>446</v>
      </c>
      <c r="F37" s="101">
        <f>SUM(D37/E37)</f>
        <v>11.739910313901346</v>
      </c>
      <c r="G37" s="100">
        <v>4</v>
      </c>
      <c r="H37" s="100">
        <v>0</v>
      </c>
      <c r="I37" s="100"/>
      <c r="J37" s="100"/>
      <c r="K37" s="100"/>
      <c r="L37" s="100">
        <v>4</v>
      </c>
      <c r="M37" s="105"/>
    </row>
    <row r="38" spans="1:13" ht="18.75" x14ac:dyDescent="0.3">
      <c r="A38" s="100">
        <v>37</v>
      </c>
      <c r="B38" s="102" t="s">
        <v>81</v>
      </c>
      <c r="C38" s="102" t="s">
        <v>8</v>
      </c>
      <c r="D38" s="100">
        <f>SUM(1456+1499+1222)</f>
        <v>4177</v>
      </c>
      <c r="E38" s="100">
        <f>SUM(107+138+115)</f>
        <v>360</v>
      </c>
      <c r="F38" s="101">
        <f>SUM(D38/E38)</f>
        <v>11.602777777777778</v>
      </c>
      <c r="G38" s="100">
        <v>3</v>
      </c>
      <c r="H38" s="100">
        <v>1</v>
      </c>
      <c r="I38" s="100"/>
      <c r="J38" s="100"/>
      <c r="K38" s="100"/>
      <c r="L38" s="100">
        <v>8</v>
      </c>
      <c r="M38" s="105"/>
    </row>
    <row r="39" spans="1:13" ht="18.75" x14ac:dyDescent="0.3">
      <c r="A39" s="100">
        <v>38</v>
      </c>
      <c r="B39" s="102" t="s">
        <v>51</v>
      </c>
      <c r="C39" s="102" t="s">
        <v>20</v>
      </c>
      <c r="D39" s="100">
        <f>SUM(2846+1454+1168+1455)</f>
        <v>6923</v>
      </c>
      <c r="E39" s="100">
        <f>SUM(250+115+105+129)</f>
        <v>599</v>
      </c>
      <c r="F39" s="101">
        <f>SUM(D39/E39)</f>
        <v>11.557595993322204</v>
      </c>
      <c r="G39" s="100">
        <v>5</v>
      </c>
      <c r="H39" s="100">
        <v>2</v>
      </c>
      <c r="I39" s="100"/>
      <c r="J39" s="100"/>
      <c r="K39" s="100"/>
      <c r="L39" s="100">
        <v>11.5</v>
      </c>
      <c r="M39" s="105"/>
    </row>
    <row r="40" spans="1:13" ht="18.75" x14ac:dyDescent="0.3">
      <c r="A40" s="100">
        <v>39</v>
      </c>
      <c r="B40" s="100" t="s">
        <v>27</v>
      </c>
      <c r="C40" s="102" t="s">
        <v>10</v>
      </c>
      <c r="D40" s="100">
        <f>SUM(4296+1328+1494+1503+1503+1492)</f>
        <v>11616</v>
      </c>
      <c r="E40" s="100">
        <f>SUM(372+84+136+118+151+151)</f>
        <v>1012</v>
      </c>
      <c r="F40" s="101">
        <f>SUM(D40/E40)</f>
        <v>11.478260869565217</v>
      </c>
      <c r="G40" s="100">
        <v>8</v>
      </c>
      <c r="H40" s="100">
        <v>4</v>
      </c>
      <c r="I40" s="100"/>
      <c r="J40" s="100"/>
      <c r="K40" s="100"/>
      <c r="L40" s="100">
        <v>30.5</v>
      </c>
      <c r="M40" s="105">
        <v>5</v>
      </c>
    </row>
    <row r="41" spans="1:13" ht="18.75" x14ac:dyDescent="0.3">
      <c r="A41" s="100">
        <v>40</v>
      </c>
      <c r="B41" s="102" t="s">
        <v>57</v>
      </c>
      <c r="C41" s="102" t="s">
        <v>15</v>
      </c>
      <c r="D41" s="100">
        <f>SUM(1259+1503)</f>
        <v>2762</v>
      </c>
      <c r="E41" s="100">
        <f>SUM(102+139)</f>
        <v>241</v>
      </c>
      <c r="F41" s="101">
        <f>SUM(D41/E41)</f>
        <v>11.460580912863071</v>
      </c>
      <c r="G41" s="100">
        <v>2</v>
      </c>
      <c r="H41" s="100">
        <v>1</v>
      </c>
      <c r="I41" s="100"/>
      <c r="J41" s="100"/>
      <c r="K41" s="100"/>
      <c r="L41" s="100">
        <v>4</v>
      </c>
      <c r="M41" s="105"/>
    </row>
    <row r="42" spans="1:13" ht="18.75" x14ac:dyDescent="0.3">
      <c r="A42" s="100">
        <v>41</v>
      </c>
      <c r="B42" s="102" t="s">
        <v>58</v>
      </c>
      <c r="C42" s="102" t="s">
        <v>54</v>
      </c>
      <c r="D42" s="100">
        <f>SUM(4183+1360+1165+1035+1124+1035)</f>
        <v>9902</v>
      </c>
      <c r="E42" s="100">
        <f>SUM(385+117+96+99+87+87)</f>
        <v>871</v>
      </c>
      <c r="F42" s="101">
        <f>SUM(D42/E42)</f>
        <v>11.368541905855338</v>
      </c>
      <c r="G42" s="100">
        <v>8</v>
      </c>
      <c r="H42" s="100">
        <v>1</v>
      </c>
      <c r="I42" s="100"/>
      <c r="J42" s="100"/>
      <c r="K42" s="100"/>
      <c r="L42" s="100">
        <v>10.5</v>
      </c>
      <c r="M42" s="105"/>
    </row>
    <row r="43" spans="1:13" ht="18.75" x14ac:dyDescent="0.3">
      <c r="A43" s="100">
        <v>42</v>
      </c>
      <c r="B43" s="102" t="s">
        <v>55</v>
      </c>
      <c r="C43" s="102" t="s">
        <v>54</v>
      </c>
      <c r="D43" s="100">
        <f>SUM(4065+1275+1469+1496+1425+1324)</f>
        <v>11054</v>
      </c>
      <c r="E43" s="100">
        <f>SUM(355+120+124+117+113+150)</f>
        <v>979</v>
      </c>
      <c r="F43" s="101">
        <f>SUM(D43/E43)</f>
        <v>11.291113381001022</v>
      </c>
      <c r="G43" s="100">
        <v>8</v>
      </c>
      <c r="H43" s="100">
        <v>3</v>
      </c>
      <c r="I43" s="100"/>
      <c r="J43" s="100"/>
      <c r="K43" s="100"/>
      <c r="L43" s="100">
        <v>13.5</v>
      </c>
      <c r="M43" s="105"/>
    </row>
    <row r="44" spans="1:13" ht="18.75" x14ac:dyDescent="0.3">
      <c r="A44" s="100">
        <v>43</v>
      </c>
      <c r="B44" s="102" t="s">
        <v>119</v>
      </c>
      <c r="C44" s="102" t="s">
        <v>15</v>
      </c>
      <c r="D44" s="100">
        <v>1331</v>
      </c>
      <c r="E44" s="100">
        <v>120</v>
      </c>
      <c r="F44" s="101">
        <f>SUM(D44/E44)</f>
        <v>11.091666666666667</v>
      </c>
      <c r="G44" s="100">
        <v>1</v>
      </c>
      <c r="H44" s="100">
        <v>0</v>
      </c>
      <c r="I44" s="100"/>
      <c r="J44" s="100"/>
      <c r="K44" s="100"/>
      <c r="L44" s="100">
        <v>0</v>
      </c>
      <c r="M44" s="105"/>
    </row>
    <row r="45" spans="1:13" ht="18.75" x14ac:dyDescent="0.3">
      <c r="A45" s="100">
        <v>44</v>
      </c>
      <c r="B45" s="102" t="s">
        <v>30</v>
      </c>
      <c r="C45" s="102" t="s">
        <v>8</v>
      </c>
      <c r="D45" s="100">
        <f>SUM(4393+1267+1402+1455+999)</f>
        <v>9516</v>
      </c>
      <c r="E45" s="100">
        <f>SUM(432+120+135+153+90)</f>
        <v>930</v>
      </c>
      <c r="F45" s="101">
        <f>SUM(D45/E45)</f>
        <v>10.232258064516129</v>
      </c>
      <c r="G45" s="100">
        <v>7</v>
      </c>
      <c r="H45" s="100">
        <v>1</v>
      </c>
      <c r="I45" s="100"/>
      <c r="J45" s="100"/>
      <c r="K45" s="100"/>
      <c r="L45" s="100">
        <v>11.5</v>
      </c>
      <c r="M45" s="105"/>
    </row>
    <row r="46" spans="1:13" ht="19.5" thickBot="1" x14ac:dyDescent="0.35">
      <c r="A46" s="92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</row>
    <row r="47" spans="1:13" ht="15" customHeight="1" thickBot="1" x14ac:dyDescent="0.35">
      <c r="A47" s="92"/>
      <c r="B47" s="112" t="s">
        <v>118</v>
      </c>
      <c r="C47" s="98" t="s">
        <v>33</v>
      </c>
      <c r="D47" s="97" t="s">
        <v>34</v>
      </c>
      <c r="E47" s="97" t="s">
        <v>35</v>
      </c>
      <c r="F47" s="97" t="s">
        <v>36</v>
      </c>
      <c r="G47" s="97"/>
      <c r="H47" s="97"/>
      <c r="I47" s="96"/>
      <c r="J47" s="91"/>
      <c r="K47" s="91"/>
      <c r="L47" s="91"/>
      <c r="M47" s="91"/>
    </row>
    <row r="48" spans="1:13" ht="18.75" x14ac:dyDescent="0.3">
      <c r="A48" s="92"/>
      <c r="B48" s="111"/>
      <c r="C48" s="92" t="s">
        <v>39</v>
      </c>
      <c r="D48" s="92">
        <v>7</v>
      </c>
      <c r="E48" s="91">
        <v>1</v>
      </c>
      <c r="F48" s="91">
        <v>126</v>
      </c>
      <c r="G48" s="91"/>
      <c r="H48" s="92" t="s">
        <v>38</v>
      </c>
      <c r="I48" s="95" t="s">
        <v>113</v>
      </c>
      <c r="J48" s="91"/>
      <c r="K48" s="95"/>
      <c r="L48" s="91"/>
      <c r="M48" s="91"/>
    </row>
    <row r="49" spans="1:13" ht="18.75" x14ac:dyDescent="0.3">
      <c r="A49" s="92"/>
      <c r="B49" s="111"/>
      <c r="C49" s="92" t="s">
        <v>42</v>
      </c>
      <c r="D49" s="92">
        <v>6</v>
      </c>
      <c r="E49" s="91">
        <v>2</v>
      </c>
      <c r="F49" s="91">
        <v>117</v>
      </c>
      <c r="G49" s="91"/>
      <c r="H49" s="92" t="s">
        <v>40</v>
      </c>
      <c r="I49" s="95" t="s">
        <v>117</v>
      </c>
      <c r="J49" s="91"/>
      <c r="K49" s="92"/>
      <c r="L49" s="91"/>
      <c r="M49" s="91"/>
    </row>
    <row r="50" spans="1:13" ht="18.75" x14ac:dyDescent="0.3">
      <c r="A50" s="92"/>
      <c r="B50" s="111"/>
      <c r="C50" s="92" t="s">
        <v>63</v>
      </c>
      <c r="D50" s="92">
        <v>5</v>
      </c>
      <c r="E50" s="92">
        <v>3</v>
      </c>
      <c r="F50" s="92">
        <v>116</v>
      </c>
      <c r="G50" s="91"/>
      <c r="H50" s="92" t="s">
        <v>41</v>
      </c>
      <c r="I50" s="95" t="s">
        <v>116</v>
      </c>
      <c r="J50" s="91"/>
      <c r="K50" s="95"/>
      <c r="L50" s="91"/>
      <c r="M50" s="91"/>
    </row>
    <row r="51" spans="1:13" ht="18.75" x14ac:dyDescent="0.3">
      <c r="A51" s="91"/>
      <c r="B51" s="111"/>
      <c r="C51" s="92" t="s">
        <v>37</v>
      </c>
      <c r="D51" s="92">
        <v>7</v>
      </c>
      <c r="E51" s="91">
        <v>1</v>
      </c>
      <c r="F51" s="91">
        <v>115</v>
      </c>
      <c r="G51" s="91"/>
      <c r="H51" s="92" t="s">
        <v>43</v>
      </c>
      <c r="I51" s="95" t="s">
        <v>115</v>
      </c>
      <c r="J51" s="91"/>
      <c r="K51" s="92"/>
      <c r="L51" s="91"/>
      <c r="M51" s="91"/>
    </row>
    <row r="52" spans="1:13" ht="18" customHeight="1" x14ac:dyDescent="0.3">
      <c r="A52" s="91"/>
      <c r="B52" s="111"/>
      <c r="C52" s="92" t="s">
        <v>47</v>
      </c>
      <c r="D52" s="92">
        <v>3</v>
      </c>
      <c r="E52" s="91">
        <v>5</v>
      </c>
      <c r="F52" s="91">
        <v>89</v>
      </c>
      <c r="G52" s="91"/>
      <c r="H52" s="92" t="s">
        <v>45</v>
      </c>
      <c r="I52" s="95" t="s">
        <v>86</v>
      </c>
      <c r="J52" s="91"/>
      <c r="K52" s="92"/>
      <c r="L52" s="91"/>
      <c r="M52" s="91"/>
    </row>
    <row r="53" spans="1:13" ht="18" customHeight="1" x14ac:dyDescent="0.3">
      <c r="A53" s="91"/>
      <c r="B53" s="111"/>
      <c r="C53" s="92" t="s">
        <v>48</v>
      </c>
      <c r="D53" s="92">
        <v>3</v>
      </c>
      <c r="E53" s="91">
        <v>5</v>
      </c>
      <c r="F53" s="91">
        <v>89</v>
      </c>
      <c r="G53" s="91"/>
      <c r="H53" s="92" t="s">
        <v>46</v>
      </c>
      <c r="I53" s="107" t="s">
        <v>99</v>
      </c>
      <c r="J53" s="107"/>
      <c r="K53" s="92"/>
      <c r="L53" s="91"/>
      <c r="M53" s="91"/>
    </row>
    <row r="54" spans="1:13" ht="18.75" x14ac:dyDescent="0.3">
      <c r="A54" s="91"/>
      <c r="B54" s="111"/>
      <c r="C54" s="92" t="s">
        <v>44</v>
      </c>
      <c r="D54" s="92">
        <v>1</v>
      </c>
      <c r="E54" s="92">
        <v>7</v>
      </c>
      <c r="F54" s="92">
        <v>70</v>
      </c>
      <c r="G54" s="91"/>
      <c r="H54" s="91"/>
      <c r="I54" s="91"/>
      <c r="J54" s="91"/>
      <c r="K54" s="91"/>
      <c r="L54" s="91"/>
      <c r="M54" s="91"/>
    </row>
    <row r="55" spans="1:13" ht="19.5" thickBot="1" x14ac:dyDescent="0.35">
      <c r="A55" s="91"/>
      <c r="B55" s="110"/>
      <c r="C55" s="92" t="s">
        <v>49</v>
      </c>
      <c r="D55" s="92">
        <v>0</v>
      </c>
      <c r="E55" s="92">
        <v>8</v>
      </c>
      <c r="F55" s="92">
        <v>47</v>
      </c>
      <c r="G55" s="91"/>
      <c r="H55" s="91"/>
      <c r="I55" s="91"/>
      <c r="J55" s="91"/>
      <c r="K55" s="91"/>
      <c r="L55" s="91"/>
      <c r="M55" s="91"/>
    </row>
  </sheetData>
  <mergeCells count="2">
    <mergeCell ref="B47:B55"/>
    <mergeCell ref="I53:J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18.7109375" bestFit="1" customWidth="1"/>
    <col min="7" max="7" width="7.5703125" bestFit="1" customWidth="1"/>
    <col min="8" max="8" width="36.5703125" bestFit="1" customWidth="1"/>
    <col min="9" max="9" width="66.42578125" bestFit="1" customWidth="1"/>
    <col min="10" max="10" width="5.140625" bestFit="1" customWidth="1"/>
    <col min="11" max="11" width="5.28515625" bestFit="1" customWidth="1"/>
    <col min="12" max="12" width="7.140625" bestFit="1" customWidth="1"/>
    <col min="13" max="13" width="10.85546875" bestFit="1" customWidth="1"/>
  </cols>
  <sheetData>
    <row r="1" spans="1:13" ht="75" x14ac:dyDescent="0.25">
      <c r="A1" s="104" t="s">
        <v>68</v>
      </c>
      <c r="B1" s="104" t="s">
        <v>0</v>
      </c>
      <c r="C1" s="104" t="s">
        <v>1</v>
      </c>
      <c r="D1" s="104" t="s">
        <v>2</v>
      </c>
      <c r="E1" s="104" t="s">
        <v>3</v>
      </c>
      <c r="F1" s="103" t="s">
        <v>72</v>
      </c>
      <c r="G1" s="104" t="s">
        <v>69</v>
      </c>
      <c r="H1" s="104" t="s">
        <v>70</v>
      </c>
      <c r="I1" s="104">
        <v>180</v>
      </c>
      <c r="J1" s="104">
        <v>171</v>
      </c>
      <c r="K1" s="104" t="s">
        <v>4</v>
      </c>
      <c r="L1" s="103" t="s">
        <v>85</v>
      </c>
      <c r="M1" s="103" t="s">
        <v>84</v>
      </c>
    </row>
    <row r="2" spans="1:13" ht="18.75" x14ac:dyDescent="0.3">
      <c r="A2" s="100">
        <v>1</v>
      </c>
      <c r="B2" s="102" t="s">
        <v>5</v>
      </c>
      <c r="C2" s="102" t="s">
        <v>6</v>
      </c>
      <c r="D2" s="100">
        <f>SUM(4345+1503+1501+1503+1482+1471+1503)</f>
        <v>13308</v>
      </c>
      <c r="E2" s="100">
        <f>SUM(244+81+78+89+76+89+79)</f>
        <v>736</v>
      </c>
      <c r="F2" s="101">
        <f>SUM(D2/E2)</f>
        <v>18.081521739130434</v>
      </c>
      <c r="G2" s="100">
        <v>9</v>
      </c>
      <c r="H2" s="100">
        <v>7</v>
      </c>
      <c r="I2" s="100"/>
      <c r="J2" s="100"/>
      <c r="K2" s="100">
        <v>2</v>
      </c>
      <c r="L2" s="100">
        <v>37.5</v>
      </c>
      <c r="M2" s="105">
        <v>40</v>
      </c>
    </row>
    <row r="3" spans="1:13" ht="18.75" x14ac:dyDescent="0.3">
      <c r="A3" s="100">
        <v>2</v>
      </c>
      <c r="B3" s="102" t="s">
        <v>11</v>
      </c>
      <c r="C3" s="102" t="s">
        <v>6</v>
      </c>
      <c r="D3" s="100">
        <f>SUM(4499+1499+1491+1499+1385+1503+1503)</f>
        <v>13379</v>
      </c>
      <c r="E3" s="100">
        <f>SUM(253+93+80+93+76+68+84)</f>
        <v>747</v>
      </c>
      <c r="F3" s="101">
        <f>SUM(D3/E3)</f>
        <v>17.910307898259706</v>
      </c>
      <c r="G3" s="100">
        <v>9</v>
      </c>
      <c r="H3" s="100">
        <v>8</v>
      </c>
      <c r="I3" s="100">
        <v>2</v>
      </c>
      <c r="J3" s="100"/>
      <c r="K3" s="100"/>
      <c r="L3" s="100">
        <v>41</v>
      </c>
      <c r="M3" s="105">
        <v>40</v>
      </c>
    </row>
    <row r="4" spans="1:13" ht="18.75" x14ac:dyDescent="0.3">
      <c r="A4" s="100">
        <v>3</v>
      </c>
      <c r="B4" s="102" t="s">
        <v>7</v>
      </c>
      <c r="C4" s="102" t="s">
        <v>8</v>
      </c>
      <c r="D4" s="100">
        <f>SUM(4260+1327+1503+1481+1486+1503+1276)</f>
        <v>12836</v>
      </c>
      <c r="E4" s="100">
        <f>SUM(258+90+70+75+111+88+72)</f>
        <v>764</v>
      </c>
      <c r="F4" s="101">
        <f>SUM(D4/E4)</f>
        <v>16.801047120418847</v>
      </c>
      <c r="G4" s="100">
        <v>9</v>
      </c>
      <c r="H4" s="100">
        <v>4</v>
      </c>
      <c r="I4" s="100"/>
      <c r="J4" s="100"/>
      <c r="K4" s="100"/>
      <c r="L4" s="100">
        <v>28</v>
      </c>
      <c r="M4" s="105">
        <v>15</v>
      </c>
    </row>
    <row r="5" spans="1:13" ht="18.75" x14ac:dyDescent="0.3">
      <c r="A5" s="100">
        <v>4</v>
      </c>
      <c r="B5" s="102" t="s">
        <v>16</v>
      </c>
      <c r="C5" s="102" t="s">
        <v>17</v>
      </c>
      <c r="D5" s="100">
        <f>SUM(4378+1497+1469+1463+1498+1425+1483)</f>
        <v>13213</v>
      </c>
      <c r="E5" s="100">
        <f>SUM(265+97+103+73+101+83+92)</f>
        <v>814</v>
      </c>
      <c r="F5" s="101">
        <f>SUM(D5/E5)</f>
        <v>16.232186732186733</v>
      </c>
      <c r="G5" s="100">
        <v>9</v>
      </c>
      <c r="H5" s="100">
        <v>5</v>
      </c>
      <c r="I5" s="100">
        <v>1</v>
      </c>
      <c r="J5" s="100"/>
      <c r="K5" s="100"/>
      <c r="L5" s="100">
        <v>28</v>
      </c>
      <c r="M5" s="105">
        <v>20</v>
      </c>
    </row>
    <row r="6" spans="1:13" ht="18.75" x14ac:dyDescent="0.3">
      <c r="A6" s="100">
        <v>5</v>
      </c>
      <c r="B6" s="102" t="s">
        <v>12</v>
      </c>
      <c r="C6" s="102" t="s">
        <v>60</v>
      </c>
      <c r="D6" s="100">
        <f>SUM(2996+1503+1503+1500+1499+1372)</f>
        <v>10373</v>
      </c>
      <c r="E6" s="100">
        <f>SUM(199+74+92+109+90+89)</f>
        <v>653</v>
      </c>
      <c r="F6" s="101">
        <f>SUM(D6/E6)</f>
        <v>15.885145482388975</v>
      </c>
      <c r="G6" s="100">
        <v>7</v>
      </c>
      <c r="H6" s="100">
        <v>6</v>
      </c>
      <c r="I6" s="100"/>
      <c r="J6" s="100">
        <v>1</v>
      </c>
      <c r="K6" s="100"/>
      <c r="L6" s="100">
        <v>31</v>
      </c>
      <c r="M6" s="105">
        <v>9</v>
      </c>
    </row>
    <row r="7" spans="1:13" ht="18.75" x14ac:dyDescent="0.3">
      <c r="A7" s="100">
        <v>6</v>
      </c>
      <c r="B7" s="102" t="s">
        <v>120</v>
      </c>
      <c r="C7" s="102" t="s">
        <v>20</v>
      </c>
      <c r="D7" s="100">
        <v>1503</v>
      </c>
      <c r="E7" s="100">
        <v>95</v>
      </c>
      <c r="F7" s="101">
        <f>SUM(D7/E7)</f>
        <v>15.821052631578947</v>
      </c>
      <c r="G7" s="100">
        <v>1</v>
      </c>
      <c r="H7" s="100">
        <v>1</v>
      </c>
      <c r="I7" s="100"/>
      <c r="J7" s="100"/>
      <c r="K7" s="100"/>
      <c r="L7" s="100">
        <v>6</v>
      </c>
      <c r="M7" s="105"/>
    </row>
    <row r="8" spans="1:13" ht="18.75" x14ac:dyDescent="0.3">
      <c r="A8" s="100">
        <v>7</v>
      </c>
      <c r="B8" s="102" t="s">
        <v>109</v>
      </c>
      <c r="C8" s="102" t="s">
        <v>6</v>
      </c>
      <c r="D8" s="100">
        <f>SUM(1501+1503+1357+1480)</f>
        <v>5841</v>
      </c>
      <c r="E8" s="100">
        <f>SUM(102+90+75+103)</f>
        <v>370</v>
      </c>
      <c r="F8" s="101">
        <f>SUM(D8/E8)</f>
        <v>15.786486486486487</v>
      </c>
      <c r="G8" s="100">
        <v>4</v>
      </c>
      <c r="H8" s="100">
        <v>3</v>
      </c>
      <c r="I8" s="100"/>
      <c r="J8" s="100"/>
      <c r="K8" s="100"/>
      <c r="L8" s="100">
        <v>16</v>
      </c>
      <c r="M8" s="105">
        <v>5</v>
      </c>
    </row>
    <row r="9" spans="1:13" ht="18.75" x14ac:dyDescent="0.3">
      <c r="A9" s="100">
        <v>8</v>
      </c>
      <c r="B9" s="102" t="s">
        <v>9</v>
      </c>
      <c r="C9" s="102" t="s">
        <v>10</v>
      </c>
      <c r="D9" s="100">
        <f>SUM(4453+1487+1387+1473+1501+1339+1473)</f>
        <v>13113</v>
      </c>
      <c r="E9" s="100">
        <f>SUM(266+102+81+93+109+80+107)</f>
        <v>838</v>
      </c>
      <c r="F9" s="101">
        <f>SUM(D9/E9)</f>
        <v>15.647971360381861</v>
      </c>
      <c r="G9" s="100">
        <v>9</v>
      </c>
      <c r="H9" s="100">
        <v>6</v>
      </c>
      <c r="I9" s="100"/>
      <c r="J9" s="100"/>
      <c r="K9" s="100"/>
      <c r="L9" s="100">
        <v>31.5</v>
      </c>
      <c r="M9" s="105">
        <v>10</v>
      </c>
    </row>
    <row r="10" spans="1:13" ht="18.75" x14ac:dyDescent="0.3">
      <c r="A10" s="100">
        <v>9</v>
      </c>
      <c r="B10" s="102" t="s">
        <v>59</v>
      </c>
      <c r="C10" s="102" t="s">
        <v>15</v>
      </c>
      <c r="D10" s="100">
        <f>SUM(4240+943+1368+1499+1283+1375+1447)</f>
        <v>12155</v>
      </c>
      <c r="E10" s="100">
        <f>SUM(261+66+73+96+92+85+108)</f>
        <v>781</v>
      </c>
      <c r="F10" s="101">
        <f>SUM(D10/E10)</f>
        <v>15.56338028169014</v>
      </c>
      <c r="G10" s="100">
        <v>9</v>
      </c>
      <c r="H10" s="100">
        <v>2</v>
      </c>
      <c r="I10" s="100"/>
      <c r="J10" s="100"/>
      <c r="K10" s="100"/>
      <c r="L10" s="100">
        <v>21.5</v>
      </c>
      <c r="M10" s="105">
        <v>5</v>
      </c>
    </row>
    <row r="11" spans="1:13" ht="18.75" x14ac:dyDescent="0.3">
      <c r="A11" s="100">
        <v>10</v>
      </c>
      <c r="B11" s="102" t="s">
        <v>22</v>
      </c>
      <c r="C11" s="102" t="s">
        <v>17</v>
      </c>
      <c r="D11" s="100">
        <f>SUM(4417+1432+1483+1301+1118+1399)</f>
        <v>11150</v>
      </c>
      <c r="E11" s="100">
        <f>SUM(313+95+97+87+69+83)</f>
        <v>744</v>
      </c>
      <c r="F11" s="101">
        <f>SUM(D11/E11)</f>
        <v>14.986559139784946</v>
      </c>
      <c r="G11" s="100">
        <v>8</v>
      </c>
      <c r="H11" s="100">
        <v>4</v>
      </c>
      <c r="I11" s="100"/>
      <c r="J11" s="100"/>
      <c r="K11" s="100"/>
      <c r="L11" s="100">
        <v>26.5</v>
      </c>
      <c r="M11" s="105">
        <v>5</v>
      </c>
    </row>
    <row r="12" spans="1:13" ht="18.75" x14ac:dyDescent="0.3">
      <c r="A12" s="100">
        <v>11</v>
      </c>
      <c r="B12" s="102" t="s">
        <v>13</v>
      </c>
      <c r="C12" s="102" t="s">
        <v>8</v>
      </c>
      <c r="D12" s="100">
        <f>SUM(4458+1498+1499+1363+1487+1449+1315)</f>
        <v>13069</v>
      </c>
      <c r="E12" s="100">
        <f>SUM(305+99+94+92+104+102+78)</f>
        <v>874</v>
      </c>
      <c r="F12" s="101">
        <f>SUM(D12/E12)</f>
        <v>14.953089244851258</v>
      </c>
      <c r="G12" s="100">
        <v>9</v>
      </c>
      <c r="H12" s="100">
        <v>5</v>
      </c>
      <c r="I12" s="100"/>
      <c r="J12" s="100"/>
      <c r="K12" s="100"/>
      <c r="L12" s="100">
        <v>29.5</v>
      </c>
      <c r="M12" s="105"/>
    </row>
    <row r="13" spans="1:13" ht="18.75" x14ac:dyDescent="0.3">
      <c r="A13" s="100">
        <v>12</v>
      </c>
      <c r="B13" s="100" t="s">
        <v>25</v>
      </c>
      <c r="C13" s="102" t="s">
        <v>10</v>
      </c>
      <c r="D13" s="100">
        <f>SUM(4307+1495+1475+1270+1491+1484)</f>
        <v>11522</v>
      </c>
      <c r="E13" s="100">
        <f>SUM(287+93+99+86+104+105)</f>
        <v>774</v>
      </c>
      <c r="F13" s="101">
        <f>SUM(D13/E13)</f>
        <v>14.886304909560723</v>
      </c>
      <c r="G13" s="100">
        <v>8</v>
      </c>
      <c r="H13" s="100">
        <v>4</v>
      </c>
      <c r="I13" s="100"/>
      <c r="J13" s="100"/>
      <c r="K13" s="100"/>
      <c r="L13" s="100">
        <v>29</v>
      </c>
      <c r="M13" s="105">
        <v>5</v>
      </c>
    </row>
    <row r="14" spans="1:13" ht="18.75" x14ac:dyDescent="0.3">
      <c r="A14" s="100">
        <v>13</v>
      </c>
      <c r="B14" s="100" t="s">
        <v>24</v>
      </c>
      <c r="C14" s="102" t="s">
        <v>15</v>
      </c>
      <c r="D14" s="100">
        <f>SUM(4314+1332+1237+1359+1503+1503)</f>
        <v>11248</v>
      </c>
      <c r="E14" s="100">
        <f>SUM(296+95+82+85+89+114)</f>
        <v>761</v>
      </c>
      <c r="F14" s="101">
        <f>SUM(D14/E14)</f>
        <v>14.780551905387648</v>
      </c>
      <c r="G14" s="100">
        <v>8</v>
      </c>
      <c r="H14" s="100">
        <v>5</v>
      </c>
      <c r="I14" s="100"/>
      <c r="J14" s="100"/>
      <c r="K14" s="100"/>
      <c r="L14" s="100">
        <v>23</v>
      </c>
      <c r="M14" s="105">
        <v>5</v>
      </c>
    </row>
    <row r="15" spans="1:13" ht="18.75" x14ac:dyDescent="0.3">
      <c r="A15" s="100">
        <v>14</v>
      </c>
      <c r="B15" s="102" t="s">
        <v>19</v>
      </c>
      <c r="C15" s="102" t="s">
        <v>20</v>
      </c>
      <c r="D15" s="100">
        <f>SUM(4014+1424+1445+1425+1487+1441+1467)</f>
        <v>12703</v>
      </c>
      <c r="E15" s="100">
        <f>SUM(269+95+107+110+91+87+106)</f>
        <v>865</v>
      </c>
      <c r="F15" s="101">
        <f>SUM(D15/E15)</f>
        <v>14.685549132947976</v>
      </c>
      <c r="G15" s="100">
        <v>9</v>
      </c>
      <c r="H15" s="100">
        <v>3</v>
      </c>
      <c r="I15" s="100">
        <v>1</v>
      </c>
      <c r="J15" s="100"/>
      <c r="K15" s="100"/>
      <c r="L15" s="100">
        <v>22</v>
      </c>
      <c r="M15" s="105">
        <v>15</v>
      </c>
    </row>
    <row r="16" spans="1:13" ht="18.75" x14ac:dyDescent="0.3">
      <c r="A16" s="100">
        <v>15</v>
      </c>
      <c r="B16" s="100" t="s">
        <v>21</v>
      </c>
      <c r="C16" s="102" t="s">
        <v>17</v>
      </c>
      <c r="D16" s="100">
        <f>SUM(3916+1494+1503+1419+1500+1503)</f>
        <v>11335</v>
      </c>
      <c r="E16" s="100">
        <f>SUM(279+100+110+93+116+77)</f>
        <v>775</v>
      </c>
      <c r="F16" s="101">
        <f>SUM(D16/E16)</f>
        <v>14.625806451612902</v>
      </c>
      <c r="G16" s="100">
        <v>8</v>
      </c>
      <c r="H16" s="100">
        <v>5</v>
      </c>
      <c r="I16" s="100"/>
      <c r="J16" s="100"/>
      <c r="K16" s="100"/>
      <c r="L16" s="100">
        <v>27</v>
      </c>
      <c r="M16" s="105"/>
    </row>
    <row r="17" spans="1:13" ht="18.75" x14ac:dyDescent="0.3">
      <c r="A17" s="100">
        <v>16</v>
      </c>
      <c r="B17" s="102" t="s">
        <v>53</v>
      </c>
      <c r="C17" s="102" t="s">
        <v>54</v>
      </c>
      <c r="D17" s="100">
        <f>SUM(3962+1414+1297+1223+1389+1244+1487)</f>
        <v>12016</v>
      </c>
      <c r="E17" s="100">
        <f>SUM(264+100+87+87+102+77+107)</f>
        <v>824</v>
      </c>
      <c r="F17" s="101">
        <f>SUM(D17/E17)</f>
        <v>14.58252427184466</v>
      </c>
      <c r="G17" s="100">
        <v>9</v>
      </c>
      <c r="H17" s="100">
        <v>3</v>
      </c>
      <c r="I17" s="100"/>
      <c r="J17" s="100"/>
      <c r="K17" s="100"/>
      <c r="L17" s="100">
        <v>14.5</v>
      </c>
      <c r="M17" s="105"/>
    </row>
    <row r="18" spans="1:13" ht="18.75" x14ac:dyDescent="0.3">
      <c r="A18" s="100">
        <v>17</v>
      </c>
      <c r="B18" s="102" t="s">
        <v>31</v>
      </c>
      <c r="C18" s="102" t="s">
        <v>60</v>
      </c>
      <c r="D18" s="100">
        <f>SUM(4180+1503+1503+1503+1348+1390+1356)</f>
        <v>12783</v>
      </c>
      <c r="E18" s="100">
        <f>SUM(270+96+116+116+79+117+83)</f>
        <v>877</v>
      </c>
      <c r="F18" s="101">
        <f>SUM(D18/E18)</f>
        <v>14.575826681870012</v>
      </c>
      <c r="G18" s="100">
        <v>9</v>
      </c>
      <c r="H18" s="100">
        <v>8</v>
      </c>
      <c r="I18" s="100"/>
      <c r="J18" s="100"/>
      <c r="K18" s="100"/>
      <c r="L18" s="100">
        <v>34.5</v>
      </c>
      <c r="M18" s="105">
        <v>5</v>
      </c>
    </row>
    <row r="19" spans="1:13" ht="18.75" x14ac:dyDescent="0.3">
      <c r="A19" s="100">
        <v>18</v>
      </c>
      <c r="B19" s="113" t="s">
        <v>92</v>
      </c>
      <c r="C19" s="102" t="s">
        <v>60</v>
      </c>
      <c r="D19" s="100">
        <f>SUM(1340+1503+1433+1503+1347)</f>
        <v>7126</v>
      </c>
      <c r="E19" s="100">
        <f>SUM(111+98+87+124+93)</f>
        <v>513</v>
      </c>
      <c r="F19" s="101">
        <f>SUM(D19/E19)</f>
        <v>13.890838206627681</v>
      </c>
      <c r="G19" s="100">
        <v>5</v>
      </c>
      <c r="H19" s="100">
        <v>3</v>
      </c>
      <c r="I19" s="100"/>
      <c r="J19" s="100"/>
      <c r="K19" s="100"/>
      <c r="L19" s="100">
        <v>14</v>
      </c>
      <c r="M19" s="105"/>
    </row>
    <row r="20" spans="1:13" ht="18.75" x14ac:dyDescent="0.3">
      <c r="A20" s="100">
        <v>19</v>
      </c>
      <c r="B20" s="102" t="s">
        <v>32</v>
      </c>
      <c r="C20" s="102" t="s">
        <v>60</v>
      </c>
      <c r="D20" s="100">
        <f>SUM(4179+1391+1460+1414+1471+1503+1467)</f>
        <v>12885</v>
      </c>
      <c r="E20" s="100">
        <f>SUM(276+99+123+110+79+123+119)</f>
        <v>929</v>
      </c>
      <c r="F20" s="101">
        <f>SUM(D20/E20)</f>
        <v>13.869752421959095</v>
      </c>
      <c r="G20" s="100">
        <v>9</v>
      </c>
      <c r="H20" s="100">
        <v>3</v>
      </c>
      <c r="I20" s="100"/>
      <c r="J20" s="100"/>
      <c r="K20" s="100"/>
      <c r="L20" s="100">
        <v>27</v>
      </c>
      <c r="M20" s="105"/>
    </row>
    <row r="21" spans="1:13" ht="18.75" x14ac:dyDescent="0.3">
      <c r="A21" s="100">
        <v>20</v>
      </c>
      <c r="B21" s="102" t="s">
        <v>94</v>
      </c>
      <c r="C21" s="102" t="s">
        <v>10</v>
      </c>
      <c r="D21" s="100">
        <f>SUM(1503+1225+1463+1475+1457+1483+1499)</f>
        <v>10105</v>
      </c>
      <c r="E21" s="100">
        <f>SUM(114+97+115+98+97+94+114)</f>
        <v>729</v>
      </c>
      <c r="F21" s="101">
        <f>SUM(D21/E21)</f>
        <v>13.861454046639231</v>
      </c>
      <c r="G21" s="100">
        <v>7</v>
      </c>
      <c r="H21" s="100">
        <v>5</v>
      </c>
      <c r="I21" s="100"/>
      <c r="J21" s="100"/>
      <c r="K21" s="100"/>
      <c r="L21" s="100">
        <v>25.5</v>
      </c>
      <c r="M21" s="105">
        <v>5</v>
      </c>
    </row>
    <row r="22" spans="1:13" ht="18.75" x14ac:dyDescent="0.3">
      <c r="A22" s="100">
        <v>21</v>
      </c>
      <c r="B22" s="102" t="s">
        <v>29</v>
      </c>
      <c r="C22" s="102" t="s">
        <v>17</v>
      </c>
      <c r="D22" s="100">
        <f>SUM(2825+1503+1493+1501+1503+1503+1487)</f>
        <v>11815</v>
      </c>
      <c r="E22" s="100">
        <f>SUM(212+89+141+101+92+109+117)</f>
        <v>861</v>
      </c>
      <c r="F22" s="101">
        <f>SUM(D22/E22)</f>
        <v>13.722415795586528</v>
      </c>
      <c r="G22" s="100">
        <v>8</v>
      </c>
      <c r="H22" s="100">
        <v>5</v>
      </c>
      <c r="I22" s="100"/>
      <c r="J22" s="100"/>
      <c r="K22" s="100"/>
      <c r="L22" s="100">
        <v>25</v>
      </c>
      <c r="M22" s="105"/>
    </row>
    <row r="23" spans="1:13" ht="18.75" x14ac:dyDescent="0.3">
      <c r="A23" s="100">
        <v>22</v>
      </c>
      <c r="B23" s="102" t="s">
        <v>56</v>
      </c>
      <c r="C23" s="102" t="s">
        <v>54</v>
      </c>
      <c r="D23" s="100">
        <f>SUM(4033+1323+1359+1415+1407+1356+1232)</f>
        <v>12125</v>
      </c>
      <c r="E23" s="100">
        <f>SUM(304+111+117+89+85+92+96)</f>
        <v>894</v>
      </c>
      <c r="F23" s="101">
        <f>SUM(D23/E23)</f>
        <v>13.562639821029082</v>
      </c>
      <c r="G23" s="100">
        <v>9</v>
      </c>
      <c r="H23" s="100">
        <v>0</v>
      </c>
      <c r="I23" s="100"/>
      <c r="J23" s="100"/>
      <c r="K23" s="100"/>
      <c r="L23" s="100">
        <v>9.5</v>
      </c>
      <c r="M23" s="105">
        <v>5</v>
      </c>
    </row>
    <row r="24" spans="1:13" ht="18.75" x14ac:dyDescent="0.3">
      <c r="A24" s="100">
        <v>23</v>
      </c>
      <c r="B24" s="102" t="s">
        <v>83</v>
      </c>
      <c r="C24" s="102" t="s">
        <v>20</v>
      </c>
      <c r="D24" s="100">
        <f>SUM(1491+1497+1406+1432+1414)</f>
        <v>7240</v>
      </c>
      <c r="E24" s="100">
        <f>SUM(103+112+114+103+102)</f>
        <v>534</v>
      </c>
      <c r="F24" s="101">
        <f>SUM(D24/E24)</f>
        <v>13.558052434456929</v>
      </c>
      <c r="G24" s="100">
        <v>5</v>
      </c>
      <c r="H24" s="100">
        <v>3</v>
      </c>
      <c r="I24" s="100"/>
      <c r="J24" s="100"/>
      <c r="K24" s="100"/>
      <c r="L24" s="100">
        <v>14</v>
      </c>
      <c r="M24" s="105"/>
    </row>
    <row r="25" spans="1:13" ht="18.75" x14ac:dyDescent="0.3">
      <c r="A25" s="100">
        <v>24</v>
      </c>
      <c r="B25" s="102" t="s">
        <v>14</v>
      </c>
      <c r="C25" s="102" t="s">
        <v>15</v>
      </c>
      <c r="D25" s="100">
        <f>SUM(4418+1300+1489+1476+1458+1503)</f>
        <v>11644</v>
      </c>
      <c r="E25" s="100">
        <f>SUM(337+123+102+107+116+96)</f>
        <v>881</v>
      </c>
      <c r="F25" s="101">
        <f>SUM(D25/E25)</f>
        <v>13.216799091940976</v>
      </c>
      <c r="G25" s="100">
        <v>8</v>
      </c>
      <c r="H25" s="100">
        <v>4</v>
      </c>
      <c r="I25" s="100"/>
      <c r="J25" s="100"/>
      <c r="K25" s="100"/>
      <c r="L25" s="100">
        <v>20</v>
      </c>
      <c r="M25" s="105"/>
    </row>
    <row r="26" spans="1:13" ht="18.75" x14ac:dyDescent="0.3">
      <c r="A26" s="100">
        <v>25</v>
      </c>
      <c r="B26" s="102" t="s">
        <v>50</v>
      </c>
      <c r="C26" s="102" t="s">
        <v>60</v>
      </c>
      <c r="D26" s="100">
        <f>SUM(1462)</f>
        <v>1462</v>
      </c>
      <c r="E26" s="100">
        <f>SUM(111)</f>
        <v>111</v>
      </c>
      <c r="F26" s="101">
        <f>SUM(D26/E26)</f>
        <v>13.171171171171171</v>
      </c>
      <c r="G26" s="100">
        <v>1</v>
      </c>
      <c r="H26" s="100">
        <v>1</v>
      </c>
      <c r="I26" s="100"/>
      <c r="J26" s="100"/>
      <c r="K26" s="100"/>
      <c r="L26" s="100">
        <v>4</v>
      </c>
      <c r="M26" s="105"/>
    </row>
    <row r="27" spans="1:13" ht="18.75" x14ac:dyDescent="0.3">
      <c r="A27" s="100">
        <v>26</v>
      </c>
      <c r="B27" s="102" t="s">
        <v>23</v>
      </c>
      <c r="C27" s="102" t="s">
        <v>20</v>
      </c>
      <c r="D27" s="100">
        <f>SUM(4015+1501+1489+1293+1413)</f>
        <v>9711</v>
      </c>
      <c r="E27" s="100">
        <f>SUM(279+142+111+90+121)</f>
        <v>743</v>
      </c>
      <c r="F27" s="101">
        <f>SUM(D27/E27)</f>
        <v>13.069986541049799</v>
      </c>
      <c r="G27" s="100">
        <v>7</v>
      </c>
      <c r="H27" s="100">
        <v>2</v>
      </c>
      <c r="I27" s="100">
        <v>1</v>
      </c>
      <c r="J27" s="100"/>
      <c r="K27" s="100"/>
      <c r="L27" s="100">
        <v>13</v>
      </c>
      <c r="M27" s="105">
        <v>10</v>
      </c>
    </row>
    <row r="28" spans="1:13" ht="18.75" x14ac:dyDescent="0.3">
      <c r="A28" s="100">
        <v>27</v>
      </c>
      <c r="B28" s="102" t="s">
        <v>18</v>
      </c>
      <c r="C28" s="102" t="s">
        <v>8</v>
      </c>
      <c r="D28" s="100">
        <f>SUM(2974+877+1208+1310+1478+1452)</f>
        <v>9299</v>
      </c>
      <c r="E28" s="100">
        <f>SUM(230+75+95+92+140+100)</f>
        <v>732</v>
      </c>
      <c r="F28" s="101">
        <f>SUM(D28/E28)</f>
        <v>12.703551912568306</v>
      </c>
      <c r="G28" s="100">
        <v>7</v>
      </c>
      <c r="H28" s="100">
        <v>3</v>
      </c>
      <c r="I28" s="100"/>
      <c r="J28" s="100"/>
      <c r="K28" s="100"/>
      <c r="L28" s="100">
        <v>19.5</v>
      </c>
      <c r="M28" s="105"/>
    </row>
    <row r="29" spans="1:13" ht="18.75" x14ac:dyDescent="0.3">
      <c r="A29" s="100">
        <v>28</v>
      </c>
      <c r="B29" s="102" t="s">
        <v>28</v>
      </c>
      <c r="C29" s="102" t="s">
        <v>6</v>
      </c>
      <c r="D29" s="100">
        <f>SUM(2923)</f>
        <v>2923</v>
      </c>
      <c r="E29" s="100">
        <f>SUM(232)</f>
        <v>232</v>
      </c>
      <c r="F29" s="101">
        <f>SUM(D29/E29)</f>
        <v>12.599137931034482</v>
      </c>
      <c r="G29" s="100">
        <v>2</v>
      </c>
      <c r="H29" s="100">
        <v>0</v>
      </c>
      <c r="I29" s="100">
        <v>1</v>
      </c>
      <c r="J29" s="100"/>
      <c r="K29" s="100"/>
      <c r="L29" s="100">
        <v>4.5</v>
      </c>
      <c r="M29" s="105">
        <v>10</v>
      </c>
    </row>
    <row r="30" spans="1:13" ht="18.75" x14ac:dyDescent="0.3">
      <c r="A30" s="100">
        <v>29</v>
      </c>
      <c r="B30" s="102" t="s">
        <v>26</v>
      </c>
      <c r="C30" s="102" t="s">
        <v>10</v>
      </c>
      <c r="D30" s="100">
        <f>SUM(2859+1503)</f>
        <v>4362</v>
      </c>
      <c r="E30" s="100">
        <f>SUM(255+93)</f>
        <v>348</v>
      </c>
      <c r="F30" s="101">
        <f>SUM(D30/E30)</f>
        <v>12.53448275862069</v>
      </c>
      <c r="G30" s="100">
        <v>3</v>
      </c>
      <c r="H30" s="100">
        <v>1</v>
      </c>
      <c r="I30" s="100"/>
      <c r="J30" s="100"/>
      <c r="K30" s="100"/>
      <c r="L30" s="100">
        <v>11.5</v>
      </c>
      <c r="M30" s="105"/>
    </row>
    <row r="31" spans="1:13" ht="18.75" x14ac:dyDescent="0.3">
      <c r="A31" s="100">
        <v>30</v>
      </c>
      <c r="B31" s="102" t="s">
        <v>80</v>
      </c>
      <c r="C31" s="102" t="s">
        <v>17</v>
      </c>
      <c r="D31" s="100">
        <f>SUM(1503+1503+1219)</f>
        <v>4225</v>
      </c>
      <c r="E31" s="100">
        <f>SUM(125+120+93)</f>
        <v>338</v>
      </c>
      <c r="F31" s="101">
        <f>SUM(D31/E31)</f>
        <v>12.5</v>
      </c>
      <c r="G31" s="100">
        <v>3</v>
      </c>
      <c r="H31" s="100">
        <v>2</v>
      </c>
      <c r="I31" s="100"/>
      <c r="J31" s="100"/>
      <c r="K31" s="100"/>
      <c r="L31" s="100">
        <v>12.5</v>
      </c>
      <c r="M31" s="105"/>
    </row>
    <row r="32" spans="1:13" ht="18.75" x14ac:dyDescent="0.3">
      <c r="A32" s="100">
        <v>31</v>
      </c>
      <c r="B32" s="102" t="s">
        <v>52</v>
      </c>
      <c r="C32" s="102" t="s">
        <v>20</v>
      </c>
      <c r="D32" s="100">
        <f>SUM(4464+1503+1432+1431+1422+1487)</f>
        <v>11739</v>
      </c>
      <c r="E32" s="100">
        <f>SUM(372+122+97+97+111+143)</f>
        <v>942</v>
      </c>
      <c r="F32" s="101">
        <f>SUM(D32/E32)</f>
        <v>12.461783439490446</v>
      </c>
      <c r="G32" s="100">
        <v>8</v>
      </c>
      <c r="H32" s="100">
        <v>4</v>
      </c>
      <c r="I32" s="100"/>
      <c r="J32" s="100"/>
      <c r="K32" s="100"/>
      <c r="L32" s="100">
        <v>26.5</v>
      </c>
      <c r="M32" s="105"/>
    </row>
    <row r="33" spans="1:13" ht="18.75" x14ac:dyDescent="0.3">
      <c r="A33" s="100">
        <v>32</v>
      </c>
      <c r="B33" s="102" t="s">
        <v>82</v>
      </c>
      <c r="C33" s="102" t="s">
        <v>15</v>
      </c>
      <c r="D33" s="100">
        <f>SUM(1503+1483)</f>
        <v>2986</v>
      </c>
      <c r="E33" s="100">
        <f>SUM(105+135)</f>
        <v>240</v>
      </c>
      <c r="F33" s="101">
        <f>SUM(D33/E33)</f>
        <v>12.441666666666666</v>
      </c>
      <c r="G33" s="100">
        <v>2</v>
      </c>
      <c r="H33" s="100">
        <v>2</v>
      </c>
      <c r="I33" s="100"/>
      <c r="J33" s="100"/>
      <c r="K33" s="100"/>
      <c r="L33" s="100">
        <v>5.5</v>
      </c>
      <c r="M33" s="105"/>
    </row>
    <row r="34" spans="1:13" ht="18.75" x14ac:dyDescent="0.3">
      <c r="A34" s="100">
        <v>33</v>
      </c>
      <c r="B34" s="102" t="s">
        <v>61</v>
      </c>
      <c r="C34" s="102" t="s">
        <v>6</v>
      </c>
      <c r="D34" s="100">
        <f>SUM(4453+1501+1503+1444+1480+1503)</f>
        <v>11884</v>
      </c>
      <c r="E34" s="100">
        <f>SUM(394+142+114+116+102+95)</f>
        <v>963</v>
      </c>
      <c r="F34" s="101">
        <f>SUM(D34/E34)</f>
        <v>12.340602284527519</v>
      </c>
      <c r="G34" s="100">
        <v>8</v>
      </c>
      <c r="H34" s="100">
        <v>5</v>
      </c>
      <c r="I34" s="100"/>
      <c r="J34" s="100"/>
      <c r="K34" s="100"/>
      <c r="L34" s="100">
        <v>28</v>
      </c>
      <c r="M34" s="105">
        <v>5</v>
      </c>
    </row>
    <row r="35" spans="1:13" ht="18.75" x14ac:dyDescent="0.3">
      <c r="A35" s="100">
        <v>34</v>
      </c>
      <c r="B35" s="102" t="s">
        <v>79</v>
      </c>
      <c r="C35" s="102" t="s">
        <v>60</v>
      </c>
      <c r="D35" s="100">
        <f>SUM(2822+1492+1458+1346)</f>
        <v>7118</v>
      </c>
      <c r="E35" s="100">
        <f>SUM(261+118+100+100)</f>
        <v>579</v>
      </c>
      <c r="F35" s="101">
        <f>SUM(D35/E35)</f>
        <v>12.293609671848014</v>
      </c>
      <c r="G35" s="100">
        <v>5</v>
      </c>
      <c r="H35" s="100">
        <v>3</v>
      </c>
      <c r="I35" s="100"/>
      <c r="J35" s="100"/>
      <c r="K35" s="100"/>
      <c r="L35" s="100">
        <v>17.5</v>
      </c>
      <c r="M35" s="105"/>
    </row>
    <row r="36" spans="1:13" ht="18.75" x14ac:dyDescent="0.3">
      <c r="A36" s="100">
        <v>35</v>
      </c>
      <c r="B36" s="102" t="s">
        <v>91</v>
      </c>
      <c r="C36" s="102" t="s">
        <v>6</v>
      </c>
      <c r="D36" s="100">
        <f>SUM(1496+1347+1501+1316)</f>
        <v>5660</v>
      </c>
      <c r="E36" s="100">
        <f>SUM(127+116+121+105)</f>
        <v>469</v>
      </c>
      <c r="F36" s="101">
        <f>SUM(D36/E36)</f>
        <v>12.068230277185501</v>
      </c>
      <c r="G36" s="100">
        <v>4</v>
      </c>
      <c r="H36" s="100">
        <v>2</v>
      </c>
      <c r="I36" s="100"/>
      <c r="J36" s="100"/>
      <c r="K36" s="100"/>
      <c r="L36" s="100">
        <v>15.5</v>
      </c>
      <c r="M36" s="105"/>
    </row>
    <row r="37" spans="1:13" ht="18.75" x14ac:dyDescent="0.3">
      <c r="A37" s="100">
        <v>36</v>
      </c>
      <c r="B37" s="102" t="s">
        <v>51</v>
      </c>
      <c r="C37" s="102" t="s">
        <v>20</v>
      </c>
      <c r="D37" s="100">
        <f>SUM(2846+1454+1168+1455+1454)</f>
        <v>8377</v>
      </c>
      <c r="E37" s="100">
        <f>SUM(250+115+105+129+101)</f>
        <v>700</v>
      </c>
      <c r="F37" s="101">
        <f>SUM(D37/E37)</f>
        <v>11.967142857142857</v>
      </c>
      <c r="G37" s="100">
        <v>6</v>
      </c>
      <c r="H37" s="100">
        <v>3</v>
      </c>
      <c r="I37" s="100"/>
      <c r="J37" s="100"/>
      <c r="K37" s="100"/>
      <c r="L37" s="100">
        <v>14.5</v>
      </c>
      <c r="M37" s="105"/>
    </row>
    <row r="38" spans="1:13" ht="18.75" x14ac:dyDescent="0.3">
      <c r="A38" s="100">
        <v>37</v>
      </c>
      <c r="B38" s="102" t="s">
        <v>93</v>
      </c>
      <c r="C38" s="102" t="s">
        <v>15</v>
      </c>
      <c r="D38" s="100">
        <f>SUM(1208+1312+1237+1479+1503)</f>
        <v>6739</v>
      </c>
      <c r="E38" s="100">
        <f>SUM(93+114+114+125+121)</f>
        <v>567</v>
      </c>
      <c r="F38" s="101">
        <f>SUM(D38/E38)</f>
        <v>11.885361552028218</v>
      </c>
      <c r="G38" s="100">
        <v>5</v>
      </c>
      <c r="H38" s="100">
        <v>1</v>
      </c>
      <c r="I38" s="100"/>
      <c r="J38" s="100"/>
      <c r="K38" s="100"/>
      <c r="L38" s="100">
        <v>8.5</v>
      </c>
      <c r="M38" s="105"/>
    </row>
    <row r="39" spans="1:13" ht="18.75" x14ac:dyDescent="0.3">
      <c r="A39" s="100">
        <v>38</v>
      </c>
      <c r="B39" s="100" t="s">
        <v>27</v>
      </c>
      <c r="C39" s="102" t="s">
        <v>10</v>
      </c>
      <c r="D39" s="100">
        <f>SUM(4296+1328+1494+1503+1503+1492+1369)</f>
        <v>12985</v>
      </c>
      <c r="E39" s="100">
        <f>SUM(372+84+136+118+151+151+96)</f>
        <v>1108</v>
      </c>
      <c r="F39" s="101">
        <f>SUM(D39/E39)</f>
        <v>11.719314079422382</v>
      </c>
      <c r="G39" s="100">
        <v>9</v>
      </c>
      <c r="H39" s="100">
        <v>4</v>
      </c>
      <c r="I39" s="100"/>
      <c r="J39" s="100"/>
      <c r="K39" s="100"/>
      <c r="L39" s="100">
        <v>33.5</v>
      </c>
      <c r="M39" s="105">
        <v>5</v>
      </c>
    </row>
    <row r="40" spans="1:13" ht="18.75" x14ac:dyDescent="0.3">
      <c r="A40" s="100">
        <v>39</v>
      </c>
      <c r="B40" s="102" t="s">
        <v>81</v>
      </c>
      <c r="C40" s="102" t="s">
        <v>8</v>
      </c>
      <c r="D40" s="100">
        <f>SUM(1456+1499+1222)</f>
        <v>4177</v>
      </c>
      <c r="E40" s="100">
        <f>SUM(107+138+115)</f>
        <v>360</v>
      </c>
      <c r="F40" s="101">
        <f>SUM(D40/E40)</f>
        <v>11.602777777777778</v>
      </c>
      <c r="G40" s="100">
        <v>3</v>
      </c>
      <c r="H40" s="100">
        <v>1</v>
      </c>
      <c r="I40" s="100"/>
      <c r="J40" s="100"/>
      <c r="K40" s="100"/>
      <c r="L40" s="100">
        <v>8</v>
      </c>
      <c r="M40" s="105"/>
    </row>
    <row r="41" spans="1:13" ht="18.75" x14ac:dyDescent="0.3">
      <c r="A41" s="100">
        <v>40</v>
      </c>
      <c r="B41" s="102" t="s">
        <v>57</v>
      </c>
      <c r="C41" s="102" t="s">
        <v>15</v>
      </c>
      <c r="D41" s="100">
        <f>SUM(1259+1503)</f>
        <v>2762</v>
      </c>
      <c r="E41" s="100">
        <f>SUM(102+139)</f>
        <v>241</v>
      </c>
      <c r="F41" s="101">
        <f>SUM(D41/E41)</f>
        <v>11.460580912863071</v>
      </c>
      <c r="G41" s="100">
        <v>2</v>
      </c>
      <c r="H41" s="100">
        <v>1</v>
      </c>
      <c r="I41" s="100"/>
      <c r="J41" s="100"/>
      <c r="K41" s="100"/>
      <c r="L41" s="100">
        <v>4</v>
      </c>
      <c r="M41" s="105"/>
    </row>
    <row r="42" spans="1:13" ht="18.75" x14ac:dyDescent="0.3">
      <c r="A42" s="100">
        <v>41</v>
      </c>
      <c r="B42" s="102" t="s">
        <v>58</v>
      </c>
      <c r="C42" s="102" t="s">
        <v>54</v>
      </c>
      <c r="D42" s="100">
        <f>SUM(4183+1360+1165+1035+1124+1035+1396)</f>
        <v>11298</v>
      </c>
      <c r="E42" s="100">
        <f>SUM(385+117+96+99+87+87+120)</f>
        <v>991</v>
      </c>
      <c r="F42" s="101">
        <f>SUM(D42/E42)</f>
        <v>11.400605449041372</v>
      </c>
      <c r="G42" s="100">
        <v>9</v>
      </c>
      <c r="H42" s="100">
        <v>1</v>
      </c>
      <c r="I42" s="100"/>
      <c r="J42" s="100"/>
      <c r="K42" s="100"/>
      <c r="L42" s="100">
        <v>11</v>
      </c>
      <c r="M42" s="105"/>
    </row>
    <row r="43" spans="1:13" ht="18.75" x14ac:dyDescent="0.3">
      <c r="A43" s="100">
        <v>42</v>
      </c>
      <c r="B43" s="102" t="s">
        <v>55</v>
      </c>
      <c r="C43" s="102" t="s">
        <v>54</v>
      </c>
      <c r="D43" s="100">
        <f>SUM(4065+1275+1469+1496+1425+1324+1487)</f>
        <v>12541</v>
      </c>
      <c r="E43" s="100">
        <f>SUM(355+120+124+117+113+150+154)</f>
        <v>1133</v>
      </c>
      <c r="F43" s="101">
        <f>SUM(D43/E43)</f>
        <v>11.068843777581641</v>
      </c>
      <c r="G43" s="100">
        <v>9</v>
      </c>
      <c r="H43" s="100">
        <v>3</v>
      </c>
      <c r="I43" s="100"/>
      <c r="J43" s="100"/>
      <c r="K43" s="100"/>
      <c r="L43" s="100">
        <v>16</v>
      </c>
      <c r="M43" s="105"/>
    </row>
    <row r="44" spans="1:13" ht="18.75" x14ac:dyDescent="0.3">
      <c r="A44" s="100">
        <v>43</v>
      </c>
      <c r="B44" s="102" t="s">
        <v>30</v>
      </c>
      <c r="C44" s="102" t="s">
        <v>8</v>
      </c>
      <c r="D44" s="100">
        <f>SUM(4393+1267+1402+1455+999+1179)</f>
        <v>10695</v>
      </c>
      <c r="E44" s="100">
        <f>SUM(432+120+135+153+90+90)</f>
        <v>1020</v>
      </c>
      <c r="F44" s="101">
        <f>SUM(D44/E44)</f>
        <v>10.485294117647058</v>
      </c>
      <c r="G44" s="100">
        <v>8</v>
      </c>
      <c r="H44" s="100">
        <v>1</v>
      </c>
      <c r="I44" s="100"/>
      <c r="J44" s="100"/>
      <c r="K44" s="100"/>
      <c r="L44" s="100">
        <v>12</v>
      </c>
      <c r="M44" s="105"/>
    </row>
    <row r="45" spans="1:13" ht="18.75" x14ac:dyDescent="0.3">
      <c r="A45" s="100">
        <v>44</v>
      </c>
      <c r="B45" s="102" t="s">
        <v>119</v>
      </c>
      <c r="C45" s="102" t="s">
        <v>15</v>
      </c>
      <c r="D45" s="100">
        <f>SUM(1331+1487)</f>
        <v>2818</v>
      </c>
      <c r="E45" s="100">
        <f>SUM(120+161)</f>
        <v>281</v>
      </c>
      <c r="F45" s="101">
        <f>SUM(D45/E45)</f>
        <v>10.028469750889681</v>
      </c>
      <c r="G45" s="100">
        <v>2</v>
      </c>
      <c r="H45" s="100">
        <v>1</v>
      </c>
      <c r="I45" s="100"/>
      <c r="J45" s="100"/>
      <c r="K45" s="100"/>
      <c r="L45" s="100">
        <v>3</v>
      </c>
      <c r="M45" s="105"/>
    </row>
    <row r="46" spans="1:13" ht="19.5" thickBot="1" x14ac:dyDescent="0.35">
      <c r="A46" s="92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</row>
    <row r="47" spans="1:13" ht="15" customHeight="1" thickBot="1" x14ac:dyDescent="0.35">
      <c r="A47" s="92"/>
      <c r="B47" s="112" t="s">
        <v>124</v>
      </c>
      <c r="C47" s="98" t="s">
        <v>33</v>
      </c>
      <c r="D47" s="97" t="s">
        <v>34</v>
      </c>
      <c r="E47" s="97" t="s">
        <v>35</v>
      </c>
      <c r="F47" s="97" t="s">
        <v>36</v>
      </c>
      <c r="G47" s="97"/>
      <c r="H47" s="97"/>
      <c r="I47" s="96"/>
      <c r="J47" s="91"/>
      <c r="K47" s="91"/>
      <c r="L47" s="91"/>
      <c r="M47" s="91"/>
    </row>
    <row r="48" spans="1:13" ht="18.75" x14ac:dyDescent="0.3">
      <c r="A48" s="92"/>
      <c r="B48" s="111"/>
      <c r="C48" s="92" t="s">
        <v>39</v>
      </c>
      <c r="D48" s="92">
        <v>8</v>
      </c>
      <c r="E48" s="91">
        <v>1</v>
      </c>
      <c r="F48" s="91">
        <v>145</v>
      </c>
      <c r="G48" s="91"/>
      <c r="H48" s="92" t="s">
        <v>38</v>
      </c>
      <c r="I48" s="95" t="s">
        <v>113</v>
      </c>
      <c r="J48" s="91"/>
      <c r="K48" s="95"/>
      <c r="L48" s="91"/>
      <c r="M48" s="91"/>
    </row>
    <row r="49" spans="1:13" ht="18.75" x14ac:dyDescent="0.3">
      <c r="A49" s="92"/>
      <c r="B49" s="111"/>
      <c r="C49" s="92" t="s">
        <v>37</v>
      </c>
      <c r="D49" s="92">
        <v>8</v>
      </c>
      <c r="E49" s="91">
        <v>1</v>
      </c>
      <c r="F49" s="91">
        <v>131</v>
      </c>
      <c r="G49" s="91"/>
      <c r="H49" s="92" t="s">
        <v>40</v>
      </c>
      <c r="I49" s="95" t="s">
        <v>123</v>
      </c>
      <c r="J49" s="91"/>
      <c r="K49" s="92"/>
      <c r="L49" s="91"/>
      <c r="M49" s="91"/>
    </row>
    <row r="50" spans="1:13" ht="18.75" x14ac:dyDescent="0.3">
      <c r="A50" s="92"/>
      <c r="B50" s="111"/>
      <c r="C50" s="92" t="s">
        <v>42</v>
      </c>
      <c r="D50" s="92">
        <v>6</v>
      </c>
      <c r="E50" s="91">
        <v>3</v>
      </c>
      <c r="F50" s="91">
        <v>129</v>
      </c>
      <c r="G50" s="91"/>
      <c r="H50" s="92" t="s">
        <v>41</v>
      </c>
      <c r="I50" s="95" t="s">
        <v>122</v>
      </c>
      <c r="J50" s="91"/>
      <c r="K50" s="95"/>
      <c r="L50" s="91"/>
      <c r="M50" s="91"/>
    </row>
    <row r="51" spans="1:13" ht="18.75" x14ac:dyDescent="0.3">
      <c r="A51" s="91"/>
      <c r="B51" s="111"/>
      <c r="C51" s="92" t="s">
        <v>63</v>
      </c>
      <c r="D51" s="92">
        <v>6</v>
      </c>
      <c r="E51" s="92">
        <v>3</v>
      </c>
      <c r="F51" s="92">
        <v>128</v>
      </c>
      <c r="G51" s="91"/>
      <c r="H51" s="92" t="s">
        <v>43</v>
      </c>
      <c r="I51" s="95" t="s">
        <v>121</v>
      </c>
      <c r="J51" s="91"/>
      <c r="K51" s="92"/>
      <c r="L51" s="91"/>
      <c r="M51" s="91"/>
    </row>
    <row r="52" spans="1:13" ht="18" customHeight="1" x14ac:dyDescent="0.3">
      <c r="A52" s="91"/>
      <c r="B52" s="111"/>
      <c r="C52" s="92" t="s">
        <v>48</v>
      </c>
      <c r="D52" s="92">
        <v>3</v>
      </c>
      <c r="E52" s="91">
        <v>6</v>
      </c>
      <c r="F52" s="91">
        <v>97</v>
      </c>
      <c r="G52" s="91"/>
      <c r="H52" s="92" t="s">
        <v>45</v>
      </c>
      <c r="I52" s="95" t="s">
        <v>86</v>
      </c>
      <c r="J52" s="91"/>
      <c r="K52" s="92"/>
      <c r="L52" s="91"/>
      <c r="M52" s="91"/>
    </row>
    <row r="53" spans="1:13" ht="18" customHeight="1" x14ac:dyDescent="0.3">
      <c r="A53" s="91"/>
      <c r="B53" s="111"/>
      <c r="C53" s="92" t="s">
        <v>47</v>
      </c>
      <c r="D53" s="92">
        <v>3</v>
      </c>
      <c r="E53" s="91">
        <v>6</v>
      </c>
      <c r="F53" s="91">
        <v>94</v>
      </c>
      <c r="G53" s="91"/>
      <c r="H53" s="92" t="s">
        <v>46</v>
      </c>
      <c r="I53" s="107" t="s">
        <v>99</v>
      </c>
      <c r="J53" s="107"/>
      <c r="K53" s="92"/>
      <c r="L53" s="91"/>
      <c r="M53" s="91"/>
    </row>
    <row r="54" spans="1:13" ht="18.75" x14ac:dyDescent="0.3">
      <c r="A54" s="91"/>
      <c r="B54" s="111"/>
      <c r="C54" s="92" t="s">
        <v>44</v>
      </c>
      <c r="D54" s="92">
        <v>2</v>
      </c>
      <c r="E54" s="92">
        <v>7</v>
      </c>
      <c r="F54" s="92">
        <v>87</v>
      </c>
      <c r="G54" s="91"/>
      <c r="H54" s="91"/>
      <c r="I54" s="91"/>
      <c r="J54" s="91"/>
      <c r="K54" s="91"/>
      <c r="L54" s="91"/>
      <c r="M54" s="91"/>
    </row>
    <row r="55" spans="1:13" ht="19.5" thickBot="1" x14ac:dyDescent="0.35">
      <c r="A55" s="91"/>
      <c r="B55" s="110"/>
      <c r="C55" s="92" t="s">
        <v>49</v>
      </c>
      <c r="D55" s="92">
        <v>0</v>
      </c>
      <c r="E55" s="92">
        <v>9</v>
      </c>
      <c r="F55" s="92">
        <v>54</v>
      </c>
      <c r="G55" s="91"/>
      <c r="H55" s="91"/>
      <c r="I55" s="91"/>
      <c r="J55" s="91"/>
      <c r="K55" s="91"/>
      <c r="L55" s="91"/>
      <c r="M55" s="91"/>
    </row>
  </sheetData>
  <mergeCells count="2">
    <mergeCell ref="B47:B55"/>
    <mergeCell ref="I53:J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</vt:vector>
  </TitlesOfParts>
  <Company>Randstad 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Mellie</dc:creator>
  <cp:lastModifiedBy>Gabriella Mellie</cp:lastModifiedBy>
  <cp:lastPrinted>2023-09-04T13:26:34Z</cp:lastPrinted>
  <dcterms:created xsi:type="dcterms:W3CDTF">2023-02-08T03:36:17Z</dcterms:created>
  <dcterms:modified xsi:type="dcterms:W3CDTF">2023-12-12T14:15:22Z</dcterms:modified>
</cp:coreProperties>
</file>