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Week 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E43" i="1"/>
  <c r="D43" i="1"/>
  <c r="E39" i="1"/>
  <c r="D39" i="1"/>
  <c r="E29" i="1"/>
  <c r="D29" i="1"/>
  <c r="E48" i="1"/>
  <c r="D48" i="1"/>
  <c r="E38" i="1"/>
  <c r="D38" i="1"/>
  <c r="E28" i="1"/>
  <c r="D28" i="1"/>
  <c r="E15" i="1"/>
  <c r="D15" i="1"/>
  <c r="E49" i="1"/>
  <c r="D49" i="1"/>
  <c r="E42" i="1"/>
  <c r="D42" i="1"/>
  <c r="E23" i="1"/>
  <c r="D23" i="1"/>
  <c r="E8" i="1"/>
  <c r="D8" i="1"/>
  <c r="E26" i="1"/>
  <c r="D26" i="1"/>
  <c r="E25" i="1"/>
  <c r="D25" i="1"/>
  <c r="E20" i="1"/>
  <c r="D20" i="1"/>
  <c r="E6" i="1"/>
  <c r="D6" i="1"/>
  <c r="F34" i="1"/>
  <c r="E34" i="1"/>
  <c r="D34" i="1"/>
  <c r="E21" i="1"/>
  <c r="D21" i="1"/>
  <c r="E10" i="1"/>
  <c r="D10" i="1"/>
  <c r="E4" i="1"/>
  <c r="D4" i="1"/>
  <c r="E37" i="1"/>
  <c r="D37" i="1"/>
  <c r="E36" i="1"/>
  <c r="D36" i="1"/>
  <c r="E13" i="1"/>
  <c r="D13" i="1"/>
  <c r="E7" i="1"/>
  <c r="D7" i="1"/>
  <c r="E35" i="1"/>
  <c r="D35" i="1"/>
  <c r="E30" i="1"/>
  <c r="D30" i="1"/>
  <c r="E16" i="1"/>
  <c r="D16" i="1"/>
  <c r="E12" i="1"/>
  <c r="D12" i="1"/>
  <c r="E22" i="1"/>
  <c r="D22" i="1"/>
  <c r="E5" i="1"/>
  <c r="D5" i="1"/>
  <c r="E3" i="1"/>
  <c r="D3" i="1"/>
  <c r="E2" i="1"/>
  <c r="D2" i="1"/>
  <c r="E24" i="1"/>
  <c r="D24" i="1"/>
  <c r="E19" i="1"/>
  <c r="D19" i="1"/>
  <c r="E17" i="1"/>
  <c r="D17" i="1"/>
  <c r="E14" i="1"/>
  <c r="D14" i="1"/>
  <c r="E40" i="1"/>
  <c r="D40" i="1"/>
  <c r="E32" i="1"/>
  <c r="D32" i="1"/>
  <c r="E18" i="1"/>
  <c r="D18" i="1"/>
  <c r="E9" i="1"/>
  <c r="D9" i="1"/>
  <c r="F41" i="1"/>
  <c r="E41" i="1"/>
  <c r="D41" i="1"/>
  <c r="E33" i="1"/>
  <c r="D33" i="1"/>
  <c r="E46" i="1"/>
  <c r="D46" i="1"/>
  <c r="E27" i="1"/>
  <c r="D27" i="1"/>
  <c r="E11" i="1"/>
  <c r="D11" i="1"/>
  <c r="E50" i="1"/>
  <c r="D50" i="1"/>
  <c r="E31" i="1"/>
  <c r="D31" i="1"/>
  <c r="E47" i="1"/>
  <c r="D47" i="1"/>
  <c r="F9" i="1" l="1"/>
  <c r="F18" i="1"/>
  <c r="E45" i="1"/>
  <c r="F45" i="1" s="1"/>
  <c r="D45" i="1"/>
  <c r="F20" i="1"/>
  <c r="F38" i="1"/>
  <c r="E44" i="1"/>
  <c r="F44" i="1" s="1"/>
  <c r="D44" i="1"/>
  <c r="F48" i="1"/>
  <c r="F31" i="1" l="1"/>
  <c r="F36" i="1"/>
  <c r="F15" i="1"/>
  <c r="F40" i="1"/>
  <c r="F32" i="1"/>
  <c r="F47" i="1"/>
  <c r="F27" i="1"/>
  <c r="F28" i="1"/>
  <c r="F21" i="1"/>
  <c r="F22" i="1" l="1"/>
  <c r="F26" i="1"/>
  <c r="F49" i="1"/>
  <c r="F46" i="1"/>
  <c r="F43" i="1"/>
  <c r="F16" i="1"/>
  <c r="F37" i="1"/>
  <c r="F12" i="1"/>
  <c r="F30" i="1"/>
  <c r="F35" i="1"/>
  <c r="F42" i="1"/>
  <c r="F19" i="1"/>
  <c r="F14" i="1"/>
  <c r="F25" i="1"/>
  <c r="F3" i="1"/>
  <c r="F23" i="1"/>
  <c r="F29" i="1"/>
  <c r="F4" i="1" l="1"/>
  <c r="F33" i="1"/>
  <c r="F13" i="1"/>
  <c r="F6" i="1"/>
  <c r="F24" i="1"/>
  <c r="F17" i="1"/>
  <c r="F2" i="1"/>
  <c r="F10" i="1"/>
  <c r="F11" i="1"/>
  <c r="F39" i="1"/>
  <c r="F50" i="1"/>
  <c r="F7" i="1"/>
  <c r="F5" i="1"/>
  <c r="F8" i="1"/>
</calcChain>
</file>

<file path=xl/sharedStrings.xml><?xml version="1.0" encoding="utf-8"?>
<sst xmlns="http://schemas.openxmlformats.org/spreadsheetml/2006/main" count="160" uniqueCount="102">
  <si>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</si>
  <si>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</si>
  <si>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</si>
  <si>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</si>
  <si>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</si>
  <si>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</si>
  <si>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</si>
  <si>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</si>
  <si>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</si>
  <si>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</si>
  <si>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</si>
  <si>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</si>
  <si>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</si>
  <si>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</si>
  <si>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</si>
  <si>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</si>
  <si>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</si>
  <si>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</si>
  <si>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</si>
  <si>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</si>
  <si>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</si>
  <si>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</si>
  <si>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</si>
  <si>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</si>
  <si>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</si>
  <si>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</si>
  <si>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</si>
  <si>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</si>
  <si>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</si>
  <si>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</si>
  <si>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</si>
  <si>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</si>
  <si>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</si>
  <si>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</si>
  <si>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</si>
  <si>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</si>
  <si>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</si>
  <si>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</si>
  <si>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</si>
  <si>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</si>
  <si>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</si>
  <si>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</si>
  <si>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</si>
  <si>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</si>
  <si>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</si>
  <si>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</si>
  <si>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</si>
  <si>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</si>
  <si>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</si>
  <si>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</si>
  <si>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</si>
  <si>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</si>
  <si>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</si>
  <si>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</si>
  <si>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</si>
  <si>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</si>
  <si>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</si>
  <si>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</si>
  <si>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</si>
  <si>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</si>
  <si>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</si>
  <si>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</si>
  <si>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</si>
  <si>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</si>
  <si>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</si>
  <si>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</si>
  <si>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</si>
  <si>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</si>
  <si>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</si>
  <si>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</si>
  <si>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</si>
  <si>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</si>
  <si>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</si>
  <si>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</si>
  <si>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</si>
  <si>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</si>
  <si>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</si>
  <si>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</si>
  <si>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</si>
  <si>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</si>
  <si>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</si>
  <si>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</si>
  <si>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</si>
  <si>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</si>
  <si>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</si>
  <si>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</si>
  <si>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Rob Cicchino 115 Out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</si>
  <si>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</si>
  <si>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</si>
  <si>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</si>
  <si>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</si>
  <si>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</si>
  <si>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</si>
  <si>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</si>
  <si>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</si>
  <si>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Tammy Allen 160 In</t>
  </si>
  <si>
    <t>Josh Stegmaier</t>
  </si>
  <si>
    <t>Week 7</t>
  </si>
  <si>
    <t>Larry Jenkins 18.71</t>
  </si>
  <si>
    <t>Dave Novotney</t>
  </si>
  <si>
    <t>Richie Thomas 92 Out</t>
  </si>
  <si>
    <t>Tammy Allen 103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</si>
</sst>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3" xfId="0" applyFont="1" applyFill="1" applyBorder="1"/>
    <xf numFmtId="0" fontId="3" fillId="0" borderId="17" xfId="0" applyFont="1" applyBorder="1"/>
    <xf numFmtId="0" fontId="1" fillId="0" borderId="4" xfId="0" applyFont="1" applyBorder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pane ySplit="1" topLeftCell="A2" activePane="bottomLeft" state="frozen"/>
      <selection pane="bottomLeft" activeCell="J65" sqref="J65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19</v>
      </c>
      <c r="C2" s="4" t="s">
        <v>14</v>
      </c>
      <c r="D2" s="11">
        <f>SUM(1503+1501+1499+1401)</f>
        <v>5904</v>
      </c>
      <c r="E2" s="11">
        <f>SUM(88+78+80+76)</f>
        <v>322</v>
      </c>
      <c r="F2" s="12">
        <f t="shared" ref="F2:F33" si="0">SUM(D2/E2)</f>
        <v>18.335403726708076</v>
      </c>
      <c r="G2" s="11">
        <v>4</v>
      </c>
      <c r="H2" s="11">
        <v>4</v>
      </c>
      <c r="I2" s="11"/>
      <c r="J2" s="11"/>
      <c r="K2" s="11"/>
      <c r="L2" s="11">
        <v>22</v>
      </c>
      <c r="M2" s="13">
        <v>15</v>
      </c>
    </row>
    <row r="3" spans="1:13" ht="18.75" x14ac:dyDescent="0.3">
      <c r="A3" s="3">
        <v>2</v>
      </c>
      <c r="B3" s="4" t="s">
        <v>23</v>
      </c>
      <c r="C3" s="4" t="s">
        <v>14</v>
      </c>
      <c r="D3" s="11">
        <f>SUM(1503+1503+1503+1479+1498+1336)</f>
        <v>8822</v>
      </c>
      <c r="E3" s="11">
        <f>SUM(93+102+87+75+85+80)</f>
        <v>522</v>
      </c>
      <c r="F3" s="12">
        <f t="shared" si="0"/>
        <v>16.90038314176245</v>
      </c>
      <c r="G3" s="11">
        <v>6</v>
      </c>
      <c r="H3" s="11">
        <v>5</v>
      </c>
      <c r="I3" s="11">
        <v>1</v>
      </c>
      <c r="J3" s="11"/>
      <c r="K3" s="11">
        <v>1</v>
      </c>
      <c r="L3" s="11">
        <v>27.5</v>
      </c>
      <c r="M3" s="13">
        <v>5</v>
      </c>
    </row>
    <row r="4" spans="1:13" ht="18.75" x14ac:dyDescent="0.3">
      <c r="A4" s="3">
        <v>3</v>
      </c>
      <c r="B4" s="4" t="s">
        <v>15</v>
      </c>
      <c r="C4" s="4" t="s">
        <v>16</v>
      </c>
      <c r="D4" s="11">
        <f>SUM(1439+1494+1469+1433+1433+1403)</f>
        <v>8671</v>
      </c>
      <c r="E4" s="11">
        <f>SUM(83+92+88+91+92+75)</f>
        <v>521</v>
      </c>
      <c r="F4" s="12">
        <f t="shared" si="0"/>
        <v>16.642994241842612</v>
      </c>
      <c r="G4" s="11">
        <v>6</v>
      </c>
      <c r="H4" s="11">
        <v>2</v>
      </c>
      <c r="I4" s="11"/>
      <c r="J4" s="11"/>
      <c r="K4" s="11"/>
      <c r="L4" s="11">
        <v>15.5</v>
      </c>
      <c r="M4" s="13">
        <v>5</v>
      </c>
    </row>
    <row r="5" spans="1:13" ht="18.75" x14ac:dyDescent="0.3">
      <c r="A5" s="3">
        <v>4</v>
      </c>
      <c r="B5" s="4" t="s">
        <v>13</v>
      </c>
      <c r="C5" s="4" t="s">
        <v>14</v>
      </c>
      <c r="D5" s="11">
        <f>SUM(1503+1493+1483+1503+1347+1503)</f>
        <v>8832</v>
      </c>
      <c r="E5" s="11">
        <f>SUM(87+94+89+105+89+91)</f>
        <v>555</v>
      </c>
      <c r="F5" s="12">
        <f t="shared" si="0"/>
        <v>15.913513513513514</v>
      </c>
      <c r="G5" s="11">
        <v>6</v>
      </c>
      <c r="H5" s="11">
        <v>6</v>
      </c>
      <c r="I5" s="11"/>
      <c r="J5" s="11"/>
      <c r="K5" s="11"/>
      <c r="L5" s="11">
        <v>29</v>
      </c>
      <c r="M5" s="13"/>
    </row>
    <row r="6" spans="1:13" ht="18.75" x14ac:dyDescent="0.3">
      <c r="A6" s="3">
        <v>5</v>
      </c>
      <c r="B6" s="4" t="s">
        <v>11</v>
      </c>
      <c r="C6" s="4" t="s">
        <v>12</v>
      </c>
      <c r="D6" s="11">
        <f>SUM(1434+1499+1503+1463+1490+1467)</f>
        <v>8856</v>
      </c>
      <c r="E6" s="11">
        <f>SUM(78+102+87+91+93+109)</f>
        <v>560</v>
      </c>
      <c r="F6" s="12">
        <f t="shared" si="0"/>
        <v>15.814285714285715</v>
      </c>
      <c r="G6" s="11">
        <v>6</v>
      </c>
      <c r="H6" s="11">
        <v>4</v>
      </c>
      <c r="I6" s="11">
        <v>1</v>
      </c>
      <c r="J6" s="11"/>
      <c r="K6" s="11"/>
      <c r="L6" s="11">
        <v>22.5</v>
      </c>
      <c r="M6" s="13">
        <v>15</v>
      </c>
    </row>
    <row r="7" spans="1:13" ht="18.75" x14ac:dyDescent="0.3">
      <c r="A7" s="3">
        <v>6</v>
      </c>
      <c r="B7" s="4" t="s">
        <v>27</v>
      </c>
      <c r="C7" s="4" t="s">
        <v>18</v>
      </c>
      <c r="D7" s="11">
        <f>SUM(1501+1503+1503+1491+1412)</f>
        <v>7410</v>
      </c>
      <c r="E7" s="11">
        <f>SUM(125+90+100+97+76)</f>
        <v>488</v>
      </c>
      <c r="F7" s="12">
        <f t="shared" si="0"/>
        <v>15.184426229508198</v>
      </c>
      <c r="G7" s="11">
        <v>5</v>
      </c>
      <c r="H7" s="11">
        <v>4</v>
      </c>
      <c r="I7" s="11"/>
      <c r="J7" s="11"/>
      <c r="K7" s="11">
        <v>1</v>
      </c>
      <c r="L7" s="11">
        <v>20.5</v>
      </c>
      <c r="M7" s="13">
        <v>5</v>
      </c>
    </row>
    <row r="8" spans="1:13" ht="18.75" x14ac:dyDescent="0.3">
      <c r="A8" s="3">
        <v>7</v>
      </c>
      <c r="B8" s="15" t="s">
        <v>32</v>
      </c>
      <c r="C8" s="4" t="s">
        <v>33</v>
      </c>
      <c r="D8" s="11">
        <f>SUM(1463+1440+1348+1483+1155+1501)</f>
        <v>8390</v>
      </c>
      <c r="E8" s="11">
        <f>SUM(87+90+90+101+80+109)</f>
        <v>557</v>
      </c>
      <c r="F8" s="12">
        <f t="shared" si="0"/>
        <v>15.062836624775583</v>
      </c>
      <c r="G8" s="11">
        <v>6</v>
      </c>
      <c r="H8" s="11">
        <v>4</v>
      </c>
      <c r="I8" s="11"/>
      <c r="J8" s="11"/>
      <c r="K8" s="11"/>
      <c r="L8" s="11">
        <v>17.5</v>
      </c>
      <c r="M8" s="13">
        <v>20</v>
      </c>
    </row>
    <row r="9" spans="1:13" ht="18.75" x14ac:dyDescent="0.3">
      <c r="A9" s="3">
        <v>8</v>
      </c>
      <c r="B9" s="4" t="s">
        <v>94</v>
      </c>
      <c r="C9" s="4" t="s">
        <v>92</v>
      </c>
      <c r="D9" s="11">
        <f>SUM(1503+1473+1444+1426)</f>
        <v>5846</v>
      </c>
      <c r="E9" s="11">
        <f>SUM(115+100+87+93)</f>
        <v>395</v>
      </c>
      <c r="F9" s="12">
        <f t="shared" si="0"/>
        <v>14.8</v>
      </c>
      <c r="G9" s="11">
        <v>4</v>
      </c>
      <c r="H9" s="11">
        <v>3</v>
      </c>
      <c r="I9" s="11"/>
      <c r="J9" s="11"/>
      <c r="K9" s="11"/>
      <c r="L9" s="11">
        <v>11</v>
      </c>
      <c r="M9" s="13"/>
    </row>
    <row r="10" spans="1:13" ht="18.75" x14ac:dyDescent="0.3">
      <c r="A10" s="3">
        <v>9</v>
      </c>
      <c r="B10" s="4" t="s">
        <v>42</v>
      </c>
      <c r="C10" s="4" t="s">
        <v>16</v>
      </c>
      <c r="D10" s="11">
        <f>SUM(1305+1155+1497+1433+1488+1439)</f>
        <v>8317</v>
      </c>
      <c r="E10" s="11">
        <f>SUM(82+73+109+98+104+100)</f>
        <v>566</v>
      </c>
      <c r="F10" s="12">
        <f t="shared" si="0"/>
        <v>14.69434628975265</v>
      </c>
      <c r="G10" s="11">
        <v>6</v>
      </c>
      <c r="H10" s="11">
        <v>4</v>
      </c>
      <c r="I10" s="11"/>
      <c r="J10" s="11"/>
      <c r="K10" s="11"/>
      <c r="L10" s="11">
        <v>22.5</v>
      </c>
      <c r="M10" s="13"/>
    </row>
    <row r="11" spans="1:13" ht="18.75" x14ac:dyDescent="0.3">
      <c r="A11" s="3">
        <v>10</v>
      </c>
      <c r="B11" s="4" t="s">
        <v>26</v>
      </c>
      <c r="C11" s="4" t="s">
        <v>12</v>
      </c>
      <c r="D11" s="11">
        <f>SUM(1124+1503+1455+1463+1431)</f>
        <v>6976</v>
      </c>
      <c r="E11" s="11">
        <f>SUM(81+82+115+97+102)</f>
        <v>477</v>
      </c>
      <c r="F11" s="12">
        <f t="shared" si="0"/>
        <v>14.624737945492662</v>
      </c>
      <c r="G11" s="11">
        <v>5</v>
      </c>
      <c r="H11" s="11">
        <v>2</v>
      </c>
      <c r="I11" s="11"/>
      <c r="J11" s="11">
        <v>1</v>
      </c>
      <c r="K11" s="11"/>
      <c r="L11" s="11">
        <v>13.5</v>
      </c>
      <c r="M11" s="13">
        <v>5</v>
      </c>
    </row>
    <row r="12" spans="1:13" ht="18.75" x14ac:dyDescent="0.3">
      <c r="A12" s="3">
        <v>11</v>
      </c>
      <c r="B12" s="15" t="s">
        <v>65</v>
      </c>
      <c r="C12" s="4" t="s">
        <v>28</v>
      </c>
      <c r="D12" s="11">
        <f>SUM(1501+1463+1503+1285+1296)</f>
        <v>7048</v>
      </c>
      <c r="E12" s="11">
        <f>SUM(113+99+115+86+72)</f>
        <v>485</v>
      </c>
      <c r="F12" s="12">
        <f t="shared" si="0"/>
        <v>14.531958762886598</v>
      </c>
      <c r="G12" s="11">
        <v>5</v>
      </c>
      <c r="H12" s="11">
        <v>2</v>
      </c>
      <c r="I12" s="11"/>
      <c r="J12" s="11"/>
      <c r="K12" s="11"/>
      <c r="L12" s="11">
        <v>14.5</v>
      </c>
      <c r="M12" s="13">
        <v>5</v>
      </c>
    </row>
    <row r="13" spans="1:13" ht="18.75" x14ac:dyDescent="0.3">
      <c r="A13" s="3">
        <v>12</v>
      </c>
      <c r="B13" s="3" t="s">
        <v>17</v>
      </c>
      <c r="C13" s="4" t="s">
        <v>18</v>
      </c>
      <c r="D13" s="11">
        <f>SUM(1503+1238+1475+1503+1447+1455)</f>
        <v>8621</v>
      </c>
      <c r="E13" s="11">
        <f>SUM(101+96+104+93+109+100)</f>
        <v>603</v>
      </c>
      <c r="F13" s="12">
        <f t="shared" si="0"/>
        <v>14.296849087893865</v>
      </c>
      <c r="G13" s="11">
        <v>6</v>
      </c>
      <c r="H13" s="11">
        <v>2</v>
      </c>
      <c r="I13" s="11"/>
      <c r="J13" s="11"/>
      <c r="K13" s="11"/>
      <c r="L13" s="11">
        <v>18</v>
      </c>
      <c r="M13" s="13"/>
    </row>
    <row r="14" spans="1:13" ht="18.75" x14ac:dyDescent="0.3">
      <c r="A14" s="3">
        <v>13</v>
      </c>
      <c r="B14" s="3" t="s">
        <v>21</v>
      </c>
      <c r="C14" s="4" t="s">
        <v>22</v>
      </c>
      <c r="D14" s="11">
        <f>SUM(1399+1503+1274+1463+1443+1165)</f>
        <v>8247</v>
      </c>
      <c r="E14" s="11">
        <f>SUM(82+109+87+114+103+86)</f>
        <v>581</v>
      </c>
      <c r="F14" s="12">
        <f t="shared" si="0"/>
        <v>14.194492254733218</v>
      </c>
      <c r="G14" s="11">
        <v>6</v>
      </c>
      <c r="H14" s="11">
        <v>2</v>
      </c>
      <c r="I14" s="11"/>
      <c r="J14" s="11"/>
      <c r="K14" s="11"/>
      <c r="L14" s="11">
        <v>19.5</v>
      </c>
      <c r="M14" s="13"/>
    </row>
    <row r="15" spans="1:13" ht="18.75" x14ac:dyDescent="0.3">
      <c r="A15" s="3">
        <v>14</v>
      </c>
      <c r="B15" s="15" t="s">
        <v>81</v>
      </c>
      <c r="C15" s="7" t="s">
        <v>88</v>
      </c>
      <c r="D15" s="11">
        <f>SUM(1431+1330+1465+1356+1495+1483)</f>
        <v>8560</v>
      </c>
      <c r="E15" s="11">
        <f>SUM(111+103+105+76+116+100)</f>
        <v>611</v>
      </c>
      <c r="F15" s="12">
        <f t="shared" si="0"/>
        <v>14.009819967266775</v>
      </c>
      <c r="G15" s="11">
        <v>6</v>
      </c>
      <c r="H15" s="11">
        <v>3</v>
      </c>
      <c r="I15" s="11"/>
      <c r="J15" s="11"/>
      <c r="K15" s="11"/>
      <c r="L15" s="11">
        <v>17</v>
      </c>
      <c r="M15" s="13"/>
    </row>
    <row r="16" spans="1:13" ht="18.75" x14ac:dyDescent="0.3">
      <c r="A16" s="3">
        <v>15</v>
      </c>
      <c r="B16" s="15" t="s">
        <v>66</v>
      </c>
      <c r="C16" s="4" t="s">
        <v>28</v>
      </c>
      <c r="D16" s="11">
        <f>SUM(1423+1499+1489+1368+1469+1306)</f>
        <v>8554</v>
      </c>
      <c r="E16" s="11">
        <f>SUM(103+114+104+113+102+86)</f>
        <v>622</v>
      </c>
      <c r="F16" s="12">
        <f t="shared" si="0"/>
        <v>13.7524115755627</v>
      </c>
      <c r="G16" s="11">
        <v>6</v>
      </c>
      <c r="H16" s="11">
        <v>6</v>
      </c>
      <c r="I16" s="11"/>
      <c r="J16" s="11"/>
      <c r="K16" s="11">
        <v>1</v>
      </c>
      <c r="L16" s="11">
        <v>20.5</v>
      </c>
      <c r="M16" s="13"/>
    </row>
    <row r="17" spans="1:13" ht="18.75" x14ac:dyDescent="0.3">
      <c r="A17" s="3">
        <v>16</v>
      </c>
      <c r="B17" s="3" t="s">
        <v>34</v>
      </c>
      <c r="C17" s="4" t="s">
        <v>22</v>
      </c>
      <c r="D17" s="11">
        <f>SUM(1385+1499+1356+1205+1499+1449)</f>
        <v>8393</v>
      </c>
      <c r="E17" s="11">
        <f>SUM(79+109+82+81+141+120)</f>
        <v>612</v>
      </c>
      <c r="F17" s="12">
        <f t="shared" si="0"/>
        <v>13.714052287581699</v>
      </c>
      <c r="G17" s="11">
        <v>6</v>
      </c>
      <c r="H17" s="11">
        <v>3</v>
      </c>
      <c r="I17" s="11"/>
      <c r="J17" s="11"/>
      <c r="K17" s="11"/>
      <c r="L17" s="11">
        <v>20</v>
      </c>
      <c r="M17" s="13"/>
    </row>
    <row r="18" spans="1:13" ht="18.75" x14ac:dyDescent="0.3">
      <c r="A18" s="3">
        <v>17</v>
      </c>
      <c r="B18" s="15" t="s">
        <v>85</v>
      </c>
      <c r="C18" s="4" t="s">
        <v>92</v>
      </c>
      <c r="D18" s="11">
        <f>SUM(1503+1503+1471+1501+1469+1503)</f>
        <v>8950</v>
      </c>
      <c r="E18" s="11">
        <f>SUM(97+85+93+158+100+121)</f>
        <v>654</v>
      </c>
      <c r="F18" s="12">
        <f t="shared" si="0"/>
        <v>13.685015290519878</v>
      </c>
      <c r="G18" s="11">
        <v>6</v>
      </c>
      <c r="H18" s="11">
        <v>5</v>
      </c>
      <c r="I18" s="11">
        <v>1</v>
      </c>
      <c r="J18" s="11"/>
      <c r="K18" s="11"/>
      <c r="L18" s="11">
        <v>23</v>
      </c>
      <c r="M18" s="13"/>
    </row>
    <row r="19" spans="1:13" ht="18.75" x14ac:dyDescent="0.3">
      <c r="A19" s="3">
        <v>18</v>
      </c>
      <c r="B19" s="15" t="s">
        <v>31</v>
      </c>
      <c r="C19" s="4" t="s">
        <v>22</v>
      </c>
      <c r="D19" s="11">
        <f>SUM(1503+1285+1503+1425+1495+1503)</f>
        <v>8714</v>
      </c>
      <c r="E19" s="11">
        <f>SUM(109+111+88+114+109+111)</f>
        <v>642</v>
      </c>
      <c r="F19" s="12">
        <f t="shared" si="0"/>
        <v>13.573208722741432</v>
      </c>
      <c r="G19" s="11">
        <v>6</v>
      </c>
      <c r="H19" s="11">
        <v>4</v>
      </c>
      <c r="I19" s="11"/>
      <c r="J19" s="11"/>
      <c r="K19" s="11"/>
      <c r="L19" s="11">
        <v>20.5</v>
      </c>
      <c r="M19" s="13">
        <v>5</v>
      </c>
    </row>
    <row r="20" spans="1:13" ht="18.75" x14ac:dyDescent="0.3">
      <c r="A20" s="3">
        <v>19</v>
      </c>
      <c r="B20" s="4" t="s">
        <v>90</v>
      </c>
      <c r="C20" s="4" t="s">
        <v>12</v>
      </c>
      <c r="D20" s="11">
        <f>SUM(1503+1484+1456+1503+1447)</f>
        <v>7393</v>
      </c>
      <c r="E20" s="11">
        <f>SUM(116+103+94+129+108)</f>
        <v>550</v>
      </c>
      <c r="F20" s="12">
        <f t="shared" si="0"/>
        <v>13.441818181818181</v>
      </c>
      <c r="G20" s="11">
        <v>5</v>
      </c>
      <c r="H20" s="11">
        <v>3</v>
      </c>
      <c r="I20" s="11"/>
      <c r="J20" s="11"/>
      <c r="K20" s="11"/>
      <c r="L20" s="11">
        <v>18</v>
      </c>
      <c r="M20" s="13"/>
    </row>
    <row r="21" spans="1:13" ht="18.75" x14ac:dyDescent="0.3">
      <c r="A21" s="3">
        <v>20</v>
      </c>
      <c r="B21" s="15" t="s">
        <v>72</v>
      </c>
      <c r="C21" s="4" t="s">
        <v>16</v>
      </c>
      <c r="D21" s="11">
        <f>SUM(1373+1159+1501+1471+1503)</f>
        <v>7007</v>
      </c>
      <c r="E21" s="11">
        <f>SUM(111+99+117+102+95)</f>
        <v>524</v>
      </c>
      <c r="F21" s="12">
        <f t="shared" si="0"/>
        <v>13.372137404580153</v>
      </c>
      <c r="G21" s="11">
        <v>5</v>
      </c>
      <c r="H21" s="11">
        <v>3</v>
      </c>
      <c r="I21" s="11"/>
      <c r="J21" s="11"/>
      <c r="K21" s="11"/>
      <c r="L21" s="11">
        <v>11.5</v>
      </c>
      <c r="M21" s="13"/>
    </row>
    <row r="22" spans="1:13" ht="18.75" x14ac:dyDescent="0.3">
      <c r="A22" s="3">
        <v>21</v>
      </c>
      <c r="B22" s="15" t="s">
        <v>70</v>
      </c>
      <c r="C22" s="4" t="s">
        <v>14</v>
      </c>
      <c r="D22" s="11">
        <f>SUM(1497+1503+1455+1503+1487+1463)</f>
        <v>8908</v>
      </c>
      <c r="E22" s="11">
        <f>SUM(119+89+126+118+133+86)</f>
        <v>671</v>
      </c>
      <c r="F22" s="12">
        <f t="shared" si="0"/>
        <v>13.275707898658718</v>
      </c>
      <c r="G22" s="11">
        <v>6</v>
      </c>
      <c r="H22" s="11">
        <v>5</v>
      </c>
      <c r="I22" s="11"/>
      <c r="J22" s="11"/>
      <c r="K22" s="11"/>
      <c r="L22" s="11">
        <v>26.5</v>
      </c>
      <c r="M22" s="13"/>
    </row>
    <row r="23" spans="1:13" ht="18.75" x14ac:dyDescent="0.3">
      <c r="A23" s="3">
        <v>22</v>
      </c>
      <c r="B23" s="4" t="s">
        <v>41</v>
      </c>
      <c r="C23" s="4" t="s">
        <v>33</v>
      </c>
      <c r="D23" s="11">
        <f>SUM(1263+1432+1503+1311+1403+1503)</f>
        <v>8415</v>
      </c>
      <c r="E23" s="11">
        <f>SUM(96+111+111+126+84+109)</f>
        <v>637</v>
      </c>
      <c r="F23" s="12">
        <f t="shared" si="0"/>
        <v>13.210361067503925</v>
      </c>
      <c r="G23" s="11">
        <v>6</v>
      </c>
      <c r="H23" s="11">
        <v>3</v>
      </c>
      <c r="I23" s="11"/>
      <c r="J23" s="11"/>
      <c r="K23" s="11"/>
      <c r="L23" s="11">
        <v>16.5</v>
      </c>
      <c r="M23" s="13"/>
    </row>
    <row r="24" spans="1:13" ht="18.75" x14ac:dyDescent="0.3">
      <c r="A24" s="3">
        <v>23</v>
      </c>
      <c r="B24" s="4" t="s">
        <v>24</v>
      </c>
      <c r="C24" s="7" t="s">
        <v>22</v>
      </c>
      <c r="D24" s="11">
        <f>SUM(1465+1469+1456+1497+1481+1470)</f>
        <v>8838</v>
      </c>
      <c r="E24" s="11">
        <f>SUM(109+117+124+101+127+93)</f>
        <v>671</v>
      </c>
      <c r="F24" s="12">
        <f t="shared" si="0"/>
        <v>13.171385991058122</v>
      </c>
      <c r="G24" s="11">
        <v>6</v>
      </c>
      <c r="H24" s="11">
        <v>2</v>
      </c>
      <c r="I24" s="11"/>
      <c r="J24" s="11"/>
      <c r="K24" s="11"/>
      <c r="L24" s="11">
        <v>19</v>
      </c>
      <c r="M24" s="13"/>
    </row>
    <row r="25" spans="1:13" ht="18.75" x14ac:dyDescent="0.3">
      <c r="A25" s="3">
        <v>24</v>
      </c>
      <c r="B25" s="4" t="s">
        <v>29</v>
      </c>
      <c r="C25" s="4" t="s">
        <v>12</v>
      </c>
      <c r="D25" s="11">
        <f>SUM(1228+1398+1503+1422+1503+1501)</f>
        <v>8555</v>
      </c>
      <c r="E25" s="11">
        <f>SUM(90+96+119+100+121+136)</f>
        <v>662</v>
      </c>
      <c r="F25" s="12">
        <f t="shared" si="0"/>
        <v>12.922960725075528</v>
      </c>
      <c r="G25" s="11">
        <v>6</v>
      </c>
      <c r="H25" s="11">
        <v>3</v>
      </c>
      <c r="I25" s="11"/>
      <c r="J25" s="11"/>
      <c r="K25" s="11"/>
      <c r="L25" s="11">
        <v>20.5</v>
      </c>
      <c r="M25" s="13"/>
    </row>
    <row r="26" spans="1:13" ht="18.75" x14ac:dyDescent="0.3">
      <c r="A26" s="3">
        <v>25</v>
      </c>
      <c r="B26" s="9" t="s">
        <v>73</v>
      </c>
      <c r="C26" s="4" t="s">
        <v>12</v>
      </c>
      <c r="D26" s="11">
        <f>SUM(1409+1503)</f>
        <v>2912</v>
      </c>
      <c r="E26" s="11">
        <f>SUM(119+107)</f>
        <v>226</v>
      </c>
      <c r="F26" s="12">
        <f t="shared" si="0"/>
        <v>12.88495575221239</v>
      </c>
      <c r="G26" s="11">
        <v>2</v>
      </c>
      <c r="H26" s="11">
        <v>1</v>
      </c>
      <c r="I26" s="11"/>
      <c r="J26" s="11"/>
      <c r="K26" s="11"/>
      <c r="L26" s="11">
        <v>6.5</v>
      </c>
      <c r="M26" s="13"/>
    </row>
    <row r="27" spans="1:13" ht="18.75" x14ac:dyDescent="0.3">
      <c r="A27" s="3">
        <v>26</v>
      </c>
      <c r="B27" s="9" t="s">
        <v>82</v>
      </c>
      <c r="C27" s="4" t="s">
        <v>88</v>
      </c>
      <c r="D27" s="11">
        <f>SUM(1451+1138+1313+1427+1430)</f>
        <v>6759</v>
      </c>
      <c r="E27" s="11">
        <f>SUM(115+81+108+114+112)</f>
        <v>530</v>
      </c>
      <c r="F27" s="12">
        <f t="shared" si="0"/>
        <v>12.752830188679246</v>
      </c>
      <c r="G27" s="11">
        <v>5</v>
      </c>
      <c r="H27" s="11">
        <v>3</v>
      </c>
      <c r="I27" s="11"/>
      <c r="J27" s="11"/>
      <c r="K27" s="11"/>
      <c r="L27" s="11">
        <v>13</v>
      </c>
      <c r="M27" s="13"/>
    </row>
    <row r="28" spans="1:13" ht="18.75" x14ac:dyDescent="0.3">
      <c r="A28" s="3">
        <v>27</v>
      </c>
      <c r="B28" s="7" t="s">
        <v>79</v>
      </c>
      <c r="C28" s="4" t="s">
        <v>88</v>
      </c>
      <c r="D28" s="11">
        <f>SUM(1393+1406+1309+1237+1494+1503)</f>
        <v>8342</v>
      </c>
      <c r="E28" s="11">
        <f>SUM(111+98+89+99+156+103)</f>
        <v>656</v>
      </c>
      <c r="F28" s="12">
        <f t="shared" si="0"/>
        <v>12.716463414634147</v>
      </c>
      <c r="G28" s="11">
        <v>6</v>
      </c>
      <c r="H28" s="11">
        <v>3</v>
      </c>
      <c r="I28" s="11"/>
      <c r="J28" s="11"/>
      <c r="K28" s="11"/>
      <c r="L28" s="11">
        <v>16.5</v>
      </c>
      <c r="M28" s="13">
        <v>5</v>
      </c>
    </row>
    <row r="29" spans="1:13" ht="18.75" x14ac:dyDescent="0.3">
      <c r="A29" s="3">
        <v>28</v>
      </c>
      <c r="B29" s="7" t="s">
        <v>30</v>
      </c>
      <c r="C29" s="4" t="s">
        <v>67</v>
      </c>
      <c r="D29" s="11">
        <f>SUM(1467+1499+1403+1499+1276+1487)</f>
        <v>8631</v>
      </c>
      <c r="E29" s="11">
        <f>SUM(129+121+106+120+102+101)</f>
        <v>679</v>
      </c>
      <c r="F29" s="12">
        <f t="shared" si="0"/>
        <v>12.711340206185566</v>
      </c>
      <c r="G29" s="11">
        <v>6</v>
      </c>
      <c r="H29" s="11">
        <v>4</v>
      </c>
      <c r="I29" s="11"/>
      <c r="J29" s="11"/>
      <c r="K29" s="11"/>
      <c r="L29" s="11">
        <v>16</v>
      </c>
      <c r="M29" s="13">
        <v>5</v>
      </c>
    </row>
    <row r="30" spans="1:13" ht="18.75" x14ac:dyDescent="0.3">
      <c r="A30" s="3">
        <v>29</v>
      </c>
      <c r="B30" s="9" t="s">
        <v>64</v>
      </c>
      <c r="C30" s="4" t="s">
        <v>28</v>
      </c>
      <c r="D30" s="11">
        <f>SUM(1424+1501+1501+1473+1429+1406)</f>
        <v>8734</v>
      </c>
      <c r="E30" s="11">
        <f>SUM(90+147+123+91+148+90)</f>
        <v>689</v>
      </c>
      <c r="F30" s="12">
        <f t="shared" si="0"/>
        <v>12.676342525399129</v>
      </c>
      <c r="G30" s="11">
        <v>6</v>
      </c>
      <c r="H30" s="11">
        <v>4</v>
      </c>
      <c r="I30" s="11"/>
      <c r="J30" s="11"/>
      <c r="K30" s="11"/>
      <c r="L30" s="11">
        <v>19.5</v>
      </c>
      <c r="M30" s="13"/>
    </row>
    <row r="31" spans="1:13" ht="18.75" x14ac:dyDescent="0.3">
      <c r="A31" s="3">
        <v>30</v>
      </c>
      <c r="B31" s="7" t="s">
        <v>25</v>
      </c>
      <c r="C31" s="4" t="s">
        <v>14</v>
      </c>
      <c r="D31" s="11">
        <f>SUM(1081+1364)</f>
        <v>2445</v>
      </c>
      <c r="E31" s="11">
        <f>SUM(81+113)</f>
        <v>194</v>
      </c>
      <c r="F31" s="12">
        <f t="shared" si="0"/>
        <v>12.603092783505154</v>
      </c>
      <c r="G31" s="11">
        <v>2</v>
      </c>
      <c r="H31" s="11"/>
      <c r="I31" s="11"/>
      <c r="J31" s="11"/>
      <c r="K31" s="11"/>
      <c r="L31" s="11">
        <v>2</v>
      </c>
      <c r="M31" s="13"/>
    </row>
    <row r="32" spans="1:13" ht="18.75" x14ac:dyDescent="0.3">
      <c r="A32" s="3">
        <v>31</v>
      </c>
      <c r="B32" s="53" t="s">
        <v>84</v>
      </c>
      <c r="C32" s="8" t="s">
        <v>92</v>
      </c>
      <c r="D32" s="11">
        <f>SUM(1385+1489+1228+1410+1447)</f>
        <v>6959</v>
      </c>
      <c r="E32" s="11">
        <f>SUM(107+126+87+126+108)</f>
        <v>554</v>
      </c>
      <c r="F32" s="12">
        <f t="shared" si="0"/>
        <v>12.561371841155236</v>
      </c>
      <c r="G32" s="11">
        <v>5</v>
      </c>
      <c r="H32" s="11"/>
      <c r="I32" s="11"/>
      <c r="J32" s="11"/>
      <c r="K32" s="11"/>
      <c r="L32" s="11">
        <v>5</v>
      </c>
      <c r="M32" s="13"/>
    </row>
    <row r="33" spans="1:13" ht="18.75" x14ac:dyDescent="0.3">
      <c r="A33" s="3">
        <v>32</v>
      </c>
      <c r="B33" s="7" t="s">
        <v>20</v>
      </c>
      <c r="C33" s="7" t="s">
        <v>16</v>
      </c>
      <c r="D33" s="11">
        <f>SUM(1316+1259+1404+1356+1498)</f>
        <v>6833</v>
      </c>
      <c r="E33" s="11">
        <f>SUM(107+90+101+97+152)</f>
        <v>547</v>
      </c>
      <c r="F33" s="12">
        <f t="shared" si="0"/>
        <v>12.491773308957953</v>
      </c>
      <c r="G33" s="11">
        <v>5</v>
      </c>
      <c r="H33" s="11">
        <v>1</v>
      </c>
      <c r="I33" s="11"/>
      <c r="J33" s="11"/>
      <c r="K33" s="11"/>
      <c r="L33" s="11">
        <v>13</v>
      </c>
      <c r="M33" s="13"/>
    </row>
    <row r="34" spans="1:13" ht="18.75" x14ac:dyDescent="0.3">
      <c r="A34" s="3">
        <v>33</v>
      </c>
      <c r="B34" s="16" t="s">
        <v>99</v>
      </c>
      <c r="C34" s="7" t="s">
        <v>16</v>
      </c>
      <c r="D34" s="11">
        <f>SUM(1286)</f>
        <v>1286</v>
      </c>
      <c r="E34" s="11">
        <f>SUM(104)</f>
        <v>104</v>
      </c>
      <c r="F34" s="12">
        <f t="shared" ref="F34:F65" si="1">SUM(D34/E34)</f>
        <v>12.365384615384615</v>
      </c>
      <c r="G34" s="11">
        <v>1</v>
      </c>
      <c r="H34" s="11"/>
      <c r="I34" s="11"/>
      <c r="J34" s="11"/>
      <c r="K34" s="11"/>
      <c r="L34" s="11">
        <v>4</v>
      </c>
      <c r="M34" s="13"/>
    </row>
    <row r="35" spans="1:13" ht="18.75" x14ac:dyDescent="0.3">
      <c r="A35" s="3">
        <v>34</v>
      </c>
      <c r="B35" s="15" t="s">
        <v>35</v>
      </c>
      <c r="C35" s="4" t="s">
        <v>28</v>
      </c>
      <c r="D35" s="11">
        <f>SUM(1315+1435+1406+1490+1393+1184)</f>
        <v>8223</v>
      </c>
      <c r="E35" s="11">
        <f>SUM(90+109+99+157+128+86)</f>
        <v>669</v>
      </c>
      <c r="F35" s="12">
        <f t="shared" si="1"/>
        <v>12.291479820627803</v>
      </c>
      <c r="G35" s="11">
        <v>6</v>
      </c>
      <c r="H35" s="11">
        <v>4</v>
      </c>
      <c r="I35" s="11"/>
      <c r="J35" s="11"/>
      <c r="K35" s="11"/>
      <c r="L35" s="11">
        <v>16.5</v>
      </c>
      <c r="M35" s="13"/>
    </row>
    <row r="36" spans="1:13" ht="18.75" x14ac:dyDescent="0.3">
      <c r="A36" s="3">
        <v>35</v>
      </c>
      <c r="B36" s="16" t="s">
        <v>78</v>
      </c>
      <c r="C36" s="4" t="s">
        <v>18</v>
      </c>
      <c r="D36" s="11">
        <f>SUM(1503+1488+1478+1211)</f>
        <v>5680</v>
      </c>
      <c r="E36" s="11">
        <f>SUM(102+160+117+90)</f>
        <v>469</v>
      </c>
      <c r="F36" s="12">
        <f t="shared" si="1"/>
        <v>12.110874200426439</v>
      </c>
      <c r="G36" s="11">
        <v>4</v>
      </c>
      <c r="H36" s="11">
        <v>1</v>
      </c>
      <c r="I36" s="11"/>
      <c r="J36" s="11"/>
      <c r="K36" s="11"/>
      <c r="L36" s="11">
        <v>8.5</v>
      </c>
      <c r="M36" s="13"/>
    </row>
    <row r="37" spans="1:13" ht="18.75" x14ac:dyDescent="0.3">
      <c r="A37" s="3">
        <v>36</v>
      </c>
      <c r="B37" s="10" t="s">
        <v>43</v>
      </c>
      <c r="C37" s="7" t="s">
        <v>18</v>
      </c>
      <c r="D37" s="11">
        <f>SUM(1503+1503+1497+1499)</f>
        <v>6002</v>
      </c>
      <c r="E37" s="11">
        <f>SUM(133+134+132+103)</f>
        <v>502</v>
      </c>
      <c r="F37" s="12">
        <f t="shared" si="1"/>
        <v>11.95617529880478</v>
      </c>
      <c r="G37" s="11">
        <v>4</v>
      </c>
      <c r="H37" s="11">
        <v>4</v>
      </c>
      <c r="I37" s="11"/>
      <c r="J37" s="11"/>
      <c r="K37" s="11"/>
      <c r="L37" s="11">
        <v>19.5</v>
      </c>
      <c r="M37" s="13"/>
    </row>
    <row r="38" spans="1:13" ht="18.75" x14ac:dyDescent="0.3">
      <c r="A38" s="3">
        <v>37</v>
      </c>
      <c r="B38" s="16" t="s">
        <v>91</v>
      </c>
      <c r="C38" s="7" t="s">
        <v>88</v>
      </c>
      <c r="D38" s="11">
        <f>SUM(1344+1443+1351+1475+1447)</f>
        <v>7060</v>
      </c>
      <c r="E38" s="11">
        <f>SUM(108+114+117+134+119)</f>
        <v>592</v>
      </c>
      <c r="F38" s="12">
        <f t="shared" si="1"/>
        <v>11.925675675675675</v>
      </c>
      <c r="G38" s="11">
        <v>5</v>
      </c>
      <c r="H38" s="11">
        <v>1</v>
      </c>
      <c r="I38" s="11"/>
      <c r="J38" s="11"/>
      <c r="K38" s="11"/>
      <c r="L38" s="11">
        <v>10.5</v>
      </c>
      <c r="M38" s="13"/>
    </row>
    <row r="39" spans="1:13" ht="18.75" x14ac:dyDescent="0.3">
      <c r="A39" s="3">
        <v>38</v>
      </c>
      <c r="B39" s="16" t="s">
        <v>38</v>
      </c>
      <c r="C39" s="7" t="s">
        <v>67</v>
      </c>
      <c r="D39" s="11">
        <f>SUM(1218+1106+1372+1315+1297+1210)</f>
        <v>7518</v>
      </c>
      <c r="E39" s="11">
        <f>SUM(96+84+120+102+141+96)</f>
        <v>639</v>
      </c>
      <c r="F39" s="12">
        <f t="shared" si="1"/>
        <v>11.765258215962442</v>
      </c>
      <c r="G39" s="11">
        <v>6</v>
      </c>
      <c r="H39" s="11"/>
      <c r="I39" s="11"/>
      <c r="J39" s="11"/>
      <c r="K39" s="11"/>
      <c r="L39" s="11">
        <v>8</v>
      </c>
      <c r="M39" s="13"/>
    </row>
    <row r="40" spans="1:13" ht="18.75" x14ac:dyDescent="0.3">
      <c r="A40" s="3">
        <v>39</v>
      </c>
      <c r="B40" s="10" t="s">
        <v>39</v>
      </c>
      <c r="C40" s="7" t="s">
        <v>92</v>
      </c>
      <c r="D40" s="11">
        <f>SUM(1214+1381+1209+1331+1260+1475)</f>
        <v>7870</v>
      </c>
      <c r="E40" s="11">
        <f>SUM(116+115+105+126+116+93)</f>
        <v>671</v>
      </c>
      <c r="F40" s="12">
        <f t="shared" si="1"/>
        <v>11.72876304023845</v>
      </c>
      <c r="G40" s="11">
        <v>6</v>
      </c>
      <c r="H40" s="11"/>
      <c r="I40" s="11"/>
      <c r="J40" s="11"/>
      <c r="K40" s="11"/>
      <c r="L40" s="11">
        <v>9</v>
      </c>
      <c r="M40" s="13"/>
    </row>
    <row r="41" spans="1:13" ht="18.75" x14ac:dyDescent="0.3">
      <c r="A41" s="3">
        <v>40</v>
      </c>
      <c r="B41" s="10" t="s">
        <v>96</v>
      </c>
      <c r="C41" s="7" t="s">
        <v>16</v>
      </c>
      <c r="D41" s="11">
        <f>SUM(1499)</f>
        <v>1499</v>
      </c>
      <c r="E41" s="11">
        <f>SUM(128)</f>
        <v>128</v>
      </c>
      <c r="F41" s="12">
        <f t="shared" si="1"/>
        <v>11.7109375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3" ht="18.75" x14ac:dyDescent="0.3">
      <c r="A42" s="3">
        <v>41</v>
      </c>
      <c r="B42" s="10" t="s">
        <v>40</v>
      </c>
      <c r="C42" s="7" t="s">
        <v>33</v>
      </c>
      <c r="D42" s="11">
        <f>SUM(1397+971+1477+1493+1123+1483)</f>
        <v>7944</v>
      </c>
      <c r="E42" s="11">
        <f>SUM(109+84+128+136+89+135)</f>
        <v>681</v>
      </c>
      <c r="F42" s="12">
        <f t="shared" si="1"/>
        <v>11.665198237885463</v>
      </c>
      <c r="G42" s="11">
        <v>6</v>
      </c>
      <c r="H42" s="11"/>
      <c r="I42" s="11"/>
      <c r="J42" s="11"/>
      <c r="K42" s="11"/>
      <c r="L42" s="11">
        <v>12</v>
      </c>
      <c r="M42" s="13"/>
    </row>
    <row r="43" spans="1:13" ht="18.75" x14ac:dyDescent="0.3">
      <c r="A43" s="3">
        <v>42</v>
      </c>
      <c r="B43" s="52" t="s">
        <v>44</v>
      </c>
      <c r="C43" s="7" t="s">
        <v>67</v>
      </c>
      <c r="D43" s="11">
        <f>SUM(1252+1503+1201+1498+1182+1482)</f>
        <v>8118</v>
      </c>
      <c r="E43" s="11">
        <f>SUM(120+142+91+137+104+119)</f>
        <v>713</v>
      </c>
      <c r="F43" s="12">
        <f t="shared" si="1"/>
        <v>11.385694249649369</v>
      </c>
      <c r="G43" s="11">
        <v>6</v>
      </c>
      <c r="H43" s="11">
        <v>2</v>
      </c>
      <c r="I43" s="11"/>
      <c r="J43" s="11"/>
      <c r="K43" s="11"/>
      <c r="L43" s="11">
        <v>14.5</v>
      </c>
      <c r="M43" s="13">
        <v>5</v>
      </c>
    </row>
    <row r="44" spans="1:13" ht="18.75" x14ac:dyDescent="0.3">
      <c r="A44" s="3">
        <v>43</v>
      </c>
      <c r="B44" s="15" t="s">
        <v>89</v>
      </c>
      <c r="C44" s="7" t="s">
        <v>28</v>
      </c>
      <c r="D44" s="11">
        <f>SUM(1442)</f>
        <v>1442</v>
      </c>
      <c r="E44" s="11">
        <f>SUM(129)</f>
        <v>129</v>
      </c>
      <c r="F44" s="12">
        <f t="shared" si="1"/>
        <v>11.178294573643411</v>
      </c>
      <c r="G44" s="11">
        <v>1</v>
      </c>
      <c r="H44" s="11"/>
      <c r="I44" s="11"/>
      <c r="J44" s="11"/>
      <c r="K44" s="11"/>
      <c r="L44" s="11">
        <v>1</v>
      </c>
      <c r="M44" s="13"/>
    </row>
    <row r="45" spans="1:13" ht="18.75" x14ac:dyDescent="0.3">
      <c r="A45" s="3">
        <v>44</v>
      </c>
      <c r="B45" s="4" t="s">
        <v>36</v>
      </c>
      <c r="C45" s="4" t="s">
        <v>33</v>
      </c>
      <c r="D45" s="11">
        <f>SUM(1232)</f>
        <v>1232</v>
      </c>
      <c r="E45" s="11">
        <f>SUM(111)</f>
        <v>111</v>
      </c>
      <c r="F45" s="12">
        <f t="shared" si="1"/>
        <v>11.099099099099099</v>
      </c>
      <c r="G45" s="11">
        <v>1</v>
      </c>
      <c r="H45" s="11"/>
      <c r="I45" s="11"/>
      <c r="J45" s="11"/>
      <c r="K45" s="11"/>
      <c r="L45" s="11">
        <v>4</v>
      </c>
      <c r="M45" s="13"/>
    </row>
    <row r="46" spans="1:13" ht="18.75" x14ac:dyDescent="0.3">
      <c r="A46" s="3">
        <v>45</v>
      </c>
      <c r="B46" s="15" t="s">
        <v>71</v>
      </c>
      <c r="C46" s="4" t="s">
        <v>18</v>
      </c>
      <c r="D46" s="11">
        <f>SUM(1487+1277+1280+1499+1476)</f>
        <v>7019</v>
      </c>
      <c r="E46" s="11">
        <f>SUM(122+115+117+128+151)</f>
        <v>633</v>
      </c>
      <c r="F46" s="12">
        <f t="shared" si="1"/>
        <v>11.088467614533965</v>
      </c>
      <c r="G46" s="11">
        <v>5</v>
      </c>
      <c r="H46" s="11">
        <v>2</v>
      </c>
      <c r="I46" s="11"/>
      <c r="J46" s="11"/>
      <c r="K46" s="11"/>
      <c r="L46" s="11">
        <v>15.5</v>
      </c>
      <c r="M46" s="13"/>
    </row>
    <row r="47" spans="1:13" ht="18.75" x14ac:dyDescent="0.3">
      <c r="A47" s="3">
        <v>46</v>
      </c>
      <c r="B47" s="4" t="s">
        <v>83</v>
      </c>
      <c r="C47" s="8" t="s">
        <v>92</v>
      </c>
      <c r="D47" s="11">
        <f>SUM(1448+1487+1481)</f>
        <v>4416</v>
      </c>
      <c r="E47" s="11">
        <f>SUM(144+138+128)</f>
        <v>410</v>
      </c>
      <c r="F47" s="12">
        <f t="shared" si="1"/>
        <v>10.770731707317074</v>
      </c>
      <c r="G47" s="11">
        <v>3</v>
      </c>
      <c r="H47" s="11">
        <v>1</v>
      </c>
      <c r="I47" s="11"/>
      <c r="J47" s="11"/>
      <c r="K47" s="11"/>
      <c r="L47" s="11">
        <v>7</v>
      </c>
      <c r="M47" s="13"/>
    </row>
    <row r="48" spans="1:13" ht="18.75" x14ac:dyDescent="0.3">
      <c r="A48" s="3">
        <v>47</v>
      </c>
      <c r="B48" s="4" t="s">
        <v>80</v>
      </c>
      <c r="C48" s="4" t="s">
        <v>88</v>
      </c>
      <c r="D48" s="11">
        <f>SUM(1219+1493)</f>
        <v>2712</v>
      </c>
      <c r="E48" s="11">
        <f>SUM(108+144)</f>
        <v>252</v>
      </c>
      <c r="F48" s="12">
        <f t="shared" si="1"/>
        <v>10.761904761904763</v>
      </c>
      <c r="G48" s="11">
        <v>2</v>
      </c>
      <c r="H48" s="11">
        <v>1</v>
      </c>
      <c r="I48" s="11"/>
      <c r="J48" s="11"/>
      <c r="K48" s="11"/>
      <c r="L48" s="11">
        <v>6</v>
      </c>
      <c r="M48" s="13">
        <v>10</v>
      </c>
    </row>
    <row r="49" spans="1:18" ht="18.75" x14ac:dyDescent="0.3">
      <c r="A49" s="3">
        <v>48</v>
      </c>
      <c r="B49" s="15" t="s">
        <v>68</v>
      </c>
      <c r="C49" s="4" t="s">
        <v>33</v>
      </c>
      <c r="D49" s="11">
        <f>SUM(1261+1230+1487+1434+1097)</f>
        <v>6509</v>
      </c>
      <c r="E49" s="11">
        <f>SUM(102+96+177+137+99)</f>
        <v>611</v>
      </c>
      <c r="F49" s="12">
        <f t="shared" si="1"/>
        <v>10.653027823240588</v>
      </c>
      <c r="G49" s="11">
        <v>4</v>
      </c>
      <c r="H49" s="11">
        <v>2</v>
      </c>
      <c r="I49" s="11"/>
      <c r="J49" s="11"/>
      <c r="K49" s="11"/>
      <c r="L49" s="11">
        <v>6</v>
      </c>
      <c r="M49" s="13"/>
    </row>
    <row r="50" spans="1:18" ht="18.75" x14ac:dyDescent="0.3">
      <c r="A50" s="3">
        <v>49</v>
      </c>
      <c r="B50" s="4" t="s">
        <v>37</v>
      </c>
      <c r="C50" s="4" t="s">
        <v>67</v>
      </c>
      <c r="D50" s="11">
        <f>SUM(1457+1503+1489+1479+1444)</f>
        <v>7372</v>
      </c>
      <c r="E50" s="11">
        <f>SUM(116+124+152+178+127)</f>
        <v>697</v>
      </c>
      <c r="F50" s="12">
        <f t="shared" si="1"/>
        <v>10.576757532281205</v>
      </c>
      <c r="G50" s="11">
        <v>5</v>
      </c>
      <c r="H50" s="11">
        <v>2</v>
      </c>
      <c r="I50" s="11"/>
      <c r="J50" s="11"/>
      <c r="K50" s="11"/>
      <c r="L50" s="11">
        <v>13.5</v>
      </c>
      <c r="M50" s="13"/>
    </row>
    <row r="51" spans="1:18" ht="18.75" x14ac:dyDescent="0.3">
      <c r="A51" s="3">
        <v>50</v>
      </c>
      <c r="B51" s="4" t="s">
        <v>75</v>
      </c>
      <c r="C51" s="4" t="s">
        <v>67</v>
      </c>
      <c r="D51" s="11">
        <f>SUM(1266)</f>
        <v>1266</v>
      </c>
      <c r="E51" s="11">
        <f>SUM(141)</f>
        <v>141</v>
      </c>
      <c r="F51" s="12">
        <f t="shared" si="1"/>
        <v>8.9787234042553195</v>
      </c>
      <c r="G51" s="11">
        <v>1</v>
      </c>
      <c r="H51" s="11"/>
      <c r="I51" s="11"/>
      <c r="J51" s="11"/>
      <c r="K51" s="11"/>
      <c r="L51" s="11">
        <v>3</v>
      </c>
      <c r="M51" s="13"/>
    </row>
    <row r="52" spans="1:18" ht="17.25" customHeight="1" thickBot="1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8" ht="19.5" customHeight="1" thickBot="1" x14ac:dyDescent="0.35">
      <c r="A53" s="5"/>
      <c r="B53" s="54" t="s">
        <v>97</v>
      </c>
      <c r="C53" s="51" t="s">
        <v>45</v>
      </c>
      <c r="D53" s="26" t="s">
        <v>46</v>
      </c>
      <c r="E53" s="27" t="s">
        <v>47</v>
      </c>
      <c r="F53" s="20" t="s">
        <v>63</v>
      </c>
      <c r="G53" s="28" t="s">
        <v>48</v>
      </c>
      <c r="I53" s="65" t="s">
        <v>49</v>
      </c>
      <c r="J53" s="66"/>
      <c r="K53" s="66"/>
      <c r="L53" s="66"/>
      <c r="M53" s="66"/>
      <c r="N53" s="66"/>
      <c r="O53" s="66"/>
      <c r="P53" s="66"/>
      <c r="Q53" s="66"/>
      <c r="R53" s="67"/>
    </row>
    <row r="54" spans="1:18" ht="18.75" x14ac:dyDescent="0.3">
      <c r="A54" s="5"/>
      <c r="B54" s="55"/>
      <c r="C54" s="17" t="s">
        <v>60</v>
      </c>
      <c r="D54" s="7">
        <v>6</v>
      </c>
      <c r="E54" s="21">
        <v>0</v>
      </c>
      <c r="F54" s="15"/>
      <c r="G54" s="22">
        <v>107</v>
      </c>
      <c r="I54" s="57" t="s">
        <v>50</v>
      </c>
      <c r="J54" s="58"/>
      <c r="K54" s="58"/>
      <c r="L54" s="58"/>
      <c r="M54" s="58"/>
      <c r="N54" s="68" t="s">
        <v>87</v>
      </c>
      <c r="O54" s="68"/>
      <c r="P54" s="68"/>
      <c r="Q54" s="68"/>
      <c r="R54" s="69"/>
    </row>
    <row r="55" spans="1:18" ht="18.75" x14ac:dyDescent="0.3">
      <c r="A55" s="5"/>
      <c r="B55" s="55"/>
      <c r="C55" s="17" t="s">
        <v>56</v>
      </c>
      <c r="D55" s="7">
        <v>5</v>
      </c>
      <c r="E55" s="21">
        <v>1</v>
      </c>
      <c r="F55" s="15"/>
      <c r="G55" s="22">
        <v>81</v>
      </c>
      <c r="I55" s="59" t="s">
        <v>52</v>
      </c>
      <c r="J55" s="60"/>
      <c r="K55" s="60"/>
      <c r="L55" s="60"/>
      <c r="M55" s="60"/>
      <c r="N55" s="70" t="s">
        <v>98</v>
      </c>
      <c r="O55" s="70"/>
      <c r="P55" s="70"/>
      <c r="Q55" s="70"/>
      <c r="R55" s="71"/>
    </row>
    <row r="56" spans="1:18" ht="18.75" x14ac:dyDescent="0.3">
      <c r="A56" s="5"/>
      <c r="B56" s="55"/>
      <c r="C56" s="17" t="s">
        <v>59</v>
      </c>
      <c r="D56" s="7">
        <v>4</v>
      </c>
      <c r="E56" s="16">
        <v>2</v>
      </c>
      <c r="F56" s="15"/>
      <c r="G56" s="17">
        <v>80</v>
      </c>
      <c r="I56" s="59" t="s">
        <v>54</v>
      </c>
      <c r="J56" s="60"/>
      <c r="K56" s="60"/>
      <c r="L56" s="60"/>
      <c r="M56" s="60"/>
      <c r="N56" s="70" t="s">
        <v>101</v>
      </c>
      <c r="O56" s="70"/>
      <c r="P56" s="70"/>
      <c r="Q56" s="70"/>
      <c r="R56" s="71"/>
    </row>
    <row r="57" spans="1:18" ht="18.75" x14ac:dyDescent="0.3">
      <c r="A57" s="6"/>
      <c r="B57" s="55"/>
      <c r="C57" s="17" t="s">
        <v>61</v>
      </c>
      <c r="D57" s="7">
        <v>4</v>
      </c>
      <c r="E57" s="21">
        <v>2</v>
      </c>
      <c r="F57" s="15"/>
      <c r="G57" s="22">
        <v>79</v>
      </c>
      <c r="I57" s="59" t="s">
        <v>55</v>
      </c>
      <c r="J57" s="60"/>
      <c r="K57" s="60"/>
      <c r="L57" s="60"/>
      <c r="M57" s="60"/>
      <c r="N57" s="70" t="s">
        <v>100</v>
      </c>
      <c r="O57" s="70"/>
      <c r="P57" s="70"/>
      <c r="Q57" s="70"/>
      <c r="R57" s="71"/>
    </row>
    <row r="58" spans="1:18" ht="18" customHeight="1" x14ac:dyDescent="0.3">
      <c r="A58" s="6"/>
      <c r="B58" s="55"/>
      <c r="C58" s="18" t="s">
        <v>62</v>
      </c>
      <c r="D58" s="9">
        <v>3</v>
      </c>
      <c r="E58" s="10">
        <v>3</v>
      </c>
      <c r="F58" s="15"/>
      <c r="G58" s="18">
        <v>72</v>
      </c>
      <c r="I58" s="59" t="s">
        <v>57</v>
      </c>
      <c r="J58" s="60"/>
      <c r="K58" s="60"/>
      <c r="L58" s="60"/>
      <c r="M58" s="60"/>
      <c r="N58" s="70" t="s">
        <v>95</v>
      </c>
      <c r="O58" s="70"/>
      <c r="P58" s="70"/>
      <c r="Q58" s="70"/>
      <c r="R58" s="71"/>
    </row>
    <row r="59" spans="1:18" ht="18" customHeight="1" thickBot="1" x14ac:dyDescent="0.35">
      <c r="A59" s="6"/>
      <c r="B59" s="55"/>
      <c r="C59" s="17" t="s">
        <v>51</v>
      </c>
      <c r="D59" s="7">
        <v>3</v>
      </c>
      <c r="E59" s="16">
        <v>3</v>
      </c>
      <c r="F59" s="15"/>
      <c r="G59" s="17">
        <v>70</v>
      </c>
      <c r="I59" s="61" t="s">
        <v>58</v>
      </c>
      <c r="J59" s="62"/>
      <c r="K59" s="62"/>
      <c r="L59" s="62"/>
      <c r="M59" s="62"/>
      <c r="N59" s="63" t="s">
        <v>86</v>
      </c>
      <c r="O59" s="63"/>
      <c r="P59" s="63"/>
      <c r="Q59" s="63"/>
      <c r="R59" s="64"/>
    </row>
    <row r="60" spans="1:18" ht="18.75" x14ac:dyDescent="0.3">
      <c r="A60" s="6"/>
      <c r="B60" s="55"/>
      <c r="C60" s="17" t="s">
        <v>74</v>
      </c>
      <c r="D60" s="7">
        <v>2</v>
      </c>
      <c r="E60" s="21">
        <v>4</v>
      </c>
      <c r="F60" s="15"/>
      <c r="G60" s="22">
        <v>63</v>
      </c>
      <c r="H60" s="6"/>
      <c r="I60" s="6"/>
    </row>
    <row r="61" spans="1:18" ht="18.75" x14ac:dyDescent="0.3">
      <c r="A61" s="6"/>
      <c r="B61" s="55"/>
      <c r="C61" s="19" t="s">
        <v>69</v>
      </c>
      <c r="D61" s="9">
        <v>2</v>
      </c>
      <c r="E61" s="10">
        <v>4</v>
      </c>
      <c r="F61" s="15"/>
      <c r="G61" s="18">
        <v>55</v>
      </c>
      <c r="H61" s="6"/>
    </row>
    <row r="62" spans="1:18" ht="18.75" x14ac:dyDescent="0.3">
      <c r="B62" s="55"/>
      <c r="C62" s="17" t="s">
        <v>53</v>
      </c>
      <c r="D62" s="7">
        <v>1</v>
      </c>
      <c r="E62" s="21">
        <v>5</v>
      </c>
      <c r="F62" s="15"/>
      <c r="G62" s="22">
        <v>56</v>
      </c>
    </row>
    <row r="63" spans="1:18" ht="19.5" thickBot="1" x14ac:dyDescent="0.35">
      <c r="B63" s="56"/>
      <c r="C63" s="18" t="s">
        <v>93</v>
      </c>
      <c r="D63" s="9">
        <v>0</v>
      </c>
      <c r="E63" s="10">
        <v>6</v>
      </c>
      <c r="F63" s="15"/>
      <c r="G63" s="18">
        <v>55</v>
      </c>
    </row>
    <row r="64" spans="1:18" ht="15.75" thickBot="1" x14ac:dyDescent="0.3"/>
    <row r="65" spans="3:7" ht="19.5" thickBot="1" x14ac:dyDescent="0.35">
      <c r="C65" s="25" t="s">
        <v>76</v>
      </c>
      <c r="D65" s="26" t="s">
        <v>46</v>
      </c>
      <c r="E65" s="26" t="s">
        <v>47</v>
      </c>
      <c r="F65" s="20" t="s">
        <v>63</v>
      </c>
      <c r="G65" s="29" t="s">
        <v>48</v>
      </c>
    </row>
    <row r="66" spans="3:7" ht="18.75" x14ac:dyDescent="0.3">
      <c r="C66" s="39" t="s">
        <v>60</v>
      </c>
      <c r="D66" s="14">
        <v>6</v>
      </c>
      <c r="E66" s="23">
        <v>0</v>
      </c>
      <c r="F66" s="15"/>
      <c r="G66" s="40">
        <v>107</v>
      </c>
    </row>
    <row r="67" spans="3:7" ht="18.75" x14ac:dyDescent="0.3">
      <c r="C67" s="41" t="s">
        <v>56</v>
      </c>
      <c r="D67" s="7">
        <v>5</v>
      </c>
      <c r="E67" s="21">
        <v>1</v>
      </c>
      <c r="F67" s="15"/>
      <c r="G67" s="42">
        <v>81</v>
      </c>
    </row>
    <row r="68" spans="3:7" ht="18.75" x14ac:dyDescent="0.3">
      <c r="C68" s="41" t="s">
        <v>61</v>
      </c>
      <c r="D68" s="7">
        <v>4</v>
      </c>
      <c r="E68" s="21">
        <v>2</v>
      </c>
      <c r="F68" s="15"/>
      <c r="G68" s="42">
        <v>79</v>
      </c>
    </row>
    <row r="69" spans="3:7" ht="19.5" thickBot="1" x14ac:dyDescent="0.35">
      <c r="C69" s="43" t="s">
        <v>51</v>
      </c>
      <c r="D69" s="44">
        <v>3</v>
      </c>
      <c r="E69" s="45">
        <v>3</v>
      </c>
      <c r="F69" s="46"/>
      <c r="G69" s="47">
        <v>70</v>
      </c>
    </row>
    <row r="70" spans="3:7" ht="18.75" x14ac:dyDescent="0.3">
      <c r="C70" s="39" t="s">
        <v>74</v>
      </c>
      <c r="D70" s="14">
        <v>2</v>
      </c>
      <c r="E70" s="23">
        <v>4</v>
      </c>
      <c r="F70" s="24"/>
      <c r="G70" s="40">
        <v>63</v>
      </c>
    </row>
    <row r="71" spans="3:7" ht="15.75" thickBot="1" x14ac:dyDescent="0.3"/>
    <row r="72" spans="3:7" ht="19.5" thickBot="1" x14ac:dyDescent="0.35">
      <c r="C72" s="25" t="s">
        <v>77</v>
      </c>
      <c r="D72" s="26" t="s">
        <v>46</v>
      </c>
      <c r="E72" s="26" t="s">
        <v>47</v>
      </c>
      <c r="F72" s="20" t="s">
        <v>63</v>
      </c>
      <c r="G72" s="29" t="s">
        <v>48</v>
      </c>
    </row>
    <row r="73" spans="3:7" ht="18.75" x14ac:dyDescent="0.3">
      <c r="C73" s="48" t="s">
        <v>59</v>
      </c>
      <c r="D73" s="49">
        <v>4</v>
      </c>
      <c r="E73" s="49">
        <v>2</v>
      </c>
      <c r="F73" s="24"/>
      <c r="G73" s="50">
        <v>80</v>
      </c>
    </row>
    <row r="74" spans="3:7" ht="18.75" x14ac:dyDescent="0.3">
      <c r="C74" s="32" t="s">
        <v>62</v>
      </c>
      <c r="D74" s="15">
        <v>3</v>
      </c>
      <c r="E74" s="15">
        <v>3</v>
      </c>
      <c r="F74" s="15"/>
      <c r="G74" s="33">
        <v>72</v>
      </c>
    </row>
    <row r="75" spans="3:7" ht="18.75" x14ac:dyDescent="0.3">
      <c r="C75" s="30" t="s">
        <v>69</v>
      </c>
      <c r="D75" s="4">
        <v>2</v>
      </c>
      <c r="E75" s="4">
        <v>4</v>
      </c>
      <c r="F75" s="15"/>
      <c r="G75" s="31">
        <v>55</v>
      </c>
    </row>
    <row r="76" spans="3:7" ht="19.5" thickBot="1" x14ac:dyDescent="0.35">
      <c r="C76" s="34" t="s">
        <v>53</v>
      </c>
      <c r="D76" s="35">
        <v>1</v>
      </c>
      <c r="E76" s="36">
        <v>5</v>
      </c>
      <c r="F76" s="37"/>
      <c r="G76" s="38">
        <v>56</v>
      </c>
    </row>
    <row r="77" spans="3:7" ht="18.75" x14ac:dyDescent="0.3">
      <c r="C77" s="32" t="s">
        <v>93</v>
      </c>
      <c r="D77" s="15">
        <v>0</v>
      </c>
      <c r="E77" s="15">
        <v>6</v>
      </c>
      <c r="F77" s="15"/>
      <c r="G77" s="33">
        <v>55</v>
      </c>
    </row>
  </sheetData>
  <sortState ref="A2:M51">
    <sortCondition descending="1" ref="F2:F51"/>
  </sortState>
  <mergeCells count="14">
    <mergeCell ref="N59:R59"/>
    <mergeCell ref="I53:R53"/>
    <mergeCell ref="N54:R54"/>
    <mergeCell ref="N55:R55"/>
    <mergeCell ref="N56:R56"/>
    <mergeCell ref="N57:R57"/>
    <mergeCell ref="N58:R58"/>
    <mergeCell ref="B53:B63"/>
    <mergeCell ref="I54:M54"/>
    <mergeCell ref="I55:M55"/>
    <mergeCell ref="I56:M56"/>
    <mergeCell ref="I57:M57"/>
    <mergeCell ref="I58:M58"/>
    <mergeCell ref="I59:M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2025-10-01T12:35:23Z</dcterms:modified>
  <cp:category/>
  <cp:contentStatus/>
</cp:coreProperties>
</file>