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liGa\Desktop\Darts\"/>
    </mc:Choice>
  </mc:AlternateContent>
  <bookViews>
    <workbookView xWindow="0" yWindow="0" windowWidth="4725" windowHeight="2250" firstSheet="1" activeTab="2"/>
  </bookViews>
  <sheets>
    <sheet name="Week 1" sheetId="1" r:id="rId1"/>
    <sheet name="Week 2" sheetId="3" r:id="rId2"/>
    <sheet name="Week 3" sheetId="15" r:id="rId3"/>
    <sheet name="Week 4" sheetId="6" r:id="rId4"/>
    <sheet name="Week 5" sheetId="5" r:id="rId5"/>
    <sheet name="Week 6" sheetId="7" r:id="rId6"/>
    <sheet name="Week 7" sheetId="8" r:id="rId7"/>
    <sheet name="Week 8" sheetId="9" r:id="rId8"/>
    <sheet name="Week 9" sheetId="10" r:id="rId9"/>
    <sheet name="Week 10" sheetId="11" r:id="rId10"/>
    <sheet name="Week 11" sheetId="12" r:id="rId11"/>
    <sheet name="Week 12" sheetId="4" r:id="rId12"/>
    <sheet name="Week 13" sheetId="13" r:id="rId13"/>
    <sheet name="Week 14" sheetId="14" r:id="rId1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5" l="1"/>
  <c r="E2" i="15"/>
  <c r="F2" i="15"/>
  <c r="D3" i="15"/>
  <c r="F3" i="15" s="1"/>
  <c r="E3" i="15"/>
  <c r="D4" i="15"/>
  <c r="F4" i="15" s="1"/>
  <c r="E4" i="15"/>
  <c r="D5" i="15"/>
  <c r="E5" i="15"/>
  <c r="F5" i="15" s="1"/>
  <c r="D6" i="15"/>
  <c r="E6" i="15"/>
  <c r="F6" i="15"/>
  <c r="D7" i="15"/>
  <c r="F7" i="15" s="1"/>
  <c r="E7" i="15"/>
  <c r="D8" i="15"/>
  <c r="F8" i="15" s="1"/>
  <c r="E8" i="15"/>
  <c r="D9" i="15"/>
  <c r="E9" i="15"/>
  <c r="F9" i="15" s="1"/>
  <c r="D10" i="15"/>
  <c r="E10" i="15"/>
  <c r="F10" i="15"/>
  <c r="D11" i="15"/>
  <c r="F11" i="15" s="1"/>
  <c r="E11" i="15"/>
  <c r="D12" i="15"/>
  <c r="F12" i="15" s="1"/>
  <c r="E12" i="15"/>
  <c r="D13" i="15"/>
  <c r="E13" i="15"/>
  <c r="F13" i="15" s="1"/>
  <c r="D14" i="15"/>
  <c r="E14" i="15"/>
  <c r="F14" i="15"/>
  <c r="D15" i="15"/>
  <c r="F15" i="15" s="1"/>
  <c r="E15" i="15"/>
  <c r="D16" i="15"/>
  <c r="F16" i="15" s="1"/>
  <c r="E16" i="15"/>
  <c r="D17" i="15"/>
  <c r="E17" i="15"/>
  <c r="F17" i="15" s="1"/>
  <c r="D18" i="15"/>
  <c r="E18" i="15"/>
  <c r="F18" i="15"/>
  <c r="D19" i="15"/>
  <c r="F19" i="15" s="1"/>
  <c r="E19" i="15"/>
  <c r="D20" i="15"/>
  <c r="F20" i="15" s="1"/>
  <c r="E20" i="15"/>
  <c r="D21" i="15"/>
  <c r="E21" i="15"/>
  <c r="F21" i="15"/>
  <c r="D22" i="15"/>
  <c r="E22" i="15"/>
  <c r="F22" i="15"/>
  <c r="D23" i="15"/>
  <c r="F23" i="15" s="1"/>
  <c r="E23" i="15"/>
  <c r="D24" i="15"/>
  <c r="F24" i="15" s="1"/>
  <c r="E24" i="15"/>
  <c r="D25" i="15"/>
  <c r="E25" i="15"/>
  <c r="F25" i="15"/>
  <c r="D26" i="15"/>
  <c r="E26" i="15"/>
  <c r="F26" i="15"/>
  <c r="D27" i="15"/>
  <c r="F27" i="15" s="1"/>
  <c r="E27" i="15"/>
  <c r="D28" i="15"/>
  <c r="F28" i="15" s="1"/>
  <c r="E28" i="15"/>
  <c r="D29" i="15"/>
  <c r="E29" i="15"/>
  <c r="F29" i="15"/>
  <c r="D30" i="15"/>
  <c r="E30" i="15"/>
  <c r="F30" i="15"/>
  <c r="D31" i="15"/>
  <c r="F31" i="15" s="1"/>
  <c r="E31" i="15"/>
  <c r="D32" i="15"/>
  <c r="F32" i="15" s="1"/>
  <c r="E32" i="15"/>
  <c r="D33" i="15"/>
  <c r="E33" i="15"/>
  <c r="F33" i="15"/>
  <c r="D34" i="15"/>
  <c r="E34" i="15"/>
  <c r="F34" i="15"/>
  <c r="D35" i="15"/>
  <c r="F35" i="15" s="1"/>
  <c r="E35" i="15"/>
  <c r="D36" i="15"/>
  <c r="F36" i="15" s="1"/>
  <c r="E36" i="15"/>
  <c r="D37" i="15"/>
  <c r="E37" i="15"/>
  <c r="F37" i="15"/>
  <c r="D38" i="15"/>
  <c r="E38" i="15"/>
  <c r="F38" i="15"/>
  <c r="D39" i="15"/>
  <c r="F39" i="15" s="1"/>
  <c r="E39" i="15"/>
  <c r="D40" i="15"/>
  <c r="F40" i="15" s="1"/>
  <c r="E40" i="15"/>
  <c r="D41" i="15"/>
  <c r="E41" i="15"/>
  <c r="F41" i="15"/>
  <c r="D42" i="15"/>
  <c r="E42" i="15"/>
  <c r="F42" i="15"/>
  <c r="D43" i="15"/>
  <c r="F43" i="15" s="1"/>
  <c r="E43" i="15"/>
  <c r="D44" i="15"/>
  <c r="F44" i="15" s="1"/>
  <c r="E44" i="15"/>
  <c r="D45" i="15"/>
  <c r="E45" i="15"/>
  <c r="F45" i="15"/>
  <c r="D46" i="15"/>
  <c r="E46" i="15"/>
  <c r="F46" i="15"/>
  <c r="D47" i="15"/>
  <c r="F47" i="15" s="1"/>
  <c r="E47" i="15"/>
  <c r="D48" i="15"/>
  <c r="F48" i="15" s="1"/>
  <c r="E48" i="15"/>
  <c r="D49" i="15"/>
  <c r="E49" i="15"/>
  <c r="F49" i="15"/>
  <c r="D50" i="15"/>
  <c r="E50" i="15"/>
  <c r="F50" i="15"/>
  <c r="D51" i="15"/>
  <c r="F51" i="15" s="1"/>
  <c r="E51" i="15"/>
  <c r="D52" i="15"/>
  <c r="F52" i="15" s="1"/>
  <c r="E52" i="15"/>
  <c r="D53" i="15"/>
  <c r="E53" i="15"/>
  <c r="F53" i="15"/>
  <c r="D54" i="15"/>
  <c r="E54" i="15"/>
  <c r="F54" i="15"/>
  <c r="D55" i="15"/>
  <c r="F55" i="15" s="1"/>
  <c r="E55" i="15"/>
  <c r="D56" i="15"/>
  <c r="F56" i="15" s="1"/>
  <c r="E56" i="15"/>
  <c r="D57" i="15"/>
  <c r="E57" i="15"/>
  <c r="F57" i="15"/>
  <c r="D58" i="15"/>
  <c r="E58" i="15"/>
  <c r="F58" i="15"/>
  <c r="D59" i="15"/>
  <c r="F59" i="15" s="1"/>
  <c r="E59" i="15"/>
  <c r="D60" i="15"/>
  <c r="F60" i="15" s="1"/>
  <c r="E60" i="15"/>
  <c r="D2" i="14" l="1"/>
  <c r="E2" i="14"/>
  <c r="F2" i="14"/>
  <c r="D3" i="14"/>
  <c r="F3" i="14" s="1"/>
  <c r="E3" i="14"/>
  <c r="D4" i="14"/>
  <c r="F4" i="14" s="1"/>
  <c r="E4" i="14"/>
  <c r="D5" i="14"/>
  <c r="E5" i="14"/>
  <c r="F5" i="14"/>
  <c r="D6" i="14"/>
  <c r="E6" i="14"/>
  <c r="F6" i="14"/>
  <c r="D7" i="14"/>
  <c r="F7" i="14" s="1"/>
  <c r="E7" i="14"/>
  <c r="D8" i="14"/>
  <c r="F8" i="14" s="1"/>
  <c r="E8" i="14"/>
  <c r="D9" i="14"/>
  <c r="E9" i="14"/>
  <c r="F9" i="14"/>
  <c r="D10" i="14"/>
  <c r="E10" i="14"/>
  <c r="F10" i="14"/>
  <c r="D11" i="14"/>
  <c r="F11" i="14" s="1"/>
  <c r="E11" i="14"/>
  <c r="D12" i="14"/>
  <c r="F12" i="14" s="1"/>
  <c r="E12" i="14"/>
  <c r="D13" i="14"/>
  <c r="E13" i="14"/>
  <c r="F13" i="14"/>
  <c r="D14" i="14"/>
  <c r="E14" i="14"/>
  <c r="F14" i="14"/>
  <c r="D15" i="14"/>
  <c r="F15" i="14" s="1"/>
  <c r="E15" i="14"/>
  <c r="D16" i="14"/>
  <c r="F16" i="14" s="1"/>
  <c r="E16" i="14"/>
  <c r="D17" i="14"/>
  <c r="E17" i="14"/>
  <c r="F17" i="14"/>
  <c r="D18" i="14"/>
  <c r="E18" i="14"/>
  <c r="F18" i="14"/>
  <c r="D19" i="14"/>
  <c r="F19" i="14" s="1"/>
  <c r="E19" i="14"/>
  <c r="D20" i="14"/>
  <c r="F20" i="14" s="1"/>
  <c r="E20" i="14"/>
  <c r="D21" i="14"/>
  <c r="E21" i="14"/>
  <c r="F21" i="14"/>
  <c r="D22" i="14"/>
  <c r="E22" i="14"/>
  <c r="F22" i="14"/>
  <c r="D23" i="14"/>
  <c r="F23" i="14" s="1"/>
  <c r="E23" i="14"/>
  <c r="D24" i="14"/>
  <c r="F24" i="14" s="1"/>
  <c r="E24" i="14"/>
  <c r="D25" i="14"/>
  <c r="E25" i="14"/>
  <c r="F25" i="14"/>
  <c r="D26" i="14"/>
  <c r="E26" i="14"/>
  <c r="F26" i="14"/>
  <c r="D27" i="14"/>
  <c r="F27" i="14" s="1"/>
  <c r="E27" i="14"/>
  <c r="D28" i="14"/>
  <c r="F28" i="14" s="1"/>
  <c r="E28" i="14"/>
  <c r="D29" i="14"/>
  <c r="E29" i="14"/>
  <c r="F29" i="14"/>
  <c r="D30" i="14"/>
  <c r="E30" i="14"/>
  <c r="F30" i="14"/>
  <c r="D31" i="14"/>
  <c r="F31" i="14" s="1"/>
  <c r="E31" i="14"/>
  <c r="D32" i="14"/>
  <c r="E32" i="14"/>
  <c r="F32" i="14" s="1"/>
  <c r="D33" i="14"/>
  <c r="E33" i="14"/>
  <c r="F33" i="14"/>
  <c r="D34" i="14"/>
  <c r="F34" i="14" s="1"/>
  <c r="E34" i="14"/>
  <c r="D35" i="14"/>
  <c r="F35" i="14" s="1"/>
  <c r="E35" i="14"/>
  <c r="D36" i="14"/>
  <c r="E36" i="14"/>
  <c r="F36" i="14" s="1"/>
  <c r="D37" i="14"/>
  <c r="E37" i="14"/>
  <c r="F37" i="14"/>
  <c r="D38" i="14"/>
  <c r="F38" i="14" s="1"/>
  <c r="E38" i="14"/>
  <c r="D39" i="14"/>
  <c r="F39" i="14" s="1"/>
  <c r="E39" i="14"/>
  <c r="D40" i="14"/>
  <c r="E40" i="14"/>
  <c r="F40" i="14" s="1"/>
  <c r="D41" i="14"/>
  <c r="E41" i="14"/>
  <c r="F41" i="14"/>
  <c r="D42" i="14"/>
  <c r="F42" i="14" s="1"/>
  <c r="E42" i="14"/>
  <c r="D43" i="14"/>
  <c r="F43" i="14" s="1"/>
  <c r="E43" i="14"/>
  <c r="D44" i="14"/>
  <c r="E44" i="14"/>
  <c r="F44" i="14" s="1"/>
  <c r="D45" i="14"/>
  <c r="E45" i="14"/>
  <c r="F45" i="14"/>
  <c r="D46" i="14"/>
  <c r="F46" i="14" s="1"/>
  <c r="E46" i="14"/>
  <c r="D47" i="14"/>
  <c r="F47" i="14" s="1"/>
  <c r="E47" i="14"/>
  <c r="D48" i="14"/>
  <c r="E48" i="14"/>
  <c r="F48" i="14" s="1"/>
  <c r="D49" i="14"/>
  <c r="E49" i="14"/>
  <c r="F49" i="14"/>
  <c r="D50" i="14"/>
  <c r="F50" i="14" s="1"/>
  <c r="E50" i="14"/>
  <c r="D51" i="14"/>
  <c r="F51" i="14" s="1"/>
  <c r="E51" i="14"/>
  <c r="D52" i="14"/>
  <c r="E52" i="14"/>
  <c r="F52" i="14" s="1"/>
  <c r="D53" i="14"/>
  <c r="E53" i="14"/>
  <c r="F53" i="14"/>
  <c r="D54" i="14"/>
  <c r="F54" i="14" s="1"/>
  <c r="E54" i="14"/>
  <c r="D55" i="14"/>
  <c r="F55" i="14" s="1"/>
  <c r="E55" i="14"/>
  <c r="D56" i="14"/>
  <c r="E56" i="14"/>
  <c r="F56" i="14" s="1"/>
  <c r="D57" i="14"/>
  <c r="E57" i="14"/>
  <c r="F57" i="14"/>
  <c r="D58" i="14"/>
  <c r="F58" i="14" s="1"/>
  <c r="E58" i="14"/>
  <c r="D59" i="14"/>
  <c r="F59" i="14" s="1"/>
  <c r="E59" i="14"/>
  <c r="D60" i="14"/>
  <c r="E60" i="14"/>
  <c r="F60" i="14" s="1"/>
  <c r="D61" i="14"/>
  <c r="E61" i="14"/>
  <c r="F61" i="14"/>
  <c r="D62" i="14"/>
  <c r="F62" i="14" s="1"/>
  <c r="E62" i="14"/>
  <c r="D63" i="14"/>
  <c r="F63" i="14" s="1"/>
  <c r="E63" i="14"/>
  <c r="D64" i="14"/>
  <c r="E64" i="14"/>
  <c r="F64" i="14" s="1"/>
  <c r="D65" i="14"/>
  <c r="E65" i="14"/>
  <c r="F65" i="14"/>
  <c r="D66" i="14"/>
  <c r="F66" i="14" s="1"/>
  <c r="E66" i="14"/>
  <c r="D67" i="14"/>
  <c r="F67" i="14" s="1"/>
  <c r="E67" i="14"/>
  <c r="D68" i="14"/>
  <c r="E68" i="14"/>
  <c r="F68" i="14" s="1"/>
  <c r="D69" i="14"/>
  <c r="E69" i="14"/>
  <c r="F69" i="14"/>
  <c r="D70" i="14"/>
  <c r="F70" i="14" s="1"/>
  <c r="E70" i="14"/>
  <c r="D71" i="14"/>
  <c r="F71" i="14" s="1"/>
  <c r="E71" i="14"/>
  <c r="D72" i="14"/>
  <c r="E72" i="14"/>
  <c r="F72" i="14" s="1"/>
  <c r="D2" i="13" l="1"/>
  <c r="E2" i="13"/>
  <c r="F2" i="13"/>
  <c r="D3" i="13"/>
  <c r="F3" i="13" s="1"/>
  <c r="E3" i="13"/>
  <c r="D4" i="13"/>
  <c r="F4" i="13" s="1"/>
  <c r="E4" i="13"/>
  <c r="D5" i="13"/>
  <c r="E5" i="13"/>
  <c r="F5" i="13"/>
  <c r="D6" i="13"/>
  <c r="E6" i="13"/>
  <c r="F6" i="13"/>
  <c r="D7" i="13"/>
  <c r="F7" i="13" s="1"/>
  <c r="E7" i="13"/>
  <c r="D8" i="13"/>
  <c r="F8" i="13" s="1"/>
  <c r="E8" i="13"/>
  <c r="D9" i="13"/>
  <c r="E9" i="13"/>
  <c r="F9" i="13"/>
  <c r="D10" i="13"/>
  <c r="E10" i="13"/>
  <c r="F10" i="13"/>
  <c r="D11" i="13"/>
  <c r="F11" i="13" s="1"/>
  <c r="E11" i="13"/>
  <c r="D12" i="13"/>
  <c r="F12" i="13" s="1"/>
  <c r="E12" i="13"/>
  <c r="D13" i="13"/>
  <c r="E13" i="13"/>
  <c r="F13" i="13"/>
  <c r="D14" i="13"/>
  <c r="E14" i="13"/>
  <c r="F14" i="13"/>
  <c r="D15" i="13"/>
  <c r="F15" i="13" s="1"/>
  <c r="E15" i="13"/>
  <c r="D16" i="13"/>
  <c r="F16" i="13" s="1"/>
  <c r="E16" i="13"/>
  <c r="D17" i="13"/>
  <c r="E17" i="13"/>
  <c r="F17" i="13"/>
  <c r="D18" i="13"/>
  <c r="E18" i="13"/>
  <c r="F18" i="13"/>
  <c r="D19" i="13"/>
  <c r="F19" i="13" s="1"/>
  <c r="E19" i="13"/>
  <c r="D20" i="13"/>
  <c r="F20" i="13" s="1"/>
  <c r="E20" i="13"/>
  <c r="D21" i="13"/>
  <c r="E21" i="13"/>
  <c r="F21" i="13"/>
  <c r="D22" i="13"/>
  <c r="E22" i="13"/>
  <c r="F22" i="13"/>
  <c r="D23" i="13"/>
  <c r="F23" i="13" s="1"/>
  <c r="E23" i="13"/>
  <c r="D24" i="13"/>
  <c r="F24" i="13" s="1"/>
  <c r="E24" i="13"/>
  <c r="D25" i="13"/>
  <c r="E25" i="13"/>
  <c r="F25" i="13"/>
  <c r="D26" i="13"/>
  <c r="E26" i="13"/>
  <c r="F26" i="13"/>
  <c r="D27" i="13"/>
  <c r="F27" i="13" s="1"/>
  <c r="E27" i="13"/>
  <c r="D28" i="13"/>
  <c r="F28" i="13" s="1"/>
  <c r="E28" i="13"/>
  <c r="D29" i="13"/>
  <c r="E29" i="13"/>
  <c r="F29" i="13"/>
  <c r="D30" i="13"/>
  <c r="E30" i="13"/>
  <c r="F30" i="13"/>
  <c r="D31" i="13"/>
  <c r="F31" i="13" s="1"/>
  <c r="E31" i="13"/>
  <c r="D32" i="13"/>
  <c r="F32" i="13" s="1"/>
  <c r="E32" i="13"/>
  <c r="D33" i="13"/>
  <c r="E33" i="13"/>
  <c r="F33" i="13"/>
  <c r="D34" i="13"/>
  <c r="E34" i="13"/>
  <c r="F34" i="13"/>
  <c r="D35" i="13"/>
  <c r="F35" i="13" s="1"/>
  <c r="E35" i="13"/>
  <c r="D36" i="13"/>
  <c r="F36" i="13" s="1"/>
  <c r="E36" i="13"/>
  <c r="D37" i="13"/>
  <c r="E37" i="13"/>
  <c r="F37" i="13"/>
  <c r="D38" i="13"/>
  <c r="E38" i="13"/>
  <c r="F38" i="13"/>
  <c r="D39" i="13"/>
  <c r="F39" i="13" s="1"/>
  <c r="E39" i="13"/>
  <c r="D40" i="13"/>
  <c r="F40" i="13" s="1"/>
  <c r="E40" i="13"/>
  <c r="D41" i="13"/>
  <c r="E41" i="13"/>
  <c r="F41" i="13"/>
  <c r="D42" i="13"/>
  <c r="E42" i="13"/>
  <c r="F42" i="13"/>
  <c r="D43" i="13"/>
  <c r="F43" i="13" s="1"/>
  <c r="E43" i="13"/>
  <c r="D44" i="13"/>
  <c r="F44" i="13" s="1"/>
  <c r="E44" i="13"/>
  <c r="D45" i="13"/>
  <c r="E45" i="13"/>
  <c r="F45" i="13"/>
  <c r="D46" i="13"/>
  <c r="E46" i="13"/>
  <c r="F46" i="13"/>
  <c r="D47" i="13"/>
  <c r="F47" i="13" s="1"/>
  <c r="E47" i="13"/>
  <c r="D48" i="13"/>
  <c r="F48" i="13" s="1"/>
  <c r="E48" i="13"/>
  <c r="D49" i="13"/>
  <c r="E49" i="13"/>
  <c r="F49" i="13"/>
  <c r="D50" i="13"/>
  <c r="E50" i="13"/>
  <c r="F50" i="13"/>
  <c r="D51" i="13"/>
  <c r="F51" i="13" s="1"/>
  <c r="E51" i="13"/>
  <c r="D52" i="13"/>
  <c r="F52" i="13" s="1"/>
  <c r="E52" i="13"/>
  <c r="D53" i="13"/>
  <c r="E53" i="13"/>
  <c r="F53" i="13"/>
  <c r="D54" i="13"/>
  <c r="E54" i="13"/>
  <c r="F54" i="13"/>
  <c r="D55" i="13"/>
  <c r="F55" i="13" s="1"/>
  <c r="E55" i="13"/>
  <c r="D56" i="13"/>
  <c r="F56" i="13" s="1"/>
  <c r="E56" i="13"/>
  <c r="D57" i="13"/>
  <c r="E57" i="13"/>
  <c r="F57" i="13"/>
  <c r="D58" i="13"/>
  <c r="E58" i="13"/>
  <c r="F58" i="13"/>
  <c r="D59" i="13"/>
  <c r="F59" i="13" s="1"/>
  <c r="E59" i="13"/>
  <c r="D60" i="13"/>
  <c r="F60" i="13" s="1"/>
  <c r="E60" i="13"/>
  <c r="D61" i="13"/>
  <c r="E61" i="13"/>
  <c r="F61" i="13"/>
  <c r="D62" i="13"/>
  <c r="E62" i="13"/>
  <c r="F62" i="13"/>
  <c r="D63" i="13"/>
  <c r="F63" i="13" s="1"/>
  <c r="E63" i="13"/>
  <c r="D64" i="13"/>
  <c r="F64" i="13" s="1"/>
  <c r="E64" i="13"/>
  <c r="D65" i="13"/>
  <c r="E65" i="13"/>
  <c r="F65" i="13"/>
  <c r="D66" i="13"/>
  <c r="E66" i="13"/>
  <c r="F66" i="13"/>
  <c r="D67" i="13"/>
  <c r="F67" i="13" s="1"/>
  <c r="E67" i="13"/>
  <c r="D68" i="13"/>
  <c r="F68" i="13" s="1"/>
  <c r="E68" i="13"/>
  <c r="D69" i="13"/>
  <c r="E69" i="13"/>
  <c r="F69" i="13"/>
  <c r="D70" i="13"/>
  <c r="E70" i="13"/>
  <c r="F70" i="13"/>
  <c r="D71" i="13"/>
  <c r="F71" i="13" s="1"/>
  <c r="E71" i="13"/>
  <c r="D72" i="13"/>
  <c r="F72" i="13" s="1"/>
  <c r="E72" i="13"/>
  <c r="D2" i="12" l="1"/>
  <c r="E2" i="12"/>
  <c r="F2" i="12"/>
  <c r="D3" i="12"/>
  <c r="F3" i="12" s="1"/>
  <c r="E3" i="12"/>
  <c r="D4" i="12"/>
  <c r="F4" i="12" s="1"/>
  <c r="E4" i="12"/>
  <c r="D5" i="12"/>
  <c r="E5" i="12"/>
  <c r="F5" i="12"/>
  <c r="D6" i="12"/>
  <c r="E6" i="12"/>
  <c r="F6" i="12"/>
  <c r="D7" i="12"/>
  <c r="F7" i="12" s="1"/>
  <c r="E7" i="12"/>
  <c r="D8" i="12"/>
  <c r="F8" i="12" s="1"/>
  <c r="E8" i="12"/>
  <c r="D9" i="12"/>
  <c r="E9" i="12"/>
  <c r="F9" i="12"/>
  <c r="D10" i="12"/>
  <c r="E10" i="12"/>
  <c r="F10" i="12"/>
  <c r="D11" i="12"/>
  <c r="F11" i="12" s="1"/>
  <c r="E11" i="12"/>
  <c r="D12" i="12"/>
  <c r="F12" i="12" s="1"/>
  <c r="E12" i="12"/>
  <c r="D13" i="12"/>
  <c r="E13" i="12"/>
  <c r="F13" i="12"/>
  <c r="D14" i="12"/>
  <c r="E14" i="12"/>
  <c r="F14" i="12"/>
  <c r="D15" i="12"/>
  <c r="F15" i="12" s="1"/>
  <c r="E15" i="12"/>
  <c r="D16" i="12"/>
  <c r="F16" i="12" s="1"/>
  <c r="E16" i="12"/>
  <c r="D17" i="12"/>
  <c r="E17" i="12"/>
  <c r="F17" i="12"/>
  <c r="D18" i="12"/>
  <c r="E18" i="12"/>
  <c r="F18" i="12"/>
  <c r="D19" i="12"/>
  <c r="F19" i="12" s="1"/>
  <c r="E19" i="12"/>
  <c r="D20" i="12"/>
  <c r="F20" i="12" s="1"/>
  <c r="E20" i="12"/>
  <c r="D21" i="12"/>
  <c r="E21" i="12"/>
  <c r="F21" i="12"/>
  <c r="D22" i="12"/>
  <c r="E22" i="12"/>
  <c r="F22" i="12"/>
  <c r="D23" i="12"/>
  <c r="F23" i="12" s="1"/>
  <c r="E23" i="12"/>
  <c r="D24" i="12"/>
  <c r="F24" i="12" s="1"/>
  <c r="E24" i="12"/>
  <c r="D25" i="12"/>
  <c r="E25" i="12"/>
  <c r="F25" i="12"/>
  <c r="D26" i="12"/>
  <c r="E26" i="12"/>
  <c r="F26" i="12"/>
  <c r="D27" i="12"/>
  <c r="F27" i="12" s="1"/>
  <c r="E27" i="12"/>
  <c r="D28" i="12"/>
  <c r="F28" i="12" s="1"/>
  <c r="E28" i="12"/>
  <c r="D29" i="12"/>
  <c r="E29" i="12"/>
  <c r="F29" i="12"/>
  <c r="D30" i="12"/>
  <c r="E30" i="12"/>
  <c r="F30" i="12"/>
  <c r="D31" i="12"/>
  <c r="F31" i="12" s="1"/>
  <c r="E31" i="12"/>
  <c r="D32" i="12"/>
  <c r="F32" i="12" s="1"/>
  <c r="E32" i="12"/>
  <c r="D33" i="12"/>
  <c r="E33" i="12"/>
  <c r="F33" i="12"/>
  <c r="D34" i="12"/>
  <c r="E34" i="12"/>
  <c r="F34" i="12"/>
  <c r="D35" i="12"/>
  <c r="F35" i="12" s="1"/>
  <c r="E35" i="12"/>
  <c r="D36" i="12"/>
  <c r="F36" i="12" s="1"/>
  <c r="E36" i="12"/>
  <c r="D37" i="12"/>
  <c r="E37" i="12"/>
  <c r="F37" i="12"/>
  <c r="D38" i="12"/>
  <c r="E38" i="12"/>
  <c r="F38" i="12"/>
  <c r="D39" i="12"/>
  <c r="F39" i="12" s="1"/>
  <c r="E39" i="12"/>
  <c r="D40" i="12"/>
  <c r="F40" i="12" s="1"/>
  <c r="E40" i="12"/>
  <c r="D41" i="12"/>
  <c r="E41" i="12"/>
  <c r="F41" i="12"/>
  <c r="D42" i="12"/>
  <c r="E42" i="12"/>
  <c r="F42" i="12"/>
  <c r="D43" i="12"/>
  <c r="F43" i="12" s="1"/>
  <c r="E43" i="12"/>
  <c r="D44" i="12"/>
  <c r="F44" i="12" s="1"/>
  <c r="E44" i="12"/>
  <c r="D45" i="12"/>
  <c r="E45" i="12"/>
  <c r="F45" i="12"/>
  <c r="D46" i="12"/>
  <c r="E46" i="12"/>
  <c r="F46" i="12"/>
  <c r="D47" i="12"/>
  <c r="F47" i="12" s="1"/>
  <c r="E47" i="12"/>
  <c r="D48" i="12"/>
  <c r="F48" i="12" s="1"/>
  <c r="E48" i="12"/>
  <c r="D49" i="12"/>
  <c r="E49" i="12"/>
  <c r="F49" i="12"/>
  <c r="D50" i="12"/>
  <c r="E50" i="12"/>
  <c r="F50" i="12"/>
  <c r="D51" i="12"/>
  <c r="F51" i="12" s="1"/>
  <c r="E51" i="12"/>
  <c r="D52" i="12"/>
  <c r="F52" i="12" s="1"/>
  <c r="E52" i="12"/>
  <c r="D53" i="12"/>
  <c r="E53" i="12"/>
  <c r="F53" i="12"/>
  <c r="D54" i="12"/>
  <c r="F54" i="12" s="1"/>
  <c r="E54" i="12"/>
  <c r="D55" i="12"/>
  <c r="F55" i="12" s="1"/>
  <c r="E55" i="12"/>
  <c r="D56" i="12"/>
  <c r="E56" i="12"/>
  <c r="F56" i="12" s="1"/>
  <c r="D57" i="12"/>
  <c r="E57" i="12"/>
  <c r="F57" i="12"/>
  <c r="D58" i="12"/>
  <c r="F58" i="12" s="1"/>
  <c r="E58" i="12"/>
  <c r="D59" i="12"/>
  <c r="F59" i="12" s="1"/>
  <c r="E59" i="12"/>
  <c r="D60" i="12"/>
  <c r="E60" i="12"/>
  <c r="F60" i="12" s="1"/>
  <c r="D61" i="12"/>
  <c r="E61" i="12"/>
  <c r="F61" i="12"/>
  <c r="D62" i="12"/>
  <c r="F62" i="12" s="1"/>
  <c r="E62" i="12"/>
  <c r="D63" i="12"/>
  <c r="F63" i="12" s="1"/>
  <c r="E63" i="12"/>
  <c r="D64" i="12"/>
  <c r="E64" i="12"/>
  <c r="F64" i="12" s="1"/>
  <c r="D65" i="12"/>
  <c r="E65" i="12"/>
  <c r="F65" i="12"/>
  <c r="D66" i="12"/>
  <c r="F66" i="12" s="1"/>
  <c r="E66" i="12"/>
  <c r="D67" i="12"/>
  <c r="F67" i="12" s="1"/>
  <c r="E67" i="12"/>
  <c r="D68" i="12"/>
  <c r="E68" i="12"/>
  <c r="F68" i="12" s="1"/>
  <c r="D69" i="12"/>
  <c r="E69" i="12"/>
  <c r="F69" i="12"/>
  <c r="D2" i="11" l="1"/>
  <c r="F2" i="11" s="1"/>
  <c r="E2" i="11"/>
  <c r="D3" i="11"/>
  <c r="F3" i="11" s="1"/>
  <c r="E3" i="11"/>
  <c r="D4" i="11"/>
  <c r="E4" i="11"/>
  <c r="F4" i="11" s="1"/>
  <c r="D5" i="11"/>
  <c r="E5" i="11"/>
  <c r="F5" i="11"/>
  <c r="D6" i="11"/>
  <c r="F6" i="11" s="1"/>
  <c r="E6" i="11"/>
  <c r="D7" i="11"/>
  <c r="F7" i="11" s="1"/>
  <c r="E7" i="11"/>
  <c r="D8" i="11"/>
  <c r="E8" i="11"/>
  <c r="F8" i="11" s="1"/>
  <c r="D9" i="11"/>
  <c r="E9" i="11"/>
  <c r="F9" i="11"/>
  <c r="D10" i="11"/>
  <c r="F10" i="11" s="1"/>
  <c r="E10" i="11"/>
  <c r="D11" i="11"/>
  <c r="F11" i="11" s="1"/>
  <c r="E11" i="11"/>
  <c r="D12" i="11"/>
  <c r="E12" i="11"/>
  <c r="F12" i="11" s="1"/>
  <c r="D13" i="11"/>
  <c r="E13" i="11"/>
  <c r="F13" i="11"/>
  <c r="D14" i="11"/>
  <c r="F14" i="11" s="1"/>
  <c r="E14" i="11"/>
  <c r="D15" i="11"/>
  <c r="F15" i="11" s="1"/>
  <c r="E15" i="11"/>
  <c r="D16" i="11"/>
  <c r="E16" i="11"/>
  <c r="F16" i="11" s="1"/>
  <c r="D17" i="11"/>
  <c r="E17" i="11"/>
  <c r="F17" i="11"/>
  <c r="D18" i="11"/>
  <c r="F18" i="11" s="1"/>
  <c r="E18" i="11"/>
  <c r="D19" i="11"/>
  <c r="F19" i="11" s="1"/>
  <c r="E19" i="11"/>
  <c r="D20" i="11"/>
  <c r="E20" i="11"/>
  <c r="F20" i="11" s="1"/>
  <c r="D21" i="11"/>
  <c r="E21" i="11"/>
  <c r="F21" i="11"/>
  <c r="D22" i="11"/>
  <c r="F22" i="11" s="1"/>
  <c r="E22" i="11"/>
  <c r="D23" i="11"/>
  <c r="F23" i="11" s="1"/>
  <c r="E23" i="11"/>
  <c r="D24" i="11"/>
  <c r="E24" i="11"/>
  <c r="F24" i="11" s="1"/>
  <c r="D25" i="11"/>
  <c r="E25" i="11"/>
  <c r="F25" i="11"/>
  <c r="D26" i="11"/>
  <c r="F26" i="11" s="1"/>
  <c r="E26" i="11"/>
  <c r="D27" i="11"/>
  <c r="F27" i="11" s="1"/>
  <c r="E27" i="11"/>
  <c r="D28" i="11"/>
  <c r="E28" i="11"/>
  <c r="F28" i="11" s="1"/>
  <c r="D29" i="11"/>
  <c r="E29" i="11"/>
  <c r="F29" i="11"/>
  <c r="D30" i="11"/>
  <c r="F30" i="11" s="1"/>
  <c r="E30" i="11"/>
  <c r="D31" i="11"/>
  <c r="F31" i="11" s="1"/>
  <c r="E31" i="11"/>
  <c r="D32" i="11"/>
  <c r="E32" i="11"/>
  <c r="F32" i="11" s="1"/>
  <c r="D33" i="11"/>
  <c r="E33" i="11"/>
  <c r="F33" i="11"/>
  <c r="D34" i="11"/>
  <c r="F34" i="11" s="1"/>
  <c r="E34" i="11"/>
  <c r="D35" i="11"/>
  <c r="F35" i="11" s="1"/>
  <c r="E35" i="11"/>
  <c r="D36" i="11"/>
  <c r="E36" i="11"/>
  <c r="F36" i="11" s="1"/>
  <c r="D37" i="11"/>
  <c r="E37" i="11"/>
  <c r="F37" i="11"/>
  <c r="D38" i="11"/>
  <c r="F38" i="11" s="1"/>
  <c r="E38" i="11"/>
  <c r="D39" i="11"/>
  <c r="F39" i="11" s="1"/>
  <c r="E39" i="11"/>
  <c r="D40" i="11"/>
  <c r="E40" i="11"/>
  <c r="F40" i="11" s="1"/>
  <c r="D41" i="11"/>
  <c r="E41" i="11"/>
  <c r="F41" i="11"/>
  <c r="D42" i="11"/>
  <c r="F42" i="11" s="1"/>
  <c r="E42" i="11"/>
  <c r="D43" i="11"/>
  <c r="F43" i="11" s="1"/>
  <c r="E43" i="11"/>
  <c r="D44" i="11"/>
  <c r="E44" i="11"/>
  <c r="F44" i="11" s="1"/>
  <c r="D45" i="11"/>
  <c r="E45" i="11"/>
  <c r="F45" i="11"/>
  <c r="D46" i="11"/>
  <c r="F46" i="11" s="1"/>
  <c r="E46" i="11"/>
  <c r="D47" i="11"/>
  <c r="F47" i="11" s="1"/>
  <c r="E47" i="11"/>
  <c r="D48" i="11"/>
  <c r="E48" i="11"/>
  <c r="F48" i="11" s="1"/>
  <c r="D49" i="11"/>
  <c r="E49" i="11"/>
  <c r="F49" i="11"/>
  <c r="D50" i="11"/>
  <c r="F50" i="11" s="1"/>
  <c r="E50" i="11"/>
  <c r="D51" i="11"/>
  <c r="F51" i="11" s="1"/>
  <c r="E51" i="11"/>
  <c r="D52" i="11"/>
  <c r="E52" i="11"/>
  <c r="F52" i="11" s="1"/>
  <c r="D53" i="11"/>
  <c r="E53" i="11"/>
  <c r="F53" i="11"/>
  <c r="D54" i="11"/>
  <c r="F54" i="11" s="1"/>
  <c r="E54" i="11"/>
  <c r="D55" i="11"/>
  <c r="F55" i="11" s="1"/>
  <c r="E55" i="11"/>
  <c r="D56" i="11"/>
  <c r="E56" i="11"/>
  <c r="F56" i="11" s="1"/>
  <c r="D57" i="11"/>
  <c r="E57" i="11"/>
  <c r="F57" i="11"/>
  <c r="D58" i="11"/>
  <c r="F58" i="11" s="1"/>
  <c r="E58" i="11"/>
  <c r="D59" i="11"/>
  <c r="F59" i="11" s="1"/>
  <c r="E59" i="11"/>
  <c r="D60" i="11"/>
  <c r="E60" i="11"/>
  <c r="F60" i="11" s="1"/>
  <c r="D61" i="11"/>
  <c r="E61" i="11"/>
  <c r="F61" i="11"/>
  <c r="D62" i="11"/>
  <c r="F62" i="11" s="1"/>
  <c r="E62" i="11"/>
  <c r="D63" i="11"/>
  <c r="F63" i="11" s="1"/>
  <c r="E63" i="11"/>
  <c r="D64" i="11"/>
  <c r="E64" i="11"/>
  <c r="F64" i="11" s="1"/>
  <c r="D65" i="11"/>
  <c r="E65" i="11"/>
  <c r="F65" i="11"/>
  <c r="D66" i="11"/>
  <c r="F66" i="11" s="1"/>
  <c r="E66" i="11"/>
  <c r="D67" i="11"/>
  <c r="F67" i="11" s="1"/>
  <c r="E67" i="11"/>
  <c r="D68" i="11"/>
  <c r="E68" i="11"/>
  <c r="F68" i="11" s="1"/>
  <c r="D2" i="10" l="1"/>
  <c r="E2" i="10"/>
  <c r="F2" i="10"/>
  <c r="D3" i="10"/>
  <c r="F3" i="10" s="1"/>
  <c r="E3" i="10"/>
  <c r="D4" i="10"/>
  <c r="F4" i="10" s="1"/>
  <c r="E4" i="10"/>
  <c r="D5" i="10"/>
  <c r="E5" i="10"/>
  <c r="F5" i="10"/>
  <c r="D6" i="10"/>
  <c r="E6" i="10"/>
  <c r="F6" i="10"/>
  <c r="D7" i="10"/>
  <c r="F7" i="10" s="1"/>
  <c r="E7" i="10"/>
  <c r="D8" i="10"/>
  <c r="F8" i="10" s="1"/>
  <c r="E8" i="10"/>
  <c r="D9" i="10"/>
  <c r="E9" i="10"/>
  <c r="F9" i="10"/>
  <c r="D10" i="10"/>
  <c r="E10" i="10"/>
  <c r="F10" i="10"/>
  <c r="D11" i="10"/>
  <c r="F11" i="10" s="1"/>
  <c r="E11" i="10"/>
  <c r="D12" i="10"/>
  <c r="F12" i="10" s="1"/>
  <c r="E12" i="10"/>
  <c r="D13" i="10"/>
  <c r="E13" i="10"/>
  <c r="F13" i="10"/>
  <c r="D14" i="10"/>
  <c r="E14" i="10"/>
  <c r="F14" i="10"/>
  <c r="D15" i="10"/>
  <c r="F15" i="10" s="1"/>
  <c r="E15" i="10"/>
  <c r="D16" i="10"/>
  <c r="F16" i="10" s="1"/>
  <c r="E16" i="10"/>
  <c r="D17" i="10"/>
  <c r="E17" i="10"/>
  <c r="F17" i="10"/>
  <c r="D18" i="10"/>
  <c r="E18" i="10"/>
  <c r="F18" i="10"/>
  <c r="D19" i="10"/>
  <c r="F19" i="10" s="1"/>
  <c r="E19" i="10"/>
  <c r="D20" i="10"/>
  <c r="F20" i="10" s="1"/>
  <c r="E20" i="10"/>
  <c r="D21" i="10"/>
  <c r="E21" i="10"/>
  <c r="F21" i="10"/>
  <c r="D22" i="10"/>
  <c r="E22" i="10"/>
  <c r="F22" i="10"/>
  <c r="D23" i="10"/>
  <c r="F23" i="10" s="1"/>
  <c r="E23" i="10"/>
  <c r="D24" i="10"/>
  <c r="F24" i="10" s="1"/>
  <c r="E24" i="10"/>
  <c r="D25" i="10"/>
  <c r="E25" i="10"/>
  <c r="F25" i="10"/>
  <c r="D26" i="10"/>
  <c r="E26" i="10"/>
  <c r="F26" i="10"/>
  <c r="D27" i="10"/>
  <c r="F27" i="10" s="1"/>
  <c r="E27" i="10"/>
  <c r="D28" i="10"/>
  <c r="F28" i="10" s="1"/>
  <c r="E28" i="10"/>
  <c r="D29" i="10"/>
  <c r="E29" i="10"/>
  <c r="F29" i="10"/>
  <c r="D30" i="10"/>
  <c r="E30" i="10"/>
  <c r="F30" i="10"/>
  <c r="D31" i="10"/>
  <c r="F31" i="10" s="1"/>
  <c r="E31" i="10"/>
  <c r="D32" i="10"/>
  <c r="F32" i="10" s="1"/>
  <c r="E32" i="10"/>
  <c r="D33" i="10"/>
  <c r="E33" i="10"/>
  <c r="F33" i="10"/>
  <c r="D34" i="10"/>
  <c r="E34" i="10"/>
  <c r="F34" i="10"/>
  <c r="D35" i="10"/>
  <c r="F35" i="10" s="1"/>
  <c r="E35" i="10"/>
  <c r="D36" i="10"/>
  <c r="F36" i="10" s="1"/>
  <c r="E36" i="10"/>
  <c r="D37" i="10"/>
  <c r="E37" i="10"/>
  <c r="F37" i="10"/>
  <c r="D38" i="10"/>
  <c r="E38" i="10"/>
  <c r="F38" i="10"/>
  <c r="D39" i="10"/>
  <c r="F39" i="10" s="1"/>
  <c r="E39" i="10"/>
  <c r="D40" i="10"/>
  <c r="F40" i="10" s="1"/>
  <c r="E40" i="10"/>
  <c r="D41" i="10"/>
  <c r="E41" i="10"/>
  <c r="F41" i="10"/>
  <c r="D42" i="10"/>
  <c r="E42" i="10"/>
  <c r="F42" i="10"/>
  <c r="D43" i="10"/>
  <c r="F43" i="10" s="1"/>
  <c r="E43" i="10"/>
  <c r="D44" i="10"/>
  <c r="F44" i="10" s="1"/>
  <c r="E44" i="10"/>
  <c r="D45" i="10"/>
  <c r="E45" i="10"/>
  <c r="F45" i="10"/>
  <c r="D46" i="10"/>
  <c r="E46" i="10"/>
  <c r="F46" i="10"/>
  <c r="D47" i="10"/>
  <c r="F47" i="10" s="1"/>
  <c r="E47" i="10"/>
  <c r="D48" i="10"/>
  <c r="F48" i="10" s="1"/>
  <c r="E48" i="10"/>
  <c r="D49" i="10"/>
  <c r="E49" i="10"/>
  <c r="F49" i="10"/>
  <c r="D50" i="10"/>
  <c r="E50" i="10"/>
  <c r="F50" i="10"/>
  <c r="D51" i="10"/>
  <c r="F51" i="10" s="1"/>
  <c r="E51" i="10"/>
  <c r="D52" i="10"/>
  <c r="F52" i="10" s="1"/>
  <c r="E52" i="10"/>
  <c r="D53" i="10"/>
  <c r="E53" i="10"/>
  <c r="F53" i="10"/>
  <c r="D54" i="10"/>
  <c r="E54" i="10"/>
  <c r="F54" i="10"/>
  <c r="D55" i="10"/>
  <c r="F55" i="10" s="1"/>
  <c r="E55" i="10"/>
  <c r="D56" i="10"/>
  <c r="F56" i="10" s="1"/>
  <c r="E56" i="10"/>
  <c r="D57" i="10"/>
  <c r="E57" i="10"/>
  <c r="F57" i="10"/>
  <c r="D58" i="10"/>
  <c r="E58" i="10"/>
  <c r="F58" i="10"/>
  <c r="D59" i="10"/>
  <c r="F59" i="10" s="1"/>
  <c r="E59" i="10"/>
  <c r="D60" i="10"/>
  <c r="F60" i="10" s="1"/>
  <c r="E60" i="10"/>
  <c r="D61" i="10"/>
  <c r="E61" i="10"/>
  <c r="F61" i="10"/>
  <c r="D62" i="10"/>
  <c r="E62" i="10"/>
  <c r="F62" i="10"/>
  <c r="D63" i="10"/>
  <c r="F63" i="10" s="1"/>
  <c r="E63" i="10"/>
  <c r="D64" i="10"/>
  <c r="F64" i="10" s="1"/>
  <c r="E64" i="10"/>
  <c r="D65" i="10"/>
  <c r="E65" i="10"/>
  <c r="F65" i="10"/>
  <c r="D66" i="10"/>
  <c r="E66" i="10"/>
  <c r="F66" i="10"/>
  <c r="D67" i="10"/>
  <c r="F67" i="10" s="1"/>
  <c r="E67" i="10"/>
  <c r="D68" i="10"/>
  <c r="F68" i="10" s="1"/>
  <c r="E68" i="10"/>
  <c r="D2" i="9" l="1"/>
  <c r="E2" i="9"/>
  <c r="F2" i="9"/>
  <c r="D3" i="9"/>
  <c r="F3" i="9" s="1"/>
  <c r="E3" i="9"/>
  <c r="D4" i="9"/>
  <c r="F4" i="9" s="1"/>
  <c r="E4" i="9"/>
  <c r="D5" i="9"/>
  <c r="E5" i="9"/>
  <c r="F5" i="9"/>
  <c r="D6" i="9"/>
  <c r="E6" i="9"/>
  <c r="F6" i="9"/>
  <c r="D7" i="9"/>
  <c r="F7" i="9" s="1"/>
  <c r="E7" i="9"/>
  <c r="D8" i="9"/>
  <c r="F8" i="9" s="1"/>
  <c r="E8" i="9"/>
  <c r="D9" i="9"/>
  <c r="E9" i="9"/>
  <c r="F9" i="9"/>
  <c r="D10" i="9"/>
  <c r="E10" i="9"/>
  <c r="F10" i="9"/>
  <c r="D11" i="9"/>
  <c r="F11" i="9" s="1"/>
  <c r="E11" i="9"/>
  <c r="D12" i="9"/>
  <c r="F12" i="9" s="1"/>
  <c r="E12" i="9"/>
  <c r="D13" i="9"/>
  <c r="E13" i="9"/>
  <c r="F13" i="9"/>
  <c r="D14" i="9"/>
  <c r="E14" i="9"/>
  <c r="F14" i="9"/>
  <c r="D15" i="9"/>
  <c r="F15" i="9" s="1"/>
  <c r="E15" i="9"/>
  <c r="D16" i="9"/>
  <c r="F16" i="9" s="1"/>
  <c r="E16" i="9"/>
  <c r="D17" i="9"/>
  <c r="E17" i="9"/>
  <c r="F17" i="9"/>
  <c r="D18" i="9"/>
  <c r="E18" i="9"/>
  <c r="F18" i="9"/>
  <c r="D19" i="9"/>
  <c r="F19" i="9" s="1"/>
  <c r="E19" i="9"/>
  <c r="D20" i="9"/>
  <c r="F20" i="9" s="1"/>
  <c r="E20" i="9"/>
  <c r="D21" i="9"/>
  <c r="E21" i="9"/>
  <c r="F21" i="9"/>
  <c r="D22" i="9"/>
  <c r="E22" i="9"/>
  <c r="F22" i="9"/>
  <c r="D23" i="9"/>
  <c r="F23" i="9" s="1"/>
  <c r="E23" i="9"/>
  <c r="D24" i="9"/>
  <c r="F24" i="9" s="1"/>
  <c r="E24" i="9"/>
  <c r="D25" i="9"/>
  <c r="E25" i="9"/>
  <c r="F25" i="9"/>
  <c r="D26" i="9"/>
  <c r="E26" i="9"/>
  <c r="F26" i="9"/>
  <c r="D27" i="9"/>
  <c r="F27" i="9" s="1"/>
  <c r="E27" i="9"/>
  <c r="D28" i="9"/>
  <c r="F28" i="9" s="1"/>
  <c r="E28" i="9"/>
  <c r="D29" i="9"/>
  <c r="E29" i="9"/>
  <c r="F29" i="9"/>
  <c r="D30" i="9"/>
  <c r="E30" i="9"/>
  <c r="F30" i="9"/>
  <c r="D31" i="9"/>
  <c r="F31" i="9" s="1"/>
  <c r="E31" i="9"/>
  <c r="D32" i="9"/>
  <c r="F32" i="9" s="1"/>
  <c r="E32" i="9"/>
  <c r="D33" i="9"/>
  <c r="E33" i="9"/>
  <c r="F33" i="9"/>
  <c r="D34" i="9"/>
  <c r="E34" i="9"/>
  <c r="F34" i="9"/>
  <c r="D35" i="9"/>
  <c r="F35" i="9" s="1"/>
  <c r="E35" i="9"/>
  <c r="D36" i="9"/>
  <c r="F36" i="9" s="1"/>
  <c r="E36" i="9"/>
  <c r="D37" i="9"/>
  <c r="E37" i="9"/>
  <c r="F37" i="9"/>
  <c r="D38" i="9"/>
  <c r="E38" i="9"/>
  <c r="F38" i="9"/>
  <c r="D39" i="9"/>
  <c r="F39" i="9" s="1"/>
  <c r="E39" i="9"/>
  <c r="D40" i="9"/>
  <c r="F40" i="9" s="1"/>
  <c r="E40" i="9"/>
  <c r="D41" i="9"/>
  <c r="E41" i="9"/>
  <c r="F41" i="9"/>
  <c r="D42" i="9"/>
  <c r="E42" i="9"/>
  <c r="F42" i="9"/>
  <c r="D43" i="9"/>
  <c r="F43" i="9" s="1"/>
  <c r="E43" i="9"/>
  <c r="D44" i="9"/>
  <c r="F44" i="9" s="1"/>
  <c r="E44" i="9"/>
  <c r="D45" i="9"/>
  <c r="E45" i="9"/>
  <c r="F45" i="9"/>
  <c r="D46" i="9"/>
  <c r="E46" i="9"/>
  <c r="F46" i="9"/>
  <c r="D47" i="9"/>
  <c r="F47" i="9" s="1"/>
  <c r="E47" i="9"/>
  <c r="D48" i="9"/>
  <c r="F48" i="9" s="1"/>
  <c r="E48" i="9"/>
  <c r="D49" i="9"/>
  <c r="E49" i="9"/>
  <c r="F49" i="9"/>
  <c r="D50" i="9"/>
  <c r="E50" i="9"/>
  <c r="F50" i="9"/>
  <c r="D51" i="9"/>
  <c r="F51" i="9" s="1"/>
  <c r="E51" i="9"/>
  <c r="D52" i="9"/>
  <c r="F52" i="9" s="1"/>
  <c r="E52" i="9"/>
  <c r="D53" i="9"/>
  <c r="E53" i="9"/>
  <c r="F53" i="9"/>
  <c r="D54" i="9"/>
  <c r="E54" i="9"/>
  <c r="F54" i="9"/>
  <c r="D55" i="9"/>
  <c r="F55" i="9" s="1"/>
  <c r="E55" i="9"/>
  <c r="D56" i="9"/>
  <c r="F56" i="9" s="1"/>
  <c r="E56" i="9"/>
  <c r="D57" i="9"/>
  <c r="E57" i="9"/>
  <c r="F57" i="9"/>
  <c r="D58" i="9"/>
  <c r="E58" i="9"/>
  <c r="F58" i="9"/>
  <c r="D59" i="9"/>
  <c r="F59" i="9" s="1"/>
  <c r="E59" i="9"/>
  <c r="D60" i="9"/>
  <c r="F60" i="9" s="1"/>
  <c r="E60" i="9"/>
  <c r="D61" i="9"/>
  <c r="E61" i="9"/>
  <c r="F61" i="9"/>
  <c r="D62" i="9"/>
  <c r="E62" i="9"/>
  <c r="F62" i="9"/>
  <c r="D63" i="9"/>
  <c r="F63" i="9" s="1"/>
  <c r="E63" i="9"/>
  <c r="D64" i="9"/>
  <c r="F64" i="9" s="1"/>
  <c r="E64" i="9"/>
  <c r="D65" i="9"/>
  <c r="E65" i="9"/>
  <c r="F65" i="9"/>
  <c r="D66" i="9"/>
  <c r="E66" i="9"/>
  <c r="F66" i="9"/>
  <c r="D67" i="9"/>
  <c r="F67" i="9" s="1"/>
  <c r="E67" i="9"/>
  <c r="D2" i="8" l="1"/>
  <c r="E2" i="8"/>
  <c r="F2" i="8"/>
  <c r="D3" i="8"/>
  <c r="F3" i="8" s="1"/>
  <c r="E3" i="8"/>
  <c r="D4" i="8"/>
  <c r="F4" i="8" s="1"/>
  <c r="E4" i="8"/>
  <c r="D5" i="8"/>
  <c r="E5" i="8"/>
  <c r="F5" i="8"/>
  <c r="D6" i="8"/>
  <c r="E6" i="8"/>
  <c r="F6" i="8"/>
  <c r="D7" i="8"/>
  <c r="F7" i="8" s="1"/>
  <c r="E7" i="8"/>
  <c r="D8" i="8"/>
  <c r="F8" i="8" s="1"/>
  <c r="E8" i="8"/>
  <c r="D9" i="8"/>
  <c r="E9" i="8"/>
  <c r="F9" i="8"/>
  <c r="D10" i="8"/>
  <c r="E10" i="8"/>
  <c r="F10" i="8"/>
  <c r="D11" i="8"/>
  <c r="F11" i="8" s="1"/>
  <c r="E11" i="8"/>
  <c r="D12" i="8"/>
  <c r="F12" i="8" s="1"/>
  <c r="E12" i="8"/>
  <c r="D13" i="8"/>
  <c r="E13" i="8"/>
  <c r="F13" i="8"/>
  <c r="D14" i="8"/>
  <c r="E14" i="8"/>
  <c r="F14" i="8"/>
  <c r="D15" i="8"/>
  <c r="F15" i="8" s="1"/>
  <c r="E15" i="8"/>
  <c r="D16" i="8"/>
  <c r="F16" i="8" s="1"/>
  <c r="E16" i="8"/>
  <c r="D17" i="8"/>
  <c r="E17" i="8"/>
  <c r="F17" i="8"/>
  <c r="D18" i="8"/>
  <c r="E18" i="8"/>
  <c r="F18" i="8"/>
  <c r="D19" i="8"/>
  <c r="F19" i="8" s="1"/>
  <c r="E19" i="8"/>
  <c r="D20" i="8"/>
  <c r="F20" i="8" s="1"/>
  <c r="E20" i="8"/>
  <c r="D21" i="8"/>
  <c r="E21" i="8"/>
  <c r="F21" i="8"/>
  <c r="D22" i="8"/>
  <c r="E22" i="8"/>
  <c r="F22" i="8"/>
  <c r="D23" i="8"/>
  <c r="F23" i="8" s="1"/>
  <c r="E23" i="8"/>
  <c r="D24" i="8"/>
  <c r="F24" i="8" s="1"/>
  <c r="E24" i="8"/>
  <c r="D25" i="8"/>
  <c r="E25" i="8"/>
  <c r="F25" i="8"/>
  <c r="D26" i="8"/>
  <c r="E26" i="8"/>
  <c r="F26" i="8"/>
  <c r="D27" i="8"/>
  <c r="F27" i="8" s="1"/>
  <c r="E27" i="8"/>
  <c r="D28" i="8"/>
  <c r="F28" i="8" s="1"/>
  <c r="E28" i="8"/>
  <c r="D29" i="8"/>
  <c r="E29" i="8"/>
  <c r="F29" i="8"/>
  <c r="D30" i="8"/>
  <c r="E30" i="8"/>
  <c r="F30" i="8"/>
  <c r="D31" i="8"/>
  <c r="F31" i="8" s="1"/>
  <c r="E31" i="8"/>
  <c r="D32" i="8"/>
  <c r="F32" i="8" s="1"/>
  <c r="E32" i="8"/>
  <c r="D33" i="8"/>
  <c r="E33" i="8"/>
  <c r="F33" i="8"/>
  <c r="D34" i="8"/>
  <c r="E34" i="8"/>
  <c r="F34" i="8"/>
  <c r="D35" i="8"/>
  <c r="F35" i="8" s="1"/>
  <c r="E35" i="8"/>
  <c r="D36" i="8"/>
  <c r="F36" i="8" s="1"/>
  <c r="E36" i="8"/>
  <c r="D37" i="8"/>
  <c r="E37" i="8"/>
  <c r="F37" i="8"/>
  <c r="D38" i="8"/>
  <c r="E38" i="8"/>
  <c r="F38" i="8"/>
  <c r="D39" i="8"/>
  <c r="F39" i="8" s="1"/>
  <c r="E39" i="8"/>
  <c r="D40" i="8"/>
  <c r="F40" i="8" s="1"/>
  <c r="E40" i="8"/>
  <c r="D41" i="8"/>
  <c r="E41" i="8"/>
  <c r="F41" i="8"/>
  <c r="D42" i="8"/>
  <c r="E42" i="8"/>
  <c r="F42" i="8"/>
  <c r="D43" i="8"/>
  <c r="F43" i="8" s="1"/>
  <c r="E43" i="8"/>
  <c r="D44" i="8"/>
  <c r="F44" i="8" s="1"/>
  <c r="E44" i="8"/>
  <c r="D45" i="8"/>
  <c r="E45" i="8"/>
  <c r="F45" i="8"/>
  <c r="D46" i="8"/>
  <c r="E46" i="8"/>
  <c r="F46" i="8"/>
  <c r="D47" i="8"/>
  <c r="F47" i="8" s="1"/>
  <c r="E47" i="8"/>
  <c r="D48" i="8"/>
  <c r="F48" i="8" s="1"/>
  <c r="E48" i="8"/>
  <c r="D49" i="8"/>
  <c r="E49" i="8"/>
  <c r="F49" i="8"/>
  <c r="D50" i="8"/>
  <c r="E50" i="8"/>
  <c r="F50" i="8"/>
  <c r="D51" i="8"/>
  <c r="F51" i="8" s="1"/>
  <c r="E51" i="8"/>
  <c r="D52" i="8"/>
  <c r="F52" i="8" s="1"/>
  <c r="E52" i="8"/>
  <c r="D53" i="8"/>
  <c r="E53" i="8"/>
  <c r="F53" i="8"/>
  <c r="D54" i="8"/>
  <c r="E54" i="8"/>
  <c r="F54" i="8"/>
  <c r="D55" i="8"/>
  <c r="F55" i="8" s="1"/>
  <c r="E55" i="8"/>
  <c r="D56" i="8"/>
  <c r="F56" i="8" s="1"/>
  <c r="E56" i="8"/>
  <c r="D57" i="8"/>
  <c r="E57" i="8"/>
  <c r="F57" i="8"/>
  <c r="D58" i="8"/>
  <c r="E58" i="8"/>
  <c r="F58" i="8"/>
  <c r="D59" i="8"/>
  <c r="F59" i="8" s="1"/>
  <c r="E59" i="8"/>
  <c r="D60" i="8"/>
  <c r="F60" i="8" s="1"/>
  <c r="E60" i="8"/>
  <c r="D61" i="8"/>
  <c r="E61" i="8"/>
  <c r="F61" i="8"/>
  <c r="D62" i="8"/>
  <c r="E62" i="8"/>
  <c r="F62" i="8"/>
  <c r="D63" i="8"/>
  <c r="F63" i="8" s="1"/>
  <c r="E63" i="8"/>
  <c r="D64" i="8"/>
  <c r="F64" i="8" s="1"/>
  <c r="E64" i="8"/>
  <c r="D65" i="8"/>
  <c r="E65" i="8"/>
  <c r="F65" i="8"/>
  <c r="D66" i="8"/>
  <c r="E66" i="8"/>
  <c r="F66" i="8"/>
  <c r="D67" i="8"/>
  <c r="F67" i="8" s="1"/>
  <c r="E67" i="8"/>
  <c r="D2" i="7" l="1"/>
  <c r="E2" i="7"/>
  <c r="F2" i="7"/>
  <c r="D3" i="7"/>
  <c r="F3" i="7" s="1"/>
  <c r="E3" i="7"/>
  <c r="D4" i="7"/>
  <c r="F4" i="7" s="1"/>
  <c r="E4" i="7"/>
  <c r="D5" i="7"/>
  <c r="E5" i="7"/>
  <c r="F5" i="7"/>
  <c r="D6" i="7"/>
  <c r="E6" i="7"/>
  <c r="F6" i="7"/>
  <c r="D7" i="7"/>
  <c r="F7" i="7" s="1"/>
  <c r="E7" i="7"/>
  <c r="D8" i="7"/>
  <c r="F8" i="7" s="1"/>
  <c r="E8" i="7"/>
  <c r="D9" i="7"/>
  <c r="E9" i="7"/>
  <c r="F9" i="7"/>
  <c r="D10" i="7"/>
  <c r="E10" i="7"/>
  <c r="F10" i="7"/>
  <c r="D11" i="7"/>
  <c r="F11" i="7" s="1"/>
  <c r="E11" i="7"/>
  <c r="D12" i="7"/>
  <c r="F12" i="7" s="1"/>
  <c r="E12" i="7"/>
  <c r="D13" i="7"/>
  <c r="E13" i="7"/>
  <c r="F13" i="7"/>
  <c r="D14" i="7"/>
  <c r="E14" i="7"/>
  <c r="F14" i="7"/>
  <c r="D15" i="7"/>
  <c r="F15" i="7" s="1"/>
  <c r="E15" i="7"/>
  <c r="D16" i="7"/>
  <c r="F16" i="7" s="1"/>
  <c r="E16" i="7"/>
  <c r="D17" i="7"/>
  <c r="E17" i="7"/>
  <c r="F17" i="7"/>
  <c r="D18" i="7"/>
  <c r="E18" i="7"/>
  <c r="F18" i="7"/>
  <c r="D19" i="7"/>
  <c r="F19" i="7" s="1"/>
  <c r="E19" i="7"/>
  <c r="D20" i="7"/>
  <c r="F20" i="7" s="1"/>
  <c r="E20" i="7"/>
  <c r="D21" i="7"/>
  <c r="E21" i="7"/>
  <c r="F21" i="7"/>
  <c r="D22" i="7"/>
  <c r="E22" i="7"/>
  <c r="F22" i="7"/>
  <c r="D23" i="7"/>
  <c r="F23" i="7" s="1"/>
  <c r="E23" i="7"/>
  <c r="D24" i="7"/>
  <c r="F24" i="7" s="1"/>
  <c r="E24" i="7"/>
  <c r="D25" i="7"/>
  <c r="E25" i="7"/>
  <c r="F25" i="7"/>
  <c r="D26" i="7"/>
  <c r="E26" i="7"/>
  <c r="F26" i="7"/>
  <c r="D27" i="7"/>
  <c r="F27" i="7" s="1"/>
  <c r="E27" i="7"/>
  <c r="D28" i="7"/>
  <c r="F28" i="7" s="1"/>
  <c r="E28" i="7"/>
  <c r="D29" i="7"/>
  <c r="E29" i="7"/>
  <c r="F29" i="7"/>
  <c r="D30" i="7"/>
  <c r="E30" i="7"/>
  <c r="F30" i="7"/>
  <c r="D31" i="7"/>
  <c r="F31" i="7" s="1"/>
  <c r="E31" i="7"/>
  <c r="D32" i="7"/>
  <c r="F32" i="7" s="1"/>
  <c r="E32" i="7"/>
  <c r="D33" i="7"/>
  <c r="E33" i="7"/>
  <c r="F33" i="7"/>
  <c r="D34" i="7"/>
  <c r="E34" i="7"/>
  <c r="F34" i="7"/>
  <c r="D35" i="7"/>
  <c r="F35" i="7" s="1"/>
  <c r="E35" i="7"/>
  <c r="D36" i="7"/>
  <c r="F36" i="7" s="1"/>
  <c r="E36" i="7"/>
  <c r="D37" i="7"/>
  <c r="E37" i="7"/>
  <c r="F37" i="7"/>
  <c r="D38" i="7"/>
  <c r="E38" i="7"/>
  <c r="F38" i="7"/>
  <c r="D39" i="7"/>
  <c r="F39" i="7" s="1"/>
  <c r="E39" i="7"/>
  <c r="D40" i="7"/>
  <c r="F40" i="7" s="1"/>
  <c r="E40" i="7"/>
  <c r="D41" i="7"/>
  <c r="E41" i="7"/>
  <c r="F41" i="7"/>
  <c r="D42" i="7"/>
  <c r="E42" i="7"/>
  <c r="F42" i="7"/>
  <c r="D43" i="7"/>
  <c r="F43" i="7" s="1"/>
  <c r="E43" i="7"/>
  <c r="D44" i="7"/>
  <c r="F44" i="7" s="1"/>
  <c r="E44" i="7"/>
  <c r="D45" i="7"/>
  <c r="E45" i="7"/>
  <c r="F45" i="7"/>
  <c r="D46" i="7"/>
  <c r="E46" i="7"/>
  <c r="F46" i="7"/>
  <c r="D47" i="7"/>
  <c r="F47" i="7" s="1"/>
  <c r="E47" i="7"/>
  <c r="D48" i="7"/>
  <c r="F48" i="7" s="1"/>
  <c r="E48" i="7"/>
  <c r="D49" i="7"/>
  <c r="E49" i="7"/>
  <c r="F49" i="7"/>
  <c r="D50" i="7"/>
  <c r="E50" i="7"/>
  <c r="F50" i="7"/>
  <c r="D51" i="7"/>
  <c r="F51" i="7" s="1"/>
  <c r="E51" i="7"/>
  <c r="D52" i="7"/>
  <c r="F52" i="7" s="1"/>
  <c r="E52" i="7"/>
  <c r="D53" i="7"/>
  <c r="E53" i="7"/>
  <c r="F53" i="7"/>
  <c r="D54" i="7"/>
  <c r="E54" i="7"/>
  <c r="F54" i="7"/>
  <c r="D55" i="7"/>
  <c r="F55" i="7" s="1"/>
  <c r="E55" i="7"/>
  <c r="D56" i="7"/>
  <c r="F56" i="7" s="1"/>
  <c r="E56" i="7"/>
  <c r="D57" i="7"/>
  <c r="E57" i="7"/>
  <c r="F57" i="7"/>
  <c r="D58" i="7"/>
  <c r="E58" i="7"/>
  <c r="F58" i="7"/>
  <c r="D59" i="7"/>
  <c r="F59" i="7" s="1"/>
  <c r="E59" i="7"/>
  <c r="D60" i="7"/>
  <c r="F60" i="7" s="1"/>
  <c r="E60" i="7"/>
  <c r="D61" i="7"/>
  <c r="E61" i="7"/>
  <c r="F61" i="7"/>
  <c r="D62" i="7"/>
  <c r="E62" i="7"/>
  <c r="F62" i="7"/>
  <c r="D63" i="7"/>
  <c r="F63" i="7" s="1"/>
  <c r="E63" i="7"/>
  <c r="D64" i="7"/>
  <c r="F64" i="7" s="1"/>
  <c r="E64" i="7"/>
  <c r="D65" i="7"/>
  <c r="E65" i="7"/>
  <c r="F65" i="7"/>
  <c r="D2" i="6"/>
  <c r="E2" i="6"/>
  <c r="F2" i="6"/>
  <c r="D3" i="6"/>
  <c r="F3" i="6" s="1"/>
  <c r="E3" i="6"/>
  <c r="D4" i="6"/>
  <c r="F4" i="6" s="1"/>
  <c r="E4" i="6"/>
  <c r="D5" i="6"/>
  <c r="E5" i="6"/>
  <c r="F5" i="6"/>
  <c r="D6" i="6"/>
  <c r="E6" i="6"/>
  <c r="F6" i="6"/>
  <c r="D7" i="6"/>
  <c r="F7" i="6" s="1"/>
  <c r="E7" i="6"/>
  <c r="D8" i="6"/>
  <c r="F8" i="6" s="1"/>
  <c r="E8" i="6"/>
  <c r="D9" i="6"/>
  <c r="E9" i="6"/>
  <c r="F9" i="6"/>
  <c r="D10" i="6"/>
  <c r="E10" i="6"/>
  <c r="F10" i="6"/>
  <c r="D11" i="6"/>
  <c r="F11" i="6" s="1"/>
  <c r="E11" i="6"/>
  <c r="D12" i="6"/>
  <c r="F12" i="6" s="1"/>
  <c r="E12" i="6"/>
  <c r="D13" i="6"/>
  <c r="E13" i="6"/>
  <c r="F13" i="6"/>
  <c r="D14" i="6"/>
  <c r="E14" i="6"/>
  <c r="F14" i="6"/>
  <c r="D15" i="6"/>
  <c r="F15" i="6" s="1"/>
  <c r="E15" i="6"/>
  <c r="D16" i="6"/>
  <c r="F16" i="6" s="1"/>
  <c r="E16" i="6"/>
  <c r="D17" i="6"/>
  <c r="E17" i="6"/>
  <c r="F17" i="6"/>
  <c r="D18" i="6"/>
  <c r="E18" i="6"/>
  <c r="F18" i="6"/>
  <c r="D19" i="6"/>
  <c r="F19" i="6" s="1"/>
  <c r="E19" i="6"/>
  <c r="D20" i="6"/>
  <c r="F20" i="6" s="1"/>
  <c r="E20" i="6"/>
  <c r="D21" i="6"/>
  <c r="E21" i="6"/>
  <c r="F21" i="6"/>
  <c r="D22" i="6"/>
  <c r="E22" i="6"/>
  <c r="F22" i="6"/>
  <c r="D23" i="6"/>
  <c r="F23" i="6" s="1"/>
  <c r="E23" i="6"/>
  <c r="D24" i="6"/>
  <c r="F24" i="6" s="1"/>
  <c r="E24" i="6"/>
  <c r="D25" i="6"/>
  <c r="E25" i="6"/>
  <c r="F25" i="6"/>
  <c r="D26" i="6"/>
  <c r="E26" i="6"/>
  <c r="F26" i="6"/>
  <c r="D27" i="6"/>
  <c r="F27" i="6" s="1"/>
  <c r="E27" i="6"/>
  <c r="D28" i="6"/>
  <c r="F28" i="6" s="1"/>
  <c r="E28" i="6"/>
  <c r="D29" i="6"/>
  <c r="E29" i="6"/>
  <c r="F29" i="6"/>
  <c r="D30" i="6"/>
  <c r="E30" i="6"/>
  <c r="F30" i="6"/>
  <c r="D31" i="6"/>
  <c r="F31" i="6" s="1"/>
  <c r="E31" i="6"/>
  <c r="D32" i="6"/>
  <c r="F32" i="6" s="1"/>
  <c r="E32" i="6"/>
  <c r="D33" i="6"/>
  <c r="E33" i="6"/>
  <c r="F33" i="6"/>
  <c r="D34" i="6"/>
  <c r="E34" i="6"/>
  <c r="F34" i="6"/>
  <c r="D35" i="6"/>
  <c r="F35" i="6" s="1"/>
  <c r="E35" i="6"/>
  <c r="D36" i="6"/>
  <c r="F36" i="6" s="1"/>
  <c r="E36" i="6"/>
  <c r="D37" i="6"/>
  <c r="E37" i="6"/>
  <c r="F37" i="6"/>
  <c r="D38" i="6"/>
  <c r="E38" i="6"/>
  <c r="F38" i="6"/>
  <c r="D39" i="6"/>
  <c r="F39" i="6" s="1"/>
  <c r="E39" i="6"/>
  <c r="D40" i="6"/>
  <c r="F40" i="6" s="1"/>
  <c r="E40" i="6"/>
  <c r="D41" i="6"/>
  <c r="E41" i="6"/>
  <c r="F41" i="6"/>
  <c r="D42" i="6"/>
  <c r="E42" i="6"/>
  <c r="F42" i="6"/>
  <c r="D43" i="6"/>
  <c r="F43" i="6" s="1"/>
  <c r="E43" i="6"/>
  <c r="D44" i="6"/>
  <c r="F44" i="6" s="1"/>
  <c r="E44" i="6"/>
  <c r="D45" i="6"/>
  <c r="E45" i="6"/>
  <c r="F45" i="6"/>
  <c r="D46" i="6"/>
  <c r="E46" i="6"/>
  <c r="F46" i="6"/>
  <c r="D47" i="6"/>
  <c r="F47" i="6" s="1"/>
  <c r="E47" i="6"/>
  <c r="D48" i="6"/>
  <c r="F48" i="6" s="1"/>
  <c r="E48" i="6"/>
  <c r="D49" i="6"/>
  <c r="E49" i="6"/>
  <c r="F49" i="6"/>
  <c r="D50" i="6"/>
  <c r="E50" i="6"/>
  <c r="F50" i="6"/>
  <c r="D51" i="6"/>
  <c r="F51" i="6" s="1"/>
  <c r="E51" i="6"/>
  <c r="D52" i="6"/>
  <c r="F52" i="6" s="1"/>
  <c r="E52" i="6"/>
  <c r="D53" i="6"/>
  <c r="E53" i="6"/>
  <c r="F53" i="6"/>
  <c r="D54" i="6"/>
  <c r="E54" i="6"/>
  <c r="F54" i="6"/>
  <c r="D55" i="6"/>
  <c r="F55" i="6" s="1"/>
  <c r="E55" i="6"/>
  <c r="D56" i="6"/>
  <c r="F56" i="6" s="1"/>
  <c r="E56" i="6"/>
  <c r="D57" i="6"/>
  <c r="E57" i="6"/>
  <c r="F57" i="6"/>
  <c r="D58" i="6"/>
  <c r="E58" i="6"/>
  <c r="F58" i="6"/>
  <c r="D59" i="6"/>
  <c r="F59" i="6" s="1"/>
  <c r="E59" i="6"/>
  <c r="D60" i="6"/>
  <c r="F60" i="6" s="1"/>
  <c r="E60" i="6"/>
  <c r="D61" i="6"/>
  <c r="E61" i="6"/>
  <c r="F61" i="6"/>
  <c r="D62" i="6"/>
  <c r="E62" i="6"/>
  <c r="F62" i="6"/>
  <c r="D63" i="6"/>
  <c r="F63" i="6" s="1"/>
  <c r="E63" i="6"/>
  <c r="D64" i="6"/>
  <c r="F64" i="6" s="1"/>
  <c r="E64" i="6"/>
  <c r="D2" i="5"/>
  <c r="E2" i="5"/>
  <c r="F2" i="5"/>
  <c r="D3" i="5"/>
  <c r="F3" i="5" s="1"/>
  <c r="E3" i="5"/>
  <c r="D4" i="5"/>
  <c r="F4" i="5" s="1"/>
  <c r="E4" i="5"/>
  <c r="D5" i="5"/>
  <c r="E5" i="5"/>
  <c r="F5" i="5"/>
  <c r="D6" i="5"/>
  <c r="E6" i="5"/>
  <c r="F6" i="5"/>
  <c r="D7" i="5"/>
  <c r="F7" i="5" s="1"/>
  <c r="E7" i="5"/>
  <c r="D8" i="5"/>
  <c r="F8" i="5" s="1"/>
  <c r="E8" i="5"/>
  <c r="D9" i="5"/>
  <c r="E9" i="5"/>
  <c r="F9" i="5"/>
  <c r="D10" i="5"/>
  <c r="E10" i="5"/>
  <c r="F10" i="5"/>
  <c r="D11" i="5"/>
  <c r="F11" i="5" s="1"/>
  <c r="E11" i="5"/>
  <c r="D12" i="5"/>
  <c r="F12" i="5" s="1"/>
  <c r="E12" i="5"/>
  <c r="D13" i="5"/>
  <c r="E13" i="5"/>
  <c r="F13" i="5"/>
  <c r="D14" i="5"/>
  <c r="E14" i="5"/>
  <c r="F14" i="5"/>
  <c r="D15" i="5"/>
  <c r="F15" i="5" s="1"/>
  <c r="E15" i="5"/>
  <c r="D16" i="5"/>
  <c r="F16" i="5" s="1"/>
  <c r="E16" i="5"/>
  <c r="D17" i="5"/>
  <c r="E17" i="5"/>
  <c r="F17" i="5"/>
  <c r="D18" i="5"/>
  <c r="E18" i="5"/>
  <c r="F18" i="5"/>
  <c r="D19" i="5"/>
  <c r="F19" i="5" s="1"/>
  <c r="E19" i="5"/>
  <c r="D20" i="5"/>
  <c r="F20" i="5" s="1"/>
  <c r="E20" i="5"/>
  <c r="D21" i="5"/>
  <c r="E21" i="5"/>
  <c r="F21" i="5"/>
  <c r="D22" i="5"/>
  <c r="E22" i="5"/>
  <c r="F22" i="5"/>
  <c r="D23" i="5"/>
  <c r="F23" i="5" s="1"/>
  <c r="E23" i="5"/>
  <c r="D24" i="5"/>
  <c r="F24" i="5" s="1"/>
  <c r="E24" i="5"/>
  <c r="D25" i="5"/>
  <c r="E25" i="5"/>
  <c r="F25" i="5"/>
  <c r="D26" i="5"/>
  <c r="E26" i="5"/>
  <c r="F26" i="5"/>
  <c r="D27" i="5"/>
  <c r="F27" i="5" s="1"/>
  <c r="E27" i="5"/>
  <c r="D28" i="5"/>
  <c r="F28" i="5" s="1"/>
  <c r="E28" i="5"/>
  <c r="D29" i="5"/>
  <c r="E29" i="5"/>
  <c r="F29" i="5"/>
  <c r="D30" i="5"/>
  <c r="E30" i="5"/>
  <c r="F30" i="5"/>
  <c r="D31" i="5"/>
  <c r="F31" i="5" s="1"/>
  <c r="E31" i="5"/>
  <c r="D32" i="5"/>
  <c r="F32" i="5" s="1"/>
  <c r="E32" i="5"/>
  <c r="D33" i="5"/>
  <c r="E33" i="5"/>
  <c r="F33" i="5"/>
  <c r="D34" i="5"/>
  <c r="E34" i="5"/>
  <c r="F34" i="5"/>
  <c r="D35" i="5"/>
  <c r="F35" i="5" s="1"/>
  <c r="E35" i="5"/>
  <c r="D36" i="5"/>
  <c r="F36" i="5" s="1"/>
  <c r="E36" i="5"/>
  <c r="D37" i="5"/>
  <c r="E37" i="5"/>
  <c r="F37" i="5"/>
  <c r="D38" i="5"/>
  <c r="E38" i="5"/>
  <c r="F38" i="5"/>
  <c r="D39" i="5"/>
  <c r="F39" i="5" s="1"/>
  <c r="E39" i="5"/>
  <c r="D40" i="5"/>
  <c r="F40" i="5" s="1"/>
  <c r="E40" i="5"/>
  <c r="D41" i="5"/>
  <c r="E41" i="5"/>
  <c r="F41" i="5"/>
  <c r="D42" i="5"/>
  <c r="E42" i="5"/>
  <c r="F42" i="5"/>
  <c r="D43" i="5"/>
  <c r="F43" i="5" s="1"/>
  <c r="E43" i="5"/>
  <c r="D44" i="5"/>
  <c r="F44" i="5" s="1"/>
  <c r="E44" i="5"/>
  <c r="D45" i="5"/>
  <c r="E45" i="5"/>
  <c r="F45" i="5"/>
  <c r="D46" i="5"/>
  <c r="E46" i="5"/>
  <c r="F46" i="5"/>
  <c r="D47" i="5"/>
  <c r="F47" i="5" s="1"/>
  <c r="E47" i="5"/>
  <c r="D48" i="5"/>
  <c r="F48" i="5" s="1"/>
  <c r="E48" i="5"/>
  <c r="D49" i="5"/>
  <c r="E49" i="5"/>
  <c r="F49" i="5"/>
  <c r="D50" i="5"/>
  <c r="E50" i="5"/>
  <c r="F50" i="5"/>
  <c r="D51" i="5"/>
  <c r="F51" i="5" s="1"/>
  <c r="E51" i="5"/>
  <c r="D52" i="5"/>
  <c r="F52" i="5" s="1"/>
  <c r="E52" i="5"/>
  <c r="D53" i="5"/>
  <c r="E53" i="5"/>
  <c r="F53" i="5"/>
  <c r="D54" i="5"/>
  <c r="E54" i="5"/>
  <c r="F54" i="5"/>
  <c r="D55" i="5"/>
  <c r="F55" i="5" s="1"/>
  <c r="E55" i="5"/>
  <c r="D56" i="5"/>
  <c r="F56" i="5" s="1"/>
  <c r="E56" i="5"/>
  <c r="D57" i="5"/>
  <c r="E57" i="5"/>
  <c r="F57" i="5"/>
  <c r="D58" i="5"/>
  <c r="E58" i="5"/>
  <c r="F58" i="5"/>
  <c r="D59" i="5"/>
  <c r="F59" i="5" s="1"/>
  <c r="E59" i="5"/>
  <c r="D60" i="5"/>
  <c r="F60" i="5" s="1"/>
  <c r="E60" i="5"/>
  <c r="D61" i="5"/>
  <c r="E61" i="5"/>
  <c r="F61" i="5"/>
  <c r="D62" i="5"/>
  <c r="E62" i="5"/>
  <c r="F62" i="5"/>
  <c r="D63" i="5"/>
  <c r="F63" i="5" s="1"/>
  <c r="E63" i="5"/>
  <c r="D64" i="5"/>
  <c r="F64" i="5" s="1"/>
  <c r="E64" i="5"/>
  <c r="D2" i="4"/>
  <c r="E2" i="4"/>
  <c r="F2" i="4"/>
  <c r="D3" i="4"/>
  <c r="F3" i="4" s="1"/>
  <c r="E3" i="4"/>
  <c r="D4" i="4"/>
  <c r="F4" i="4" s="1"/>
  <c r="E4" i="4"/>
  <c r="D5" i="4"/>
  <c r="E5" i="4"/>
  <c r="F5" i="4"/>
  <c r="D6" i="4"/>
  <c r="E6" i="4"/>
  <c r="F6" i="4"/>
  <c r="D7" i="4"/>
  <c r="F7" i="4" s="1"/>
  <c r="E7" i="4"/>
  <c r="D8" i="4"/>
  <c r="F8" i="4" s="1"/>
  <c r="E8" i="4"/>
  <c r="D9" i="4"/>
  <c r="E9" i="4"/>
  <c r="F9" i="4"/>
  <c r="D10" i="4"/>
  <c r="E10" i="4"/>
  <c r="F10" i="4"/>
  <c r="D11" i="4"/>
  <c r="F11" i="4" s="1"/>
  <c r="E11" i="4"/>
  <c r="D12" i="4"/>
  <c r="F12" i="4" s="1"/>
  <c r="E12" i="4"/>
  <c r="D13" i="4"/>
  <c r="E13" i="4"/>
  <c r="F13" i="4"/>
  <c r="D14" i="4"/>
  <c r="E14" i="4"/>
  <c r="F14" i="4"/>
  <c r="D15" i="4"/>
  <c r="F15" i="4" s="1"/>
  <c r="E15" i="4"/>
  <c r="D16" i="4"/>
  <c r="F16" i="4" s="1"/>
  <c r="E16" i="4"/>
  <c r="D17" i="4"/>
  <c r="E17" i="4"/>
  <c r="F17" i="4"/>
  <c r="D18" i="4"/>
  <c r="E18" i="4"/>
  <c r="F18" i="4"/>
  <c r="D19" i="4"/>
  <c r="F19" i="4" s="1"/>
  <c r="E19" i="4"/>
  <c r="D20" i="4"/>
  <c r="F20" i="4" s="1"/>
  <c r="E20" i="4"/>
  <c r="D21" i="4"/>
  <c r="E21" i="4"/>
  <c r="F21" i="4"/>
  <c r="D22" i="4"/>
  <c r="E22" i="4"/>
  <c r="F22" i="4"/>
  <c r="D23" i="4"/>
  <c r="F23" i="4" s="1"/>
  <c r="E23" i="4"/>
  <c r="D24" i="4"/>
  <c r="F24" i="4" s="1"/>
  <c r="E24" i="4"/>
  <c r="D25" i="4"/>
  <c r="E25" i="4"/>
  <c r="F25" i="4"/>
  <c r="D26" i="4"/>
  <c r="E26" i="4"/>
  <c r="F26" i="4"/>
  <c r="D27" i="4"/>
  <c r="F27" i="4" s="1"/>
  <c r="E27" i="4"/>
  <c r="D28" i="4"/>
  <c r="F28" i="4" s="1"/>
  <c r="E28" i="4"/>
  <c r="D29" i="4"/>
  <c r="E29" i="4"/>
  <c r="F29" i="4"/>
  <c r="D30" i="4"/>
  <c r="E30" i="4"/>
  <c r="F30" i="4"/>
  <c r="D31" i="4"/>
  <c r="F31" i="4" s="1"/>
  <c r="E31" i="4"/>
  <c r="D32" i="4"/>
  <c r="F32" i="4" s="1"/>
  <c r="E32" i="4"/>
  <c r="D33" i="4"/>
  <c r="E33" i="4"/>
  <c r="F33" i="4"/>
  <c r="D34" i="4"/>
  <c r="E34" i="4"/>
  <c r="F34" i="4"/>
  <c r="D35" i="4"/>
  <c r="F35" i="4" s="1"/>
  <c r="E35" i="4"/>
  <c r="D36" i="4"/>
  <c r="F36" i="4" s="1"/>
  <c r="E36" i="4"/>
  <c r="D37" i="4"/>
  <c r="E37" i="4"/>
  <c r="F37" i="4"/>
  <c r="D38" i="4"/>
  <c r="E38" i="4"/>
  <c r="F38" i="4"/>
  <c r="D39" i="4"/>
  <c r="F39" i="4" s="1"/>
  <c r="E39" i="4"/>
  <c r="D40" i="4"/>
  <c r="F40" i="4" s="1"/>
  <c r="E40" i="4"/>
  <c r="D41" i="4"/>
  <c r="E41" i="4"/>
  <c r="F41" i="4"/>
  <c r="D42" i="4"/>
  <c r="E42" i="4"/>
  <c r="F42" i="4"/>
  <c r="D43" i="4"/>
  <c r="F43" i="4" s="1"/>
  <c r="E43" i="4"/>
  <c r="D44" i="4"/>
  <c r="F44" i="4" s="1"/>
  <c r="E44" i="4"/>
  <c r="D45" i="4"/>
  <c r="E45" i="4"/>
  <c r="F45" i="4"/>
  <c r="D46" i="4"/>
  <c r="E46" i="4"/>
  <c r="F46" i="4"/>
  <c r="D47" i="4"/>
  <c r="F47" i="4" s="1"/>
  <c r="E47" i="4"/>
  <c r="D48" i="4"/>
  <c r="F48" i="4" s="1"/>
  <c r="E48" i="4"/>
  <c r="D49" i="4"/>
  <c r="E49" i="4"/>
  <c r="F49" i="4"/>
  <c r="D50" i="4"/>
  <c r="E50" i="4"/>
  <c r="F50" i="4"/>
  <c r="D51" i="4"/>
  <c r="F51" i="4" s="1"/>
  <c r="E51" i="4"/>
  <c r="D52" i="4"/>
  <c r="F52" i="4" s="1"/>
  <c r="E52" i="4"/>
  <c r="D53" i="4"/>
  <c r="E53" i="4"/>
  <c r="F53" i="4"/>
  <c r="D54" i="4"/>
  <c r="E54" i="4"/>
  <c r="F54" i="4"/>
  <c r="D55" i="4"/>
  <c r="F55" i="4" s="1"/>
  <c r="E55" i="4"/>
  <c r="D56" i="4"/>
  <c r="F56" i="4" s="1"/>
  <c r="E56" i="4"/>
  <c r="D57" i="4"/>
  <c r="E57" i="4"/>
  <c r="F57" i="4"/>
  <c r="D58" i="4"/>
  <c r="E58" i="4"/>
  <c r="F58" i="4"/>
  <c r="D59" i="4"/>
  <c r="F59" i="4" s="1"/>
  <c r="E59" i="4"/>
  <c r="D60" i="4"/>
  <c r="F60" i="4" s="1"/>
  <c r="E60" i="4"/>
  <c r="D61" i="4"/>
  <c r="E61" i="4"/>
  <c r="F61" i="4"/>
  <c r="D62" i="4"/>
  <c r="E62" i="4"/>
  <c r="F62" i="4"/>
  <c r="D63" i="4"/>
  <c r="F63" i="4" s="1"/>
  <c r="E63" i="4"/>
  <c r="D64" i="4"/>
  <c r="F64" i="4" s="1"/>
  <c r="E64" i="4"/>
  <c r="D65" i="4"/>
  <c r="E65" i="4"/>
  <c r="F65" i="4"/>
  <c r="D66" i="4"/>
  <c r="E66" i="4"/>
  <c r="F66" i="4"/>
  <c r="D67" i="4"/>
  <c r="F67" i="4" s="1"/>
  <c r="E67" i="4"/>
  <c r="D68" i="4"/>
  <c r="F68" i="4" s="1"/>
  <c r="E68" i="4"/>
  <c r="D69" i="4"/>
  <c r="E69" i="4"/>
  <c r="F69" i="4"/>
  <c r="D2" i="3" l="1"/>
  <c r="F2" i="3" s="1"/>
  <c r="E2" i="3"/>
  <c r="D3" i="3"/>
  <c r="E3" i="3"/>
  <c r="F3" i="3"/>
  <c r="D4" i="3"/>
  <c r="E4" i="3"/>
  <c r="F4" i="3"/>
  <c r="D5" i="3"/>
  <c r="F5" i="3" s="1"/>
  <c r="E5" i="3"/>
  <c r="D6" i="3"/>
  <c r="F6" i="3" s="1"/>
  <c r="E6" i="3"/>
  <c r="D7" i="3"/>
  <c r="E7" i="3"/>
  <c r="F7" i="3"/>
  <c r="D8" i="3"/>
  <c r="E8" i="3"/>
  <c r="F8" i="3"/>
  <c r="D9" i="3"/>
  <c r="F9" i="3" s="1"/>
  <c r="E9" i="3"/>
  <c r="D10" i="3"/>
  <c r="F10" i="3" s="1"/>
  <c r="E10" i="3"/>
  <c r="D11" i="3"/>
  <c r="E11" i="3"/>
  <c r="F11" i="3"/>
  <c r="D12" i="3"/>
  <c r="E12" i="3"/>
  <c r="F12" i="3"/>
  <c r="D13" i="3"/>
  <c r="F13" i="3" s="1"/>
  <c r="E13" i="3"/>
  <c r="D14" i="3"/>
  <c r="F14" i="3" s="1"/>
  <c r="E14" i="3"/>
  <c r="D15" i="3"/>
  <c r="E15" i="3"/>
  <c r="F15" i="3"/>
  <c r="D16" i="3"/>
  <c r="E16" i="3"/>
  <c r="F16" i="3"/>
  <c r="D17" i="3"/>
  <c r="F17" i="3" s="1"/>
  <c r="E17" i="3"/>
  <c r="D18" i="3"/>
  <c r="F18" i="3" s="1"/>
  <c r="E18" i="3"/>
  <c r="D19" i="3"/>
  <c r="E19" i="3"/>
  <c r="F19" i="3"/>
  <c r="D20" i="3"/>
  <c r="E20" i="3"/>
  <c r="F20" i="3"/>
  <c r="D21" i="3"/>
  <c r="F21" i="3" s="1"/>
  <c r="E21" i="3"/>
  <c r="D22" i="3"/>
  <c r="F22" i="3" s="1"/>
  <c r="E22" i="3"/>
  <c r="D23" i="3"/>
  <c r="E23" i="3"/>
  <c r="F23" i="3"/>
  <c r="D24" i="3"/>
  <c r="E24" i="3"/>
  <c r="F24" i="3"/>
  <c r="D25" i="3"/>
  <c r="F25" i="3" s="1"/>
  <c r="E25" i="3"/>
  <c r="D26" i="3"/>
  <c r="F26" i="3" s="1"/>
  <c r="E26" i="3"/>
  <c r="D27" i="3"/>
  <c r="E27" i="3"/>
  <c r="F27" i="3"/>
  <c r="D28" i="3"/>
  <c r="E28" i="3"/>
  <c r="F28" i="3"/>
  <c r="D29" i="3"/>
  <c r="F29" i="3" s="1"/>
  <c r="E29" i="3"/>
  <c r="D30" i="3"/>
  <c r="F30" i="3" s="1"/>
  <c r="E30" i="3"/>
  <c r="D31" i="3"/>
  <c r="E31" i="3"/>
  <c r="F31" i="3"/>
  <c r="D32" i="3"/>
  <c r="E32" i="3"/>
  <c r="F32" i="3"/>
  <c r="D33" i="3"/>
  <c r="F33" i="3" s="1"/>
  <c r="E33" i="3"/>
  <c r="D34" i="3"/>
  <c r="F34" i="3" s="1"/>
  <c r="E34" i="3"/>
  <c r="D35" i="3"/>
  <c r="E35" i="3"/>
  <c r="F35" i="3"/>
  <c r="D36" i="3"/>
  <c r="E36" i="3"/>
  <c r="F36" i="3"/>
  <c r="D37" i="3"/>
  <c r="F37" i="3" s="1"/>
  <c r="E37" i="3"/>
  <c r="D38" i="3"/>
  <c r="F38" i="3" s="1"/>
  <c r="E38" i="3"/>
  <c r="D39" i="3"/>
  <c r="E39" i="3"/>
  <c r="F39" i="3"/>
  <c r="D40" i="3"/>
  <c r="E40" i="3"/>
  <c r="F40" i="3"/>
  <c r="D41" i="3"/>
  <c r="F41" i="3" s="1"/>
  <c r="E41" i="3"/>
  <c r="D42" i="3"/>
  <c r="F42" i="3" s="1"/>
  <c r="E42" i="3"/>
  <c r="D43" i="3"/>
  <c r="E43" i="3"/>
  <c r="F43" i="3"/>
  <c r="D44" i="3"/>
  <c r="E44" i="3"/>
  <c r="F44" i="3"/>
  <c r="D45" i="3"/>
  <c r="F45" i="3" s="1"/>
  <c r="E45" i="3"/>
  <c r="D46" i="3"/>
  <c r="F46" i="3" s="1"/>
  <c r="E46" i="3"/>
  <c r="D47" i="3"/>
  <c r="E47" i="3"/>
  <c r="F47" i="3"/>
  <c r="D48" i="3"/>
  <c r="E48" i="3"/>
  <c r="F48" i="3"/>
  <c r="D49" i="3"/>
  <c r="F49" i="3" s="1"/>
  <c r="E49" i="3"/>
  <c r="F50" i="3"/>
  <c r="D51" i="3"/>
  <c r="F51" i="3" s="1"/>
  <c r="E51" i="3"/>
  <c r="D52" i="3"/>
  <c r="F52" i="3" s="1"/>
  <c r="E52" i="3"/>
  <c r="D53" i="3"/>
  <c r="E53" i="3"/>
  <c r="F53" i="3"/>
  <c r="D54" i="3"/>
  <c r="E54" i="3"/>
  <c r="F54" i="3"/>
  <c r="D55" i="3"/>
  <c r="F55" i="3" s="1"/>
  <c r="E55" i="3"/>
  <c r="D56" i="3"/>
  <c r="F56" i="3" s="1"/>
  <c r="E56" i="3"/>
  <c r="D57" i="3"/>
  <c r="E57" i="3"/>
  <c r="F57" i="3"/>
  <c r="D58" i="3"/>
  <c r="E58" i="3"/>
  <c r="F58" i="3"/>
  <c r="F26" i="1" l="1"/>
  <c r="F36" i="1"/>
  <c r="F8" i="1"/>
  <c r="F23" i="1"/>
  <c r="F14" i="1"/>
  <c r="F47" i="1"/>
  <c r="F39" i="1"/>
  <c r="F48" i="1"/>
  <c r="F41" i="1"/>
  <c r="F33" i="1"/>
  <c r="F49" i="1"/>
  <c r="F28" i="1"/>
  <c r="F37" i="1"/>
  <c r="F44" i="1"/>
  <c r="F43" i="1"/>
  <c r="F3" i="1"/>
  <c r="F10" i="1"/>
  <c r="F2" i="1"/>
  <c r="F17" i="1"/>
  <c r="F21" i="1"/>
  <c r="F27" i="1"/>
  <c r="F16" i="1"/>
  <c r="F5" i="1"/>
  <c r="F7" i="1"/>
  <c r="F4" i="1"/>
  <c r="F46" i="1"/>
  <c r="F6" i="1"/>
  <c r="F20" i="1"/>
  <c r="F15" i="1"/>
  <c r="F29" i="1"/>
  <c r="F9" i="1"/>
  <c r="F12" i="1"/>
  <c r="F42" i="1"/>
  <c r="F30" i="1"/>
  <c r="F19" i="1"/>
  <c r="F11" i="1"/>
  <c r="F38" i="1"/>
  <c r="F31" i="1"/>
  <c r="F35" i="1"/>
  <c r="F24" i="1"/>
  <c r="F40" i="1"/>
  <c r="F13" i="1"/>
  <c r="F45" i="1"/>
  <c r="F18" i="1"/>
  <c r="F34" i="1"/>
  <c r="F25" i="1"/>
  <c r="F32" i="1"/>
  <c r="F22" i="1"/>
</calcChain>
</file>

<file path=xl/sharedStrings.xml><?xml version="1.0" encoding="utf-8"?>
<sst xmlns="http://schemas.openxmlformats.org/spreadsheetml/2006/main" count="2812" uniqueCount="183">
  <si>
    <t>Rank</t>
  </si>
  <si>
    <t>Player</t>
  </si>
  <si>
    <t>Team</t>
  </si>
  <si>
    <t>Total Points</t>
  </si>
  <si>
    <t>Total Darts</t>
  </si>
  <si>
    <t>Total PPD</t>
  </si>
  <si>
    <t>Wks Played</t>
  </si>
  <si>
    <t>501 BP</t>
  </si>
  <si>
    <t>RON</t>
  </si>
  <si>
    <t xml:space="preserve"> MVP Pts</t>
  </si>
  <si>
    <t>Payout</t>
  </si>
  <si>
    <t>Richie Thomas</t>
  </si>
  <si>
    <t>Luigi's Loose Change</t>
  </si>
  <si>
    <t>Jeff Headley</t>
  </si>
  <si>
    <t>Pop-A-Top 1</t>
  </si>
  <si>
    <t>Ed Davis</t>
  </si>
  <si>
    <t>VFW 1589 Bad Monkeys</t>
  </si>
  <si>
    <t xml:space="preserve">Bob Fox </t>
  </si>
  <si>
    <t>Larry Jenkins</t>
  </si>
  <si>
    <t xml:space="preserve">Purple Cow 1  </t>
  </si>
  <si>
    <t>Pat Nabors</t>
  </si>
  <si>
    <t>Elks Wiseguys</t>
  </si>
  <si>
    <t>Jerry Shiflett</t>
  </si>
  <si>
    <t>Legion Post 174 Misfits</t>
  </si>
  <si>
    <t>Allen Collins</t>
  </si>
  <si>
    <t>Matt Nacarate</t>
  </si>
  <si>
    <t>Todd Wotring</t>
  </si>
  <si>
    <t>Justin Smyth</t>
  </si>
  <si>
    <t>Seth Boyles</t>
  </si>
  <si>
    <t>Pop-A-Top 2</t>
  </si>
  <si>
    <t>Tim Rosati</t>
  </si>
  <si>
    <t>Steve Stockett</t>
  </si>
  <si>
    <t>Jimmy Smith</t>
  </si>
  <si>
    <t>Legion Post 174 Snipers</t>
  </si>
  <si>
    <t xml:space="preserve">Sam Powers </t>
  </si>
  <si>
    <t>Richard Whisler</t>
  </si>
  <si>
    <t>Josh Jenkins</t>
  </si>
  <si>
    <t>Beaver Galusky</t>
  </si>
  <si>
    <t>Rob Cicchino</t>
  </si>
  <si>
    <t>Billy Allen</t>
  </si>
  <si>
    <t>Jeff Schliffka</t>
  </si>
  <si>
    <t>Doug Himes</t>
  </si>
  <si>
    <t>Doug Tennant</t>
  </si>
  <si>
    <t>Tammy Allen</t>
  </si>
  <si>
    <t>Tom Gallegly</t>
  </si>
  <si>
    <t>Andy Beck</t>
  </si>
  <si>
    <t>Elks Jolly</t>
  </si>
  <si>
    <t>Zach Barlow</t>
  </si>
  <si>
    <t>Travis Ruckle</t>
  </si>
  <si>
    <t>Purple Cow 2</t>
  </si>
  <si>
    <t>Ken Goldsborough</t>
  </si>
  <si>
    <t>John Powers</t>
  </si>
  <si>
    <t>Griffin Wilcox</t>
  </si>
  <si>
    <t>VFW 1589 Dissapointers</t>
  </si>
  <si>
    <t>April Spahr</t>
  </si>
  <si>
    <t>Ryan Swaniger</t>
  </si>
  <si>
    <t>Nate Cope</t>
  </si>
  <si>
    <t>Jon Kline</t>
  </si>
  <si>
    <t>Michaela Headley</t>
  </si>
  <si>
    <t>Frank Mellie</t>
  </si>
  <si>
    <t>VFW 9916 Vets</t>
  </si>
  <si>
    <t>Gabbie Mellie</t>
  </si>
  <si>
    <t>Billy Anderson</t>
  </si>
  <si>
    <t>Thom Douglass</t>
  </si>
  <si>
    <t>Gary Bechdolt</t>
  </si>
  <si>
    <t>Steve Root</t>
  </si>
  <si>
    <t>Barb Hardy</t>
  </si>
  <si>
    <t>Kevin Ruckle</t>
  </si>
  <si>
    <t>Alex Keenan</t>
  </si>
  <si>
    <t>BJ Trickett</t>
  </si>
  <si>
    <t>JL Brown</t>
  </si>
  <si>
    <t>Joe White</t>
  </si>
  <si>
    <t>Marshall Jenkins</t>
  </si>
  <si>
    <t>Alex Rice</t>
  </si>
  <si>
    <t>Brian Keown</t>
  </si>
  <si>
    <t>Landon Trickett</t>
  </si>
  <si>
    <t>Bryant Losh</t>
  </si>
  <si>
    <t>Week 1</t>
  </si>
  <si>
    <t xml:space="preserve">Teams - Overall </t>
  </si>
  <si>
    <t>Wins</t>
  </si>
  <si>
    <t>Lose</t>
  </si>
  <si>
    <t>Points</t>
  </si>
  <si>
    <t>Weekly Payouts and Season High's</t>
  </si>
  <si>
    <t>PURPLE COW 2</t>
  </si>
  <si>
    <t xml:space="preserve">Season Best Game 501:  </t>
  </si>
  <si>
    <t>Jeff Headley 14 Dart Game</t>
  </si>
  <si>
    <t xml:space="preserve">PURPLE COW 1 </t>
  </si>
  <si>
    <t xml:space="preserve">High Average for Week:   </t>
  </si>
  <si>
    <t>Richie Thomas 19.36</t>
  </si>
  <si>
    <t>VFW 1589 DISSAPOINTERS</t>
  </si>
  <si>
    <t xml:space="preserve">High in 301 for the week: </t>
  </si>
  <si>
    <t>Matt Nacarate/Kevin Ruckle 101</t>
  </si>
  <si>
    <t>POP A TOP 1</t>
  </si>
  <si>
    <t xml:space="preserve">High Out for the week: </t>
  </si>
  <si>
    <t>Kevin Ruckle 98</t>
  </si>
  <si>
    <t>LUIGI'S LOOSE CHANGE</t>
  </si>
  <si>
    <t xml:space="preserve">Season High In for 301:  </t>
  </si>
  <si>
    <t>LEGION POST 174 MISFITS</t>
  </si>
  <si>
    <t xml:space="preserve">Season High Out:    </t>
  </si>
  <si>
    <t>ELKS WISEGUYS</t>
  </si>
  <si>
    <t>VFW 1589 BAD MONKEYS</t>
  </si>
  <si>
    <t>POP A TOP 2</t>
  </si>
  <si>
    <t>VFW 9916 VETS</t>
  </si>
  <si>
    <t>LEGION POST 174 SNIPERS</t>
  </si>
  <si>
    <t>ELKS JOLLY</t>
  </si>
  <si>
    <t>Teams - Division A</t>
  </si>
  <si>
    <t>Teams - Disivion B</t>
  </si>
  <si>
    <t>Teams - Division C</t>
  </si>
  <si>
    <t>Tie</t>
  </si>
  <si>
    <t>Jeff Schliffka 114 Out</t>
  </si>
  <si>
    <t>Griffin Wilcox 100 In</t>
  </si>
  <si>
    <t>Jeff Headley 18.56</t>
  </si>
  <si>
    <t>Week 2</t>
  </si>
  <si>
    <t>Stan Slavey</t>
  </si>
  <si>
    <t>Holly Thubron</t>
  </si>
  <si>
    <t>John Sinclair</t>
  </si>
  <si>
    <t>Stephen Thurbon</t>
  </si>
  <si>
    <t>Jeff Cramer</t>
  </si>
  <si>
    <t>Jeff Schliffka/Sam Powers 114 Out</t>
  </si>
  <si>
    <t>Ed Davis 138 In</t>
  </si>
  <si>
    <t>Griffin Wilcox 98 Out</t>
  </si>
  <si>
    <t>Richie Thomas 114 In</t>
  </si>
  <si>
    <t>Jeff Headley 19.22</t>
  </si>
  <si>
    <t>Week 12</t>
  </si>
  <si>
    <t>Holly Thurbon</t>
  </si>
  <si>
    <t>Lana Groves</t>
  </si>
  <si>
    <t>Drew Pritt</t>
  </si>
  <si>
    <t>Slim Loya</t>
  </si>
  <si>
    <t>Alwyn Thurbon</t>
  </si>
  <si>
    <t>Timmy Frymyer</t>
  </si>
  <si>
    <t>Josh Tost</t>
  </si>
  <si>
    <t>Mike Weber</t>
  </si>
  <si>
    <t>Shawn Cole</t>
  </si>
  <si>
    <t>Gary Daft</t>
  </si>
  <si>
    <t>Snipers (4), Bad Monkeys (1)</t>
  </si>
  <si>
    <t>Jimmy Scudiere</t>
  </si>
  <si>
    <t>Travis Ruckle 107 Out</t>
  </si>
  <si>
    <t>Jeff Headley 95 In</t>
  </si>
  <si>
    <t>Bob Fox 19.56</t>
  </si>
  <si>
    <t>Week 5</t>
  </si>
  <si>
    <t>Matt Nacarate 90 Out</t>
  </si>
  <si>
    <t>John Powers 100 In</t>
  </si>
  <si>
    <t>Sam Powers 19.03</t>
  </si>
  <si>
    <t>Week 3</t>
  </si>
  <si>
    <t>Jeff Headley 110 Out</t>
  </si>
  <si>
    <t>Bob Fox 17.67</t>
  </si>
  <si>
    <t>Week 6</t>
  </si>
  <si>
    <t>Snipers (1), Bad Monkeys (1)</t>
  </si>
  <si>
    <t>Jeff Headley 106 Out</t>
  </si>
  <si>
    <t>John Sinclair 85 In</t>
  </si>
  <si>
    <t>Tom Gallegly 18.05</t>
  </si>
  <si>
    <t>Snipers (2), Bad Monkeys (1)</t>
  </si>
  <si>
    <t>Griffin Wilcox 90 Out</t>
  </si>
  <si>
    <t>Richie Thomas 106 In</t>
  </si>
  <si>
    <t>Justin Smyth 18.02</t>
  </si>
  <si>
    <t>Week 8</t>
  </si>
  <si>
    <t>Richard Whisler 85 Out</t>
  </si>
  <si>
    <t>Jeff Headley 120 In</t>
  </si>
  <si>
    <t>Rob Cicchino 18.97</t>
  </si>
  <si>
    <t>Week 9</t>
  </si>
  <si>
    <t>Snipers (3), Bad Monkeys (1)</t>
  </si>
  <si>
    <t>Sam Powers 114 Out</t>
  </si>
  <si>
    <t>Pat Nabors 120 In</t>
  </si>
  <si>
    <t>Jeff Headley 24.64</t>
  </si>
  <si>
    <t>Week 10</t>
  </si>
  <si>
    <t>Richie Thomas 81 Out</t>
  </si>
  <si>
    <t>Sam Powers/Jeff Headley/Richie Thomas 100 In</t>
  </si>
  <si>
    <t>Jeff Headley 21.97</t>
  </si>
  <si>
    <t>Week 11</t>
  </si>
  <si>
    <t>Jimmy Smith 118 Out</t>
  </si>
  <si>
    <t>Jeff Headley 130 In</t>
  </si>
  <si>
    <t>Seth Boyles 20.04</t>
  </si>
  <si>
    <t>Week 13</t>
  </si>
  <si>
    <t>Ashley Ruckle</t>
  </si>
  <si>
    <t>Kim Mellie</t>
  </si>
  <si>
    <t>Beverly Prendergast</t>
  </si>
  <si>
    <t>Steve Stockett 120 Out</t>
  </si>
  <si>
    <t>Nate Cope 120 In</t>
  </si>
  <si>
    <t>Matt Nacarate 17.95</t>
  </si>
  <si>
    <t>Week 14</t>
  </si>
  <si>
    <t>Ed Davis 106 Out</t>
  </si>
  <si>
    <t>Doug Himes 92 In</t>
  </si>
  <si>
    <t>Rob Cicchino 20.31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</si>
</sst>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$-409]* #,##0.00_);_([$$-409]* \(#,##0.00\);_([$$-409]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textRotation="73"/>
    </xf>
    <xf numFmtId="0" fontId="1" fillId="2" borderId="1" xfId="0" applyFont="1" applyFill="1" applyBorder="1" applyAlignment="1">
      <alignment textRotation="73" wrapText="1"/>
    </xf>
    <xf numFmtId="0" fontId="2" fillId="0" borderId="2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1" xfId="0" applyFont="1" applyBorder="1"/>
    <xf numFmtId="0" fontId="3" fillId="0" borderId="3" xfId="0" applyFont="1" applyBorder="1"/>
    <xf numFmtId="0" fontId="1" fillId="0" borderId="0" xfId="0" applyFont="1" applyBorder="1"/>
    <xf numFmtId="0" fontId="3" fillId="0" borderId="6" xfId="0" applyFont="1" applyBorder="1"/>
    <xf numFmtId="0" fontId="1" fillId="4" borderId="7" xfId="0" applyFont="1" applyFill="1" applyBorder="1"/>
    <xf numFmtId="0" fontId="1" fillId="4" borderId="8" xfId="0" applyFont="1" applyFill="1" applyBorder="1"/>
    <xf numFmtId="0" fontId="2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1" fillId="4" borderId="9" xfId="0" applyFont="1" applyFill="1" applyBorder="1"/>
    <xf numFmtId="0" fontId="1" fillId="0" borderId="15" xfId="0" applyFont="1" applyBorder="1"/>
    <xf numFmtId="0" fontId="2" fillId="0" borderId="15" xfId="0" applyFont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0" fillId="0" borderId="0" xfId="0" applyFill="1"/>
    <xf numFmtId="0" fontId="3" fillId="0" borderId="2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26" xfId="0" applyFont="1" applyBorder="1"/>
    <xf numFmtId="0" fontId="3" fillId="0" borderId="26" xfId="0" applyFont="1" applyBorder="1"/>
    <xf numFmtId="0" fontId="1" fillId="0" borderId="28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3" borderId="27" xfId="0" applyFont="1" applyFill="1" applyBorder="1" applyAlignment="1">
      <alignment horizontal="center" vertical="center" textRotation="90" wrapText="1"/>
    </xf>
    <xf numFmtId="0" fontId="1" fillId="3" borderId="24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3" fillId="0" borderId="30" xfId="0" applyFont="1" applyBorder="1"/>
    <xf numFmtId="0" fontId="1" fillId="0" borderId="29" xfId="0" applyFont="1" applyBorder="1"/>
    <xf numFmtId="0" fontId="1" fillId="4" borderId="31" xfId="0" applyFont="1" applyFill="1" applyBorder="1"/>
    <xf numFmtId="0" fontId="1" fillId="4" borderId="32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37" xfId="0" applyFont="1" applyFill="1" applyBorder="1"/>
    <xf numFmtId="0" fontId="2" fillId="0" borderId="26" xfId="0" applyFont="1" applyBorder="1"/>
    <xf numFmtId="0" fontId="2" fillId="0" borderId="6" xfId="0" applyFont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4" borderId="38" xfId="0" applyFont="1" applyFill="1" applyBorder="1"/>
    <xf numFmtId="0" fontId="1" fillId="4" borderId="39" xfId="0" applyFont="1" applyFill="1" applyBorder="1"/>
    <xf numFmtId="0" fontId="2" fillId="0" borderId="0" xfId="0" applyFont="1" applyBorder="1"/>
    <xf numFmtId="0" fontId="1" fillId="0" borderId="30" xfId="0" applyFont="1" applyBorder="1"/>
    <xf numFmtId="0" fontId="3" fillId="0" borderId="29" xfId="0" applyFont="1" applyBorder="1"/>
    <xf numFmtId="0" fontId="3" fillId="0" borderId="40" xfId="0" applyFont="1" applyBorder="1"/>
    <xf numFmtId="0" fontId="3" fillId="0" borderId="0" xfId="0" applyFont="1" applyBorder="1"/>
    <xf numFmtId="165" fontId="2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1" topLeftCell="A4" activePane="bottomLeft" state="frozen"/>
      <selection pane="bottomLeft" activeCell="G15" sqref="G15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2" bestFit="1" customWidth="1"/>
    <col min="4" max="4" width="7" bestFit="1" customWidth="1"/>
    <col min="5" max="5" width="6.28515625" bestFit="1" customWidth="1"/>
    <col min="6" max="6" width="8.140625" bestFit="1" customWidth="1"/>
    <col min="7" max="8" width="5" bestFit="1" customWidth="1"/>
    <col min="9" max="9" width="5" customWidth="1"/>
    <col min="10" max="11" width="5" bestFit="1" customWidth="1"/>
    <col min="12" max="12" width="5.570312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11</v>
      </c>
      <c r="C2" s="4" t="s">
        <v>12</v>
      </c>
      <c r="D2" s="14">
        <v>1471</v>
      </c>
      <c r="E2" s="14">
        <v>76</v>
      </c>
      <c r="F2" s="15">
        <f t="shared" ref="F2:F49" si="0">SUM(D2/E2)</f>
        <v>19.355263157894736</v>
      </c>
      <c r="G2" s="14">
        <v>1</v>
      </c>
      <c r="H2" s="14">
        <v>1</v>
      </c>
      <c r="I2" s="14"/>
      <c r="J2" s="14"/>
      <c r="K2" s="14"/>
      <c r="L2" s="14">
        <v>3.5</v>
      </c>
      <c r="M2" s="16">
        <v>5</v>
      </c>
    </row>
    <row r="3" spans="1:13" ht="18.75" x14ac:dyDescent="0.3">
      <c r="A3" s="3">
        <v>2</v>
      </c>
      <c r="B3" s="4" t="s">
        <v>13</v>
      </c>
      <c r="C3" s="4" t="s">
        <v>14</v>
      </c>
      <c r="D3" s="14">
        <v>1493</v>
      </c>
      <c r="E3" s="14">
        <v>82</v>
      </c>
      <c r="F3" s="15">
        <f t="shared" si="0"/>
        <v>18.207317073170731</v>
      </c>
      <c r="G3" s="14">
        <v>1</v>
      </c>
      <c r="H3" s="14">
        <v>1</v>
      </c>
      <c r="I3" s="14">
        <v>1</v>
      </c>
      <c r="J3" s="14"/>
      <c r="K3" s="14"/>
      <c r="L3" s="14">
        <v>4.5</v>
      </c>
      <c r="M3" s="16"/>
    </row>
    <row r="4" spans="1:13" ht="18.75" x14ac:dyDescent="0.3">
      <c r="A4" s="3">
        <v>3</v>
      </c>
      <c r="B4" s="4" t="s">
        <v>15</v>
      </c>
      <c r="C4" s="4" t="s">
        <v>16</v>
      </c>
      <c r="D4" s="14">
        <v>1350</v>
      </c>
      <c r="E4" s="14">
        <v>80</v>
      </c>
      <c r="F4" s="15">
        <f t="shared" si="0"/>
        <v>16.875</v>
      </c>
      <c r="G4" s="14">
        <v>1</v>
      </c>
      <c r="H4" s="14"/>
      <c r="I4" s="14"/>
      <c r="J4" s="14"/>
      <c r="K4" s="14"/>
      <c r="L4" s="14">
        <v>1.5</v>
      </c>
      <c r="M4" s="16"/>
    </row>
    <row r="5" spans="1:13" ht="18.75" x14ac:dyDescent="0.3">
      <c r="A5" s="3">
        <v>4</v>
      </c>
      <c r="B5" s="4" t="s">
        <v>17</v>
      </c>
      <c r="C5" s="4" t="s">
        <v>14</v>
      </c>
      <c r="D5" s="14">
        <v>1475</v>
      </c>
      <c r="E5" s="14">
        <v>91</v>
      </c>
      <c r="F5" s="15">
        <f t="shared" si="0"/>
        <v>16.208791208791208</v>
      </c>
      <c r="G5" s="14">
        <v>1</v>
      </c>
      <c r="H5" s="14"/>
      <c r="I5" s="14"/>
      <c r="J5" s="14"/>
      <c r="K5" s="14"/>
      <c r="L5" s="14">
        <v>3.5</v>
      </c>
      <c r="M5" s="16"/>
    </row>
    <row r="6" spans="1:13" ht="18.75" x14ac:dyDescent="0.3">
      <c r="A6" s="3">
        <v>5</v>
      </c>
      <c r="B6" s="4" t="s">
        <v>18</v>
      </c>
      <c r="C6" s="4" t="s">
        <v>19</v>
      </c>
      <c r="D6" s="14">
        <v>1503</v>
      </c>
      <c r="E6" s="14">
        <v>93</v>
      </c>
      <c r="F6" s="15">
        <f t="shared" si="0"/>
        <v>16.161290322580644</v>
      </c>
      <c r="G6" s="14">
        <v>1</v>
      </c>
      <c r="H6" s="14">
        <v>1</v>
      </c>
      <c r="I6" s="14"/>
      <c r="J6" s="14"/>
      <c r="K6" s="14"/>
      <c r="L6" s="14">
        <v>4.5</v>
      </c>
      <c r="M6" s="16"/>
    </row>
    <row r="7" spans="1:13" ht="18.75" x14ac:dyDescent="0.3">
      <c r="A7" s="3">
        <v>6</v>
      </c>
      <c r="B7" s="3" t="s">
        <v>20</v>
      </c>
      <c r="C7" s="4" t="s">
        <v>21</v>
      </c>
      <c r="D7" s="14">
        <v>1503</v>
      </c>
      <c r="E7" s="14">
        <v>96</v>
      </c>
      <c r="F7" s="15">
        <f t="shared" si="0"/>
        <v>15.65625</v>
      </c>
      <c r="G7" s="14">
        <v>1</v>
      </c>
      <c r="H7" s="14">
        <v>1</v>
      </c>
      <c r="I7" s="14">
        <v>1</v>
      </c>
      <c r="J7" s="14"/>
      <c r="K7" s="14"/>
      <c r="L7" s="14">
        <v>4.5</v>
      </c>
      <c r="M7" s="16"/>
    </row>
    <row r="8" spans="1:13" ht="18.75" x14ac:dyDescent="0.3">
      <c r="A8" s="3">
        <v>7</v>
      </c>
      <c r="B8" s="4" t="s">
        <v>22</v>
      </c>
      <c r="C8" s="4" t="s">
        <v>23</v>
      </c>
      <c r="D8" s="14">
        <v>1503</v>
      </c>
      <c r="E8" s="14">
        <v>96</v>
      </c>
      <c r="F8" s="15">
        <f t="shared" si="0"/>
        <v>15.65625</v>
      </c>
      <c r="G8" s="14">
        <v>1</v>
      </c>
      <c r="H8" s="14">
        <v>1</v>
      </c>
      <c r="I8" s="14"/>
      <c r="J8" s="14"/>
      <c r="K8" s="14"/>
      <c r="L8" s="14">
        <v>5</v>
      </c>
      <c r="M8" s="16"/>
    </row>
    <row r="9" spans="1:13" ht="18.75" x14ac:dyDescent="0.3">
      <c r="A9" s="3">
        <v>8</v>
      </c>
      <c r="B9" s="4" t="s">
        <v>24</v>
      </c>
      <c r="C9" s="4" t="s">
        <v>23</v>
      </c>
      <c r="D9" s="14">
        <v>1408</v>
      </c>
      <c r="E9" s="14">
        <v>93</v>
      </c>
      <c r="F9" s="15">
        <f t="shared" si="0"/>
        <v>15.13978494623656</v>
      </c>
      <c r="G9" s="14">
        <v>1</v>
      </c>
      <c r="H9" s="14">
        <v>1</v>
      </c>
      <c r="I9" s="14"/>
      <c r="J9" s="14"/>
      <c r="K9" s="14"/>
      <c r="L9" s="14">
        <v>3.5</v>
      </c>
      <c r="M9" s="16"/>
    </row>
    <row r="10" spans="1:13" ht="18.75" x14ac:dyDescent="0.3">
      <c r="A10" s="3">
        <v>9</v>
      </c>
      <c r="B10" s="4" t="s">
        <v>25</v>
      </c>
      <c r="C10" s="4" t="s">
        <v>16</v>
      </c>
      <c r="D10" s="14">
        <v>1497</v>
      </c>
      <c r="E10" s="14">
        <v>100</v>
      </c>
      <c r="F10" s="15">
        <f t="shared" si="0"/>
        <v>14.97</v>
      </c>
      <c r="G10" s="14">
        <v>1</v>
      </c>
      <c r="H10" s="14">
        <v>1</v>
      </c>
      <c r="I10" s="14"/>
      <c r="J10" s="14"/>
      <c r="K10" s="14"/>
      <c r="L10" s="14">
        <v>3.5</v>
      </c>
      <c r="M10" s="16">
        <v>5</v>
      </c>
    </row>
    <row r="11" spans="1:13" ht="18.75" x14ac:dyDescent="0.3">
      <c r="A11" s="3">
        <v>10</v>
      </c>
      <c r="B11" s="4" t="s">
        <v>26</v>
      </c>
      <c r="C11" s="4" t="s">
        <v>21</v>
      </c>
      <c r="D11" s="14">
        <v>1301</v>
      </c>
      <c r="E11" s="14">
        <v>88</v>
      </c>
      <c r="F11" s="15">
        <f t="shared" si="0"/>
        <v>14.784090909090908</v>
      </c>
      <c r="G11" s="14">
        <v>1</v>
      </c>
      <c r="H11" s="14"/>
      <c r="I11" s="14"/>
      <c r="J11" s="14"/>
      <c r="K11" s="14"/>
      <c r="L11" s="14">
        <v>2</v>
      </c>
      <c r="M11" s="16"/>
    </row>
    <row r="12" spans="1:13" ht="18.75" x14ac:dyDescent="0.3">
      <c r="A12" s="3">
        <v>11</v>
      </c>
      <c r="B12" s="4" t="s">
        <v>27</v>
      </c>
      <c r="C12" s="7" t="s">
        <v>19</v>
      </c>
      <c r="D12" s="14">
        <v>1491</v>
      </c>
      <c r="E12" s="14">
        <v>102</v>
      </c>
      <c r="F12" s="15">
        <f t="shared" si="0"/>
        <v>14.617647058823529</v>
      </c>
      <c r="G12" s="14">
        <v>1</v>
      </c>
      <c r="H12" s="14">
        <v>1</v>
      </c>
      <c r="I12" s="14"/>
      <c r="J12" s="14"/>
      <c r="K12" s="14"/>
      <c r="L12" s="14">
        <v>3.5</v>
      </c>
      <c r="M12" s="16"/>
    </row>
    <row r="13" spans="1:13" ht="18.75" x14ac:dyDescent="0.3">
      <c r="A13" s="3">
        <v>12</v>
      </c>
      <c r="B13" s="4" t="s">
        <v>28</v>
      </c>
      <c r="C13" s="4" t="s">
        <v>29</v>
      </c>
      <c r="D13" s="14">
        <v>1400</v>
      </c>
      <c r="E13" s="14">
        <v>96</v>
      </c>
      <c r="F13" s="15">
        <f t="shared" si="0"/>
        <v>14.583333333333334</v>
      </c>
      <c r="G13" s="14">
        <v>1</v>
      </c>
      <c r="H13" s="14">
        <v>1</v>
      </c>
      <c r="I13" s="14"/>
      <c r="J13" s="14"/>
      <c r="K13" s="14"/>
      <c r="L13" s="14">
        <v>3.5</v>
      </c>
      <c r="M13" s="16"/>
    </row>
    <row r="14" spans="1:13" ht="18.75" x14ac:dyDescent="0.3">
      <c r="A14" s="3">
        <v>13</v>
      </c>
      <c r="B14" s="26" t="s">
        <v>30</v>
      </c>
      <c r="C14" s="4" t="s">
        <v>23</v>
      </c>
      <c r="D14" s="14">
        <v>1302</v>
      </c>
      <c r="E14" s="14">
        <v>90</v>
      </c>
      <c r="F14" s="15">
        <f t="shared" si="0"/>
        <v>14.466666666666667</v>
      </c>
      <c r="G14" s="14">
        <v>1</v>
      </c>
      <c r="H14" s="14"/>
      <c r="I14" s="14"/>
      <c r="J14" s="14"/>
      <c r="K14" s="14"/>
      <c r="L14" s="14">
        <v>1.5</v>
      </c>
      <c r="M14" s="16"/>
    </row>
    <row r="15" spans="1:13" ht="18.75" x14ac:dyDescent="0.3">
      <c r="A15" s="3">
        <v>14</v>
      </c>
      <c r="B15" s="4" t="s">
        <v>31</v>
      </c>
      <c r="C15" s="4" t="s">
        <v>19</v>
      </c>
      <c r="D15" s="14">
        <v>1485</v>
      </c>
      <c r="E15" s="14">
        <v>103</v>
      </c>
      <c r="F15" s="15">
        <f t="shared" si="0"/>
        <v>14.41747572815534</v>
      </c>
      <c r="G15" s="14">
        <v>1</v>
      </c>
      <c r="H15" s="14">
        <v>1</v>
      </c>
      <c r="I15" s="14"/>
      <c r="J15" s="14"/>
      <c r="K15" s="14"/>
      <c r="L15" s="14">
        <v>3</v>
      </c>
      <c r="M15" s="16"/>
    </row>
    <row r="16" spans="1:13" ht="18.75" x14ac:dyDescent="0.3">
      <c r="A16" s="3">
        <v>15</v>
      </c>
      <c r="B16" s="3" t="s">
        <v>32</v>
      </c>
      <c r="C16" s="4" t="s">
        <v>33</v>
      </c>
      <c r="D16" s="14">
        <v>1375</v>
      </c>
      <c r="E16" s="14">
        <v>97</v>
      </c>
      <c r="F16" s="15">
        <f t="shared" si="0"/>
        <v>14.175257731958762</v>
      </c>
      <c r="G16" s="14">
        <v>1</v>
      </c>
      <c r="H16" s="14"/>
      <c r="I16" s="14"/>
      <c r="J16" s="14"/>
      <c r="K16" s="14"/>
      <c r="L16" s="14">
        <v>2.5</v>
      </c>
      <c r="M16" s="16"/>
    </row>
    <row r="17" spans="1:13" ht="18.75" x14ac:dyDescent="0.3">
      <c r="A17" s="3">
        <v>16</v>
      </c>
      <c r="B17" s="10" t="s">
        <v>34</v>
      </c>
      <c r="C17" s="4" t="s">
        <v>16</v>
      </c>
      <c r="D17" s="14">
        <v>1483</v>
      </c>
      <c r="E17" s="14">
        <v>107</v>
      </c>
      <c r="F17" s="15">
        <f t="shared" si="0"/>
        <v>13.859813084112149</v>
      </c>
      <c r="G17" s="14">
        <v>1</v>
      </c>
      <c r="H17" s="14">
        <v>1</v>
      </c>
      <c r="I17" s="14"/>
      <c r="J17" s="14"/>
      <c r="K17" s="14"/>
      <c r="L17" s="14">
        <v>3</v>
      </c>
      <c r="M17" s="16"/>
    </row>
    <row r="18" spans="1:13" ht="18.75" x14ac:dyDescent="0.3">
      <c r="A18" s="3">
        <v>17</v>
      </c>
      <c r="B18" s="4" t="s">
        <v>35</v>
      </c>
      <c r="C18" s="4" t="s">
        <v>33</v>
      </c>
      <c r="D18" s="14">
        <v>1453</v>
      </c>
      <c r="E18" s="14">
        <v>105</v>
      </c>
      <c r="F18" s="15">
        <f t="shared" si="0"/>
        <v>13.838095238095239</v>
      </c>
      <c r="G18" s="14">
        <v>1</v>
      </c>
      <c r="H18" s="14"/>
      <c r="I18" s="14"/>
      <c r="J18" s="14"/>
      <c r="K18" s="14"/>
      <c r="L18" s="14">
        <v>1.5</v>
      </c>
      <c r="M18" s="16"/>
    </row>
    <row r="19" spans="1:13" ht="18.75" x14ac:dyDescent="0.3">
      <c r="A19" s="3">
        <v>18</v>
      </c>
      <c r="B19" s="4" t="s">
        <v>36</v>
      </c>
      <c r="C19" s="4" t="s">
        <v>16</v>
      </c>
      <c r="D19" s="14">
        <v>1472</v>
      </c>
      <c r="E19" s="14">
        <v>108</v>
      </c>
      <c r="F19" s="15">
        <f t="shared" si="0"/>
        <v>13.62962962962963</v>
      </c>
      <c r="G19" s="14">
        <v>1</v>
      </c>
      <c r="H19" s="14"/>
      <c r="I19" s="14"/>
      <c r="J19" s="14"/>
      <c r="K19" s="14"/>
      <c r="L19" s="14">
        <v>3</v>
      </c>
      <c r="M19" s="16"/>
    </row>
    <row r="20" spans="1:13" ht="18.75" x14ac:dyDescent="0.3">
      <c r="A20" s="3">
        <v>19</v>
      </c>
      <c r="B20" s="4" t="s">
        <v>37</v>
      </c>
      <c r="C20" s="4" t="s">
        <v>12</v>
      </c>
      <c r="D20" s="14">
        <v>1489</v>
      </c>
      <c r="E20" s="14">
        <v>111</v>
      </c>
      <c r="F20" s="15">
        <f t="shared" si="0"/>
        <v>13.414414414414415</v>
      </c>
      <c r="G20" s="14">
        <v>1</v>
      </c>
      <c r="H20" s="14">
        <v>1</v>
      </c>
      <c r="I20" s="14"/>
      <c r="J20" s="14"/>
      <c r="K20" s="14"/>
      <c r="L20" s="14">
        <v>4</v>
      </c>
      <c r="M20" s="16"/>
    </row>
    <row r="21" spans="1:13" ht="18.75" x14ac:dyDescent="0.3">
      <c r="A21" s="3">
        <v>20</v>
      </c>
      <c r="B21" s="4" t="s">
        <v>38</v>
      </c>
      <c r="C21" s="4" t="s">
        <v>21</v>
      </c>
      <c r="D21" s="14">
        <v>1487</v>
      </c>
      <c r="E21" s="14">
        <v>111</v>
      </c>
      <c r="F21" s="15">
        <f t="shared" si="0"/>
        <v>13.396396396396396</v>
      </c>
      <c r="G21" s="14">
        <v>1</v>
      </c>
      <c r="H21" s="14">
        <v>1</v>
      </c>
      <c r="I21" s="14"/>
      <c r="J21" s="14"/>
      <c r="K21" s="14"/>
      <c r="L21" s="14">
        <v>3</v>
      </c>
      <c r="M21" s="16"/>
    </row>
    <row r="22" spans="1:13" ht="18.75" x14ac:dyDescent="0.3">
      <c r="A22" s="3">
        <v>21</v>
      </c>
      <c r="B22" s="26" t="s">
        <v>39</v>
      </c>
      <c r="C22" s="7" t="s">
        <v>29</v>
      </c>
      <c r="D22" s="14">
        <v>1503</v>
      </c>
      <c r="E22" s="14">
        <v>114</v>
      </c>
      <c r="F22" s="15">
        <f t="shared" si="0"/>
        <v>13.184210526315789</v>
      </c>
      <c r="G22" s="14">
        <v>1</v>
      </c>
      <c r="H22" s="14">
        <v>1</v>
      </c>
      <c r="I22" s="14"/>
      <c r="J22" s="14"/>
      <c r="K22" s="14"/>
      <c r="L22" s="14">
        <v>3.5</v>
      </c>
      <c r="M22" s="16"/>
    </row>
    <row r="23" spans="1:13" ht="18.75" x14ac:dyDescent="0.3">
      <c r="A23" s="3">
        <v>22</v>
      </c>
      <c r="B23" s="26" t="s">
        <v>40</v>
      </c>
      <c r="C23" s="4" t="s">
        <v>23</v>
      </c>
      <c r="D23" s="14">
        <v>1446</v>
      </c>
      <c r="E23" s="14">
        <v>110</v>
      </c>
      <c r="F23" s="15">
        <f t="shared" si="0"/>
        <v>13.145454545454545</v>
      </c>
      <c r="G23" s="14">
        <v>1</v>
      </c>
      <c r="H23" s="14"/>
      <c r="I23" s="14"/>
      <c r="J23" s="14"/>
      <c r="K23" s="14"/>
      <c r="L23" s="14">
        <v>3</v>
      </c>
      <c r="M23" s="16"/>
    </row>
    <row r="24" spans="1:13" ht="18.75" x14ac:dyDescent="0.3">
      <c r="A24" s="3">
        <v>23</v>
      </c>
      <c r="B24" s="4" t="s">
        <v>41</v>
      </c>
      <c r="C24" s="4" t="s">
        <v>21</v>
      </c>
      <c r="D24" s="14">
        <v>1179</v>
      </c>
      <c r="E24" s="14">
        <v>90</v>
      </c>
      <c r="F24" s="15">
        <f t="shared" si="0"/>
        <v>13.1</v>
      </c>
      <c r="G24" s="14">
        <v>1</v>
      </c>
      <c r="H24" s="14"/>
      <c r="I24" s="14"/>
      <c r="J24" s="14"/>
      <c r="K24" s="14"/>
      <c r="L24" s="14">
        <v>0.5</v>
      </c>
      <c r="M24" s="16"/>
    </row>
    <row r="25" spans="1:13" ht="18.75" x14ac:dyDescent="0.3">
      <c r="A25" s="3">
        <v>24</v>
      </c>
      <c r="B25" s="4" t="s">
        <v>42</v>
      </c>
      <c r="C25" s="4" t="s">
        <v>14</v>
      </c>
      <c r="D25" s="14">
        <v>1482</v>
      </c>
      <c r="E25" s="14">
        <v>117</v>
      </c>
      <c r="F25" s="15">
        <f t="shared" si="0"/>
        <v>12.666666666666666</v>
      </c>
      <c r="G25" s="14">
        <v>1</v>
      </c>
      <c r="H25" s="14"/>
      <c r="I25" s="14"/>
      <c r="J25" s="14"/>
      <c r="K25" s="14"/>
      <c r="L25" s="14">
        <v>2.5</v>
      </c>
      <c r="M25" s="16"/>
    </row>
    <row r="26" spans="1:13" ht="18.75" x14ac:dyDescent="0.3">
      <c r="A26" s="3">
        <v>25</v>
      </c>
      <c r="B26" s="4" t="s">
        <v>43</v>
      </c>
      <c r="C26" s="4" t="s">
        <v>29</v>
      </c>
      <c r="D26" s="14">
        <v>984</v>
      </c>
      <c r="E26" s="14">
        <v>78</v>
      </c>
      <c r="F26" s="15">
        <f t="shared" si="0"/>
        <v>12.615384615384615</v>
      </c>
      <c r="G26" s="14">
        <v>1</v>
      </c>
      <c r="H26" s="14"/>
      <c r="I26" s="14"/>
      <c r="J26" s="14"/>
      <c r="K26" s="14"/>
      <c r="L26" s="14">
        <v>1.5</v>
      </c>
      <c r="M26" s="16"/>
    </row>
    <row r="27" spans="1:13" ht="18.75" x14ac:dyDescent="0.3">
      <c r="A27" s="3">
        <v>26</v>
      </c>
      <c r="B27" s="4" t="s">
        <v>44</v>
      </c>
      <c r="C27" s="4" t="s">
        <v>19</v>
      </c>
      <c r="D27" s="14">
        <v>1499</v>
      </c>
      <c r="E27" s="14">
        <v>120</v>
      </c>
      <c r="F27" s="15">
        <f t="shared" si="0"/>
        <v>12.491666666666667</v>
      </c>
      <c r="G27" s="14">
        <v>1</v>
      </c>
      <c r="H27" s="14">
        <v>1</v>
      </c>
      <c r="I27" s="14"/>
      <c r="J27" s="14"/>
      <c r="K27" s="14"/>
      <c r="L27" s="14">
        <v>3.5</v>
      </c>
      <c r="M27" s="16"/>
    </row>
    <row r="28" spans="1:13" ht="18.75" x14ac:dyDescent="0.3">
      <c r="A28" s="3">
        <v>27</v>
      </c>
      <c r="B28" s="26" t="s">
        <v>45</v>
      </c>
      <c r="C28" s="4" t="s">
        <v>46</v>
      </c>
      <c r="D28" s="14">
        <v>1497</v>
      </c>
      <c r="E28" s="14">
        <v>120</v>
      </c>
      <c r="F28" s="15">
        <f t="shared" si="0"/>
        <v>12.475</v>
      </c>
      <c r="G28" s="14">
        <v>1</v>
      </c>
      <c r="H28" s="14"/>
      <c r="I28" s="14"/>
      <c r="J28" s="14"/>
      <c r="K28" s="14"/>
      <c r="L28" s="14">
        <v>1</v>
      </c>
      <c r="M28" s="16"/>
    </row>
    <row r="29" spans="1:13" ht="18.75" x14ac:dyDescent="0.3">
      <c r="A29" s="3">
        <v>28</v>
      </c>
      <c r="B29" s="4" t="s">
        <v>47</v>
      </c>
      <c r="C29" s="4" t="s">
        <v>12</v>
      </c>
      <c r="D29" s="14">
        <v>1197</v>
      </c>
      <c r="E29" s="14">
        <v>99</v>
      </c>
      <c r="F29" s="15">
        <f t="shared" si="0"/>
        <v>12.090909090909092</v>
      </c>
      <c r="G29" s="14">
        <v>1</v>
      </c>
      <c r="H29" s="14"/>
      <c r="I29" s="14"/>
      <c r="J29" s="14"/>
      <c r="K29" s="14"/>
      <c r="L29" s="14">
        <v>3</v>
      </c>
      <c r="M29" s="16"/>
    </row>
    <row r="30" spans="1:13" ht="18.75" x14ac:dyDescent="0.3">
      <c r="A30" s="3">
        <v>29</v>
      </c>
      <c r="B30" s="4" t="s">
        <v>48</v>
      </c>
      <c r="C30" s="4" t="s">
        <v>49</v>
      </c>
      <c r="D30" s="14">
        <v>1498</v>
      </c>
      <c r="E30" s="14">
        <v>124</v>
      </c>
      <c r="F30" s="15">
        <f t="shared" si="0"/>
        <v>12.080645161290322</v>
      </c>
      <c r="G30" s="14">
        <v>1</v>
      </c>
      <c r="H30" s="14">
        <v>1</v>
      </c>
      <c r="I30" s="14"/>
      <c r="J30" s="14"/>
      <c r="K30" s="14"/>
      <c r="L30" s="14">
        <v>5</v>
      </c>
      <c r="M30" s="16"/>
    </row>
    <row r="31" spans="1:13" ht="18.75" x14ac:dyDescent="0.3">
      <c r="A31" s="3">
        <v>30</v>
      </c>
      <c r="B31" s="4" t="s">
        <v>50</v>
      </c>
      <c r="C31" s="7" t="s">
        <v>12</v>
      </c>
      <c r="D31" s="14">
        <v>1235</v>
      </c>
      <c r="E31" s="14">
        <v>104</v>
      </c>
      <c r="F31" s="15">
        <f t="shared" si="0"/>
        <v>11.875</v>
      </c>
      <c r="G31" s="14">
        <v>1</v>
      </c>
      <c r="H31" s="14"/>
      <c r="I31" s="14"/>
      <c r="J31" s="14"/>
      <c r="K31" s="14"/>
      <c r="L31" s="14">
        <v>2.5</v>
      </c>
      <c r="M31" s="16"/>
    </row>
    <row r="32" spans="1:13" ht="18.75" x14ac:dyDescent="0.3">
      <c r="A32" s="3">
        <v>31</v>
      </c>
      <c r="B32" s="26" t="s">
        <v>51</v>
      </c>
      <c r="C32" s="4" t="s">
        <v>33</v>
      </c>
      <c r="D32" s="14">
        <v>1125</v>
      </c>
      <c r="E32" s="14">
        <v>96</v>
      </c>
      <c r="F32" s="15">
        <f t="shared" si="0"/>
        <v>11.71875</v>
      </c>
      <c r="G32" s="14">
        <v>1</v>
      </c>
      <c r="H32" s="14"/>
      <c r="I32" s="14"/>
      <c r="J32" s="14"/>
      <c r="K32" s="14"/>
      <c r="L32" s="14">
        <v>0.5</v>
      </c>
      <c r="M32" s="16"/>
    </row>
    <row r="33" spans="1:13" ht="18.75" x14ac:dyDescent="0.3">
      <c r="A33" s="3">
        <v>32</v>
      </c>
      <c r="B33" s="26" t="s">
        <v>52</v>
      </c>
      <c r="C33" s="7" t="s">
        <v>53</v>
      </c>
      <c r="D33" s="14">
        <v>1503</v>
      </c>
      <c r="E33" s="14">
        <v>129</v>
      </c>
      <c r="F33" s="15">
        <f t="shared" si="0"/>
        <v>11.651162790697674</v>
      </c>
      <c r="G33" s="14">
        <v>1</v>
      </c>
      <c r="H33" s="14">
        <v>1</v>
      </c>
      <c r="I33" s="14"/>
      <c r="J33" s="14"/>
      <c r="K33" s="14"/>
      <c r="L33" s="14">
        <v>6</v>
      </c>
      <c r="M33" s="16"/>
    </row>
    <row r="34" spans="1:13" ht="18.75" x14ac:dyDescent="0.3">
      <c r="A34" s="3">
        <v>33</v>
      </c>
      <c r="B34" s="8" t="s">
        <v>54</v>
      </c>
      <c r="C34" s="4" t="s">
        <v>49</v>
      </c>
      <c r="D34" s="14">
        <v>1408</v>
      </c>
      <c r="E34" s="14">
        <v>121</v>
      </c>
      <c r="F34" s="15">
        <f t="shared" si="0"/>
        <v>11.636363636363637</v>
      </c>
      <c r="G34" s="14">
        <v>1</v>
      </c>
      <c r="H34" s="14">
        <v>1</v>
      </c>
      <c r="I34" s="14"/>
      <c r="J34" s="14"/>
      <c r="K34" s="14"/>
      <c r="L34" s="14">
        <v>5</v>
      </c>
      <c r="M34" s="16"/>
    </row>
    <row r="35" spans="1:13" ht="18.75" x14ac:dyDescent="0.3">
      <c r="A35" s="3">
        <v>34</v>
      </c>
      <c r="B35" s="18" t="s">
        <v>55</v>
      </c>
      <c r="C35" s="4" t="s">
        <v>33</v>
      </c>
      <c r="D35" s="17">
        <v>1418</v>
      </c>
      <c r="E35" s="14">
        <v>122</v>
      </c>
      <c r="F35" s="15">
        <f t="shared" si="0"/>
        <v>11.622950819672131</v>
      </c>
      <c r="G35" s="14">
        <v>1</v>
      </c>
      <c r="H35" s="14"/>
      <c r="I35" s="14"/>
      <c r="J35" s="14"/>
      <c r="K35" s="14"/>
      <c r="L35" s="14">
        <v>2.5</v>
      </c>
      <c r="M35" s="16"/>
    </row>
    <row r="36" spans="1:13" ht="18.75" x14ac:dyDescent="0.3">
      <c r="A36" s="3">
        <v>35</v>
      </c>
      <c r="B36" s="9" t="s">
        <v>56</v>
      </c>
      <c r="C36" s="4" t="s">
        <v>29</v>
      </c>
      <c r="D36" s="17">
        <v>1501</v>
      </c>
      <c r="E36" s="14">
        <v>132</v>
      </c>
      <c r="F36" s="15">
        <f t="shared" si="0"/>
        <v>11.371212121212121</v>
      </c>
      <c r="G36" s="14">
        <v>1</v>
      </c>
      <c r="H36" s="14">
        <v>1</v>
      </c>
      <c r="I36" s="14"/>
      <c r="J36" s="14"/>
      <c r="K36" s="14"/>
      <c r="L36" s="14">
        <v>2.5</v>
      </c>
      <c r="M36" s="16"/>
    </row>
    <row r="37" spans="1:13" ht="18.75" x14ac:dyDescent="0.3">
      <c r="A37" s="3">
        <v>36</v>
      </c>
      <c r="B37" s="9" t="s">
        <v>57</v>
      </c>
      <c r="C37" s="4" t="s">
        <v>46</v>
      </c>
      <c r="D37" s="17">
        <v>1416</v>
      </c>
      <c r="E37" s="14">
        <v>125</v>
      </c>
      <c r="F37" s="15">
        <f t="shared" si="0"/>
        <v>11.327999999999999</v>
      </c>
      <c r="G37" s="14">
        <v>1</v>
      </c>
      <c r="H37" s="14"/>
      <c r="I37" s="14"/>
      <c r="J37" s="14"/>
      <c r="K37" s="14"/>
      <c r="L37" s="14">
        <v>1</v>
      </c>
      <c r="M37" s="16"/>
    </row>
    <row r="38" spans="1:13" ht="18.75" x14ac:dyDescent="0.3">
      <c r="A38" s="3">
        <v>37</v>
      </c>
      <c r="B38" s="7" t="s">
        <v>58</v>
      </c>
      <c r="C38" s="4" t="s">
        <v>14</v>
      </c>
      <c r="D38" s="17">
        <v>1431</v>
      </c>
      <c r="E38" s="14">
        <v>128</v>
      </c>
      <c r="F38" s="15">
        <f t="shared" si="0"/>
        <v>11.1796875</v>
      </c>
      <c r="G38" s="14">
        <v>1</v>
      </c>
      <c r="H38" s="14"/>
      <c r="I38" s="14"/>
      <c r="J38" s="14"/>
      <c r="K38" s="14"/>
      <c r="L38" s="14">
        <v>3.5</v>
      </c>
      <c r="M38" s="16"/>
    </row>
    <row r="39" spans="1:13" ht="18.75" x14ac:dyDescent="0.3">
      <c r="A39" s="3">
        <v>38</v>
      </c>
      <c r="B39" s="9" t="s">
        <v>59</v>
      </c>
      <c r="C39" s="4" t="s">
        <v>60</v>
      </c>
      <c r="D39" s="17">
        <v>1495</v>
      </c>
      <c r="E39" s="14">
        <v>137</v>
      </c>
      <c r="F39" s="15">
        <f t="shared" si="0"/>
        <v>10.912408759124087</v>
      </c>
      <c r="G39" s="14">
        <v>1</v>
      </c>
      <c r="H39" s="14"/>
      <c r="I39" s="14"/>
      <c r="J39" s="14"/>
      <c r="K39" s="14"/>
      <c r="L39" s="14">
        <v>1</v>
      </c>
      <c r="M39" s="16"/>
    </row>
    <row r="40" spans="1:13" ht="18.75" x14ac:dyDescent="0.3">
      <c r="A40" s="3">
        <v>39</v>
      </c>
      <c r="B40" s="7" t="s">
        <v>61</v>
      </c>
      <c r="C40" s="4" t="s">
        <v>53</v>
      </c>
      <c r="D40" s="17">
        <v>1483</v>
      </c>
      <c r="E40" s="14">
        <v>136</v>
      </c>
      <c r="F40" s="15">
        <f t="shared" si="0"/>
        <v>10.904411764705882</v>
      </c>
      <c r="G40" s="14">
        <v>1</v>
      </c>
      <c r="H40" s="14">
        <v>1</v>
      </c>
      <c r="I40" s="14"/>
      <c r="J40" s="14"/>
      <c r="K40" s="14"/>
      <c r="L40" s="14">
        <v>4.5</v>
      </c>
      <c r="M40" s="16"/>
    </row>
    <row r="41" spans="1:13" ht="18.75" x14ac:dyDescent="0.3">
      <c r="A41" s="3">
        <v>40</v>
      </c>
      <c r="B41" s="9" t="s">
        <v>62</v>
      </c>
      <c r="C41" s="4" t="s">
        <v>60</v>
      </c>
      <c r="D41" s="17">
        <v>1264</v>
      </c>
      <c r="E41" s="14">
        <v>123</v>
      </c>
      <c r="F41" s="15">
        <f t="shared" si="0"/>
        <v>10.276422764227643</v>
      </c>
      <c r="G41" s="14">
        <v>1</v>
      </c>
      <c r="H41" s="14"/>
      <c r="I41" s="14"/>
      <c r="J41" s="14"/>
      <c r="K41" s="14"/>
      <c r="L41" s="14">
        <v>0.5</v>
      </c>
      <c r="M41" s="16"/>
    </row>
    <row r="42" spans="1:13" ht="18.75" x14ac:dyDescent="0.3">
      <c r="A42" s="3">
        <v>41</v>
      </c>
      <c r="B42" s="28" t="s">
        <v>63</v>
      </c>
      <c r="C42" s="8" t="s">
        <v>53</v>
      </c>
      <c r="D42" s="17">
        <v>1498</v>
      </c>
      <c r="E42" s="14">
        <v>158</v>
      </c>
      <c r="F42" s="15">
        <f t="shared" si="0"/>
        <v>9.4810126582278489</v>
      </c>
      <c r="G42" s="14">
        <v>1</v>
      </c>
      <c r="H42" s="14"/>
      <c r="I42" s="14"/>
      <c r="J42" s="14"/>
      <c r="K42" s="14"/>
      <c r="L42" s="14">
        <v>2.5</v>
      </c>
      <c r="M42" s="16"/>
    </row>
    <row r="43" spans="1:13" ht="18.75" x14ac:dyDescent="0.3">
      <c r="A43" s="3">
        <v>42</v>
      </c>
      <c r="B43" s="9" t="s">
        <v>64</v>
      </c>
      <c r="C43" s="7" t="s">
        <v>46</v>
      </c>
      <c r="D43" s="17">
        <v>1468</v>
      </c>
      <c r="E43" s="14">
        <v>156</v>
      </c>
      <c r="F43" s="15">
        <f t="shared" si="0"/>
        <v>9.4102564102564106</v>
      </c>
      <c r="G43" s="14">
        <v>1</v>
      </c>
      <c r="H43" s="14"/>
      <c r="I43" s="14"/>
      <c r="J43" s="14"/>
      <c r="K43" s="14"/>
      <c r="L43" s="14">
        <v>1</v>
      </c>
      <c r="M43" s="16"/>
    </row>
    <row r="44" spans="1:13" ht="18.75" x14ac:dyDescent="0.3">
      <c r="A44" s="3">
        <v>43</v>
      </c>
      <c r="B44" s="9" t="s">
        <v>65</v>
      </c>
      <c r="C44" s="7" t="s">
        <v>46</v>
      </c>
      <c r="D44" s="17">
        <v>1493</v>
      </c>
      <c r="E44" s="14">
        <v>159</v>
      </c>
      <c r="F44" s="15">
        <f t="shared" si="0"/>
        <v>9.3899371069182394</v>
      </c>
      <c r="G44" s="14">
        <v>1</v>
      </c>
      <c r="H44" s="14"/>
      <c r="I44" s="14"/>
      <c r="J44" s="14"/>
      <c r="K44" s="14"/>
      <c r="L44" s="14">
        <v>1</v>
      </c>
      <c r="M44" s="16"/>
    </row>
    <row r="45" spans="1:13" ht="18.75" x14ac:dyDescent="0.3">
      <c r="A45" s="3">
        <v>44</v>
      </c>
      <c r="B45" s="7" t="s">
        <v>66</v>
      </c>
      <c r="C45" s="7" t="s">
        <v>49</v>
      </c>
      <c r="D45" s="17">
        <v>1474</v>
      </c>
      <c r="E45" s="14">
        <v>158</v>
      </c>
      <c r="F45" s="15">
        <f t="shared" si="0"/>
        <v>9.3291139240506329</v>
      </c>
      <c r="G45" s="14">
        <v>1</v>
      </c>
      <c r="H45" s="14">
        <v>1</v>
      </c>
      <c r="I45" s="14"/>
      <c r="J45" s="14"/>
      <c r="K45" s="14"/>
      <c r="L45" s="14">
        <v>3.5</v>
      </c>
      <c r="M45" s="16"/>
    </row>
    <row r="46" spans="1:13" ht="18.75" x14ac:dyDescent="0.3">
      <c r="A46" s="3">
        <v>45</v>
      </c>
      <c r="B46" s="7" t="s">
        <v>67</v>
      </c>
      <c r="C46" s="7" t="s">
        <v>49</v>
      </c>
      <c r="D46" s="17">
        <v>1501</v>
      </c>
      <c r="E46" s="14">
        <v>162</v>
      </c>
      <c r="F46" s="15">
        <f t="shared" si="0"/>
        <v>9.2654320987654319</v>
      </c>
      <c r="G46" s="14">
        <v>1</v>
      </c>
      <c r="H46" s="14">
        <v>1</v>
      </c>
      <c r="I46" s="14"/>
      <c r="J46" s="14"/>
      <c r="K46" s="14"/>
      <c r="L46" s="14">
        <v>5</v>
      </c>
      <c r="M46" s="16">
        <v>10</v>
      </c>
    </row>
    <row r="47" spans="1:13" ht="18.75" x14ac:dyDescent="0.3">
      <c r="A47" s="3">
        <v>46</v>
      </c>
      <c r="B47" s="9" t="s">
        <v>68</v>
      </c>
      <c r="C47" s="7" t="s">
        <v>60</v>
      </c>
      <c r="D47" s="17">
        <v>1493</v>
      </c>
      <c r="E47" s="14">
        <v>177</v>
      </c>
      <c r="F47" s="15">
        <f t="shared" si="0"/>
        <v>8.4350282485875709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69</v>
      </c>
      <c r="C48" s="7" t="s">
        <v>60</v>
      </c>
      <c r="D48" s="17">
        <v>1297</v>
      </c>
      <c r="E48" s="14">
        <v>156</v>
      </c>
      <c r="F48" s="15">
        <f t="shared" si="0"/>
        <v>8.3141025641025639</v>
      </c>
      <c r="G48" s="14">
        <v>1</v>
      </c>
      <c r="H48" s="14">
        <v>1</v>
      </c>
      <c r="I48" s="14"/>
      <c r="J48" s="14"/>
      <c r="K48" s="14"/>
      <c r="L48" s="14">
        <v>2.5</v>
      </c>
      <c r="M48" s="16"/>
    </row>
    <row r="49" spans="1:17" ht="18.75" x14ac:dyDescent="0.3">
      <c r="A49" s="3">
        <v>48</v>
      </c>
      <c r="B49" s="9" t="s">
        <v>70</v>
      </c>
      <c r="C49" s="4" t="s">
        <v>53</v>
      </c>
      <c r="D49" s="17">
        <v>1480</v>
      </c>
      <c r="E49" s="14">
        <v>180</v>
      </c>
      <c r="F49" s="15">
        <f t="shared" si="0"/>
        <v>8.2222222222222214</v>
      </c>
      <c r="G49" s="14">
        <v>1</v>
      </c>
      <c r="H49" s="14"/>
      <c r="I49" s="14"/>
      <c r="J49" s="14"/>
      <c r="K49" s="14"/>
      <c r="L49" s="14">
        <v>1.5</v>
      </c>
      <c r="M49" s="16"/>
    </row>
    <row r="50" spans="1:17" ht="18.75" x14ac:dyDescent="0.3">
      <c r="A50" s="3">
        <v>49</v>
      </c>
      <c r="B50" s="7" t="s">
        <v>71</v>
      </c>
      <c r="C50" s="8" t="s">
        <v>53</v>
      </c>
      <c r="D50" s="17"/>
      <c r="E50" s="14"/>
      <c r="F50" s="15"/>
      <c r="G50" s="14"/>
      <c r="H50" s="14"/>
      <c r="I50" s="14"/>
      <c r="J50" s="14"/>
      <c r="K50" s="14"/>
      <c r="L50" s="14">
        <v>1.5</v>
      </c>
      <c r="M50" s="16"/>
    </row>
    <row r="51" spans="1:17" ht="18.75" x14ac:dyDescent="0.3">
      <c r="A51" s="3">
        <v>50</v>
      </c>
      <c r="B51" s="27" t="s">
        <v>72</v>
      </c>
      <c r="C51" s="7" t="s">
        <v>19</v>
      </c>
      <c r="D51" s="17"/>
      <c r="E51" s="14"/>
      <c r="F51" s="15"/>
      <c r="G51" s="14"/>
      <c r="H51" s="14"/>
      <c r="I51" s="14"/>
      <c r="J51" s="14"/>
      <c r="K51" s="14"/>
      <c r="L51" s="14">
        <v>2.5</v>
      </c>
      <c r="M51" s="16"/>
    </row>
    <row r="52" spans="1:17" ht="18.75" x14ac:dyDescent="0.3">
      <c r="A52" s="3">
        <v>51</v>
      </c>
      <c r="B52" s="11" t="s">
        <v>73</v>
      </c>
      <c r="C52" s="7" t="s">
        <v>21</v>
      </c>
      <c r="D52" s="17"/>
      <c r="E52" s="14"/>
      <c r="F52" s="15"/>
      <c r="G52" s="14"/>
      <c r="H52" s="14"/>
      <c r="I52" s="14"/>
      <c r="J52" s="14"/>
      <c r="K52" s="14"/>
      <c r="L52" s="14">
        <v>1</v>
      </c>
      <c r="M52" s="16"/>
    </row>
    <row r="53" spans="1:17" ht="18.75" x14ac:dyDescent="0.3">
      <c r="A53" s="3">
        <v>52</v>
      </c>
      <c r="B53" s="11" t="s">
        <v>74</v>
      </c>
      <c r="C53" s="7" t="s">
        <v>60</v>
      </c>
      <c r="D53" s="17"/>
      <c r="E53" s="14"/>
      <c r="F53" s="15"/>
      <c r="G53" s="14"/>
      <c r="H53" s="14"/>
      <c r="I53" s="14"/>
      <c r="J53" s="14"/>
      <c r="K53" s="14"/>
      <c r="L53" s="14">
        <v>1</v>
      </c>
      <c r="M53" s="16"/>
    </row>
    <row r="54" spans="1:17" ht="18.75" x14ac:dyDescent="0.3">
      <c r="A54" s="3">
        <v>53</v>
      </c>
      <c r="B54" s="11" t="s">
        <v>75</v>
      </c>
      <c r="C54" s="7" t="s">
        <v>60</v>
      </c>
      <c r="D54" s="17"/>
      <c r="E54" s="14"/>
      <c r="F54" s="15"/>
      <c r="G54" s="14"/>
      <c r="H54" s="14"/>
      <c r="I54" s="14"/>
      <c r="J54" s="14"/>
      <c r="K54" s="14"/>
      <c r="L54" s="14">
        <v>1</v>
      </c>
      <c r="M54" s="16"/>
    </row>
    <row r="55" spans="1:17" ht="18.75" x14ac:dyDescent="0.3">
      <c r="A55" s="3">
        <v>54</v>
      </c>
      <c r="B55" s="11" t="s">
        <v>76</v>
      </c>
      <c r="C55" s="7" t="s">
        <v>49</v>
      </c>
      <c r="D55" s="17"/>
      <c r="E55" s="14"/>
      <c r="F55" s="15"/>
      <c r="G55" s="14"/>
      <c r="H55" s="14"/>
      <c r="I55" s="14"/>
      <c r="J55" s="14"/>
      <c r="K55" s="14"/>
      <c r="L55" s="14">
        <v>1.5</v>
      </c>
      <c r="M55" s="16"/>
    </row>
    <row r="56" spans="1:17" ht="17.25" customHeight="1" x14ac:dyDescent="0.3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ht="19.5" customHeight="1" x14ac:dyDescent="0.3">
      <c r="A57" s="5"/>
      <c r="B57" s="41" t="s">
        <v>77</v>
      </c>
      <c r="C57" s="12" t="s">
        <v>78</v>
      </c>
      <c r="D57" s="13" t="s">
        <v>79</v>
      </c>
      <c r="E57" s="13" t="s">
        <v>80</v>
      </c>
      <c r="F57" s="19" t="s">
        <v>81</v>
      </c>
      <c r="G57" s="25"/>
      <c r="H57" s="34" t="s">
        <v>82</v>
      </c>
      <c r="I57" s="35"/>
      <c r="J57" s="35"/>
      <c r="K57" s="35"/>
      <c r="L57" s="35"/>
      <c r="M57" s="35"/>
      <c r="N57" s="35"/>
      <c r="O57" s="35"/>
      <c r="P57" s="35"/>
      <c r="Q57" s="36"/>
    </row>
    <row r="58" spans="1:17" ht="18.75" x14ac:dyDescent="0.3">
      <c r="A58" s="5"/>
      <c r="B58" s="42"/>
      <c r="C58" s="31" t="s">
        <v>83</v>
      </c>
      <c r="D58" s="20">
        <v>1</v>
      </c>
      <c r="E58" s="20">
        <v>0</v>
      </c>
      <c r="F58" s="20">
        <v>20</v>
      </c>
      <c r="G58" s="6"/>
      <c r="H58" s="44" t="s">
        <v>84</v>
      </c>
      <c r="I58" s="45"/>
      <c r="J58" s="45"/>
      <c r="K58" s="45"/>
      <c r="L58" s="45"/>
      <c r="M58" s="37" t="s">
        <v>85</v>
      </c>
      <c r="N58" s="37"/>
      <c r="O58" s="37"/>
      <c r="P58" s="37"/>
      <c r="Q58" s="38"/>
    </row>
    <row r="59" spans="1:17" ht="18.75" x14ac:dyDescent="0.3">
      <c r="A59" s="5"/>
      <c r="B59" s="42"/>
      <c r="C59" s="29" t="s">
        <v>86</v>
      </c>
      <c r="D59" s="7">
        <v>1</v>
      </c>
      <c r="E59" s="7">
        <v>0</v>
      </c>
      <c r="F59" s="7">
        <v>17</v>
      </c>
      <c r="G59" s="6"/>
      <c r="H59" s="46" t="s">
        <v>87</v>
      </c>
      <c r="I59" s="47"/>
      <c r="J59" s="47"/>
      <c r="K59" s="47"/>
      <c r="L59" s="47"/>
      <c r="M59" s="39" t="s">
        <v>88</v>
      </c>
      <c r="N59" s="39"/>
      <c r="O59" s="39"/>
      <c r="P59" s="39"/>
      <c r="Q59" s="40"/>
    </row>
    <row r="60" spans="1:17" ht="18.75" x14ac:dyDescent="0.3">
      <c r="A60" s="5"/>
      <c r="B60" s="42"/>
      <c r="C60" s="29" t="s">
        <v>89</v>
      </c>
      <c r="D60" s="7">
        <v>1</v>
      </c>
      <c r="E60" s="18">
        <v>0</v>
      </c>
      <c r="F60" s="18">
        <v>16</v>
      </c>
      <c r="G60" s="6"/>
      <c r="H60" s="46" t="s">
        <v>90</v>
      </c>
      <c r="I60" s="47"/>
      <c r="J60" s="47"/>
      <c r="K60" s="47"/>
      <c r="L60" s="47"/>
      <c r="M60" s="39" t="s">
        <v>91</v>
      </c>
      <c r="N60" s="39"/>
      <c r="O60" s="39"/>
      <c r="P60" s="39"/>
      <c r="Q60" s="40"/>
    </row>
    <row r="61" spans="1:17" ht="18.75" x14ac:dyDescent="0.3">
      <c r="A61" s="6"/>
      <c r="B61" s="42"/>
      <c r="C61" s="29" t="s">
        <v>92</v>
      </c>
      <c r="D61" s="7">
        <v>1</v>
      </c>
      <c r="E61" s="18">
        <v>0</v>
      </c>
      <c r="F61" s="18">
        <v>14</v>
      </c>
      <c r="G61" s="6"/>
      <c r="H61" s="46" t="s">
        <v>93</v>
      </c>
      <c r="I61" s="47"/>
      <c r="J61" s="47"/>
      <c r="K61" s="47"/>
      <c r="L61" s="47"/>
      <c r="M61" s="39" t="s">
        <v>94</v>
      </c>
      <c r="N61" s="39"/>
      <c r="O61" s="39"/>
      <c r="P61" s="39"/>
      <c r="Q61" s="40"/>
    </row>
    <row r="62" spans="1:17" ht="18" customHeight="1" x14ac:dyDescent="0.3">
      <c r="A62" s="6"/>
      <c r="B62" s="42"/>
      <c r="C62" s="29" t="s">
        <v>95</v>
      </c>
      <c r="D62" s="7">
        <v>1</v>
      </c>
      <c r="E62" s="18">
        <v>0</v>
      </c>
      <c r="F62" s="18">
        <v>13</v>
      </c>
      <c r="G62" s="6"/>
      <c r="H62" s="46" t="s">
        <v>96</v>
      </c>
      <c r="I62" s="47"/>
      <c r="J62" s="47"/>
      <c r="K62" s="47"/>
      <c r="L62" s="47"/>
      <c r="M62" s="39" t="s">
        <v>91</v>
      </c>
      <c r="N62" s="39"/>
      <c r="O62" s="39"/>
      <c r="P62" s="39"/>
      <c r="Q62" s="40"/>
    </row>
    <row r="63" spans="1:17" ht="18" customHeight="1" x14ac:dyDescent="0.3">
      <c r="A63" s="6"/>
      <c r="B63" s="42"/>
      <c r="C63" s="30" t="s">
        <v>97</v>
      </c>
      <c r="D63" s="9">
        <v>1</v>
      </c>
      <c r="E63" s="9">
        <v>0</v>
      </c>
      <c r="F63" s="9">
        <v>13</v>
      </c>
      <c r="G63" s="6"/>
      <c r="H63" s="48" t="s">
        <v>98</v>
      </c>
      <c r="I63" s="49"/>
      <c r="J63" s="49"/>
      <c r="K63" s="49"/>
      <c r="L63" s="49"/>
      <c r="M63" s="32" t="s">
        <v>94</v>
      </c>
      <c r="N63" s="32"/>
      <c r="O63" s="32"/>
      <c r="P63" s="32"/>
      <c r="Q63" s="33"/>
    </row>
    <row r="64" spans="1:17" ht="18.75" x14ac:dyDescent="0.3">
      <c r="A64" s="6"/>
      <c r="B64" s="42"/>
      <c r="C64" s="29" t="s">
        <v>99</v>
      </c>
      <c r="D64" s="7">
        <v>0</v>
      </c>
      <c r="E64" s="7">
        <v>1</v>
      </c>
      <c r="F64" s="7">
        <v>11</v>
      </c>
      <c r="G64" s="6"/>
      <c r="H64" s="6"/>
      <c r="I64" s="6"/>
      <c r="J64" s="6"/>
      <c r="K64" s="6"/>
      <c r="L64" s="6"/>
      <c r="M64" s="6"/>
    </row>
    <row r="65" spans="1:13" ht="18.75" x14ac:dyDescent="0.3">
      <c r="A65" s="6"/>
      <c r="B65" s="42"/>
      <c r="C65" s="29" t="s">
        <v>100</v>
      </c>
      <c r="D65" s="7">
        <v>0</v>
      </c>
      <c r="E65" s="18">
        <v>1</v>
      </c>
      <c r="F65" s="18">
        <v>11</v>
      </c>
      <c r="G65" s="6"/>
      <c r="H65" s="6"/>
      <c r="I65" s="6"/>
      <c r="J65" s="6"/>
      <c r="K65" s="6"/>
      <c r="L65" s="6"/>
      <c r="M65" s="6"/>
    </row>
    <row r="66" spans="1:13" ht="15" customHeight="1" x14ac:dyDescent="0.3">
      <c r="B66" s="42"/>
      <c r="C66" s="30" t="s">
        <v>101</v>
      </c>
      <c r="D66" s="9">
        <v>0</v>
      </c>
      <c r="E66" s="9">
        <v>1</v>
      </c>
      <c r="F66" s="9">
        <v>10</v>
      </c>
    </row>
    <row r="67" spans="1:13" ht="18.75" x14ac:dyDescent="0.3">
      <c r="B67" s="42"/>
      <c r="C67" s="30" t="s">
        <v>102</v>
      </c>
      <c r="D67" s="9">
        <v>0</v>
      </c>
      <c r="E67" s="9">
        <v>1</v>
      </c>
      <c r="F67" s="9">
        <v>8</v>
      </c>
    </row>
    <row r="68" spans="1:13" ht="18.75" x14ac:dyDescent="0.3">
      <c r="B68" s="42"/>
      <c r="C68" s="29" t="s">
        <v>103</v>
      </c>
      <c r="D68" s="7">
        <v>0</v>
      </c>
      <c r="E68" s="18">
        <v>1</v>
      </c>
      <c r="F68" s="18">
        <v>7</v>
      </c>
    </row>
    <row r="69" spans="1:13" ht="19.5" thickBot="1" x14ac:dyDescent="0.35">
      <c r="B69" s="43"/>
      <c r="C69" s="30" t="s">
        <v>104</v>
      </c>
      <c r="D69" s="9">
        <v>0</v>
      </c>
      <c r="E69" s="9">
        <v>1</v>
      </c>
      <c r="F69" s="9">
        <v>4</v>
      </c>
    </row>
    <row r="71" spans="1:13" ht="19.5" thickBot="1" x14ac:dyDescent="0.35">
      <c r="C71" s="12" t="s">
        <v>105</v>
      </c>
      <c r="D71" s="13" t="s">
        <v>79</v>
      </c>
      <c r="E71" s="13" t="s">
        <v>80</v>
      </c>
      <c r="F71" s="19" t="s">
        <v>81</v>
      </c>
    </row>
    <row r="72" spans="1:13" ht="18.75" x14ac:dyDescent="0.3">
      <c r="C72" s="7" t="s">
        <v>86</v>
      </c>
      <c r="D72" s="7">
        <v>1</v>
      </c>
      <c r="E72" s="7">
        <v>0</v>
      </c>
      <c r="F72" s="7">
        <v>17</v>
      </c>
    </row>
    <row r="73" spans="1:13" ht="18.75" x14ac:dyDescent="0.3">
      <c r="C73" s="7" t="s">
        <v>95</v>
      </c>
      <c r="D73" s="7">
        <v>1</v>
      </c>
      <c r="E73" s="18">
        <v>0</v>
      </c>
      <c r="F73" s="18">
        <v>13</v>
      </c>
    </row>
    <row r="74" spans="1:13" ht="18.75" x14ac:dyDescent="0.3">
      <c r="C74" s="20" t="s">
        <v>100</v>
      </c>
      <c r="D74" s="20">
        <v>0</v>
      </c>
      <c r="E74" s="21">
        <v>1</v>
      </c>
      <c r="F74" s="21">
        <v>11</v>
      </c>
    </row>
    <row r="75" spans="1:13" ht="18.75" x14ac:dyDescent="0.3">
      <c r="C75" s="7" t="s">
        <v>103</v>
      </c>
      <c r="D75" s="7">
        <v>0</v>
      </c>
      <c r="E75" s="18">
        <v>1</v>
      </c>
      <c r="F75" s="18">
        <v>7</v>
      </c>
    </row>
    <row r="77" spans="1:13" ht="18.75" x14ac:dyDescent="0.3">
      <c r="C77" s="12" t="s">
        <v>106</v>
      </c>
      <c r="D77" s="13" t="s">
        <v>79</v>
      </c>
      <c r="E77" s="13" t="s">
        <v>80</v>
      </c>
      <c r="F77" s="19" t="s">
        <v>81</v>
      </c>
    </row>
    <row r="78" spans="1:13" ht="18.75" x14ac:dyDescent="0.3">
      <c r="C78" s="20" t="s">
        <v>92</v>
      </c>
      <c r="D78" s="20">
        <v>1</v>
      </c>
      <c r="E78" s="21">
        <v>0</v>
      </c>
      <c r="F78" s="21">
        <v>14</v>
      </c>
    </row>
    <row r="79" spans="1:13" ht="18.75" x14ac:dyDescent="0.3">
      <c r="C79" s="9" t="s">
        <v>97</v>
      </c>
      <c r="D79" s="9">
        <v>1</v>
      </c>
      <c r="E79" s="9">
        <v>0</v>
      </c>
      <c r="F79" s="9">
        <v>13</v>
      </c>
    </row>
    <row r="80" spans="1:13" ht="18.75" x14ac:dyDescent="0.3">
      <c r="C80" s="7" t="s">
        <v>99</v>
      </c>
      <c r="D80" s="7">
        <v>0</v>
      </c>
      <c r="E80" s="7">
        <v>1</v>
      </c>
      <c r="F80" s="7">
        <v>11</v>
      </c>
    </row>
    <row r="81" spans="3:6" ht="18.75" x14ac:dyDescent="0.3">
      <c r="C81" s="9" t="s">
        <v>101</v>
      </c>
      <c r="D81" s="9">
        <v>0</v>
      </c>
      <c r="E81" s="9">
        <v>1</v>
      </c>
      <c r="F81" s="9">
        <v>10</v>
      </c>
    </row>
    <row r="83" spans="3:6" ht="18.75" x14ac:dyDescent="0.3">
      <c r="C83" s="22" t="s">
        <v>107</v>
      </c>
      <c r="D83" s="23" t="s">
        <v>79</v>
      </c>
      <c r="E83" s="23" t="s">
        <v>80</v>
      </c>
      <c r="F83" s="24" t="s">
        <v>81</v>
      </c>
    </row>
    <row r="84" spans="3:6" ht="18.75" x14ac:dyDescent="0.3">
      <c r="C84" s="7" t="s">
        <v>83</v>
      </c>
      <c r="D84" s="7">
        <v>1</v>
      </c>
      <c r="E84" s="7">
        <v>0</v>
      </c>
      <c r="F84" s="7">
        <v>20</v>
      </c>
    </row>
    <row r="85" spans="3:6" ht="18.75" x14ac:dyDescent="0.3">
      <c r="C85" s="20" t="s">
        <v>89</v>
      </c>
      <c r="D85" s="20">
        <v>1</v>
      </c>
      <c r="E85" s="21">
        <v>0</v>
      </c>
      <c r="F85" s="21">
        <v>16</v>
      </c>
    </row>
    <row r="86" spans="3:6" ht="18.75" x14ac:dyDescent="0.3">
      <c r="C86" s="9" t="s">
        <v>102</v>
      </c>
      <c r="D86" s="9">
        <v>0</v>
      </c>
      <c r="E86" s="9">
        <v>1</v>
      </c>
      <c r="F86" s="9">
        <v>8</v>
      </c>
    </row>
    <row r="87" spans="3:6" ht="18.75" x14ac:dyDescent="0.3">
      <c r="C87" s="9" t="s">
        <v>104</v>
      </c>
      <c r="D87" s="9">
        <v>0</v>
      </c>
      <c r="E87" s="9">
        <v>1</v>
      </c>
      <c r="F87" s="9">
        <v>4</v>
      </c>
    </row>
  </sheetData>
  <sortState ref="A2:M55">
    <sortCondition descending="1" ref="F2:F55"/>
  </sortState>
  <mergeCells count="14">
    <mergeCell ref="B57:B69"/>
    <mergeCell ref="H58:L58"/>
    <mergeCell ref="H59:L59"/>
    <mergeCell ref="H60:L60"/>
    <mergeCell ref="H61:L61"/>
    <mergeCell ref="H62:L62"/>
    <mergeCell ref="H63:L63"/>
    <mergeCell ref="M63:Q63"/>
    <mergeCell ref="H57:Q57"/>
    <mergeCell ref="M58:Q58"/>
    <mergeCell ref="M59:Q59"/>
    <mergeCell ref="M60:Q60"/>
    <mergeCell ref="M61:Q61"/>
    <mergeCell ref="M62:Q6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pane ySplit="1" topLeftCell="A71" activePane="bottomLeft" state="frozen"/>
      <selection pane="bottomLeft" activeCell="O81" sqref="O81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SUM(1493+1503+1499+1371+1478+1493+1503+1503+1487+1503)</f>
        <v>14833</v>
      </c>
      <c r="E2" s="14">
        <f>SUM(82+81+101+87+100+89+93+104+80+61)</f>
        <v>878</v>
      </c>
      <c r="F2" s="15">
        <f>SUM(D2/E2)</f>
        <v>16.894077448747154</v>
      </c>
      <c r="G2" s="14">
        <v>10</v>
      </c>
      <c r="H2" s="14">
        <v>9</v>
      </c>
      <c r="I2" s="14">
        <v>1</v>
      </c>
      <c r="J2" s="14"/>
      <c r="K2" s="14"/>
      <c r="L2" s="14">
        <v>41.5</v>
      </c>
      <c r="M2" s="16">
        <v>25</v>
      </c>
    </row>
    <row r="3" spans="1:13" ht="18.75" x14ac:dyDescent="0.3">
      <c r="A3" s="3">
        <v>2</v>
      </c>
      <c r="B3" s="4" t="s">
        <v>17</v>
      </c>
      <c r="C3" s="4" t="s">
        <v>14</v>
      </c>
      <c r="D3" s="14">
        <f>SUM(1475+1503+1379+1273+1389+1467+1447+1471+1380)</f>
        <v>12784</v>
      </c>
      <c r="E3" s="14">
        <f>SUM(91+92+81+81+71+83+111+86+76)</f>
        <v>772</v>
      </c>
      <c r="F3" s="15">
        <f>SUM(D3/E3)</f>
        <v>16.559585492227978</v>
      </c>
      <c r="G3" s="14">
        <v>9</v>
      </c>
      <c r="H3" s="14">
        <v>6</v>
      </c>
      <c r="I3" s="14"/>
      <c r="J3" s="14"/>
      <c r="K3" s="14"/>
      <c r="L3" s="76">
        <v>28.5</v>
      </c>
      <c r="M3" s="16">
        <v>10</v>
      </c>
    </row>
    <row r="4" spans="1:13" ht="18.75" x14ac:dyDescent="0.3">
      <c r="A4" s="3">
        <v>3</v>
      </c>
      <c r="B4" s="4" t="s">
        <v>25</v>
      </c>
      <c r="C4" s="4" t="s">
        <v>16</v>
      </c>
      <c r="D4" s="14">
        <f>SUM(1497+1503+1503+1503+1503+1343+1374+1383+1499)</f>
        <v>13108</v>
      </c>
      <c r="E4" s="14">
        <f>SUM(100+85+83+92+83+81+85+94+91)</f>
        <v>794</v>
      </c>
      <c r="F4" s="15">
        <f>SUM(D4/E4)</f>
        <v>16.508816120906801</v>
      </c>
      <c r="G4" s="14">
        <v>9</v>
      </c>
      <c r="H4" s="14">
        <v>7</v>
      </c>
      <c r="I4" s="14">
        <v>1</v>
      </c>
      <c r="J4" s="14"/>
      <c r="K4" s="14"/>
      <c r="L4" s="14">
        <v>37.5</v>
      </c>
      <c r="M4" s="16">
        <v>10</v>
      </c>
    </row>
    <row r="5" spans="1:13" ht="18.75" x14ac:dyDescent="0.3">
      <c r="A5" s="3">
        <v>4</v>
      </c>
      <c r="B5" s="4" t="s">
        <v>27</v>
      </c>
      <c r="C5" s="4" t="s">
        <v>19</v>
      </c>
      <c r="D5" s="14">
        <f>SUM(1491+1430+1503+1498+1306+1503+1443+1496+1492+1503)</f>
        <v>14665</v>
      </c>
      <c r="E5" s="14">
        <f>SUM(102+105+81+93+72+105+84+83+120+98)</f>
        <v>943</v>
      </c>
      <c r="F5" s="15">
        <f>SUM(D5/E5)</f>
        <v>15.551431601272535</v>
      </c>
      <c r="G5" s="14">
        <v>10</v>
      </c>
      <c r="H5" s="14">
        <v>8</v>
      </c>
      <c r="I5" s="14"/>
      <c r="J5" s="14"/>
      <c r="K5" s="14">
        <v>1</v>
      </c>
      <c r="L5" s="14">
        <v>40.5</v>
      </c>
      <c r="M5" s="16">
        <v>5</v>
      </c>
    </row>
    <row r="6" spans="1:13" ht="18.75" x14ac:dyDescent="0.3">
      <c r="A6" s="3">
        <v>5</v>
      </c>
      <c r="B6" s="4" t="s">
        <v>117</v>
      </c>
      <c r="C6" s="4" t="s">
        <v>53</v>
      </c>
      <c r="D6" s="14">
        <f>SUM(1503)</f>
        <v>1503</v>
      </c>
      <c r="E6" s="14">
        <f>SUM(97)</f>
        <v>97</v>
      </c>
      <c r="F6" s="15">
        <f>SUM(D6/E6)</f>
        <v>15.494845360824742</v>
      </c>
      <c r="G6" s="14">
        <v>1</v>
      </c>
      <c r="H6" s="14">
        <v>1</v>
      </c>
      <c r="I6" s="14"/>
      <c r="J6" s="14"/>
      <c r="K6" s="14"/>
      <c r="L6" s="14">
        <v>3.5</v>
      </c>
      <c r="M6" s="16"/>
    </row>
    <row r="7" spans="1:13" ht="18.75" x14ac:dyDescent="0.3">
      <c r="A7" s="3">
        <v>6</v>
      </c>
      <c r="B7" s="4" t="s">
        <v>38</v>
      </c>
      <c r="C7" s="4" t="s">
        <v>21</v>
      </c>
      <c r="D7" s="14">
        <f>SUM(1487+1503+1503+1386+1501+1503+1415+1495+1442+1486)</f>
        <v>14721</v>
      </c>
      <c r="E7" s="14">
        <f>SUM(111+101+74+85+132+87+82+95+76+112)</f>
        <v>955</v>
      </c>
      <c r="F7" s="15">
        <f>SUM(D7/E7)</f>
        <v>15.414659685863874</v>
      </c>
      <c r="G7" s="14">
        <v>10</v>
      </c>
      <c r="H7" s="14">
        <v>7</v>
      </c>
      <c r="I7" s="14"/>
      <c r="J7" s="14"/>
      <c r="K7" s="14">
        <v>1</v>
      </c>
      <c r="L7" s="14">
        <v>36.5</v>
      </c>
      <c r="M7" s="16">
        <v>10</v>
      </c>
    </row>
    <row r="8" spans="1:13" ht="18.75" x14ac:dyDescent="0.3">
      <c r="A8" s="3">
        <v>7</v>
      </c>
      <c r="B8" s="4" t="s">
        <v>15</v>
      </c>
      <c r="C8" s="4" t="s">
        <v>16</v>
      </c>
      <c r="D8" s="14">
        <f>SUM(1350+1487+1463+1503+1503+1483+1282+1468)</f>
        <v>11539</v>
      </c>
      <c r="E8" s="14">
        <f>SUM(80+82+83+99+122+85+99+103)</f>
        <v>753</v>
      </c>
      <c r="F8" s="15">
        <f>SUM(D8/E8)</f>
        <v>15.324037184594953</v>
      </c>
      <c r="G8" s="14">
        <v>8</v>
      </c>
      <c r="H8" s="14">
        <v>5</v>
      </c>
      <c r="I8" s="14"/>
      <c r="J8" s="14"/>
      <c r="K8" s="14"/>
      <c r="L8" s="14">
        <v>27</v>
      </c>
      <c r="M8" s="16">
        <v>10</v>
      </c>
    </row>
    <row r="9" spans="1:13" ht="18.75" x14ac:dyDescent="0.3">
      <c r="A9" s="3">
        <v>8</v>
      </c>
      <c r="B9" s="4" t="s">
        <v>34</v>
      </c>
      <c r="C9" s="4" t="s">
        <v>16</v>
      </c>
      <c r="D9" s="14">
        <f>SUM(1483+1471+1501+1503+1495+1501+1486+1458+1501+1503)</f>
        <v>14902</v>
      </c>
      <c r="E9" s="14">
        <f>SUM(107+83+84+79+105+120+108+87+98+102)</f>
        <v>973</v>
      </c>
      <c r="F9" s="15">
        <f>SUM(D9/E9)</f>
        <v>15.31551901336074</v>
      </c>
      <c r="G9" s="14">
        <v>10</v>
      </c>
      <c r="H9" s="14">
        <v>7</v>
      </c>
      <c r="I9" s="14"/>
      <c r="J9" s="14"/>
      <c r="K9" s="14"/>
      <c r="L9" s="14">
        <v>37.5</v>
      </c>
      <c r="M9" s="16">
        <v>10</v>
      </c>
    </row>
    <row r="10" spans="1:13" ht="18.75" x14ac:dyDescent="0.3">
      <c r="A10" s="3">
        <v>9</v>
      </c>
      <c r="B10" s="4" t="s">
        <v>11</v>
      </c>
      <c r="C10" s="4" t="s">
        <v>12</v>
      </c>
      <c r="D10" s="14">
        <f>SUM(1471+1503+1366+1503+1427+1501+1493+1342+1334)</f>
        <v>12940</v>
      </c>
      <c r="E10" s="14">
        <f>SUM(76+92+101+115+84+100+114+88+77)</f>
        <v>847</v>
      </c>
      <c r="F10" s="15">
        <f>SUM(D10/E10)</f>
        <v>15.277449822904368</v>
      </c>
      <c r="G10" s="14">
        <v>9</v>
      </c>
      <c r="H10" s="14">
        <v>7</v>
      </c>
      <c r="I10" s="14">
        <v>1</v>
      </c>
      <c r="J10" s="14"/>
      <c r="K10" s="14"/>
      <c r="L10" s="14">
        <v>35.5</v>
      </c>
      <c r="M10" s="16">
        <v>10</v>
      </c>
    </row>
    <row r="11" spans="1:13" ht="18.75" x14ac:dyDescent="0.3">
      <c r="A11" s="3">
        <v>10</v>
      </c>
      <c r="B11" s="26" t="s">
        <v>135</v>
      </c>
      <c r="C11" s="4" t="s">
        <v>134</v>
      </c>
      <c r="D11" s="14">
        <f>SUM(1306+1503+1416+1435+1467)</f>
        <v>7127</v>
      </c>
      <c r="E11" s="14">
        <f>SUM(81+98+89+98+104)</f>
        <v>470</v>
      </c>
      <c r="F11" s="15">
        <f>SUM(D11/E11)</f>
        <v>15.163829787234043</v>
      </c>
      <c r="G11" s="14">
        <v>5</v>
      </c>
      <c r="H11" s="14">
        <v>3</v>
      </c>
      <c r="I11" s="14"/>
      <c r="J11" s="14"/>
      <c r="K11" s="14"/>
      <c r="L11" s="14">
        <v>20.5</v>
      </c>
      <c r="M11" s="16"/>
    </row>
    <row r="12" spans="1:13" ht="18.75" x14ac:dyDescent="0.3">
      <c r="A12" s="3">
        <v>11</v>
      </c>
      <c r="B12" s="4" t="s">
        <v>18</v>
      </c>
      <c r="C12" s="7" t="s">
        <v>19</v>
      </c>
      <c r="D12" s="14">
        <f>SUM(1503+1488+1503+1430+1468+1461+1444+1411+1423+1351)</f>
        <v>14482</v>
      </c>
      <c r="E12" s="14">
        <f>SUM(93+90+102+88+102+99+93+85+111+94)</f>
        <v>957</v>
      </c>
      <c r="F12" s="15">
        <f>SUM(D12/E12)</f>
        <v>15.132706374085684</v>
      </c>
      <c r="G12" s="14">
        <v>10</v>
      </c>
      <c r="H12" s="14">
        <v>3</v>
      </c>
      <c r="I12" s="14"/>
      <c r="J12" s="14"/>
      <c r="K12" s="14"/>
      <c r="L12" s="14">
        <v>35.5</v>
      </c>
      <c r="M12" s="16"/>
    </row>
    <row r="13" spans="1:13" ht="18.75" x14ac:dyDescent="0.3">
      <c r="A13" s="3">
        <v>12</v>
      </c>
      <c r="B13" s="4" t="s">
        <v>37</v>
      </c>
      <c r="C13" s="4" t="s">
        <v>12</v>
      </c>
      <c r="D13" s="14">
        <f>SUM(1489+1454+1482+1503+1393+1503+1503+1503+1381+932)</f>
        <v>14143</v>
      </c>
      <c r="E13" s="14">
        <f>SUM(111+105+94+95+97+115+88+96+97+57)</f>
        <v>955</v>
      </c>
      <c r="F13" s="15">
        <f>SUM(D13/E13)</f>
        <v>14.809424083769633</v>
      </c>
      <c r="G13" s="14">
        <v>10</v>
      </c>
      <c r="H13" s="14">
        <v>6</v>
      </c>
      <c r="I13" s="14"/>
      <c r="J13" s="14"/>
      <c r="K13" s="14"/>
      <c r="L13" s="14">
        <v>36.5</v>
      </c>
      <c r="M13" s="16"/>
    </row>
    <row r="14" spans="1:13" ht="18.75" x14ac:dyDescent="0.3">
      <c r="A14" s="3">
        <v>13</v>
      </c>
      <c r="B14" s="4" t="s">
        <v>71</v>
      </c>
      <c r="C14" s="4" t="s">
        <v>53</v>
      </c>
      <c r="D14" s="14">
        <f>SUM(1343+1449+1503+1477+1348+1444+1219+1461+1293)</f>
        <v>12537</v>
      </c>
      <c r="E14" s="14">
        <f>SUM(82+98+96+114+102+85+94+96+86)</f>
        <v>853</v>
      </c>
      <c r="F14" s="15">
        <f>SUM(D14/E14)</f>
        <v>14.697538100820633</v>
      </c>
      <c r="G14" s="14">
        <v>8</v>
      </c>
      <c r="H14" s="14">
        <v>2</v>
      </c>
      <c r="I14" s="14"/>
      <c r="J14" s="14"/>
      <c r="K14" s="14"/>
      <c r="L14" s="14">
        <v>21.5</v>
      </c>
      <c r="M14" s="16"/>
    </row>
    <row r="15" spans="1:13" ht="18.75" x14ac:dyDescent="0.3">
      <c r="A15" s="3">
        <v>14</v>
      </c>
      <c r="B15" s="4" t="s">
        <v>44</v>
      </c>
      <c r="C15" s="4" t="s">
        <v>19</v>
      </c>
      <c r="D15" s="14">
        <f>SUM(1499+1503+1495+1500+1498+1471+1503+1455)</f>
        <v>11924</v>
      </c>
      <c r="E15" s="14">
        <f>SUM(120+113+112+127+83+89+94+83)</f>
        <v>821</v>
      </c>
      <c r="F15" s="15">
        <f>SUM(D15/E15)</f>
        <v>14.523751522533496</v>
      </c>
      <c r="G15" s="14">
        <v>8</v>
      </c>
      <c r="H15" s="14">
        <v>7</v>
      </c>
      <c r="I15" s="14"/>
      <c r="J15" s="14"/>
      <c r="K15" s="14"/>
      <c r="L15" s="14">
        <v>34.5</v>
      </c>
      <c r="M15" s="16">
        <v>5</v>
      </c>
    </row>
    <row r="16" spans="1:13" ht="18.75" x14ac:dyDescent="0.3">
      <c r="A16" s="3">
        <v>15</v>
      </c>
      <c r="B16" s="4" t="s">
        <v>28</v>
      </c>
      <c r="C16" s="4" t="s">
        <v>29</v>
      </c>
      <c r="D16" s="14">
        <f>SUM(1400+1499+1422+1493+1503+1477+1499+1499+1503+1493)</f>
        <v>14788</v>
      </c>
      <c r="E16" s="14">
        <f>SUM(96+101+81+130+107+114+92+101+87+113)</f>
        <v>1022</v>
      </c>
      <c r="F16" s="15">
        <f>SUM(D16/E16)</f>
        <v>14.469667318982388</v>
      </c>
      <c r="G16" s="14">
        <v>10</v>
      </c>
      <c r="H16" s="14">
        <v>8</v>
      </c>
      <c r="I16" s="14"/>
      <c r="J16" s="14"/>
      <c r="K16" s="14"/>
      <c r="L16" s="14">
        <v>37</v>
      </c>
      <c r="M16" s="16"/>
    </row>
    <row r="17" spans="1:13" ht="18.75" x14ac:dyDescent="0.3">
      <c r="A17" s="3">
        <v>16</v>
      </c>
      <c r="B17" s="75" t="s">
        <v>116</v>
      </c>
      <c r="C17" s="4" t="s">
        <v>46</v>
      </c>
      <c r="D17" s="14">
        <f>SUM(1184+1495+1503+1260+1369+1493+1471+1423)</f>
        <v>11198</v>
      </c>
      <c r="E17" s="14">
        <f>SUM(78+154+98+84+87+93+95+90)</f>
        <v>779</v>
      </c>
      <c r="F17" s="15">
        <f>SUM(D17/E17)</f>
        <v>14.374839537869063</v>
      </c>
      <c r="G17" s="14">
        <v>7</v>
      </c>
      <c r="H17" s="14">
        <v>4</v>
      </c>
      <c r="I17" s="14"/>
      <c r="J17" s="14"/>
      <c r="K17" s="14"/>
      <c r="L17" s="14">
        <v>18</v>
      </c>
      <c r="M17" s="16"/>
    </row>
    <row r="18" spans="1:13" ht="18.75" x14ac:dyDescent="0.3">
      <c r="A18" s="3">
        <v>17</v>
      </c>
      <c r="B18" s="4" t="s">
        <v>24</v>
      </c>
      <c r="C18" s="4" t="s">
        <v>23</v>
      </c>
      <c r="D18" s="14">
        <f>SUM(1408+1503+1475+1495+1503+1485+1204+1389+1499+1348)</f>
        <v>14309</v>
      </c>
      <c r="E18" s="14">
        <f>SUM(93+120+122+113+103+85+82+98+120+85)</f>
        <v>1021</v>
      </c>
      <c r="F18" s="15">
        <f>SUM(D18/E18)</f>
        <v>14.014691478942213</v>
      </c>
      <c r="G18" s="14">
        <v>10</v>
      </c>
      <c r="H18" s="14">
        <v>5</v>
      </c>
      <c r="I18" s="14"/>
      <c r="J18" s="14"/>
      <c r="K18" s="14"/>
      <c r="L18" s="14">
        <v>32</v>
      </c>
      <c r="M18" s="16"/>
    </row>
    <row r="19" spans="1:13" ht="18.75" x14ac:dyDescent="0.3">
      <c r="A19" s="3">
        <v>18</v>
      </c>
      <c r="B19" s="3" t="s">
        <v>20</v>
      </c>
      <c r="C19" s="4" t="s">
        <v>21</v>
      </c>
      <c r="D19" s="14">
        <f>SUM(1503+1459+1401+1182+1442+1421+1237+1455+1443)</f>
        <v>12543</v>
      </c>
      <c r="E19" s="14">
        <f>SUM(96+99+104+94+108+90+102+91+113)</f>
        <v>897</v>
      </c>
      <c r="F19" s="15">
        <f>SUM(D19/E19)</f>
        <v>13.983277591973245</v>
      </c>
      <c r="G19" s="14">
        <v>9</v>
      </c>
      <c r="H19" s="14">
        <v>1</v>
      </c>
      <c r="I19" s="14">
        <v>1</v>
      </c>
      <c r="J19" s="14"/>
      <c r="K19" s="14"/>
      <c r="L19" s="14">
        <v>28.5</v>
      </c>
      <c r="M19" s="16">
        <v>5</v>
      </c>
    </row>
    <row r="20" spans="1:13" ht="18.75" x14ac:dyDescent="0.3">
      <c r="A20" s="3">
        <v>19</v>
      </c>
      <c r="B20" s="26" t="s">
        <v>52</v>
      </c>
      <c r="C20" s="4" t="s">
        <v>53</v>
      </c>
      <c r="D20" s="14">
        <f>SUM(1503+1209+1369+1358+1425+1485+1441+1503+1439+1503)</f>
        <v>14235</v>
      </c>
      <c r="E20" s="14">
        <f>SUM(129+84+84+114+99+97+112+101+93+115)</f>
        <v>1028</v>
      </c>
      <c r="F20" s="15">
        <f>SUM(D20/E20)</f>
        <v>13.847276264591439</v>
      </c>
      <c r="G20" s="14">
        <v>10</v>
      </c>
      <c r="H20" s="14">
        <v>6</v>
      </c>
      <c r="I20" s="14"/>
      <c r="J20" s="14"/>
      <c r="K20" s="14"/>
      <c r="L20" s="14">
        <v>36</v>
      </c>
      <c r="M20" s="16">
        <v>10</v>
      </c>
    </row>
    <row r="21" spans="1:13" ht="18.75" x14ac:dyDescent="0.3">
      <c r="A21" s="3">
        <v>20</v>
      </c>
      <c r="B21" s="3" t="s">
        <v>32</v>
      </c>
      <c r="C21" s="4" t="s">
        <v>33</v>
      </c>
      <c r="D21" s="14">
        <f>SUM(1375+1349+1415+1479+1469+1503+1453+1325+1482+1503)</f>
        <v>14353</v>
      </c>
      <c r="E21" s="14">
        <f>SUM(97+95+104+117+106+116+111+102+95+94)</f>
        <v>1037</v>
      </c>
      <c r="F21" s="15">
        <f>SUM(D21/E21)</f>
        <v>13.840887174541948</v>
      </c>
      <c r="G21" s="14">
        <v>10</v>
      </c>
      <c r="H21" s="14">
        <v>5</v>
      </c>
      <c r="I21" s="14"/>
      <c r="J21" s="14"/>
      <c r="K21" s="14"/>
      <c r="L21" s="14">
        <v>29.5</v>
      </c>
      <c r="M21" s="16"/>
    </row>
    <row r="22" spans="1:13" ht="18.75" x14ac:dyDescent="0.3">
      <c r="A22" s="3">
        <v>21</v>
      </c>
      <c r="B22" s="4" t="s">
        <v>47</v>
      </c>
      <c r="C22" s="7" t="s">
        <v>12</v>
      </c>
      <c r="D22" s="14">
        <f>SUM(1197+1447+1355+1487+1477+1503+1496+1503+1499)</f>
        <v>12964</v>
      </c>
      <c r="E22" s="14">
        <f>SUM(99+96+96+122+112+92+111+108+105)</f>
        <v>941</v>
      </c>
      <c r="F22" s="15">
        <f>SUM(D22/E22)</f>
        <v>13.77683315621679</v>
      </c>
      <c r="G22" s="14">
        <v>9</v>
      </c>
      <c r="H22" s="14">
        <v>5</v>
      </c>
      <c r="I22" s="14">
        <v>1</v>
      </c>
      <c r="J22" s="14"/>
      <c r="K22" s="14"/>
      <c r="L22" s="14">
        <v>33</v>
      </c>
      <c r="M22" s="16"/>
    </row>
    <row r="23" spans="1:13" ht="18.75" x14ac:dyDescent="0.3">
      <c r="A23" s="3">
        <v>22</v>
      </c>
      <c r="B23" s="26" t="s">
        <v>40</v>
      </c>
      <c r="C23" s="4" t="s">
        <v>23</v>
      </c>
      <c r="D23" s="14">
        <f>SUM(1446+1503+1491+1491+1503+1501+1441+1501+1366+1481)</f>
        <v>14724</v>
      </c>
      <c r="E23" s="14">
        <f>SUM(110+105+126+119+112+102+113+100+90+106)</f>
        <v>1083</v>
      </c>
      <c r="F23" s="15">
        <f>SUM(D23/E23)</f>
        <v>13.595567867036012</v>
      </c>
      <c r="G23" s="14">
        <v>10</v>
      </c>
      <c r="H23" s="14">
        <v>6</v>
      </c>
      <c r="I23" s="14"/>
      <c r="J23" s="14"/>
      <c r="K23" s="14"/>
      <c r="L23" s="14">
        <v>34.5</v>
      </c>
      <c r="M23" s="16">
        <v>5</v>
      </c>
    </row>
    <row r="24" spans="1:13" ht="18.75" x14ac:dyDescent="0.3">
      <c r="A24" s="3">
        <v>23</v>
      </c>
      <c r="B24" s="4" t="s">
        <v>31</v>
      </c>
      <c r="C24" s="4" t="s">
        <v>19</v>
      </c>
      <c r="D24" s="14">
        <f>SUM(1485+1497+1501+1503+1503+1372+1409+1496+1503)</f>
        <v>13269</v>
      </c>
      <c r="E24" s="14">
        <f>SUM(103+100+143+103+132+96+79+99+121)</f>
        <v>976</v>
      </c>
      <c r="F24" s="15">
        <f>SUM(D24/E24)</f>
        <v>13.595286885245901</v>
      </c>
      <c r="G24" s="14">
        <v>9</v>
      </c>
      <c r="H24" s="14">
        <v>6</v>
      </c>
      <c r="I24" s="14">
        <v>1</v>
      </c>
      <c r="J24" s="14"/>
      <c r="K24" s="14"/>
      <c r="L24" s="14">
        <v>32.5</v>
      </c>
      <c r="M24" s="16"/>
    </row>
    <row r="25" spans="1:13" ht="18.75" x14ac:dyDescent="0.3">
      <c r="A25" s="3">
        <v>24</v>
      </c>
      <c r="B25" s="26" t="s">
        <v>51</v>
      </c>
      <c r="C25" s="4" t="s">
        <v>33</v>
      </c>
      <c r="D25" s="14">
        <f>SUM(1125+1277+1380+1480+1455+1503+1435)</f>
        <v>9655</v>
      </c>
      <c r="E25" s="14">
        <f>SUM(96+102+98+119+103+112+87)</f>
        <v>717</v>
      </c>
      <c r="F25" s="15">
        <f>SUM(D25/E25)</f>
        <v>13.465829846582984</v>
      </c>
      <c r="G25" s="14">
        <v>7</v>
      </c>
      <c r="H25" s="14">
        <v>3</v>
      </c>
      <c r="I25" s="14"/>
      <c r="J25" s="14"/>
      <c r="K25" s="14"/>
      <c r="L25" s="14">
        <v>20</v>
      </c>
      <c r="M25" s="16">
        <v>5</v>
      </c>
    </row>
    <row r="26" spans="1:13" ht="18.75" x14ac:dyDescent="0.3">
      <c r="A26" s="3">
        <v>25</v>
      </c>
      <c r="B26" s="26" t="s">
        <v>56</v>
      </c>
      <c r="C26" s="4" t="s">
        <v>29</v>
      </c>
      <c r="D26" s="14">
        <f>SUM(1501+1284+1142+1483+1269+1441+1481+1441+1467+1501)</f>
        <v>14010</v>
      </c>
      <c r="E26" s="14">
        <f>SUM(132+99+81+119+90+91+99+106+117+113)</f>
        <v>1047</v>
      </c>
      <c r="F26" s="15">
        <f>SUM(D26/E26)</f>
        <v>13.381088825214899</v>
      </c>
      <c r="G26" s="14">
        <v>10</v>
      </c>
      <c r="H26" s="14">
        <v>7</v>
      </c>
      <c r="I26" s="14">
        <v>1</v>
      </c>
      <c r="J26" s="14"/>
      <c r="K26" s="14"/>
      <c r="L26" s="14">
        <v>32</v>
      </c>
      <c r="M26" s="16"/>
    </row>
    <row r="27" spans="1:13" ht="18.75" x14ac:dyDescent="0.3">
      <c r="A27" s="3">
        <v>26</v>
      </c>
      <c r="B27" s="4" t="s">
        <v>22</v>
      </c>
      <c r="C27" s="4" t="s">
        <v>23</v>
      </c>
      <c r="D27" s="14">
        <f>SUM(1503+1341+1499+1500+1503+1438+1495+1503+1483+1269)</f>
        <v>14534</v>
      </c>
      <c r="E27" s="14">
        <f>SUM(96+100+124+121+117+114+112+94+111+108)</f>
        <v>1097</v>
      </c>
      <c r="F27" s="15">
        <f>SUM(D27/E27)</f>
        <v>13.248860528714676</v>
      </c>
      <c r="G27" s="14">
        <v>10</v>
      </c>
      <c r="H27" s="14">
        <v>7</v>
      </c>
      <c r="I27" s="14"/>
      <c r="J27" s="14"/>
      <c r="K27" s="14"/>
      <c r="L27" s="14">
        <v>35.5</v>
      </c>
      <c r="M27" s="16"/>
    </row>
    <row r="28" spans="1:13" ht="18.75" x14ac:dyDescent="0.3">
      <c r="A28" s="3">
        <v>27</v>
      </c>
      <c r="B28" s="4" t="s">
        <v>43</v>
      </c>
      <c r="C28" s="4" t="s">
        <v>29</v>
      </c>
      <c r="D28" s="14">
        <f>SUM(984+1493+1090+1355+1485+1453+1343+1461+1498+1401)</f>
        <v>13563</v>
      </c>
      <c r="E28" s="14">
        <f>SUM(78+103+78+96+99+108+86+109+161+117)</f>
        <v>1035</v>
      </c>
      <c r="F28" s="15">
        <f>SUM(D28/E28)</f>
        <v>13.104347826086956</v>
      </c>
      <c r="G28" s="14">
        <v>10</v>
      </c>
      <c r="H28" s="14">
        <v>5</v>
      </c>
      <c r="I28" s="14"/>
      <c r="J28" s="14"/>
      <c r="K28" s="14"/>
      <c r="L28" s="14">
        <v>28.5</v>
      </c>
      <c r="M28" s="16"/>
    </row>
    <row r="29" spans="1:13" ht="18.75" x14ac:dyDescent="0.3">
      <c r="A29" s="3">
        <v>28</v>
      </c>
      <c r="B29" s="4" t="s">
        <v>115</v>
      </c>
      <c r="C29" s="4" t="s">
        <v>12</v>
      </c>
      <c r="D29" s="14">
        <f>SUM(1485+1493+1468+1503+1359+1483+1500+1292)</f>
        <v>11583</v>
      </c>
      <c r="E29" s="14">
        <f>SUM(119+86+129+112+98+129+113+102)</f>
        <v>888</v>
      </c>
      <c r="F29" s="15">
        <f>SUM(D29/E29)</f>
        <v>13.043918918918919</v>
      </c>
      <c r="G29" s="14">
        <v>8</v>
      </c>
      <c r="H29" s="14">
        <v>3</v>
      </c>
      <c r="I29" s="14"/>
      <c r="J29" s="14"/>
      <c r="K29" s="14"/>
      <c r="L29" s="14">
        <v>25.5</v>
      </c>
      <c r="M29" s="16">
        <v>5</v>
      </c>
    </row>
    <row r="30" spans="1:13" ht="18.75" x14ac:dyDescent="0.3">
      <c r="A30" s="3">
        <v>29</v>
      </c>
      <c r="B30" s="4" t="s">
        <v>67</v>
      </c>
      <c r="C30" s="4" t="s">
        <v>49</v>
      </c>
      <c r="D30" s="14">
        <f>SUM(1501+1454+1401+1499+1498+1316+1320+1277+1388+1365)</f>
        <v>14019</v>
      </c>
      <c r="E30" s="14">
        <f>SUM(162+98+128+112+110+80+97+104+99+90)</f>
        <v>1080</v>
      </c>
      <c r="F30" s="15">
        <f>SUM(D30/E30)</f>
        <v>12.980555555555556</v>
      </c>
      <c r="G30" s="14">
        <v>10</v>
      </c>
      <c r="H30" s="14">
        <v>4</v>
      </c>
      <c r="I30" s="14"/>
      <c r="J30" s="14"/>
      <c r="K30" s="14"/>
      <c r="L30" s="14">
        <v>26.5</v>
      </c>
      <c r="M30" s="16">
        <v>10</v>
      </c>
    </row>
    <row r="31" spans="1:13" ht="18.75" x14ac:dyDescent="0.3">
      <c r="A31" s="3">
        <v>30</v>
      </c>
      <c r="B31" s="26" t="s">
        <v>133</v>
      </c>
      <c r="C31" s="7" t="s">
        <v>46</v>
      </c>
      <c r="D31" s="14">
        <f>SUM(1380+1496+1443+1214+1489+1355+1390)</f>
        <v>9767</v>
      </c>
      <c r="E31" s="14">
        <f>SUM(111+130+100+89+114+99+111)</f>
        <v>754</v>
      </c>
      <c r="F31" s="15">
        <f>SUM(D31/E31)</f>
        <v>12.953580901856764</v>
      </c>
      <c r="G31" s="14">
        <v>7</v>
      </c>
      <c r="H31" s="14">
        <v>3</v>
      </c>
      <c r="I31" s="14"/>
      <c r="J31" s="14"/>
      <c r="K31" s="14"/>
      <c r="L31" s="14">
        <v>12.5</v>
      </c>
      <c r="M31" s="16"/>
    </row>
    <row r="32" spans="1:13" ht="18.75" x14ac:dyDescent="0.3">
      <c r="A32" s="3">
        <v>31</v>
      </c>
      <c r="B32" s="4" t="s">
        <v>48</v>
      </c>
      <c r="C32" s="4" t="s">
        <v>49</v>
      </c>
      <c r="D32" s="14">
        <f>SUM(1498+1501+1411+1162+1480+1223+1193+1475+1503+1352)</f>
        <v>13798</v>
      </c>
      <c r="E32" s="14">
        <f>SUM(124+124+124+90+129+85+84+111+99+96)</f>
        <v>1066</v>
      </c>
      <c r="F32" s="15">
        <f>SUM(D32/E32)</f>
        <v>12.943714821763603</v>
      </c>
      <c r="G32" s="14">
        <v>10</v>
      </c>
      <c r="H32" s="14">
        <v>3</v>
      </c>
      <c r="I32" s="14"/>
      <c r="J32" s="14"/>
      <c r="K32" s="14"/>
      <c r="L32" s="14">
        <v>27</v>
      </c>
      <c r="M32" s="16">
        <v>5</v>
      </c>
    </row>
    <row r="33" spans="1:13" ht="18.75" x14ac:dyDescent="0.3">
      <c r="A33" s="3">
        <v>32</v>
      </c>
      <c r="B33" s="26" t="s">
        <v>74</v>
      </c>
      <c r="C33" s="7" t="s">
        <v>60</v>
      </c>
      <c r="D33" s="14">
        <f>SUM(1491+1480+1457+1253+1439+1475+1353+1072+1475)</f>
        <v>12495</v>
      </c>
      <c r="E33" s="14">
        <f>SUM(100+103+151+111+93+113+111+81+104)</f>
        <v>967</v>
      </c>
      <c r="F33" s="15">
        <f>SUM(D33/E33)</f>
        <v>12.921406411582213</v>
      </c>
      <c r="G33" s="14">
        <v>9</v>
      </c>
      <c r="H33" s="14">
        <v>4</v>
      </c>
      <c r="I33" s="14"/>
      <c r="J33" s="14"/>
      <c r="K33" s="14"/>
      <c r="L33" s="14">
        <v>15.5</v>
      </c>
      <c r="M33" s="16"/>
    </row>
    <row r="34" spans="1:13" ht="18.75" x14ac:dyDescent="0.3">
      <c r="A34" s="3">
        <v>33</v>
      </c>
      <c r="B34" s="77" t="s">
        <v>132</v>
      </c>
      <c r="C34" s="4" t="s">
        <v>14</v>
      </c>
      <c r="D34" s="14">
        <f>SUM(1485+1373)</f>
        <v>2858</v>
      </c>
      <c r="E34" s="14">
        <f>SUM(129+93)</f>
        <v>222</v>
      </c>
      <c r="F34" s="15">
        <f>SUM(D34/E34)</f>
        <v>12.873873873873874</v>
      </c>
      <c r="G34" s="14">
        <v>2</v>
      </c>
      <c r="H34" s="14">
        <v>2</v>
      </c>
      <c r="I34" s="14"/>
      <c r="J34" s="14"/>
      <c r="K34" s="14"/>
      <c r="L34" s="14">
        <v>8</v>
      </c>
      <c r="M34" s="16"/>
    </row>
    <row r="35" spans="1:13" ht="18.75" x14ac:dyDescent="0.3">
      <c r="A35" s="3">
        <v>34</v>
      </c>
      <c r="B35" s="7" t="s">
        <v>36</v>
      </c>
      <c r="C35" s="4" t="s">
        <v>16</v>
      </c>
      <c r="D35" s="17">
        <f>SUM(1472+1279+1463+1479+1401+1487+1503+1251+1489)</f>
        <v>12824</v>
      </c>
      <c r="E35" s="14">
        <f>SUM(108+93+117+130+103+115+130+83+123)</f>
        <v>1002</v>
      </c>
      <c r="F35" s="15">
        <f>SUM(D35/E35)</f>
        <v>12.798403193612774</v>
      </c>
      <c r="G35" s="14">
        <v>9</v>
      </c>
      <c r="H35" s="14">
        <v>5</v>
      </c>
      <c r="I35" s="14"/>
      <c r="J35" s="14"/>
      <c r="K35" s="14"/>
      <c r="L35" s="14">
        <v>31.5</v>
      </c>
      <c r="M35" s="16"/>
    </row>
    <row r="36" spans="1:13" ht="18.75" x14ac:dyDescent="0.3">
      <c r="A36" s="3">
        <v>35</v>
      </c>
      <c r="B36" s="7" t="s">
        <v>35</v>
      </c>
      <c r="C36" s="4" t="s">
        <v>33</v>
      </c>
      <c r="D36" s="17">
        <f>SUM(1453+1310+1456+1304+949+1406+1450+1503+1487+1503)</f>
        <v>13821</v>
      </c>
      <c r="E36" s="14">
        <f>SUM(105+122+95+112+75+90+148+117+102+131)</f>
        <v>1097</v>
      </c>
      <c r="F36" s="15">
        <f>SUM(D36/E36)</f>
        <v>12.598906107566089</v>
      </c>
      <c r="G36" s="14">
        <v>10</v>
      </c>
      <c r="H36" s="14">
        <v>6</v>
      </c>
      <c r="I36" s="14"/>
      <c r="J36" s="14"/>
      <c r="K36" s="14"/>
      <c r="L36" s="14">
        <v>35.5</v>
      </c>
      <c r="M36" s="16">
        <v>5</v>
      </c>
    </row>
    <row r="37" spans="1:13" ht="18.75" x14ac:dyDescent="0.3">
      <c r="A37" s="3">
        <v>36</v>
      </c>
      <c r="B37" s="9" t="s">
        <v>73</v>
      </c>
      <c r="C37" s="4" t="s">
        <v>21</v>
      </c>
      <c r="D37" s="17">
        <f>SUM(1472+1490+1500+1453)</f>
        <v>5915</v>
      </c>
      <c r="E37" s="14">
        <f>SUM(133+105+121+116)</f>
        <v>475</v>
      </c>
      <c r="F37" s="15">
        <f>SUM(D37/E37)</f>
        <v>12.452631578947368</v>
      </c>
      <c r="G37" s="14">
        <v>4</v>
      </c>
      <c r="H37" s="14">
        <v>3</v>
      </c>
      <c r="I37" s="14"/>
      <c r="J37" s="14"/>
      <c r="K37" s="14"/>
      <c r="L37" s="14">
        <v>11.5</v>
      </c>
      <c r="M37" s="16"/>
    </row>
    <row r="38" spans="1:13" ht="18.75" x14ac:dyDescent="0.3">
      <c r="A38" s="3">
        <v>37</v>
      </c>
      <c r="B38" s="7" t="s">
        <v>26</v>
      </c>
      <c r="C38" s="4" t="s">
        <v>21</v>
      </c>
      <c r="D38" s="17">
        <f>SUM(1301+1470+1495+1501+1264)</f>
        <v>7031</v>
      </c>
      <c r="E38" s="14">
        <f>SUM(88+118+154+110+98)</f>
        <v>568</v>
      </c>
      <c r="F38" s="15">
        <f>SUM(D38/E38)</f>
        <v>12.378521126760564</v>
      </c>
      <c r="G38" s="14">
        <v>5</v>
      </c>
      <c r="H38" s="14">
        <v>3</v>
      </c>
      <c r="I38" s="14"/>
      <c r="J38" s="14"/>
      <c r="K38" s="14"/>
      <c r="L38" s="14">
        <v>16.5</v>
      </c>
      <c r="M38" s="16"/>
    </row>
    <row r="39" spans="1:13" ht="18.75" x14ac:dyDescent="0.3">
      <c r="A39" s="3">
        <v>38</v>
      </c>
      <c r="B39" s="9" t="s">
        <v>39</v>
      </c>
      <c r="C39" s="4" t="s">
        <v>29</v>
      </c>
      <c r="D39" s="17">
        <f>SUM(1503+1335+1494+1501+1503+1447+1312+1503+1503+1467)</f>
        <v>14568</v>
      </c>
      <c r="E39" s="14">
        <f>SUM(114+123+120+142+132+98+89+119+143+99)</f>
        <v>1179</v>
      </c>
      <c r="F39" s="15">
        <f>SUM(D39/E39)</f>
        <v>12.356234096692113</v>
      </c>
      <c r="G39" s="14">
        <v>10</v>
      </c>
      <c r="H39" s="14">
        <v>6</v>
      </c>
      <c r="I39" s="14"/>
      <c r="J39" s="14"/>
      <c r="K39" s="14"/>
      <c r="L39" s="14">
        <v>32.5</v>
      </c>
      <c r="M39" s="16"/>
    </row>
    <row r="40" spans="1:13" ht="18.75" x14ac:dyDescent="0.3">
      <c r="A40" s="3">
        <v>39</v>
      </c>
      <c r="B40" s="9" t="s">
        <v>57</v>
      </c>
      <c r="C40" s="4" t="s">
        <v>46</v>
      </c>
      <c r="D40" s="17">
        <f>SUM(1416+1252+1334+1500+1345+1490+1487+1180+1384)</f>
        <v>12388</v>
      </c>
      <c r="E40" s="14">
        <f>SUM(125+84+99+144+105+98+147+99+102)</f>
        <v>1003</v>
      </c>
      <c r="F40" s="15">
        <f>SUM(D40/E40)</f>
        <v>12.350947158524427</v>
      </c>
      <c r="G40" s="14">
        <v>9</v>
      </c>
      <c r="H40" s="14">
        <v>3</v>
      </c>
      <c r="I40" s="14"/>
      <c r="J40" s="14"/>
      <c r="K40" s="14"/>
      <c r="L40" s="14">
        <v>16.5</v>
      </c>
      <c r="M40" s="16"/>
    </row>
    <row r="41" spans="1:13" ht="18.75" x14ac:dyDescent="0.3">
      <c r="A41" s="3">
        <v>40</v>
      </c>
      <c r="B41" s="18" t="s">
        <v>55</v>
      </c>
      <c r="C41" s="4" t="s">
        <v>33</v>
      </c>
      <c r="D41" s="17">
        <f>SUM(1418+1495+1361+1446+1491+1483+1468+1496+1503)</f>
        <v>13161</v>
      </c>
      <c r="E41" s="14">
        <f>SUM(122+118+123+150+97+115+113+113+127)</f>
        <v>1078</v>
      </c>
      <c r="F41" s="15">
        <f>SUM(D41/E41)</f>
        <v>12.208719851576994</v>
      </c>
      <c r="G41" s="14">
        <v>9</v>
      </c>
      <c r="H41" s="14">
        <v>6</v>
      </c>
      <c r="I41" s="14"/>
      <c r="J41" s="14"/>
      <c r="K41" s="14"/>
      <c r="L41" s="14">
        <v>28.5</v>
      </c>
      <c r="M41" s="16"/>
    </row>
    <row r="42" spans="1:13" ht="18.75" x14ac:dyDescent="0.3">
      <c r="A42" s="3">
        <v>41</v>
      </c>
      <c r="B42" s="79" t="s">
        <v>76</v>
      </c>
      <c r="C42" s="8" t="s">
        <v>49</v>
      </c>
      <c r="D42" s="17">
        <f>SUM(1499+1501+1408+1503+1495+1495+1481+1100+1277)</f>
        <v>12759</v>
      </c>
      <c r="E42" s="14">
        <f>SUM(172+128+99+114+138+126+106+92+79)</f>
        <v>1054</v>
      </c>
      <c r="F42" s="15">
        <f>SUM(D42/E42)</f>
        <v>12.105313092979127</v>
      </c>
      <c r="G42" s="14">
        <v>9</v>
      </c>
      <c r="H42" s="14">
        <v>5</v>
      </c>
      <c r="I42" s="14"/>
      <c r="J42" s="14"/>
      <c r="K42" s="14"/>
      <c r="L42" s="14">
        <v>27.5</v>
      </c>
      <c r="M42" s="16"/>
    </row>
    <row r="43" spans="1:13" ht="18.75" x14ac:dyDescent="0.3">
      <c r="A43" s="3">
        <v>42</v>
      </c>
      <c r="B43" s="7" t="s">
        <v>41</v>
      </c>
      <c r="C43" s="7" t="s">
        <v>21</v>
      </c>
      <c r="D43" s="17">
        <f>SUM(1179+1413+1443+1451+1367+1503+1448+1485+1503+1348)</f>
        <v>14140</v>
      </c>
      <c r="E43" s="14">
        <f>SUM(90+119+112+108+114+113+120+144+155+94)</f>
        <v>1169</v>
      </c>
      <c r="F43" s="15">
        <f>SUM(D43/E43)</f>
        <v>12.095808383233534</v>
      </c>
      <c r="G43" s="14">
        <v>10</v>
      </c>
      <c r="H43" s="14">
        <v>4</v>
      </c>
      <c r="I43" s="14">
        <v>1</v>
      </c>
      <c r="J43" s="14"/>
      <c r="K43" s="14"/>
      <c r="L43" s="14">
        <v>26.5</v>
      </c>
      <c r="M43" s="16">
        <v>5</v>
      </c>
    </row>
    <row r="44" spans="1:13" ht="18.75" x14ac:dyDescent="0.3">
      <c r="A44" s="3">
        <v>43</v>
      </c>
      <c r="B44" s="7" t="s">
        <v>50</v>
      </c>
      <c r="C44" s="7" t="s">
        <v>12</v>
      </c>
      <c r="D44" s="17">
        <f>SUM(1235+1395+1503)</f>
        <v>4133</v>
      </c>
      <c r="E44" s="14">
        <f>SUM(104+119+119)</f>
        <v>342</v>
      </c>
      <c r="F44" s="15">
        <f>SUM(D44/E44)</f>
        <v>12.084795321637428</v>
      </c>
      <c r="G44" s="14">
        <v>3</v>
      </c>
      <c r="H44" s="14">
        <v>1</v>
      </c>
      <c r="I44" s="14"/>
      <c r="J44" s="14"/>
      <c r="K44" s="14"/>
      <c r="L44" s="14">
        <v>12</v>
      </c>
      <c r="M44" s="16"/>
    </row>
    <row r="45" spans="1:13" ht="18.75" x14ac:dyDescent="0.3">
      <c r="A45" s="3">
        <v>44</v>
      </c>
      <c r="B45" s="7" t="s">
        <v>63</v>
      </c>
      <c r="C45" s="7" t="s">
        <v>53</v>
      </c>
      <c r="D45" s="17">
        <f>SUM(1498+1066+1491+1501+1497+1393)</f>
        <v>8446</v>
      </c>
      <c r="E45" s="14">
        <f>SUM(158+78+104+125+126+112)</f>
        <v>703</v>
      </c>
      <c r="F45" s="15">
        <f>SUM(D45/E45)</f>
        <v>12.014224751066857</v>
      </c>
      <c r="G45" s="14">
        <v>6</v>
      </c>
      <c r="H45" s="14">
        <v>2</v>
      </c>
      <c r="I45" s="14"/>
      <c r="J45" s="14"/>
      <c r="K45" s="14"/>
      <c r="L45" s="14">
        <v>11</v>
      </c>
      <c r="M45" s="16"/>
    </row>
    <row r="46" spans="1:13" ht="18.75" x14ac:dyDescent="0.3">
      <c r="A46" s="3">
        <v>45</v>
      </c>
      <c r="B46" s="7" t="s">
        <v>72</v>
      </c>
      <c r="C46" s="7" t="s">
        <v>19</v>
      </c>
      <c r="D46" s="17">
        <f>SUM(1495+1461+1481)</f>
        <v>4437</v>
      </c>
      <c r="E46" s="14">
        <f>SUM(117+130+128)</f>
        <v>375</v>
      </c>
      <c r="F46" s="15">
        <f>SUM(D46/E46)</f>
        <v>11.832000000000001</v>
      </c>
      <c r="G46" s="14">
        <v>3</v>
      </c>
      <c r="H46" s="14">
        <v>2</v>
      </c>
      <c r="I46" s="14"/>
      <c r="J46" s="14"/>
      <c r="K46" s="14"/>
      <c r="L46" s="14">
        <v>19.5</v>
      </c>
      <c r="M46" s="16"/>
    </row>
    <row r="47" spans="1:13" ht="18.75" x14ac:dyDescent="0.3">
      <c r="A47" s="3">
        <v>46</v>
      </c>
      <c r="B47" s="9" t="s">
        <v>128</v>
      </c>
      <c r="C47" s="7" t="s">
        <v>46</v>
      </c>
      <c r="D47" s="17">
        <f>SUM(1498+1487+1119+1427)</f>
        <v>5531</v>
      </c>
      <c r="E47" s="14">
        <f>SUM(161+114+90+105)</f>
        <v>470</v>
      </c>
      <c r="F47" s="15">
        <f>SUM(D47/E47)</f>
        <v>11.768085106382978</v>
      </c>
      <c r="G47" s="14">
        <v>4</v>
      </c>
      <c r="H47" s="14">
        <v>2</v>
      </c>
      <c r="I47" s="14"/>
      <c r="J47" s="14"/>
      <c r="K47" s="14"/>
      <c r="L47" s="14">
        <v>12</v>
      </c>
      <c r="M47" s="16"/>
    </row>
    <row r="48" spans="1:13" ht="18.75" x14ac:dyDescent="0.3">
      <c r="A48" s="3">
        <v>47</v>
      </c>
      <c r="B48" s="9" t="s">
        <v>131</v>
      </c>
      <c r="C48" s="7" t="s">
        <v>60</v>
      </c>
      <c r="D48" s="17">
        <f>SUM(1359)</f>
        <v>1359</v>
      </c>
      <c r="E48" s="14">
        <f>SUM(116)</f>
        <v>116</v>
      </c>
      <c r="F48" s="15">
        <f>SUM(D48/E48)</f>
        <v>11.71551724137931</v>
      </c>
      <c r="G48" s="14">
        <v>1</v>
      </c>
      <c r="H48" s="14">
        <v>1</v>
      </c>
      <c r="I48" s="14"/>
      <c r="J48" s="14"/>
      <c r="K48" s="14"/>
      <c r="L48" s="14">
        <v>2</v>
      </c>
      <c r="M48" s="16"/>
    </row>
    <row r="49" spans="1:13" ht="18.75" x14ac:dyDescent="0.3">
      <c r="A49" s="3">
        <v>48</v>
      </c>
      <c r="B49" s="9" t="s">
        <v>130</v>
      </c>
      <c r="C49" s="4" t="s">
        <v>21</v>
      </c>
      <c r="D49" s="17">
        <f>SUM(1363)</f>
        <v>1363</v>
      </c>
      <c r="E49" s="14">
        <f>SUM(117)</f>
        <v>117</v>
      </c>
      <c r="F49" s="15">
        <f>SUM(D49/E49)</f>
        <v>11.649572649572649</v>
      </c>
      <c r="G49" s="14">
        <v>1</v>
      </c>
      <c r="H49" s="14"/>
      <c r="I49" s="14"/>
      <c r="J49" s="14"/>
      <c r="K49" s="14"/>
      <c r="L49" s="14">
        <v>1</v>
      </c>
      <c r="M49" s="16"/>
    </row>
    <row r="50" spans="1:13" ht="18.75" x14ac:dyDescent="0.3">
      <c r="A50" s="3">
        <v>49</v>
      </c>
      <c r="B50" s="9" t="s">
        <v>30</v>
      </c>
      <c r="C50" s="8" t="s">
        <v>23</v>
      </c>
      <c r="D50" s="17">
        <f>SUM(1302+1358+1471+1503+1495+1235+1457+1491+1322+1364)</f>
        <v>13998</v>
      </c>
      <c r="E50" s="14">
        <f>SUM(90+98+130+127+149+111+149+144+100+120)</f>
        <v>1218</v>
      </c>
      <c r="F50" s="15">
        <f>SUM(D50/E50)</f>
        <v>11.492610837438423</v>
      </c>
      <c r="G50" s="14">
        <v>10</v>
      </c>
      <c r="H50" s="14">
        <v>5</v>
      </c>
      <c r="I50" s="14"/>
      <c r="J50" s="14"/>
      <c r="K50" s="14"/>
      <c r="L50" s="14">
        <v>29</v>
      </c>
      <c r="M50" s="16"/>
    </row>
    <row r="51" spans="1:13" ht="18.75" x14ac:dyDescent="0.3">
      <c r="A51" s="3">
        <v>50</v>
      </c>
      <c r="B51" s="11" t="s">
        <v>129</v>
      </c>
      <c r="C51" s="7" t="s">
        <v>16</v>
      </c>
      <c r="D51" s="17">
        <f>SUM(1424+1496+1503)</f>
        <v>4423</v>
      </c>
      <c r="E51" s="14">
        <f>SUM(126+145+116)</f>
        <v>387</v>
      </c>
      <c r="F51" s="15">
        <f>SUM(D51/E51)</f>
        <v>11.428940568475452</v>
      </c>
      <c r="G51" s="14">
        <v>3</v>
      </c>
      <c r="H51" s="14">
        <v>1</v>
      </c>
      <c r="I51" s="14"/>
      <c r="J51" s="14"/>
      <c r="K51" s="14"/>
      <c r="L51" s="14">
        <v>8.5</v>
      </c>
      <c r="M51" s="16"/>
    </row>
    <row r="52" spans="1:13" ht="18.75" x14ac:dyDescent="0.3">
      <c r="A52" s="3">
        <v>51</v>
      </c>
      <c r="B52" s="27" t="s">
        <v>54</v>
      </c>
      <c r="C52" s="8" t="s">
        <v>49</v>
      </c>
      <c r="D52" s="17">
        <f>SUM(1408+1461+1300)</f>
        <v>4169</v>
      </c>
      <c r="E52" s="14">
        <f>SUM(121+158+86)</f>
        <v>365</v>
      </c>
      <c r="F52" s="15">
        <f>SUM(D52/E52)</f>
        <v>11.421917808219177</v>
      </c>
      <c r="G52" s="14">
        <v>3</v>
      </c>
      <c r="H52" s="14">
        <v>1</v>
      </c>
      <c r="I52" s="14"/>
      <c r="J52" s="14"/>
      <c r="K52" s="14"/>
      <c r="L52" s="14">
        <v>9.5</v>
      </c>
      <c r="M52" s="16"/>
    </row>
    <row r="53" spans="1:13" ht="18.75" x14ac:dyDescent="0.3">
      <c r="A53" s="3">
        <v>52</v>
      </c>
      <c r="B53" s="27" t="s">
        <v>58</v>
      </c>
      <c r="C53" s="4" t="s">
        <v>14</v>
      </c>
      <c r="D53" s="17">
        <f>SUM(1431+1499+1493+1499+1374+1491+1468+1458+1503)</f>
        <v>13216</v>
      </c>
      <c r="E53" s="14">
        <f>SUM(128+168+144+126+105+139+114+150+107)</f>
        <v>1181</v>
      </c>
      <c r="F53" s="15">
        <f>SUM(D53/E53)</f>
        <v>11.190516511430991</v>
      </c>
      <c r="G53" s="14">
        <v>9</v>
      </c>
      <c r="H53" s="14">
        <v>5</v>
      </c>
      <c r="I53" s="14"/>
      <c r="J53" s="14"/>
      <c r="K53" s="14"/>
      <c r="L53" s="14">
        <v>30.5</v>
      </c>
      <c r="M53" s="16"/>
    </row>
    <row r="54" spans="1:13" ht="18.75" x14ac:dyDescent="0.3">
      <c r="A54" s="3">
        <v>53</v>
      </c>
      <c r="B54" s="27" t="s">
        <v>42</v>
      </c>
      <c r="C54" s="7" t="s">
        <v>14</v>
      </c>
      <c r="D54" s="17">
        <f>SUM(1482+1499+1503+1491+1294+1465+1439+1445+1503+1264)</f>
        <v>14385</v>
      </c>
      <c r="E54" s="14">
        <f>SUM(117+165+144+126+126+162+121+110+118+105)</f>
        <v>1294</v>
      </c>
      <c r="F54" s="15">
        <f>SUM(D54/E54)</f>
        <v>11.116692426584235</v>
      </c>
      <c r="G54" s="14">
        <v>10</v>
      </c>
      <c r="H54" s="14">
        <v>3</v>
      </c>
      <c r="I54" s="14">
        <v>1</v>
      </c>
      <c r="J54" s="14"/>
      <c r="K54" s="14"/>
      <c r="L54" s="14">
        <v>29.5</v>
      </c>
      <c r="M54" s="16"/>
    </row>
    <row r="55" spans="1:13" ht="18.75" x14ac:dyDescent="0.3">
      <c r="A55" s="3">
        <v>54</v>
      </c>
      <c r="B55" s="11" t="s">
        <v>45</v>
      </c>
      <c r="C55" s="7" t="s">
        <v>46</v>
      </c>
      <c r="D55" s="17">
        <f>SUM(1497+1394+1490)</f>
        <v>4381</v>
      </c>
      <c r="E55" s="14">
        <f>SUM(120+114+162)</f>
        <v>396</v>
      </c>
      <c r="F55" s="15">
        <f>SUM(D55/E55)</f>
        <v>11.063131313131313</v>
      </c>
      <c r="G55" s="14">
        <v>3</v>
      </c>
      <c r="H55" s="14"/>
      <c r="I55" s="14"/>
      <c r="J55" s="14"/>
      <c r="K55" s="14"/>
      <c r="L55" s="14">
        <v>2.5</v>
      </c>
      <c r="M55" s="16"/>
    </row>
    <row r="56" spans="1:13" ht="18.75" x14ac:dyDescent="0.3">
      <c r="A56" s="3">
        <v>55</v>
      </c>
      <c r="B56" s="11" t="s">
        <v>126</v>
      </c>
      <c r="C56" s="7" t="s">
        <v>21</v>
      </c>
      <c r="D56" s="17">
        <f>SUM(1350)</f>
        <v>1350</v>
      </c>
      <c r="E56" s="14">
        <f>SUM(123)</f>
        <v>123</v>
      </c>
      <c r="F56" s="15">
        <f>SUM(D56/E56)</f>
        <v>10.975609756097562</v>
      </c>
      <c r="G56" s="14">
        <v>1</v>
      </c>
      <c r="H56" s="14"/>
      <c r="I56" s="14"/>
      <c r="J56" s="14"/>
      <c r="K56" s="14"/>
      <c r="L56" s="14">
        <v>1.5</v>
      </c>
      <c r="M56" s="16"/>
    </row>
    <row r="57" spans="1:13" ht="18.75" x14ac:dyDescent="0.3">
      <c r="A57" s="3">
        <v>56</v>
      </c>
      <c r="B57" s="11" t="s">
        <v>70</v>
      </c>
      <c r="C57" s="7" t="s">
        <v>53</v>
      </c>
      <c r="D57" s="17">
        <f>SUM(1480+1435+1503+1491+1497+1463+1423+1446)</f>
        <v>11738</v>
      </c>
      <c r="E57" s="14">
        <f>SUM(180+141+139+125+151+119+116+99)</f>
        <v>1070</v>
      </c>
      <c r="F57" s="15">
        <f>SUM(D57/E57)</f>
        <v>10.970093457943925</v>
      </c>
      <c r="G57" s="14">
        <v>8</v>
      </c>
      <c r="H57" s="14">
        <v>1</v>
      </c>
      <c r="I57" s="14"/>
      <c r="J57" s="14"/>
      <c r="K57" s="14"/>
      <c r="L57" s="14">
        <v>14</v>
      </c>
      <c r="M57" s="16"/>
    </row>
    <row r="58" spans="1:13" ht="18.75" x14ac:dyDescent="0.3">
      <c r="A58" s="3">
        <v>57</v>
      </c>
      <c r="B58" s="11" t="s">
        <v>69</v>
      </c>
      <c r="C58" s="7" t="s">
        <v>60</v>
      </c>
      <c r="D58" s="17">
        <f>SUM(1297+1501+1485+1355+1413+1350+1379+1478+1232)</f>
        <v>12490</v>
      </c>
      <c r="E58" s="14">
        <f>SUM(156+158+152+127+108+117+122+108+93)</f>
        <v>1141</v>
      </c>
      <c r="F58" s="15">
        <f>SUM(D58/E58)</f>
        <v>10.946538124452236</v>
      </c>
      <c r="G58" s="14">
        <v>8</v>
      </c>
      <c r="H58" s="14">
        <v>3</v>
      </c>
      <c r="I58" s="14"/>
      <c r="J58" s="14"/>
      <c r="K58" s="14"/>
      <c r="L58" s="14">
        <v>15.5</v>
      </c>
      <c r="M58" s="16"/>
    </row>
    <row r="59" spans="1:13" ht="18.75" x14ac:dyDescent="0.3">
      <c r="A59" s="3">
        <v>58</v>
      </c>
      <c r="B59" s="11" t="s">
        <v>62</v>
      </c>
      <c r="C59" s="4" t="s">
        <v>60</v>
      </c>
      <c r="D59" s="17">
        <f>SUM(1264+920+1335+1422)</f>
        <v>4941</v>
      </c>
      <c r="E59" s="14">
        <f>SUM(123+72+138+121)</f>
        <v>454</v>
      </c>
      <c r="F59" s="15">
        <f>SUM(D59/E59)</f>
        <v>10.883259911894273</v>
      </c>
      <c r="G59" s="14">
        <v>4</v>
      </c>
      <c r="H59" s="14"/>
      <c r="I59" s="14"/>
      <c r="J59" s="14"/>
      <c r="K59" s="14"/>
      <c r="L59" s="14">
        <v>4.5</v>
      </c>
      <c r="M59" s="16"/>
    </row>
    <row r="60" spans="1:13" ht="18.75" x14ac:dyDescent="0.3">
      <c r="A60" s="3">
        <v>59</v>
      </c>
      <c r="B60" s="27" t="s">
        <v>61</v>
      </c>
      <c r="C60" s="8" t="s">
        <v>53</v>
      </c>
      <c r="D60" s="17">
        <f>SUM(1483+1452+1373+1441+1447+1477)</f>
        <v>8673</v>
      </c>
      <c r="E60" s="14">
        <f>SUM(136+141+114+142+106+162)</f>
        <v>801</v>
      </c>
      <c r="F60" s="15">
        <f>SUM(D60/E60)</f>
        <v>10.827715355805243</v>
      </c>
      <c r="G60" s="14">
        <v>6</v>
      </c>
      <c r="H60" s="14">
        <v>2</v>
      </c>
      <c r="I60" s="14"/>
      <c r="J60" s="14"/>
      <c r="K60" s="14"/>
      <c r="L60" s="14">
        <v>16</v>
      </c>
      <c r="M60" s="16"/>
    </row>
    <row r="61" spans="1:13" ht="18.75" x14ac:dyDescent="0.3">
      <c r="A61" s="3">
        <v>60</v>
      </c>
      <c r="B61" s="11" t="s">
        <v>65</v>
      </c>
      <c r="C61" s="7" t="s">
        <v>46</v>
      </c>
      <c r="D61" s="17">
        <f>SUM(1493+1344+1345+1483+1412)</f>
        <v>7077</v>
      </c>
      <c r="E61" s="14">
        <f>SUM(159+141+111+139+117)</f>
        <v>667</v>
      </c>
      <c r="F61" s="15">
        <f>SUM(D61/E61)</f>
        <v>10.610194902548725</v>
      </c>
      <c r="G61" s="14">
        <v>4</v>
      </c>
      <c r="H61" s="14">
        <v>1</v>
      </c>
      <c r="I61" s="14"/>
      <c r="J61" s="14"/>
      <c r="K61" s="14"/>
      <c r="L61" s="14">
        <v>5.5</v>
      </c>
      <c r="M61" s="16"/>
    </row>
    <row r="62" spans="1:13" ht="18.75" x14ac:dyDescent="0.3">
      <c r="A62" s="3">
        <v>61</v>
      </c>
      <c r="B62" s="11" t="s">
        <v>59</v>
      </c>
      <c r="C62" s="4" t="s">
        <v>60</v>
      </c>
      <c r="D62" s="17">
        <f>SUM(1495+1198+1171+1097+1373)</f>
        <v>6334</v>
      </c>
      <c r="E62" s="14">
        <f>SUM(137+121+90+90+162)</f>
        <v>600</v>
      </c>
      <c r="F62" s="15">
        <f>SUM(D62/E62)</f>
        <v>10.556666666666667</v>
      </c>
      <c r="G62" s="14">
        <v>5</v>
      </c>
      <c r="H62" s="14"/>
      <c r="I62" s="14"/>
      <c r="J62" s="14"/>
      <c r="K62" s="14"/>
      <c r="L62" s="14">
        <v>3</v>
      </c>
      <c r="M62" s="16"/>
    </row>
    <row r="63" spans="1:13" ht="18.75" x14ac:dyDescent="0.3">
      <c r="A63" s="3">
        <v>62</v>
      </c>
      <c r="B63" s="27" t="s">
        <v>66</v>
      </c>
      <c r="C63" s="4" t="s">
        <v>49</v>
      </c>
      <c r="D63" s="17">
        <f>SUM(1474+1189+1448+1191+1495+1421+1358+1223)</f>
        <v>10799</v>
      </c>
      <c r="E63" s="14">
        <f>SUM(158+126+132+107+162+123+124+117)</f>
        <v>1049</v>
      </c>
      <c r="F63" s="15">
        <f>SUM(D63/E63)</f>
        <v>10.294566253574834</v>
      </c>
      <c r="G63" s="14">
        <v>8</v>
      </c>
      <c r="H63" s="14">
        <v>2</v>
      </c>
      <c r="I63" s="14"/>
      <c r="J63" s="14"/>
      <c r="K63" s="14"/>
      <c r="L63" s="14">
        <v>15.5</v>
      </c>
      <c r="M63" s="16"/>
    </row>
    <row r="64" spans="1:13" ht="18.75" x14ac:dyDescent="0.3">
      <c r="A64" s="3">
        <v>63</v>
      </c>
      <c r="B64" s="11" t="s">
        <v>75</v>
      </c>
      <c r="C64" s="4" t="s">
        <v>60</v>
      </c>
      <c r="D64" s="17">
        <f>SUM(1459+1180+1070+1335)</f>
        <v>5044</v>
      </c>
      <c r="E64" s="14">
        <f>SUM(165+111+96+129)</f>
        <v>501</v>
      </c>
      <c r="F64" s="15">
        <f>SUM(D64/E64)</f>
        <v>10.067864271457086</v>
      </c>
      <c r="G64" s="14">
        <v>4</v>
      </c>
      <c r="H64" s="14"/>
      <c r="I64" s="14"/>
      <c r="J64" s="14"/>
      <c r="K64" s="14"/>
      <c r="L64" s="14">
        <v>5</v>
      </c>
      <c r="M64" s="16"/>
    </row>
    <row r="65" spans="1:18" ht="18.75" x14ac:dyDescent="0.3">
      <c r="A65" s="3">
        <v>64</v>
      </c>
      <c r="B65" s="11" t="s">
        <v>125</v>
      </c>
      <c r="C65" s="4" t="s">
        <v>12</v>
      </c>
      <c r="D65" s="17">
        <f>SUM(1385)</f>
        <v>1385</v>
      </c>
      <c r="E65" s="14">
        <f>SUM(138)</f>
        <v>138</v>
      </c>
      <c r="F65" s="15">
        <f>SUM(D65/E65)</f>
        <v>10.036231884057971</v>
      </c>
      <c r="G65" s="14">
        <v>1</v>
      </c>
      <c r="H65" s="14"/>
      <c r="I65" s="14"/>
      <c r="J65" s="14"/>
      <c r="K65" s="14"/>
      <c r="L65" s="14">
        <v>2.5</v>
      </c>
      <c r="M65" s="16"/>
    </row>
    <row r="66" spans="1:18" ht="18.75" x14ac:dyDescent="0.3">
      <c r="A66" s="3">
        <v>65</v>
      </c>
      <c r="B66" s="11" t="s">
        <v>68</v>
      </c>
      <c r="C66" s="7" t="s">
        <v>60</v>
      </c>
      <c r="D66" s="17">
        <f>SUM(1493+1464+1445+1017+1395+1287+1373+1324)</f>
        <v>10798</v>
      </c>
      <c r="E66" s="14">
        <f>SUM(177+162+141+93+130+116+144+124)</f>
        <v>1087</v>
      </c>
      <c r="F66" s="15">
        <f>SUM(D66/E66)</f>
        <v>9.933762649494021</v>
      </c>
      <c r="G66" s="14">
        <v>8</v>
      </c>
      <c r="H66" s="14">
        <v>1</v>
      </c>
      <c r="I66" s="14"/>
      <c r="J66" s="14"/>
      <c r="K66" s="14"/>
      <c r="L66" s="14">
        <v>9</v>
      </c>
      <c r="M66" s="16"/>
    </row>
    <row r="67" spans="1:18" ht="18.75" x14ac:dyDescent="0.3">
      <c r="A67" s="3">
        <v>66</v>
      </c>
      <c r="B67" s="74" t="s">
        <v>64</v>
      </c>
      <c r="C67" s="28" t="s">
        <v>46</v>
      </c>
      <c r="D67" s="17">
        <f>SUM(1468+1466+912)</f>
        <v>3846</v>
      </c>
      <c r="E67" s="14">
        <f>SUM(156+165+75)</f>
        <v>396</v>
      </c>
      <c r="F67" s="15">
        <f>SUM(D67/E67)</f>
        <v>9.7121212121212128</v>
      </c>
      <c r="G67" s="14">
        <v>3</v>
      </c>
      <c r="H67" s="14"/>
      <c r="I67" s="14"/>
      <c r="J67" s="14"/>
      <c r="K67" s="14"/>
      <c r="L67" s="14">
        <v>2.5</v>
      </c>
      <c r="M67" s="16"/>
    </row>
    <row r="68" spans="1:18" ht="18.75" x14ac:dyDescent="0.3">
      <c r="A68" s="3">
        <v>67</v>
      </c>
      <c r="B68" s="26" t="s">
        <v>124</v>
      </c>
      <c r="C68" s="4" t="s">
        <v>46</v>
      </c>
      <c r="D68" s="17">
        <f>SUM(1491)</f>
        <v>1491</v>
      </c>
      <c r="E68" s="14">
        <f>SUM(165)</f>
        <v>165</v>
      </c>
      <c r="F68" s="15">
        <f>SUM(D68/E68)</f>
        <v>9.036363636363637</v>
      </c>
      <c r="G68" s="14">
        <v>1</v>
      </c>
      <c r="H68" s="14"/>
      <c r="I68" s="14"/>
      <c r="J68" s="14"/>
      <c r="K68" s="14"/>
      <c r="L68" s="14">
        <v>0.5</v>
      </c>
      <c r="M68" s="16"/>
    </row>
    <row r="69" spans="1:18" ht="18.75" x14ac:dyDescent="0.3">
      <c r="A69" s="3">
        <v>68</v>
      </c>
      <c r="B69" s="73" t="s">
        <v>127</v>
      </c>
      <c r="C69" s="72" t="s">
        <v>60</v>
      </c>
      <c r="D69" s="17"/>
      <c r="E69" s="14"/>
      <c r="F69" s="15"/>
      <c r="G69" s="14"/>
      <c r="H69" s="14"/>
      <c r="I69" s="14"/>
      <c r="J69" s="14"/>
      <c r="K69" s="14"/>
      <c r="L69" s="14">
        <v>1.5</v>
      </c>
      <c r="M69" s="16"/>
    </row>
    <row r="70" spans="1:18" ht="18.75" x14ac:dyDescent="0.3">
      <c r="A70" s="3">
        <v>69</v>
      </c>
      <c r="B70" s="11" t="s">
        <v>113</v>
      </c>
      <c r="C70" s="7" t="s">
        <v>46</v>
      </c>
      <c r="D70" s="17"/>
      <c r="E70" s="14"/>
      <c r="F70" s="15"/>
      <c r="G70" s="14"/>
      <c r="H70" s="14"/>
      <c r="I70" s="14"/>
      <c r="J70" s="14"/>
      <c r="K70" s="14"/>
      <c r="L70" s="14">
        <v>0</v>
      </c>
      <c r="M70" s="16"/>
    </row>
    <row r="71" spans="1:18" ht="17.25" customHeight="1" thickBo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8" ht="19.5" customHeight="1" thickBot="1" x14ac:dyDescent="0.35">
      <c r="A72" s="5"/>
      <c r="B72" s="41" t="s">
        <v>164</v>
      </c>
      <c r="C72" s="60" t="s">
        <v>78</v>
      </c>
      <c r="D72" s="59" t="s">
        <v>79</v>
      </c>
      <c r="E72" s="70" t="s">
        <v>80</v>
      </c>
      <c r="F72" s="55" t="s">
        <v>108</v>
      </c>
      <c r="G72" s="69" t="s">
        <v>81</v>
      </c>
      <c r="I72" s="34" t="s">
        <v>82</v>
      </c>
      <c r="J72" s="35"/>
      <c r="K72" s="35"/>
      <c r="L72" s="35"/>
      <c r="M72" s="35"/>
      <c r="N72" s="35"/>
      <c r="O72" s="35"/>
      <c r="P72" s="35"/>
      <c r="Q72" s="35"/>
      <c r="R72" s="36"/>
    </row>
    <row r="73" spans="1:18" ht="18.75" x14ac:dyDescent="0.3">
      <c r="A73" s="5"/>
      <c r="B73" s="42"/>
      <c r="C73" s="29" t="s">
        <v>86</v>
      </c>
      <c r="D73" s="7">
        <v>10</v>
      </c>
      <c r="E73" s="27">
        <v>0</v>
      </c>
      <c r="F73" s="26">
        <v>0</v>
      </c>
      <c r="G73" s="29">
        <v>165</v>
      </c>
      <c r="I73" s="68" t="s">
        <v>84</v>
      </c>
      <c r="J73" s="67"/>
      <c r="K73" s="67"/>
      <c r="L73" s="67"/>
      <c r="M73" s="67"/>
      <c r="N73" s="37" t="s">
        <v>85</v>
      </c>
      <c r="O73" s="37"/>
      <c r="P73" s="37"/>
      <c r="Q73" s="37"/>
      <c r="R73" s="38"/>
    </row>
    <row r="74" spans="1:18" ht="18.75" x14ac:dyDescent="0.3">
      <c r="A74" s="5"/>
      <c r="B74" s="42"/>
      <c r="C74" s="29" t="s">
        <v>100</v>
      </c>
      <c r="D74" s="7">
        <v>8</v>
      </c>
      <c r="E74" s="62">
        <v>2</v>
      </c>
      <c r="F74" s="26">
        <v>0</v>
      </c>
      <c r="G74" s="61">
        <v>148</v>
      </c>
      <c r="I74" s="66" t="s">
        <v>87</v>
      </c>
      <c r="J74" s="65"/>
      <c r="K74" s="65"/>
      <c r="L74" s="65"/>
      <c r="M74" s="65"/>
      <c r="N74" s="39" t="s">
        <v>163</v>
      </c>
      <c r="O74" s="39"/>
      <c r="P74" s="39"/>
      <c r="Q74" s="39"/>
      <c r="R74" s="40"/>
    </row>
    <row r="75" spans="1:18" ht="18.75" x14ac:dyDescent="0.3">
      <c r="A75" s="5"/>
      <c r="B75" s="42"/>
      <c r="C75" s="29" t="s">
        <v>95</v>
      </c>
      <c r="D75" s="7">
        <v>8</v>
      </c>
      <c r="E75" s="62">
        <v>2</v>
      </c>
      <c r="F75" s="26">
        <v>0</v>
      </c>
      <c r="G75" s="61">
        <v>145</v>
      </c>
      <c r="I75" s="66" t="s">
        <v>90</v>
      </c>
      <c r="J75" s="65"/>
      <c r="K75" s="65"/>
      <c r="L75" s="65"/>
      <c r="M75" s="65"/>
      <c r="N75" s="39" t="s">
        <v>162</v>
      </c>
      <c r="O75" s="39"/>
      <c r="P75" s="39"/>
      <c r="Q75" s="39"/>
      <c r="R75" s="40"/>
    </row>
    <row r="76" spans="1:18" ht="18.75" x14ac:dyDescent="0.3">
      <c r="A76" s="6"/>
      <c r="B76" s="42"/>
      <c r="C76" s="29" t="s">
        <v>92</v>
      </c>
      <c r="D76" s="7">
        <v>7</v>
      </c>
      <c r="E76" s="62">
        <v>3</v>
      </c>
      <c r="F76" s="26">
        <v>0</v>
      </c>
      <c r="G76" s="61">
        <v>138</v>
      </c>
      <c r="I76" s="66" t="s">
        <v>93</v>
      </c>
      <c r="J76" s="65"/>
      <c r="K76" s="65"/>
      <c r="L76" s="65"/>
      <c r="M76" s="65"/>
      <c r="N76" s="39" t="s">
        <v>161</v>
      </c>
      <c r="O76" s="39"/>
      <c r="P76" s="39"/>
      <c r="Q76" s="39"/>
      <c r="R76" s="40"/>
    </row>
    <row r="77" spans="1:18" ht="18" customHeight="1" x14ac:dyDescent="0.3">
      <c r="A77" s="6"/>
      <c r="B77" s="42"/>
      <c r="C77" s="30" t="s">
        <v>97</v>
      </c>
      <c r="D77" s="9">
        <v>7</v>
      </c>
      <c r="E77" s="11">
        <v>3</v>
      </c>
      <c r="F77" s="26">
        <v>0</v>
      </c>
      <c r="G77" s="30">
        <v>131</v>
      </c>
      <c r="I77" s="66" t="s">
        <v>96</v>
      </c>
      <c r="J77" s="65"/>
      <c r="K77" s="65"/>
      <c r="L77" s="65"/>
      <c r="M77" s="65"/>
      <c r="N77" s="39" t="s">
        <v>119</v>
      </c>
      <c r="O77" s="39"/>
      <c r="P77" s="39"/>
      <c r="Q77" s="39"/>
      <c r="R77" s="40"/>
    </row>
    <row r="78" spans="1:18" ht="18" customHeight="1" thickBot="1" x14ac:dyDescent="0.35">
      <c r="A78" s="6"/>
      <c r="B78" s="42"/>
      <c r="C78" s="29" t="s">
        <v>103</v>
      </c>
      <c r="D78" s="7">
        <v>5</v>
      </c>
      <c r="E78" s="62">
        <v>5</v>
      </c>
      <c r="F78" s="26">
        <v>0</v>
      </c>
      <c r="G78" s="61">
        <v>128</v>
      </c>
      <c r="I78" s="64" t="s">
        <v>98</v>
      </c>
      <c r="J78" s="63"/>
      <c r="K78" s="63"/>
      <c r="L78" s="63"/>
      <c r="M78" s="63"/>
      <c r="N78" s="39" t="s">
        <v>118</v>
      </c>
      <c r="O78" s="39"/>
      <c r="P78" s="39"/>
      <c r="Q78" s="39"/>
      <c r="R78" s="40"/>
    </row>
    <row r="79" spans="1:18" ht="18.75" x14ac:dyDescent="0.3">
      <c r="A79" s="6"/>
      <c r="B79" s="42"/>
      <c r="C79" s="30" t="s">
        <v>101</v>
      </c>
      <c r="D79" s="9">
        <v>4</v>
      </c>
      <c r="E79" s="11">
        <v>6</v>
      </c>
      <c r="F79" s="26">
        <v>0</v>
      </c>
      <c r="G79" s="30">
        <v>129</v>
      </c>
      <c r="H79" s="6"/>
      <c r="I79" s="6"/>
    </row>
    <row r="80" spans="1:18" ht="18.75" x14ac:dyDescent="0.3">
      <c r="A80" s="6"/>
      <c r="B80" s="42"/>
      <c r="C80" s="29" t="s">
        <v>99</v>
      </c>
      <c r="D80" s="7">
        <v>4</v>
      </c>
      <c r="E80" s="27">
        <v>6</v>
      </c>
      <c r="F80" s="26">
        <v>0</v>
      </c>
      <c r="G80" s="29">
        <v>122</v>
      </c>
      <c r="H80" s="6"/>
    </row>
    <row r="81" spans="2:7" ht="18.75" x14ac:dyDescent="0.3">
      <c r="B81" s="42"/>
      <c r="C81" s="31" t="s">
        <v>83</v>
      </c>
      <c r="D81" s="20">
        <v>3</v>
      </c>
      <c r="E81" s="53">
        <v>7</v>
      </c>
      <c r="F81" s="52">
        <v>0</v>
      </c>
      <c r="G81" s="31">
        <v>106</v>
      </c>
    </row>
    <row r="82" spans="2:7" ht="18.75" x14ac:dyDescent="0.3">
      <c r="B82" s="42"/>
      <c r="C82" s="29" t="s">
        <v>89</v>
      </c>
      <c r="D82" s="7">
        <v>3</v>
      </c>
      <c r="E82" s="62">
        <v>7</v>
      </c>
      <c r="F82" s="26">
        <v>0</v>
      </c>
      <c r="G82" s="61">
        <v>102</v>
      </c>
    </row>
    <row r="83" spans="2:7" ht="18.75" x14ac:dyDescent="0.3">
      <c r="B83" s="42"/>
      <c r="C83" s="30" t="s">
        <v>104</v>
      </c>
      <c r="D83" s="9">
        <v>1</v>
      </c>
      <c r="E83" s="11">
        <v>9</v>
      </c>
      <c r="F83" s="26">
        <v>0</v>
      </c>
      <c r="G83" s="30">
        <v>70</v>
      </c>
    </row>
    <row r="84" spans="2:7" ht="19.5" thickBot="1" x14ac:dyDescent="0.35">
      <c r="B84" s="43"/>
      <c r="C84" s="30" t="s">
        <v>102</v>
      </c>
      <c r="D84" s="9">
        <v>0</v>
      </c>
      <c r="E84" s="11">
        <v>10</v>
      </c>
      <c r="F84" s="26">
        <v>0</v>
      </c>
      <c r="G84" s="30">
        <v>56</v>
      </c>
    </row>
    <row r="85" spans="2:7" ht="15.75" thickBot="1" x14ac:dyDescent="0.3"/>
    <row r="86" spans="2:7" ht="19.5" thickBot="1" x14ac:dyDescent="0.35">
      <c r="C86" s="60" t="s">
        <v>105</v>
      </c>
      <c r="D86" s="59" t="s">
        <v>79</v>
      </c>
      <c r="E86" s="59" t="s">
        <v>80</v>
      </c>
      <c r="F86" s="55" t="s">
        <v>108</v>
      </c>
      <c r="G86" s="58" t="s">
        <v>81</v>
      </c>
    </row>
    <row r="87" spans="2:7" ht="18.75" x14ac:dyDescent="0.3">
      <c r="C87" s="20" t="s">
        <v>86</v>
      </c>
      <c r="D87" s="20">
        <v>10</v>
      </c>
      <c r="E87" s="53">
        <v>0</v>
      </c>
      <c r="F87" s="52">
        <v>0</v>
      </c>
      <c r="G87" s="31">
        <v>165</v>
      </c>
    </row>
    <row r="88" spans="2:7" ht="18.75" x14ac:dyDescent="0.3">
      <c r="C88" s="20" t="s">
        <v>100</v>
      </c>
      <c r="D88" s="20">
        <v>8</v>
      </c>
      <c r="E88" s="51">
        <v>2</v>
      </c>
      <c r="F88" s="26">
        <v>0</v>
      </c>
      <c r="G88" s="50">
        <v>148</v>
      </c>
    </row>
    <row r="89" spans="2:7" ht="18.75" x14ac:dyDescent="0.3">
      <c r="C89" s="7" t="s">
        <v>95</v>
      </c>
      <c r="D89" s="7">
        <v>8</v>
      </c>
      <c r="E89" s="62">
        <v>2</v>
      </c>
      <c r="F89" s="26">
        <v>0</v>
      </c>
      <c r="G89" s="61">
        <v>145</v>
      </c>
    </row>
    <row r="90" spans="2:7" ht="18.75" x14ac:dyDescent="0.3">
      <c r="C90" s="7" t="s">
        <v>103</v>
      </c>
      <c r="D90" s="7">
        <v>5</v>
      </c>
      <c r="E90" s="62">
        <v>5</v>
      </c>
      <c r="F90" s="26">
        <v>0</v>
      </c>
      <c r="G90" s="61">
        <v>128</v>
      </c>
    </row>
    <row r="91" spans="2:7" ht="15.75" thickBot="1" x14ac:dyDescent="0.3"/>
    <row r="92" spans="2:7" ht="19.5" thickBot="1" x14ac:dyDescent="0.35">
      <c r="C92" s="60" t="s">
        <v>106</v>
      </c>
      <c r="D92" s="59" t="s">
        <v>79</v>
      </c>
      <c r="E92" s="59" t="s">
        <v>80</v>
      </c>
      <c r="F92" s="55" t="s">
        <v>108</v>
      </c>
      <c r="G92" s="58" t="s">
        <v>81</v>
      </c>
    </row>
    <row r="93" spans="2:7" ht="18.75" x14ac:dyDescent="0.3">
      <c r="C93" s="20" t="s">
        <v>92</v>
      </c>
      <c r="D93" s="20">
        <v>7</v>
      </c>
      <c r="E93" s="51">
        <v>3</v>
      </c>
      <c r="F93" s="52">
        <v>0</v>
      </c>
      <c r="G93" s="50">
        <v>138</v>
      </c>
    </row>
    <row r="94" spans="2:7" ht="18.75" x14ac:dyDescent="0.3">
      <c r="C94" s="9" t="s">
        <v>97</v>
      </c>
      <c r="D94" s="9">
        <v>7</v>
      </c>
      <c r="E94" s="11">
        <v>3</v>
      </c>
      <c r="F94" s="26">
        <v>0</v>
      </c>
      <c r="G94" s="30">
        <v>131</v>
      </c>
    </row>
    <row r="95" spans="2:7" ht="18.75" x14ac:dyDescent="0.3">
      <c r="C95" s="9" t="s">
        <v>101</v>
      </c>
      <c r="D95" s="9">
        <v>4</v>
      </c>
      <c r="E95" s="11">
        <v>6</v>
      </c>
      <c r="F95" s="26">
        <v>0</v>
      </c>
      <c r="G95" s="30">
        <v>129</v>
      </c>
    </row>
    <row r="96" spans="2:7" ht="18.75" x14ac:dyDescent="0.3">
      <c r="C96" s="7" t="s">
        <v>99</v>
      </c>
      <c r="D96" s="7">
        <v>4</v>
      </c>
      <c r="E96" s="27">
        <v>6</v>
      </c>
      <c r="F96" s="26">
        <v>0</v>
      </c>
      <c r="G96" s="29">
        <v>122</v>
      </c>
    </row>
    <row r="97" spans="3:7" ht="15.75" thickBot="1" x14ac:dyDescent="0.3"/>
    <row r="98" spans="3:7" ht="19.5" thickBot="1" x14ac:dyDescent="0.35">
      <c r="C98" s="57" t="s">
        <v>107</v>
      </c>
      <c r="D98" s="56" t="s">
        <v>79</v>
      </c>
      <c r="E98" s="56" t="s">
        <v>80</v>
      </c>
      <c r="F98" s="55" t="s">
        <v>108</v>
      </c>
      <c r="G98" s="54" t="s">
        <v>81</v>
      </c>
    </row>
    <row r="99" spans="3:7" ht="18.75" x14ac:dyDescent="0.3">
      <c r="C99" s="20" t="s">
        <v>83</v>
      </c>
      <c r="D99" s="20">
        <v>3</v>
      </c>
      <c r="E99" s="53">
        <v>7</v>
      </c>
      <c r="F99" s="52">
        <v>0</v>
      </c>
      <c r="G99" s="31">
        <v>106</v>
      </c>
    </row>
    <row r="100" spans="3:7" ht="18.75" x14ac:dyDescent="0.3">
      <c r="C100" s="20" t="s">
        <v>89</v>
      </c>
      <c r="D100" s="20">
        <v>3</v>
      </c>
      <c r="E100" s="51">
        <v>7</v>
      </c>
      <c r="F100" s="26">
        <v>0</v>
      </c>
      <c r="G100" s="50">
        <v>102</v>
      </c>
    </row>
    <row r="101" spans="3:7" ht="18.75" x14ac:dyDescent="0.3">
      <c r="C101" s="9" t="s">
        <v>104</v>
      </c>
      <c r="D101" s="9">
        <v>1</v>
      </c>
      <c r="E101" s="11">
        <v>9</v>
      </c>
      <c r="F101" s="26">
        <v>0</v>
      </c>
      <c r="G101" s="30">
        <v>70</v>
      </c>
    </row>
    <row r="102" spans="3:7" ht="18.75" x14ac:dyDescent="0.3">
      <c r="C102" s="9" t="s">
        <v>102</v>
      </c>
      <c r="D102" s="9">
        <v>0</v>
      </c>
      <c r="E102" s="11">
        <v>10</v>
      </c>
      <c r="F102" s="26">
        <v>0</v>
      </c>
      <c r="G102" s="30">
        <v>56</v>
      </c>
    </row>
  </sheetData>
  <mergeCells count="14">
    <mergeCell ref="N78:R78"/>
    <mergeCell ref="I72:R72"/>
    <mergeCell ref="N73:R73"/>
    <mergeCell ref="N74:R74"/>
    <mergeCell ref="N75:R75"/>
    <mergeCell ref="N76:R76"/>
    <mergeCell ref="N77:R77"/>
    <mergeCell ref="B72:B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pane ySplit="1" topLeftCell="A2" activePane="bottomLeft" state="frozen"/>
      <selection pane="bottomLeft" activeCell="M85" sqref="M85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SUM(1493+1503+1499+1371+1478+1493+1503+1503+1487+1503+1428)</f>
        <v>16261</v>
      </c>
      <c r="E2" s="14">
        <f>SUM(82+81+101+87+100+89+93+104+80+61+65)</f>
        <v>943</v>
      </c>
      <c r="F2" s="15">
        <f>SUM(D2/E2)</f>
        <v>17.243902439024389</v>
      </c>
      <c r="G2" s="14">
        <v>11</v>
      </c>
      <c r="H2" s="14">
        <v>10</v>
      </c>
      <c r="I2" s="14">
        <v>1</v>
      </c>
      <c r="J2" s="14"/>
      <c r="K2" s="14"/>
      <c r="L2" s="14">
        <v>45</v>
      </c>
      <c r="M2" s="16">
        <v>35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SUM(1497+1503+1503+1503+1503+1343+1374+1383+1499+1493)</f>
        <v>14601</v>
      </c>
      <c r="E3" s="14">
        <f>SUM(100+85+83+92+83+81+85+94+91+89)</f>
        <v>883</v>
      </c>
      <c r="F3" s="15">
        <f>SUM(D3/E3)</f>
        <v>16.535673839184597</v>
      </c>
      <c r="G3" s="14">
        <v>10</v>
      </c>
      <c r="H3" s="14">
        <v>8</v>
      </c>
      <c r="I3" s="14">
        <v>2</v>
      </c>
      <c r="J3" s="14"/>
      <c r="K3" s="14"/>
      <c r="L3" s="14">
        <v>42.5</v>
      </c>
      <c r="M3" s="16">
        <v>10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SUM(1475+1503+1379+1273+1389+1467+1447+1471+1380+1494)</f>
        <v>14278</v>
      </c>
      <c r="E4" s="14">
        <f>SUM(91+92+81+81+71+83+111+86+76+99)</f>
        <v>871</v>
      </c>
      <c r="F4" s="15">
        <f>SUM(D4/E4)</f>
        <v>16.392652123995408</v>
      </c>
      <c r="G4" s="14">
        <v>10</v>
      </c>
      <c r="H4" s="14">
        <v>7</v>
      </c>
      <c r="I4" s="14"/>
      <c r="J4" s="14"/>
      <c r="K4" s="14"/>
      <c r="L4" s="76">
        <v>32</v>
      </c>
      <c r="M4" s="16">
        <v>10</v>
      </c>
    </row>
    <row r="5" spans="1:13" ht="18.75" x14ac:dyDescent="0.3">
      <c r="A5" s="3">
        <v>4</v>
      </c>
      <c r="B5" s="4" t="s">
        <v>117</v>
      </c>
      <c r="C5" s="4" t="s">
        <v>53</v>
      </c>
      <c r="D5" s="14">
        <f>SUM(1503)</f>
        <v>1503</v>
      </c>
      <c r="E5" s="14">
        <f>SUM(97)</f>
        <v>97</v>
      </c>
      <c r="F5" s="15">
        <f>SUM(D5/E5)</f>
        <v>15.494845360824742</v>
      </c>
      <c r="G5" s="14">
        <v>1</v>
      </c>
      <c r="H5" s="14">
        <v>1</v>
      </c>
      <c r="I5" s="14"/>
      <c r="J5" s="14"/>
      <c r="K5" s="14"/>
      <c r="L5" s="14">
        <v>3.5</v>
      </c>
      <c r="M5" s="16"/>
    </row>
    <row r="6" spans="1:13" ht="18.75" x14ac:dyDescent="0.3">
      <c r="A6" s="3">
        <v>5</v>
      </c>
      <c r="B6" s="4" t="s">
        <v>34</v>
      </c>
      <c r="C6" s="4" t="s">
        <v>16</v>
      </c>
      <c r="D6" s="14">
        <f>SUM(1483+1471+1501+1503+1495+1501+1486+1458+1501+1503+1503)</f>
        <v>16405</v>
      </c>
      <c r="E6" s="14">
        <f>SUM(107+83+84+79+105+120+108+87+98+102+93)</f>
        <v>1066</v>
      </c>
      <c r="F6" s="15">
        <f>SUM(D6/E6)</f>
        <v>15.389305816135085</v>
      </c>
      <c r="G6" s="14">
        <v>11</v>
      </c>
      <c r="H6" s="14">
        <v>8</v>
      </c>
      <c r="I6" s="14"/>
      <c r="J6" s="14"/>
      <c r="K6" s="14"/>
      <c r="L6" s="14">
        <v>42</v>
      </c>
      <c r="M6" s="16">
        <v>15</v>
      </c>
    </row>
    <row r="7" spans="1:13" ht="18.75" x14ac:dyDescent="0.3">
      <c r="A7" s="3">
        <v>6</v>
      </c>
      <c r="B7" s="4" t="s">
        <v>38</v>
      </c>
      <c r="C7" s="4" t="s">
        <v>21</v>
      </c>
      <c r="D7" s="14">
        <f>SUM(1487+1503+1503+1386+1501+1503+1415+1495+1442+1486+1304)</f>
        <v>16025</v>
      </c>
      <c r="E7" s="14">
        <f>SUM(111+101+74+85+132+87+82+95+76+112+88)</f>
        <v>1043</v>
      </c>
      <c r="F7" s="15">
        <f>SUM(D7/E7)</f>
        <v>15.364333652924257</v>
      </c>
      <c r="G7" s="14">
        <v>11</v>
      </c>
      <c r="H7" s="14">
        <v>7</v>
      </c>
      <c r="I7" s="14"/>
      <c r="J7" s="14"/>
      <c r="K7" s="14">
        <v>1</v>
      </c>
      <c r="L7" s="14">
        <v>38.5</v>
      </c>
      <c r="M7" s="16">
        <v>10</v>
      </c>
    </row>
    <row r="8" spans="1:13" ht="18.75" x14ac:dyDescent="0.3">
      <c r="A8" s="3">
        <v>7</v>
      </c>
      <c r="B8" s="4" t="s">
        <v>11</v>
      </c>
      <c r="C8" s="4" t="s">
        <v>12</v>
      </c>
      <c r="D8" s="14">
        <f>SUM(1471+1503+1366+1503+1427+1501+1493+1342+1334+1491)</f>
        <v>14431</v>
      </c>
      <c r="E8" s="14">
        <f>SUM(76+92+101+115+84+100+114+88+77+95)</f>
        <v>942</v>
      </c>
      <c r="F8" s="15">
        <f>SUM(D8/E8)</f>
        <v>15.319532908704883</v>
      </c>
      <c r="G8" s="14">
        <v>10</v>
      </c>
      <c r="H8" s="14">
        <v>8</v>
      </c>
      <c r="I8" s="14">
        <v>1</v>
      </c>
      <c r="J8" s="14"/>
      <c r="K8" s="14"/>
      <c r="L8" s="14">
        <v>39.5</v>
      </c>
      <c r="M8" s="16">
        <v>20</v>
      </c>
    </row>
    <row r="9" spans="1:13" ht="18.75" x14ac:dyDescent="0.3">
      <c r="A9" s="3">
        <v>8</v>
      </c>
      <c r="B9" s="4" t="s">
        <v>27</v>
      </c>
      <c r="C9" s="4" t="s">
        <v>19</v>
      </c>
      <c r="D9" s="14">
        <f>SUM(1491+1430+1503+1498+1306+1503+1443+1496+1492+1503+1382)</f>
        <v>16047</v>
      </c>
      <c r="E9" s="14">
        <f>SUM(102+105+81+93+72+105+84+83+120+98+108)</f>
        <v>1051</v>
      </c>
      <c r="F9" s="15">
        <f>SUM(D9/E9)</f>
        <v>15.268315889628925</v>
      </c>
      <c r="G9" s="14">
        <v>11</v>
      </c>
      <c r="H9" s="14">
        <v>9</v>
      </c>
      <c r="I9" s="14"/>
      <c r="J9" s="14"/>
      <c r="K9" s="14">
        <v>1</v>
      </c>
      <c r="L9" s="14">
        <v>44.5</v>
      </c>
      <c r="M9" s="16">
        <v>5</v>
      </c>
    </row>
    <row r="10" spans="1:13" ht="18.75" x14ac:dyDescent="0.3">
      <c r="A10" s="3">
        <v>9</v>
      </c>
      <c r="B10" s="4" t="s">
        <v>15</v>
      </c>
      <c r="C10" s="4" t="s">
        <v>16</v>
      </c>
      <c r="D10" s="14">
        <f>SUM(1350+1487+1463+1503+1503+1483+1282+1468+1471)</f>
        <v>13010</v>
      </c>
      <c r="E10" s="14">
        <f>SUM(80+82+83+99+122+85+99+103+103)</f>
        <v>856</v>
      </c>
      <c r="F10" s="15">
        <f>SUM(D10/E10)</f>
        <v>15.198598130841122</v>
      </c>
      <c r="G10" s="14">
        <v>9</v>
      </c>
      <c r="H10" s="14">
        <v>6</v>
      </c>
      <c r="I10" s="14"/>
      <c r="J10" s="14"/>
      <c r="K10" s="14"/>
      <c r="L10" s="14">
        <v>31</v>
      </c>
      <c r="M10" s="16">
        <v>10</v>
      </c>
    </row>
    <row r="11" spans="1:13" ht="18.75" x14ac:dyDescent="0.3">
      <c r="A11" s="3">
        <v>10</v>
      </c>
      <c r="B11" s="26" t="s">
        <v>135</v>
      </c>
      <c r="C11" s="4" t="s">
        <v>134</v>
      </c>
      <c r="D11" s="14">
        <f>SUM(1306+1503+1416+1435+1467)</f>
        <v>7127</v>
      </c>
      <c r="E11" s="14">
        <f>SUM(81+98+89+98+104)</f>
        <v>470</v>
      </c>
      <c r="F11" s="15">
        <f>SUM(D11/E11)</f>
        <v>15.163829787234043</v>
      </c>
      <c r="G11" s="14">
        <v>5</v>
      </c>
      <c r="H11" s="14">
        <v>3</v>
      </c>
      <c r="I11" s="14"/>
      <c r="J11" s="14"/>
      <c r="K11" s="14"/>
      <c r="L11" s="14">
        <v>20.5</v>
      </c>
      <c r="M11" s="16"/>
    </row>
    <row r="12" spans="1:13" ht="18.75" x14ac:dyDescent="0.3">
      <c r="A12" s="3">
        <v>11</v>
      </c>
      <c r="B12" s="4" t="s">
        <v>18</v>
      </c>
      <c r="C12" s="7" t="s">
        <v>19</v>
      </c>
      <c r="D12" s="14">
        <f>SUM(1503+1488+1503+1430+1468+1461+1444+1411+1423+1351+1503)</f>
        <v>15985</v>
      </c>
      <c r="E12" s="14">
        <f>SUM(93+90+102+88+102+99+93+85+111+94+99)</f>
        <v>1056</v>
      </c>
      <c r="F12" s="15">
        <f>SUM(D12/E12)</f>
        <v>15.137310606060606</v>
      </c>
      <c r="G12" s="14">
        <v>11</v>
      </c>
      <c r="H12" s="14">
        <v>4</v>
      </c>
      <c r="I12" s="14"/>
      <c r="J12" s="14"/>
      <c r="K12" s="14"/>
      <c r="L12" s="14">
        <v>41.5</v>
      </c>
      <c r="M12" s="16"/>
    </row>
    <row r="13" spans="1:13" ht="18.75" x14ac:dyDescent="0.3">
      <c r="A13" s="3">
        <v>12</v>
      </c>
      <c r="B13" s="4" t="s">
        <v>37</v>
      </c>
      <c r="C13" s="4" t="s">
        <v>12</v>
      </c>
      <c r="D13" s="14">
        <f>SUM(1489+1454+1482+1503+1393+1503+1503+1503+1381+932+1415)</f>
        <v>15558</v>
      </c>
      <c r="E13" s="14">
        <f>SUM(111+105+94+95+97+115+88+96+97+57+89)</f>
        <v>1044</v>
      </c>
      <c r="F13" s="15">
        <f>SUM(D13/E13)</f>
        <v>14.902298850574713</v>
      </c>
      <c r="G13" s="14">
        <v>11</v>
      </c>
      <c r="H13" s="14">
        <v>6</v>
      </c>
      <c r="I13" s="14"/>
      <c r="J13" s="14"/>
      <c r="K13" s="14"/>
      <c r="L13" s="14">
        <v>39.5</v>
      </c>
      <c r="M13" s="16"/>
    </row>
    <row r="14" spans="1:13" ht="18.75" x14ac:dyDescent="0.3">
      <c r="A14" s="3">
        <v>13</v>
      </c>
      <c r="B14" s="4" t="s">
        <v>71</v>
      </c>
      <c r="C14" s="4" t="s">
        <v>53</v>
      </c>
      <c r="D14" s="14">
        <f>SUM(1343+1449+1503+1477+1348+1444+1219+1461+1293+1503)</f>
        <v>14040</v>
      </c>
      <c r="E14" s="14">
        <f>SUM(82+98+96+114+102+85+94+96+86+94)</f>
        <v>947</v>
      </c>
      <c r="F14" s="15">
        <f>SUM(D14/E14)</f>
        <v>14.825765575501585</v>
      </c>
      <c r="G14" s="14">
        <v>9</v>
      </c>
      <c r="H14" s="14">
        <v>3</v>
      </c>
      <c r="I14" s="14">
        <v>1</v>
      </c>
      <c r="J14" s="14"/>
      <c r="K14" s="14"/>
      <c r="L14" s="14">
        <v>26.5</v>
      </c>
      <c r="M14" s="16"/>
    </row>
    <row r="15" spans="1:13" ht="18.75" x14ac:dyDescent="0.3">
      <c r="A15" s="3">
        <v>14</v>
      </c>
      <c r="B15" s="4" t="s">
        <v>44</v>
      </c>
      <c r="C15" s="4" t="s">
        <v>19</v>
      </c>
      <c r="D15" s="14">
        <f>SUM(1499+1503+1495+1500+1498+1471+1503+1455)</f>
        <v>11924</v>
      </c>
      <c r="E15" s="14">
        <f>SUM(120+113+112+127+83+89+94+83)</f>
        <v>821</v>
      </c>
      <c r="F15" s="15">
        <f>SUM(D15/E15)</f>
        <v>14.523751522533496</v>
      </c>
      <c r="G15" s="14">
        <v>8</v>
      </c>
      <c r="H15" s="14">
        <v>7</v>
      </c>
      <c r="I15" s="14"/>
      <c r="J15" s="14"/>
      <c r="K15" s="14"/>
      <c r="L15" s="14">
        <v>34.5</v>
      </c>
      <c r="M15" s="16">
        <v>5</v>
      </c>
    </row>
    <row r="16" spans="1:13" ht="18.75" x14ac:dyDescent="0.3">
      <c r="A16" s="3">
        <v>15</v>
      </c>
      <c r="B16" s="26" t="s">
        <v>116</v>
      </c>
      <c r="C16" s="4" t="s">
        <v>46</v>
      </c>
      <c r="D16" s="14">
        <f>SUM(1184+1495+1503+1260+1369+1493+1471+1423+1289)</f>
        <v>12487</v>
      </c>
      <c r="E16" s="14">
        <f>SUM(78+154+98+84+87+93+95+90+82)</f>
        <v>861</v>
      </c>
      <c r="F16" s="15">
        <f>SUM(D16/E16)</f>
        <v>14.502903600464576</v>
      </c>
      <c r="G16" s="14">
        <v>8</v>
      </c>
      <c r="H16" s="14">
        <v>4</v>
      </c>
      <c r="I16" s="14"/>
      <c r="J16" s="14"/>
      <c r="K16" s="14"/>
      <c r="L16" s="14">
        <v>19.5</v>
      </c>
      <c r="M16" s="16"/>
    </row>
    <row r="17" spans="1:13" ht="18.75" x14ac:dyDescent="0.3">
      <c r="A17" s="3">
        <v>16</v>
      </c>
      <c r="B17" s="10" t="s">
        <v>28</v>
      </c>
      <c r="C17" s="4" t="s">
        <v>29</v>
      </c>
      <c r="D17" s="14">
        <f>SUM(1400+1499+1422+1493+1503+1477+1499+1499+1503+1493+1316)</f>
        <v>16104</v>
      </c>
      <c r="E17" s="14">
        <f>SUM(96+101+81+130+107+114+92+101+87+113+90)</f>
        <v>1112</v>
      </c>
      <c r="F17" s="15">
        <f>SUM(D17/E17)</f>
        <v>14.482014388489208</v>
      </c>
      <c r="G17" s="14">
        <v>11</v>
      </c>
      <c r="H17" s="14">
        <v>8</v>
      </c>
      <c r="I17" s="14"/>
      <c r="J17" s="14"/>
      <c r="K17" s="14"/>
      <c r="L17" s="14">
        <v>38</v>
      </c>
      <c r="M17" s="16"/>
    </row>
    <row r="18" spans="1:13" ht="18.75" x14ac:dyDescent="0.3">
      <c r="A18" s="3">
        <v>17</v>
      </c>
      <c r="B18" s="3" t="s">
        <v>20</v>
      </c>
      <c r="C18" s="4" t="s">
        <v>21</v>
      </c>
      <c r="D18" s="14">
        <f>SUM(1503+1459+1401+1182+1442+1421+1237+1455+1443+1489)</f>
        <v>14032</v>
      </c>
      <c r="E18" s="14">
        <f>SUM(96+99+104+94+108+90+102+91+113+87)</f>
        <v>984</v>
      </c>
      <c r="F18" s="15">
        <f>SUM(D18/E18)</f>
        <v>14.260162601626016</v>
      </c>
      <c r="G18" s="14">
        <v>10</v>
      </c>
      <c r="H18" s="14">
        <v>2</v>
      </c>
      <c r="I18" s="14">
        <v>1</v>
      </c>
      <c r="J18" s="14"/>
      <c r="K18" s="14"/>
      <c r="L18" s="14">
        <v>31.5</v>
      </c>
      <c r="M18" s="16">
        <v>5</v>
      </c>
    </row>
    <row r="19" spans="1:13" ht="18.75" x14ac:dyDescent="0.3">
      <c r="A19" s="3">
        <v>18</v>
      </c>
      <c r="B19" s="4" t="s">
        <v>24</v>
      </c>
      <c r="C19" s="4" t="s">
        <v>23</v>
      </c>
      <c r="D19" s="14">
        <f>SUM(1408+1503+1475+1495+1503+1485+1204+1389+1499+1348+1034)</f>
        <v>15343</v>
      </c>
      <c r="E19" s="14">
        <f>SUM(93+120+122+113+103+85+82+98+120+85+60)</f>
        <v>1081</v>
      </c>
      <c r="F19" s="15">
        <f>SUM(D19/E19)</f>
        <v>14.193339500462535</v>
      </c>
      <c r="G19" s="14">
        <v>11</v>
      </c>
      <c r="H19" s="14">
        <v>5</v>
      </c>
      <c r="I19" s="14"/>
      <c r="J19" s="14"/>
      <c r="K19" s="14"/>
      <c r="L19" s="14">
        <v>34.5</v>
      </c>
      <c r="M19" s="16"/>
    </row>
    <row r="20" spans="1:13" ht="18.75" x14ac:dyDescent="0.3">
      <c r="A20" s="3">
        <v>19</v>
      </c>
      <c r="B20" s="3" t="s">
        <v>32</v>
      </c>
      <c r="C20" s="4" t="s">
        <v>33</v>
      </c>
      <c r="D20" s="14">
        <f>SUM(1375+1349+1415+1479+1469+1503+1453+1325+1482+1503+1386)</f>
        <v>15739</v>
      </c>
      <c r="E20" s="14">
        <f>SUM(97+95+104+117+106+116+111+102+95+94+88)</f>
        <v>1125</v>
      </c>
      <c r="F20" s="15">
        <f>SUM(D20/E20)</f>
        <v>13.990222222222222</v>
      </c>
      <c r="G20" s="14">
        <v>11</v>
      </c>
      <c r="H20" s="14">
        <v>6</v>
      </c>
      <c r="I20" s="14"/>
      <c r="J20" s="14"/>
      <c r="K20" s="14"/>
      <c r="L20" s="14">
        <v>32.5</v>
      </c>
      <c r="M20" s="16"/>
    </row>
    <row r="21" spans="1:13" ht="18.75" x14ac:dyDescent="0.3">
      <c r="A21" s="3">
        <v>20</v>
      </c>
      <c r="B21" s="4" t="s">
        <v>47</v>
      </c>
      <c r="C21" s="4" t="s">
        <v>12</v>
      </c>
      <c r="D21" s="14">
        <f>SUM(1197+1447+1355+1487+1477+1503+1496+1503+1499+1487)</f>
        <v>14451</v>
      </c>
      <c r="E21" s="14">
        <f>SUM(99+96+96+122+112+92+111+108+105+105)</f>
        <v>1046</v>
      </c>
      <c r="F21" s="15">
        <f>SUM(D21/E21)</f>
        <v>13.815487571701722</v>
      </c>
      <c r="G21" s="14">
        <v>10</v>
      </c>
      <c r="H21" s="14">
        <v>6</v>
      </c>
      <c r="I21" s="14">
        <v>1</v>
      </c>
      <c r="J21" s="14"/>
      <c r="K21" s="14"/>
      <c r="L21" s="14">
        <v>36.5</v>
      </c>
      <c r="M21" s="16"/>
    </row>
    <row r="22" spans="1:13" ht="18.75" x14ac:dyDescent="0.3">
      <c r="A22" s="3">
        <v>21</v>
      </c>
      <c r="B22" s="4" t="s">
        <v>31</v>
      </c>
      <c r="C22" s="7" t="s">
        <v>19</v>
      </c>
      <c r="D22" s="14">
        <f>SUM(1485+1497+1501+1503+1503+1372+1409+1496+1503+1503)</f>
        <v>14772</v>
      </c>
      <c r="E22" s="14">
        <f>SUM(103+100+143+103+132+96+79+99+121+99)</f>
        <v>1075</v>
      </c>
      <c r="F22" s="15">
        <f>SUM(D22/E22)</f>
        <v>13.741395348837209</v>
      </c>
      <c r="G22" s="14">
        <v>10</v>
      </c>
      <c r="H22" s="14">
        <v>7</v>
      </c>
      <c r="I22" s="14">
        <v>1</v>
      </c>
      <c r="J22" s="14"/>
      <c r="K22" s="14"/>
      <c r="L22" s="14">
        <v>38.5</v>
      </c>
      <c r="M22" s="16"/>
    </row>
    <row r="23" spans="1:13" ht="18.75" x14ac:dyDescent="0.3">
      <c r="A23" s="3">
        <v>22</v>
      </c>
      <c r="B23" s="26" t="s">
        <v>40</v>
      </c>
      <c r="C23" s="4" t="s">
        <v>23</v>
      </c>
      <c r="D23" s="14">
        <f>SUM(1446+1503+1491+1491+1503+1501+1441+1501+1366+1481+1408)</f>
        <v>16132</v>
      </c>
      <c r="E23" s="14">
        <f>SUM(110+105+126+119+112+102+113+100+90+106+100)</f>
        <v>1183</v>
      </c>
      <c r="F23" s="15">
        <f>SUM(D23/E23)</f>
        <v>13.636517328825022</v>
      </c>
      <c r="G23" s="14">
        <v>11</v>
      </c>
      <c r="H23" s="14">
        <v>6</v>
      </c>
      <c r="I23" s="14"/>
      <c r="J23" s="14"/>
      <c r="K23" s="14"/>
      <c r="L23" s="14">
        <v>37</v>
      </c>
      <c r="M23" s="16">
        <v>5</v>
      </c>
    </row>
    <row r="24" spans="1:13" ht="18.75" x14ac:dyDescent="0.3">
      <c r="A24" s="3">
        <v>23</v>
      </c>
      <c r="B24" s="26" t="s">
        <v>52</v>
      </c>
      <c r="C24" s="4" t="s">
        <v>53</v>
      </c>
      <c r="D24" s="14">
        <f>SUM(1503+1209+1369+1358+1425+1485+1441+1503+1439+1503+1296)</f>
        <v>15531</v>
      </c>
      <c r="E24" s="14">
        <f>SUM(129+84+84+114+99+97+112+101+93+115+111)</f>
        <v>1139</v>
      </c>
      <c r="F24" s="15">
        <f>SUM(D24/E24)</f>
        <v>13.635645302897279</v>
      </c>
      <c r="G24" s="14">
        <v>11</v>
      </c>
      <c r="H24" s="14">
        <v>6</v>
      </c>
      <c r="I24" s="14"/>
      <c r="J24" s="14"/>
      <c r="K24" s="14"/>
      <c r="L24" s="14">
        <v>37</v>
      </c>
      <c r="M24" s="16">
        <v>10</v>
      </c>
    </row>
    <row r="25" spans="1:13" ht="18.75" x14ac:dyDescent="0.3">
      <c r="A25" s="3">
        <v>24</v>
      </c>
      <c r="B25" s="26" t="s">
        <v>56</v>
      </c>
      <c r="C25" s="4" t="s">
        <v>29</v>
      </c>
      <c r="D25" s="14">
        <f>SUM(1501+1284+1142+1483+1269+1441+1481+1441+1467+1501+1503)</f>
        <v>15513</v>
      </c>
      <c r="E25" s="14">
        <f>SUM(132+99+81+119+90+91+99+106+117+113+110)</f>
        <v>1157</v>
      </c>
      <c r="F25" s="15">
        <f>SUM(D25/E25)</f>
        <v>13.407951598962836</v>
      </c>
      <c r="G25" s="14">
        <v>11</v>
      </c>
      <c r="H25" s="14">
        <v>8</v>
      </c>
      <c r="I25" s="14">
        <v>1</v>
      </c>
      <c r="J25" s="14"/>
      <c r="K25" s="14"/>
      <c r="L25" s="14">
        <v>37</v>
      </c>
      <c r="M25" s="16"/>
    </row>
    <row r="26" spans="1:13" ht="18.75" x14ac:dyDescent="0.3">
      <c r="A26" s="3">
        <v>25</v>
      </c>
      <c r="B26" s="4" t="s">
        <v>67</v>
      </c>
      <c r="C26" s="4" t="s">
        <v>49</v>
      </c>
      <c r="D26" s="14">
        <f>SUM(1501+1454+1401+1499+1498+1316+1320+1277+1388+1365+1411)</f>
        <v>15430</v>
      </c>
      <c r="E26" s="14">
        <f>SUM(162+98+128+112+110+80+97+104+99+90+87)</f>
        <v>1167</v>
      </c>
      <c r="F26" s="15">
        <f>SUM(D26/E26)</f>
        <v>13.221936589545844</v>
      </c>
      <c r="G26" s="14">
        <v>11</v>
      </c>
      <c r="H26" s="14">
        <v>4</v>
      </c>
      <c r="I26" s="14"/>
      <c r="J26" s="14"/>
      <c r="K26" s="14"/>
      <c r="L26" s="14">
        <v>29.5</v>
      </c>
      <c r="M26" s="16">
        <v>10</v>
      </c>
    </row>
    <row r="27" spans="1:13" ht="18.75" x14ac:dyDescent="0.3">
      <c r="A27" s="3">
        <v>26</v>
      </c>
      <c r="B27" s="26" t="s">
        <v>51</v>
      </c>
      <c r="C27" s="4" t="s">
        <v>33</v>
      </c>
      <c r="D27" s="14">
        <f>SUM(1125+1277+1380+1480+1455+1503+1435+1451)</f>
        <v>11106</v>
      </c>
      <c r="E27" s="14">
        <f>SUM(96+102+98+119+103+112+87+126)</f>
        <v>843</v>
      </c>
      <c r="F27" s="15">
        <f>SUM(D27/E27)</f>
        <v>13.174377224199288</v>
      </c>
      <c r="G27" s="14">
        <v>8</v>
      </c>
      <c r="H27" s="14">
        <v>3</v>
      </c>
      <c r="I27" s="14"/>
      <c r="J27" s="14"/>
      <c r="K27" s="14"/>
      <c r="L27" s="14">
        <v>22</v>
      </c>
      <c r="M27" s="16">
        <v>5</v>
      </c>
    </row>
    <row r="28" spans="1:13" ht="18.75" x14ac:dyDescent="0.3">
      <c r="A28" s="3">
        <v>27</v>
      </c>
      <c r="B28" s="4" t="s">
        <v>115</v>
      </c>
      <c r="C28" s="4" t="s">
        <v>12</v>
      </c>
      <c r="D28" s="14">
        <f>SUM(1485+1493+1468+1503+1359+1483+1500+1292+1494)</f>
        <v>13077</v>
      </c>
      <c r="E28" s="14">
        <f>SUM(119+86+129+112+98+129+113+102+111)</f>
        <v>999</v>
      </c>
      <c r="F28" s="15">
        <f>SUM(D28/E28)</f>
        <v>13.09009009009009</v>
      </c>
      <c r="G28" s="14">
        <v>9</v>
      </c>
      <c r="H28" s="14">
        <v>4</v>
      </c>
      <c r="I28" s="14"/>
      <c r="J28" s="14"/>
      <c r="K28" s="14"/>
      <c r="L28" s="14">
        <v>29</v>
      </c>
      <c r="M28" s="16">
        <v>5</v>
      </c>
    </row>
    <row r="29" spans="1:13" ht="18.75" x14ac:dyDescent="0.3">
      <c r="A29" s="3">
        <v>28</v>
      </c>
      <c r="B29" s="26" t="s">
        <v>133</v>
      </c>
      <c r="C29" s="4" t="s">
        <v>46</v>
      </c>
      <c r="D29" s="14">
        <f>SUM(1380+1496+1443+1214+1489+1355+1390+1398)</f>
        <v>11165</v>
      </c>
      <c r="E29" s="14">
        <f>SUM(111+130+100+89+114+99+111+101)</f>
        <v>855</v>
      </c>
      <c r="F29" s="15">
        <f>SUM(D29/E29)</f>
        <v>13.058479532163743</v>
      </c>
      <c r="G29" s="14">
        <v>8</v>
      </c>
      <c r="H29" s="14">
        <v>3</v>
      </c>
      <c r="I29" s="14"/>
      <c r="J29" s="14"/>
      <c r="K29" s="14"/>
      <c r="L29" s="14">
        <v>13.5</v>
      </c>
      <c r="M29" s="16"/>
    </row>
    <row r="30" spans="1:13" ht="18.75" x14ac:dyDescent="0.3">
      <c r="A30" s="3">
        <v>29</v>
      </c>
      <c r="B30" s="4" t="s">
        <v>22</v>
      </c>
      <c r="C30" s="4" t="s">
        <v>23</v>
      </c>
      <c r="D30" s="14">
        <f>SUM(1503+1341+1499+1500+1503+1438+1495+1503+1483+1269+1441)</f>
        <v>15975</v>
      </c>
      <c r="E30" s="14">
        <f>SUM(96+100+124+121+117+114+112+94+111+108+138)</f>
        <v>1235</v>
      </c>
      <c r="F30" s="15">
        <f>SUM(D30/E30)</f>
        <v>12.935222672064777</v>
      </c>
      <c r="G30" s="14">
        <v>11</v>
      </c>
      <c r="H30" s="14">
        <v>7</v>
      </c>
      <c r="I30" s="14"/>
      <c r="J30" s="14"/>
      <c r="K30" s="14"/>
      <c r="L30" s="14">
        <v>38</v>
      </c>
      <c r="M30" s="16"/>
    </row>
    <row r="31" spans="1:13" ht="18.75" x14ac:dyDescent="0.3">
      <c r="A31" s="3">
        <v>30</v>
      </c>
      <c r="B31" s="26" t="s">
        <v>74</v>
      </c>
      <c r="C31" s="7" t="s">
        <v>60</v>
      </c>
      <c r="D31" s="14">
        <f>SUM(1491+1480+1457+1253+1439+1475+1353+1072+1475)</f>
        <v>12495</v>
      </c>
      <c r="E31" s="14">
        <f>SUM(100+103+151+111+93+113+111+81+104)</f>
        <v>967</v>
      </c>
      <c r="F31" s="15">
        <f>SUM(D31/E31)</f>
        <v>12.921406411582213</v>
      </c>
      <c r="G31" s="14">
        <v>9</v>
      </c>
      <c r="H31" s="14">
        <v>4</v>
      </c>
      <c r="I31" s="14"/>
      <c r="J31" s="14"/>
      <c r="K31" s="14"/>
      <c r="L31" s="14">
        <v>15.5</v>
      </c>
      <c r="M31" s="16"/>
    </row>
    <row r="32" spans="1:13" ht="18.75" x14ac:dyDescent="0.3">
      <c r="A32" s="3">
        <v>31</v>
      </c>
      <c r="B32" s="4" t="s">
        <v>43</v>
      </c>
      <c r="C32" s="4" t="s">
        <v>29</v>
      </c>
      <c r="D32" s="14">
        <f>SUM(984+1493+1090+1355+1485+1453+1343+1461+1498+1401+1497)</f>
        <v>15060</v>
      </c>
      <c r="E32" s="14">
        <f>SUM(78+103+78+96+99+108+86+109+161+117+136)</f>
        <v>1171</v>
      </c>
      <c r="F32" s="15">
        <f>SUM(D32/E32)</f>
        <v>12.860802732707088</v>
      </c>
      <c r="G32" s="14">
        <v>11</v>
      </c>
      <c r="H32" s="14">
        <v>6</v>
      </c>
      <c r="I32" s="14"/>
      <c r="J32" s="14"/>
      <c r="K32" s="14"/>
      <c r="L32" s="14">
        <v>31.5</v>
      </c>
      <c r="M32" s="16"/>
    </row>
    <row r="33" spans="1:13" ht="18.75" x14ac:dyDescent="0.3">
      <c r="A33" s="3">
        <v>32</v>
      </c>
      <c r="B33" s="4" t="s">
        <v>72</v>
      </c>
      <c r="C33" s="7" t="s">
        <v>19</v>
      </c>
      <c r="D33" s="14">
        <f>SUM(1495+1461+1481+1503)</f>
        <v>5940</v>
      </c>
      <c r="E33" s="14">
        <f>SUM(117+130+128+88)</f>
        <v>463</v>
      </c>
      <c r="F33" s="15">
        <f>SUM(D33/E33)</f>
        <v>12.829373650107991</v>
      </c>
      <c r="G33" s="14">
        <v>4</v>
      </c>
      <c r="H33" s="14">
        <v>3</v>
      </c>
      <c r="I33" s="14"/>
      <c r="J33" s="14"/>
      <c r="K33" s="14"/>
      <c r="L33" s="14">
        <v>25.5</v>
      </c>
      <c r="M33" s="16"/>
    </row>
    <row r="34" spans="1:13" ht="18.75" x14ac:dyDescent="0.3">
      <c r="A34" s="3">
        <v>33</v>
      </c>
      <c r="B34" s="8" t="s">
        <v>36</v>
      </c>
      <c r="C34" s="4" t="s">
        <v>16</v>
      </c>
      <c r="D34" s="14">
        <f>SUM(1472+1279+1463+1479+1401+1487+1503+1251+1489+1503)</f>
        <v>14327</v>
      </c>
      <c r="E34" s="14">
        <f>SUM(108+93+117+130+103+115+130+83+123+116)</f>
        <v>1118</v>
      </c>
      <c r="F34" s="15">
        <f>SUM(D34/E34)</f>
        <v>12.81484794275492</v>
      </c>
      <c r="G34" s="14">
        <v>10</v>
      </c>
      <c r="H34" s="14">
        <v>6</v>
      </c>
      <c r="I34" s="14"/>
      <c r="J34" s="14"/>
      <c r="K34" s="14"/>
      <c r="L34" s="14">
        <v>35.5</v>
      </c>
      <c r="M34" s="16"/>
    </row>
    <row r="35" spans="1:13" ht="18.75" x14ac:dyDescent="0.3">
      <c r="A35" s="3">
        <v>34</v>
      </c>
      <c r="B35" s="7" t="s">
        <v>48</v>
      </c>
      <c r="C35" s="4" t="s">
        <v>49</v>
      </c>
      <c r="D35" s="17">
        <f>SUM(1498+1501+1411+1162+1480+1223+1193+1475+1503+1352+1503)</f>
        <v>15301</v>
      </c>
      <c r="E35" s="14">
        <f>SUM(124+124+124+90+129+85+84+111+99+96+133)</f>
        <v>1199</v>
      </c>
      <c r="F35" s="15">
        <f>SUM(D35/E35)</f>
        <v>12.761467889908257</v>
      </c>
      <c r="G35" s="14">
        <v>11</v>
      </c>
      <c r="H35" s="14">
        <v>4</v>
      </c>
      <c r="I35" s="14"/>
      <c r="J35" s="14"/>
      <c r="K35" s="14"/>
      <c r="L35" s="14">
        <v>31</v>
      </c>
      <c r="M35" s="16">
        <v>5</v>
      </c>
    </row>
    <row r="36" spans="1:13" ht="18.75" x14ac:dyDescent="0.3">
      <c r="A36" s="3">
        <v>35</v>
      </c>
      <c r="B36" s="7" t="s">
        <v>26</v>
      </c>
      <c r="C36" s="4" t="s">
        <v>21</v>
      </c>
      <c r="D36" s="17">
        <f>SUM(1301+1470+1495+1501+1264+1489)</f>
        <v>8520</v>
      </c>
      <c r="E36" s="14">
        <f>SUM(88+118+154+110+98+105)</f>
        <v>673</v>
      </c>
      <c r="F36" s="15">
        <f>SUM(D36/E36)</f>
        <v>12.659732540861812</v>
      </c>
      <c r="G36" s="14">
        <v>6</v>
      </c>
      <c r="H36" s="14">
        <v>3</v>
      </c>
      <c r="I36" s="14"/>
      <c r="J36" s="14">
        <v>1</v>
      </c>
      <c r="K36" s="14"/>
      <c r="L36" s="14">
        <v>19</v>
      </c>
      <c r="M36" s="16"/>
    </row>
    <row r="37" spans="1:13" ht="18.75" x14ac:dyDescent="0.3">
      <c r="A37" s="3">
        <v>36</v>
      </c>
      <c r="B37" s="7" t="s">
        <v>35</v>
      </c>
      <c r="C37" s="4" t="s">
        <v>33</v>
      </c>
      <c r="D37" s="17">
        <f>SUM(1453+1310+1456+1304+949+1406+1450+1503+1487+1503+1376)</f>
        <v>15197</v>
      </c>
      <c r="E37" s="14">
        <f>SUM(105+122+95+112+75+90+148+117+102+131+109)</f>
        <v>1206</v>
      </c>
      <c r="F37" s="15">
        <f>SUM(D37/E37)</f>
        <v>12.601160862354892</v>
      </c>
      <c r="G37" s="14">
        <v>11</v>
      </c>
      <c r="H37" s="14">
        <v>6</v>
      </c>
      <c r="I37" s="14"/>
      <c r="J37" s="14"/>
      <c r="K37" s="14"/>
      <c r="L37" s="14">
        <v>38.5</v>
      </c>
      <c r="M37" s="16">
        <v>5</v>
      </c>
    </row>
    <row r="38" spans="1:13" ht="18.75" x14ac:dyDescent="0.3">
      <c r="A38" s="3">
        <v>37</v>
      </c>
      <c r="B38" s="9" t="s">
        <v>73</v>
      </c>
      <c r="C38" s="4" t="s">
        <v>21</v>
      </c>
      <c r="D38" s="17">
        <f>SUM(1472+1490+1500+1453)</f>
        <v>5915</v>
      </c>
      <c r="E38" s="14">
        <f>SUM(133+105+121+116)</f>
        <v>475</v>
      </c>
      <c r="F38" s="15">
        <f>SUM(D38/E38)</f>
        <v>12.452631578947368</v>
      </c>
      <c r="G38" s="14">
        <v>4</v>
      </c>
      <c r="H38" s="14">
        <v>3</v>
      </c>
      <c r="I38" s="14"/>
      <c r="J38" s="14"/>
      <c r="K38" s="14"/>
      <c r="L38" s="14">
        <v>11.5</v>
      </c>
      <c r="M38" s="16"/>
    </row>
    <row r="39" spans="1:13" ht="18.75" x14ac:dyDescent="0.3">
      <c r="A39" s="3">
        <v>38</v>
      </c>
      <c r="B39" s="9" t="s">
        <v>57</v>
      </c>
      <c r="C39" s="4" t="s">
        <v>46</v>
      </c>
      <c r="D39" s="17">
        <f>SUM(1416+1252+1334+1500+1345+1490+1487+1180+1384+1213)</f>
        <v>13601</v>
      </c>
      <c r="E39" s="14">
        <f>SUM(125+84+99+144+105+98+147+99+102+93)</f>
        <v>1096</v>
      </c>
      <c r="F39" s="15">
        <f>SUM(D39/E39)</f>
        <v>12.409671532846716</v>
      </c>
      <c r="G39" s="14">
        <v>10</v>
      </c>
      <c r="H39" s="14">
        <v>3</v>
      </c>
      <c r="I39" s="14"/>
      <c r="J39" s="14"/>
      <c r="K39" s="14"/>
      <c r="L39" s="14">
        <v>17</v>
      </c>
      <c r="M39" s="16"/>
    </row>
    <row r="40" spans="1:13" ht="18.75" x14ac:dyDescent="0.3">
      <c r="A40" s="3">
        <v>39</v>
      </c>
      <c r="B40" s="7" t="s">
        <v>41</v>
      </c>
      <c r="C40" s="4" t="s">
        <v>21</v>
      </c>
      <c r="D40" s="17">
        <f>SUM(1179+1413+1443+1451+1367+1503+1448+1485+1503+1348+1477)</f>
        <v>15617</v>
      </c>
      <c r="E40" s="14">
        <f>SUM(90+119+112+108+114+113+120+144+155+94+114)</f>
        <v>1283</v>
      </c>
      <c r="F40" s="15">
        <f>SUM(D40/E40)</f>
        <v>12.172252533125487</v>
      </c>
      <c r="G40" s="14">
        <v>11</v>
      </c>
      <c r="H40" s="14">
        <v>4</v>
      </c>
      <c r="I40" s="14">
        <v>1</v>
      </c>
      <c r="J40" s="14"/>
      <c r="K40" s="14"/>
      <c r="L40" s="14">
        <v>29</v>
      </c>
      <c r="M40" s="16">
        <v>5</v>
      </c>
    </row>
    <row r="41" spans="1:13" ht="18.75" x14ac:dyDescent="0.3">
      <c r="A41" s="3">
        <v>40</v>
      </c>
      <c r="B41" s="9" t="s">
        <v>76</v>
      </c>
      <c r="C41" s="4" t="s">
        <v>49</v>
      </c>
      <c r="D41" s="17">
        <f>SUM(1499+1501+1408+1503+1495+1495+1481+1100+1277+1401)</f>
        <v>14160</v>
      </c>
      <c r="E41" s="14">
        <f>SUM(172+128+99+114+138+126+106+92+79+114)</f>
        <v>1168</v>
      </c>
      <c r="F41" s="15">
        <f>SUM(D41/E41)</f>
        <v>12.123287671232877</v>
      </c>
      <c r="G41" s="14">
        <v>10</v>
      </c>
      <c r="H41" s="14">
        <v>6</v>
      </c>
      <c r="I41" s="14"/>
      <c r="J41" s="14"/>
      <c r="K41" s="14"/>
      <c r="L41" s="14">
        <v>30.5</v>
      </c>
      <c r="M41" s="16"/>
    </row>
    <row r="42" spans="1:13" ht="18.75" x14ac:dyDescent="0.3">
      <c r="A42" s="3">
        <v>41</v>
      </c>
      <c r="B42" s="28" t="s">
        <v>50</v>
      </c>
      <c r="C42" s="8" t="s">
        <v>12</v>
      </c>
      <c r="D42" s="17">
        <f>SUM(1235+1395+1503)</f>
        <v>4133</v>
      </c>
      <c r="E42" s="14">
        <f>SUM(104+119+119)</f>
        <v>342</v>
      </c>
      <c r="F42" s="15">
        <f>SUM(D42/E42)</f>
        <v>12.084795321637428</v>
      </c>
      <c r="G42" s="14">
        <v>3</v>
      </c>
      <c r="H42" s="14">
        <v>1</v>
      </c>
      <c r="I42" s="14"/>
      <c r="J42" s="14"/>
      <c r="K42" s="14"/>
      <c r="L42" s="14">
        <v>12</v>
      </c>
      <c r="M42" s="16"/>
    </row>
    <row r="43" spans="1:13" ht="18.75" x14ac:dyDescent="0.3">
      <c r="A43" s="3">
        <v>42</v>
      </c>
      <c r="B43" s="9" t="s">
        <v>39</v>
      </c>
      <c r="C43" s="7" t="s">
        <v>29</v>
      </c>
      <c r="D43" s="17">
        <f>SUM(1503+1335+1494+1501+1503+1447+1312+1503+1503+1467+1475)</f>
        <v>16043</v>
      </c>
      <c r="E43" s="14">
        <f>SUM(114+123+120+142+132+98+89+119+143+99+153)</f>
        <v>1332</v>
      </c>
      <c r="F43" s="15">
        <f>SUM(D43/E43)</f>
        <v>12.044294294294295</v>
      </c>
      <c r="G43" s="14">
        <v>11</v>
      </c>
      <c r="H43" s="14">
        <v>6</v>
      </c>
      <c r="I43" s="14"/>
      <c r="J43" s="14"/>
      <c r="K43" s="14"/>
      <c r="L43" s="14">
        <v>35.5</v>
      </c>
      <c r="M43" s="16"/>
    </row>
    <row r="44" spans="1:13" ht="18.75" x14ac:dyDescent="0.3">
      <c r="A44" s="3">
        <v>43</v>
      </c>
      <c r="B44" s="7" t="s">
        <v>63</v>
      </c>
      <c r="C44" s="7" t="s">
        <v>53</v>
      </c>
      <c r="D44" s="17">
        <f>SUM(1498+1066+1491+1501+1497+1393)</f>
        <v>8446</v>
      </c>
      <c r="E44" s="14">
        <f>SUM(158+78+104+125+126+112)</f>
        <v>703</v>
      </c>
      <c r="F44" s="15">
        <f>SUM(D44/E44)</f>
        <v>12.014224751066857</v>
      </c>
      <c r="G44" s="14">
        <v>6</v>
      </c>
      <c r="H44" s="14">
        <v>2</v>
      </c>
      <c r="I44" s="14"/>
      <c r="J44" s="14"/>
      <c r="K44" s="14"/>
      <c r="L44" s="14">
        <v>11</v>
      </c>
      <c r="M44" s="16"/>
    </row>
    <row r="45" spans="1:13" ht="18.75" x14ac:dyDescent="0.3">
      <c r="A45" s="3">
        <v>44</v>
      </c>
      <c r="B45" s="9" t="s">
        <v>132</v>
      </c>
      <c r="C45" s="7" t="s">
        <v>14</v>
      </c>
      <c r="D45" s="17">
        <f>SUM(1485+1373+1487)</f>
        <v>4345</v>
      </c>
      <c r="E45" s="14">
        <f>SUM(129+93+141)</f>
        <v>363</v>
      </c>
      <c r="F45" s="15">
        <f>SUM(D45/E45)</f>
        <v>11.969696969696969</v>
      </c>
      <c r="G45" s="14">
        <v>3</v>
      </c>
      <c r="H45" s="14">
        <v>3</v>
      </c>
      <c r="I45" s="14"/>
      <c r="J45" s="14"/>
      <c r="K45" s="14"/>
      <c r="L45" s="14">
        <v>11.5</v>
      </c>
      <c r="M45" s="16"/>
    </row>
    <row r="46" spans="1:13" ht="18.75" x14ac:dyDescent="0.3">
      <c r="A46" s="3">
        <v>45</v>
      </c>
      <c r="B46" s="18" t="s">
        <v>55</v>
      </c>
      <c r="C46" s="7" t="s">
        <v>33</v>
      </c>
      <c r="D46" s="17">
        <f>SUM(1418+1495+1361+1446+1491+1483+1468+1496+1503+1469)</f>
        <v>14630</v>
      </c>
      <c r="E46" s="14">
        <f>SUM(122+118+123+150+97+115+113+113+127+160)</f>
        <v>1238</v>
      </c>
      <c r="F46" s="15">
        <f>SUM(D46/E46)</f>
        <v>11.817447495961227</v>
      </c>
      <c r="G46" s="14">
        <v>10</v>
      </c>
      <c r="H46" s="14">
        <v>7</v>
      </c>
      <c r="I46" s="14"/>
      <c r="J46" s="14"/>
      <c r="K46" s="14"/>
      <c r="L46" s="14">
        <v>31.5</v>
      </c>
      <c r="M46" s="16"/>
    </row>
    <row r="47" spans="1:13" ht="18.75" x14ac:dyDescent="0.3">
      <c r="A47" s="3">
        <v>46</v>
      </c>
      <c r="B47" s="9" t="s">
        <v>131</v>
      </c>
      <c r="C47" s="7" t="s">
        <v>60</v>
      </c>
      <c r="D47" s="17">
        <f>SUM(1359)</f>
        <v>1359</v>
      </c>
      <c r="E47" s="14">
        <f>SUM(116)</f>
        <v>116</v>
      </c>
      <c r="F47" s="15">
        <f>SUM(D47/E47)</f>
        <v>11.71551724137931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128</v>
      </c>
      <c r="C48" s="7" t="s">
        <v>46</v>
      </c>
      <c r="D48" s="17">
        <f>SUM(1498+1487+1119+1427+1245)</f>
        <v>6776</v>
      </c>
      <c r="E48" s="14">
        <f>SUM(161+114+90+105+111)</f>
        <v>581</v>
      </c>
      <c r="F48" s="15">
        <f>SUM(D48/E48)</f>
        <v>11.662650602409638</v>
      </c>
      <c r="G48" s="14">
        <v>5</v>
      </c>
      <c r="H48" s="14">
        <v>2</v>
      </c>
      <c r="I48" s="14"/>
      <c r="J48" s="14"/>
      <c r="K48" s="14"/>
      <c r="L48" s="14">
        <v>13</v>
      </c>
      <c r="M48" s="16"/>
    </row>
    <row r="49" spans="1:13" ht="18.75" x14ac:dyDescent="0.3">
      <c r="A49" s="3">
        <v>48</v>
      </c>
      <c r="B49" s="9" t="s">
        <v>130</v>
      </c>
      <c r="C49" s="4" t="s">
        <v>21</v>
      </c>
      <c r="D49" s="17">
        <f>SUM(1363)</f>
        <v>1363</v>
      </c>
      <c r="E49" s="14">
        <f>SUM(117)</f>
        <v>117</v>
      </c>
      <c r="F49" s="15">
        <f>SUM(D49/E49)</f>
        <v>11.649572649572649</v>
      </c>
      <c r="G49" s="14">
        <v>1</v>
      </c>
      <c r="H49" s="14"/>
      <c r="I49" s="14"/>
      <c r="J49" s="14"/>
      <c r="K49" s="14"/>
      <c r="L49" s="14">
        <v>1</v>
      </c>
      <c r="M49" s="16"/>
    </row>
    <row r="50" spans="1:13" ht="18.75" x14ac:dyDescent="0.3">
      <c r="A50" s="3">
        <v>49</v>
      </c>
      <c r="B50" s="9" t="s">
        <v>30</v>
      </c>
      <c r="C50" s="8" t="s">
        <v>23</v>
      </c>
      <c r="D50" s="17">
        <f>SUM(1302+1358+1471+1503+1495+1235+1457+1491+1322+1364+1473)</f>
        <v>15471</v>
      </c>
      <c r="E50" s="14">
        <f>SUM(90+98+130+127+149+111+149+144+100+120+133)</f>
        <v>1351</v>
      </c>
      <c r="F50" s="15">
        <f>SUM(D50/E50)</f>
        <v>11.451517394522575</v>
      </c>
      <c r="G50" s="14">
        <v>11</v>
      </c>
      <c r="H50" s="14">
        <v>6</v>
      </c>
      <c r="I50" s="14"/>
      <c r="J50" s="14"/>
      <c r="K50" s="14"/>
      <c r="L50" s="14">
        <v>32.5</v>
      </c>
      <c r="M50" s="16"/>
    </row>
    <row r="51" spans="1:13" ht="18.75" x14ac:dyDescent="0.3">
      <c r="A51" s="3">
        <v>50</v>
      </c>
      <c r="B51" s="11" t="s">
        <v>129</v>
      </c>
      <c r="C51" s="7" t="s">
        <v>16</v>
      </c>
      <c r="D51" s="17">
        <f>SUM(1424+1496+1503)</f>
        <v>4423</v>
      </c>
      <c r="E51" s="14">
        <f>SUM(126+145+116)</f>
        <v>387</v>
      </c>
      <c r="F51" s="15">
        <f>SUM(D51/E51)</f>
        <v>11.428940568475452</v>
      </c>
      <c r="G51" s="14">
        <v>3</v>
      </c>
      <c r="H51" s="14">
        <v>1</v>
      </c>
      <c r="I51" s="14"/>
      <c r="J51" s="14"/>
      <c r="K51" s="14"/>
      <c r="L51" s="14">
        <v>11</v>
      </c>
      <c r="M51" s="16"/>
    </row>
    <row r="52" spans="1:13" ht="18.75" x14ac:dyDescent="0.3">
      <c r="A52" s="3">
        <v>51</v>
      </c>
      <c r="B52" s="27" t="s">
        <v>54</v>
      </c>
      <c r="C52" s="8" t="s">
        <v>49</v>
      </c>
      <c r="D52" s="17">
        <f>SUM(1408+1461+1300)</f>
        <v>4169</v>
      </c>
      <c r="E52" s="14">
        <f>SUM(121+158+86)</f>
        <v>365</v>
      </c>
      <c r="F52" s="15">
        <f>SUM(D52/E52)</f>
        <v>11.421917808219177</v>
      </c>
      <c r="G52" s="14">
        <v>3</v>
      </c>
      <c r="H52" s="14">
        <v>1</v>
      </c>
      <c r="I52" s="14"/>
      <c r="J52" s="14"/>
      <c r="K52" s="14"/>
      <c r="L52" s="14">
        <v>9.5</v>
      </c>
      <c r="M52" s="16"/>
    </row>
    <row r="53" spans="1:13" ht="18.75" x14ac:dyDescent="0.3">
      <c r="A53" s="3">
        <v>52</v>
      </c>
      <c r="B53" s="11" t="s">
        <v>127</v>
      </c>
      <c r="C53" s="4" t="s">
        <v>60</v>
      </c>
      <c r="D53" s="17">
        <f>SUM(913)</f>
        <v>913</v>
      </c>
      <c r="E53" s="14">
        <f>SUM(81)</f>
        <v>81</v>
      </c>
      <c r="F53" s="15">
        <f>SUM(D53/E53)</f>
        <v>11.271604938271604</v>
      </c>
      <c r="G53" s="14">
        <v>1</v>
      </c>
      <c r="H53" s="14"/>
      <c r="I53" s="14"/>
      <c r="J53" s="14"/>
      <c r="K53" s="14"/>
      <c r="L53" s="14">
        <v>1.5</v>
      </c>
      <c r="M53" s="16"/>
    </row>
    <row r="54" spans="1:13" ht="18.75" x14ac:dyDescent="0.3">
      <c r="A54" s="3">
        <v>53</v>
      </c>
      <c r="B54" s="27" t="s">
        <v>58</v>
      </c>
      <c r="C54" s="7" t="s">
        <v>14</v>
      </c>
      <c r="D54" s="17">
        <f>SUM(1431+1499+1493+1499+1374+1491+1468+1458+1503+1481)</f>
        <v>14697</v>
      </c>
      <c r="E54" s="14">
        <f>SUM(128+168+144+126+105+139+114+150+107+128)</f>
        <v>1309</v>
      </c>
      <c r="F54" s="15">
        <f>SUM(D54/E54)</f>
        <v>11.227654698242933</v>
      </c>
      <c r="G54" s="14">
        <v>10</v>
      </c>
      <c r="H54" s="14">
        <v>5</v>
      </c>
      <c r="I54" s="14"/>
      <c r="J54" s="14"/>
      <c r="K54" s="14"/>
      <c r="L54" s="14">
        <v>33</v>
      </c>
      <c r="M54" s="16"/>
    </row>
    <row r="55" spans="1:13" ht="18.75" x14ac:dyDescent="0.3">
      <c r="A55" s="3">
        <v>54</v>
      </c>
      <c r="B55" s="11" t="s">
        <v>69</v>
      </c>
      <c r="C55" s="7" t="s">
        <v>60</v>
      </c>
      <c r="D55" s="17">
        <f>SUM(1297+1501+1485+1355+1413+1350+1379+1478+1232+1371)</f>
        <v>13861</v>
      </c>
      <c r="E55" s="14">
        <f>SUM(156+158+152+127+108+117+122+108+93+104)</f>
        <v>1245</v>
      </c>
      <c r="F55" s="15">
        <f>SUM(D55/E55)</f>
        <v>11.133333333333333</v>
      </c>
      <c r="G55" s="14">
        <v>9</v>
      </c>
      <c r="H55" s="14">
        <v>4</v>
      </c>
      <c r="I55" s="14"/>
      <c r="J55" s="14"/>
      <c r="K55" s="14"/>
      <c r="L55" s="14">
        <v>17.5</v>
      </c>
      <c r="M55" s="16"/>
    </row>
    <row r="56" spans="1:13" ht="18.75" x14ac:dyDescent="0.3">
      <c r="A56" s="3">
        <v>55</v>
      </c>
      <c r="B56" s="27" t="s">
        <v>42</v>
      </c>
      <c r="C56" s="7" t="s">
        <v>14</v>
      </c>
      <c r="D56" s="17">
        <f>SUM(1482+1499+1503+1491+1294+1465+1439+1445+1503+1264)</f>
        <v>14385</v>
      </c>
      <c r="E56" s="14">
        <f>SUM(117+165+144+126+126+162+121+110+118+105)</f>
        <v>1294</v>
      </c>
      <c r="F56" s="15">
        <f>SUM(D56/E56)</f>
        <v>11.116692426584235</v>
      </c>
      <c r="G56" s="14">
        <v>10</v>
      </c>
      <c r="H56" s="14">
        <v>3</v>
      </c>
      <c r="I56" s="14">
        <v>1</v>
      </c>
      <c r="J56" s="14"/>
      <c r="K56" s="14"/>
      <c r="L56" s="14">
        <v>29.5</v>
      </c>
      <c r="M56" s="16"/>
    </row>
    <row r="57" spans="1:13" ht="18.75" x14ac:dyDescent="0.3">
      <c r="A57" s="3">
        <v>56</v>
      </c>
      <c r="B57" s="11" t="s">
        <v>45</v>
      </c>
      <c r="C57" s="7" t="s">
        <v>46</v>
      </c>
      <c r="D57" s="17">
        <f>SUM(1497+1394+1490)</f>
        <v>4381</v>
      </c>
      <c r="E57" s="14">
        <f>SUM(120+114+162)</f>
        <v>396</v>
      </c>
      <c r="F57" s="15">
        <f>SUM(D57/E57)</f>
        <v>11.063131313131313</v>
      </c>
      <c r="G57" s="14">
        <v>3</v>
      </c>
      <c r="H57" s="14"/>
      <c r="I57" s="14"/>
      <c r="J57" s="14"/>
      <c r="K57" s="14"/>
      <c r="L57" s="14">
        <v>2.5</v>
      </c>
      <c r="M57" s="16"/>
    </row>
    <row r="58" spans="1:13" ht="18.75" x14ac:dyDescent="0.3">
      <c r="A58" s="3">
        <v>57</v>
      </c>
      <c r="B58" s="11" t="s">
        <v>70</v>
      </c>
      <c r="C58" s="7" t="s">
        <v>53</v>
      </c>
      <c r="D58" s="17">
        <f>SUM(1480+1435+1503+1491+1497+1463+1423+1446+1485)</f>
        <v>13223</v>
      </c>
      <c r="E58" s="14">
        <f>SUM(180+141+139+125+151+119+116+99+134)</f>
        <v>1204</v>
      </c>
      <c r="F58" s="15">
        <f>SUM(D58/E58)</f>
        <v>10.982558139534884</v>
      </c>
      <c r="G58" s="14">
        <v>9</v>
      </c>
      <c r="H58" s="14">
        <v>1</v>
      </c>
      <c r="I58" s="14"/>
      <c r="J58" s="14"/>
      <c r="K58" s="14"/>
      <c r="L58" s="14">
        <v>17</v>
      </c>
      <c r="M58" s="16"/>
    </row>
    <row r="59" spans="1:13" ht="18.75" x14ac:dyDescent="0.3">
      <c r="A59" s="3">
        <v>58</v>
      </c>
      <c r="B59" s="11" t="s">
        <v>126</v>
      </c>
      <c r="C59" s="4" t="s">
        <v>21</v>
      </c>
      <c r="D59" s="17">
        <f>SUM(1350)</f>
        <v>1350</v>
      </c>
      <c r="E59" s="14">
        <f>SUM(123)</f>
        <v>123</v>
      </c>
      <c r="F59" s="15">
        <f>SUM(D59/E59)</f>
        <v>10.975609756097562</v>
      </c>
      <c r="G59" s="14">
        <v>1</v>
      </c>
      <c r="H59" s="14"/>
      <c r="I59" s="14"/>
      <c r="J59" s="14"/>
      <c r="K59" s="14"/>
      <c r="L59" s="14">
        <v>1.5</v>
      </c>
      <c r="M59" s="16"/>
    </row>
    <row r="60" spans="1:13" ht="18.75" x14ac:dyDescent="0.3">
      <c r="A60" s="3">
        <v>59</v>
      </c>
      <c r="B60" s="11" t="s">
        <v>62</v>
      </c>
      <c r="C60" s="8" t="s">
        <v>60</v>
      </c>
      <c r="D60" s="17">
        <f>SUM(1264+920+1335+1422)</f>
        <v>4941</v>
      </c>
      <c r="E60" s="14">
        <f>SUM(123+72+138+121)</f>
        <v>454</v>
      </c>
      <c r="F60" s="15">
        <f>SUM(D60/E60)</f>
        <v>10.883259911894273</v>
      </c>
      <c r="G60" s="14">
        <v>4</v>
      </c>
      <c r="H60" s="14"/>
      <c r="I60" s="14"/>
      <c r="J60" s="14"/>
      <c r="K60" s="14"/>
      <c r="L60" s="14">
        <v>4.5</v>
      </c>
      <c r="M60" s="16"/>
    </row>
    <row r="61" spans="1:13" ht="18.75" x14ac:dyDescent="0.3">
      <c r="A61" s="3">
        <v>60</v>
      </c>
      <c r="B61" s="27" t="s">
        <v>61</v>
      </c>
      <c r="C61" s="7" t="s">
        <v>53</v>
      </c>
      <c r="D61" s="17">
        <f>SUM(1483+1452+1373+1441+1447+1477+1492)</f>
        <v>10165</v>
      </c>
      <c r="E61" s="14">
        <f>SUM(136+141+114+142+106+162+152)</f>
        <v>953</v>
      </c>
      <c r="F61" s="15">
        <f>SUM(D61/E61)</f>
        <v>10.666316894018887</v>
      </c>
      <c r="G61" s="14">
        <v>7</v>
      </c>
      <c r="H61" s="14">
        <v>3</v>
      </c>
      <c r="I61" s="14"/>
      <c r="J61" s="14"/>
      <c r="K61" s="14"/>
      <c r="L61" s="14">
        <v>19</v>
      </c>
      <c r="M61" s="16"/>
    </row>
    <row r="62" spans="1:13" ht="18.75" x14ac:dyDescent="0.3">
      <c r="A62" s="3">
        <v>61</v>
      </c>
      <c r="B62" s="11" t="s">
        <v>59</v>
      </c>
      <c r="C62" s="4" t="s">
        <v>60</v>
      </c>
      <c r="D62" s="17">
        <f>SUM(1495+1198+1171+1097+1373+1006)</f>
        <v>7340</v>
      </c>
      <c r="E62" s="14">
        <f>SUM(137+121+90+90+162+90)</f>
        <v>690</v>
      </c>
      <c r="F62" s="15">
        <f>SUM(D62/E62)</f>
        <v>10.637681159420289</v>
      </c>
      <c r="G62" s="14">
        <v>6</v>
      </c>
      <c r="H62" s="14"/>
      <c r="I62" s="14"/>
      <c r="J62" s="14"/>
      <c r="K62" s="14"/>
      <c r="L62" s="14">
        <v>3</v>
      </c>
      <c r="M62" s="16"/>
    </row>
    <row r="63" spans="1:13" ht="18.75" x14ac:dyDescent="0.3">
      <c r="A63" s="3">
        <v>62</v>
      </c>
      <c r="B63" s="11" t="s">
        <v>65</v>
      </c>
      <c r="C63" s="4" t="s">
        <v>46</v>
      </c>
      <c r="D63" s="17">
        <f>SUM(1493+1344+1345+1483+1412)</f>
        <v>7077</v>
      </c>
      <c r="E63" s="14">
        <f>SUM(159+141+111+139+117)</f>
        <v>667</v>
      </c>
      <c r="F63" s="15">
        <f>SUM(D63/E63)</f>
        <v>10.610194902548725</v>
      </c>
      <c r="G63" s="14">
        <v>4</v>
      </c>
      <c r="H63" s="14">
        <v>1</v>
      </c>
      <c r="I63" s="14"/>
      <c r="J63" s="14"/>
      <c r="K63" s="14"/>
      <c r="L63" s="14">
        <v>5.5</v>
      </c>
      <c r="M63" s="16"/>
    </row>
    <row r="64" spans="1:13" ht="18.75" x14ac:dyDescent="0.3">
      <c r="A64" s="3">
        <v>63</v>
      </c>
      <c r="B64" s="11" t="s">
        <v>75</v>
      </c>
      <c r="C64" s="4" t="s">
        <v>60</v>
      </c>
      <c r="D64" s="17">
        <f>SUM(1459+1180+1070+1335+1316)</f>
        <v>6360</v>
      </c>
      <c r="E64" s="14">
        <f>SUM(165+111+96+129+102)</f>
        <v>603</v>
      </c>
      <c r="F64" s="15">
        <f>SUM(D64/E64)</f>
        <v>10.547263681592041</v>
      </c>
      <c r="G64" s="14">
        <v>5</v>
      </c>
      <c r="H64" s="14"/>
      <c r="I64" s="14"/>
      <c r="J64" s="14"/>
      <c r="K64" s="14"/>
      <c r="L64" s="14">
        <v>5</v>
      </c>
      <c r="M64" s="16"/>
    </row>
    <row r="65" spans="1:18" ht="18.75" x14ac:dyDescent="0.3">
      <c r="A65" s="3">
        <v>64</v>
      </c>
      <c r="B65" s="27" t="s">
        <v>66</v>
      </c>
      <c r="C65" s="4" t="s">
        <v>49</v>
      </c>
      <c r="D65" s="17">
        <f>SUM(1474+1189+1448+1191+1495+1421+1358+1223+1499)</f>
        <v>12298</v>
      </c>
      <c r="E65" s="14">
        <f>SUM(158+126+132+107+162+123+124+117+158)</f>
        <v>1207</v>
      </c>
      <c r="F65" s="15">
        <f>SUM(D65/E65)</f>
        <v>10.188898094449048</v>
      </c>
      <c r="G65" s="14">
        <v>9</v>
      </c>
      <c r="H65" s="14">
        <v>2</v>
      </c>
      <c r="I65" s="14"/>
      <c r="J65" s="14"/>
      <c r="K65" s="14"/>
      <c r="L65" s="14">
        <v>17.5</v>
      </c>
      <c r="M65" s="16"/>
    </row>
    <row r="66" spans="1:18" ht="18.75" x14ac:dyDescent="0.3">
      <c r="A66" s="3">
        <v>65</v>
      </c>
      <c r="B66" s="11" t="s">
        <v>125</v>
      </c>
      <c r="C66" s="7" t="s">
        <v>12</v>
      </c>
      <c r="D66" s="17">
        <f>SUM(1385)</f>
        <v>1385</v>
      </c>
      <c r="E66" s="14">
        <f>SUM(138)</f>
        <v>138</v>
      </c>
      <c r="F66" s="15">
        <f>SUM(D66/E66)</f>
        <v>10.036231884057971</v>
      </c>
      <c r="G66" s="14">
        <v>1</v>
      </c>
      <c r="H66" s="14"/>
      <c r="I66" s="14"/>
      <c r="J66" s="14"/>
      <c r="K66" s="14"/>
      <c r="L66" s="14">
        <v>2.5</v>
      </c>
      <c r="M66" s="16"/>
    </row>
    <row r="67" spans="1:18" ht="18.75" x14ac:dyDescent="0.3">
      <c r="A67" s="3">
        <v>66</v>
      </c>
      <c r="B67" s="74" t="s">
        <v>68</v>
      </c>
      <c r="C67" s="28" t="s">
        <v>60</v>
      </c>
      <c r="D67" s="17">
        <f>SUM(1493+1464+1445+1017+1395+1287+1373+1324)</f>
        <v>10798</v>
      </c>
      <c r="E67" s="14">
        <f>SUM(177+162+141+93+130+116+144+124)</f>
        <v>1087</v>
      </c>
      <c r="F67" s="15">
        <f>SUM(D67/E67)</f>
        <v>9.933762649494021</v>
      </c>
      <c r="G67" s="14">
        <v>8</v>
      </c>
      <c r="H67" s="14">
        <v>1</v>
      </c>
      <c r="I67" s="14"/>
      <c r="J67" s="14"/>
      <c r="K67" s="14"/>
      <c r="L67" s="14">
        <v>9</v>
      </c>
      <c r="M67" s="16"/>
    </row>
    <row r="68" spans="1:18" ht="18.75" x14ac:dyDescent="0.3">
      <c r="A68" s="3">
        <v>67</v>
      </c>
      <c r="B68" s="26" t="s">
        <v>64</v>
      </c>
      <c r="C68" s="4" t="s">
        <v>46</v>
      </c>
      <c r="D68" s="17">
        <f>SUM(1468+1466+912)</f>
        <v>3846</v>
      </c>
      <c r="E68" s="14">
        <f>SUM(156+165+75)</f>
        <v>396</v>
      </c>
      <c r="F68" s="15">
        <f>SUM(D68/E68)</f>
        <v>9.7121212121212128</v>
      </c>
      <c r="G68" s="14">
        <v>3</v>
      </c>
      <c r="H68" s="14"/>
      <c r="I68" s="14"/>
      <c r="J68" s="14"/>
      <c r="K68" s="14"/>
      <c r="L68" s="14">
        <v>2.5</v>
      </c>
      <c r="M68" s="16"/>
    </row>
    <row r="69" spans="1:18" ht="18.75" x14ac:dyDescent="0.3">
      <c r="A69" s="3">
        <v>68</v>
      </c>
      <c r="B69" s="73" t="s">
        <v>124</v>
      </c>
      <c r="C69" s="72" t="s">
        <v>46</v>
      </c>
      <c r="D69" s="17">
        <f>SUM(1491)</f>
        <v>1491</v>
      </c>
      <c r="E69" s="14">
        <f>SUM(165)</f>
        <v>165</v>
      </c>
      <c r="F69" s="15">
        <f>SUM(D69/E69)</f>
        <v>9.036363636363637</v>
      </c>
      <c r="G69" s="14">
        <v>1</v>
      </c>
      <c r="H69" s="14"/>
      <c r="I69" s="14"/>
      <c r="J69" s="14"/>
      <c r="K69" s="14"/>
      <c r="L69" s="14">
        <v>0.5</v>
      </c>
      <c r="M69" s="16"/>
    </row>
    <row r="70" spans="1:18" ht="18.75" x14ac:dyDescent="0.3">
      <c r="A70" s="3">
        <v>69</v>
      </c>
      <c r="B70" s="11" t="s">
        <v>113</v>
      </c>
      <c r="C70" s="7" t="s">
        <v>46</v>
      </c>
      <c r="D70" s="17"/>
      <c r="E70" s="14"/>
      <c r="F70" s="15"/>
      <c r="G70" s="14"/>
      <c r="H70" s="14"/>
      <c r="I70" s="14"/>
      <c r="J70" s="14"/>
      <c r="K70" s="14"/>
      <c r="L70" s="14">
        <v>0</v>
      </c>
      <c r="M70" s="16"/>
    </row>
    <row r="71" spans="1:18" ht="17.25" customHeight="1" thickBo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8" ht="19.5" customHeight="1" thickBot="1" x14ac:dyDescent="0.35">
      <c r="A72" s="5"/>
      <c r="B72" s="41" t="s">
        <v>168</v>
      </c>
      <c r="C72" s="60" t="s">
        <v>78</v>
      </c>
      <c r="D72" s="59" t="s">
        <v>79</v>
      </c>
      <c r="E72" s="70" t="s">
        <v>80</v>
      </c>
      <c r="F72" s="55" t="s">
        <v>108</v>
      </c>
      <c r="G72" s="69" t="s">
        <v>81</v>
      </c>
      <c r="I72" s="34" t="s">
        <v>82</v>
      </c>
      <c r="J72" s="35"/>
      <c r="K72" s="35"/>
      <c r="L72" s="35"/>
      <c r="M72" s="35"/>
      <c r="N72" s="35"/>
      <c r="O72" s="35"/>
      <c r="P72" s="35"/>
      <c r="Q72" s="35"/>
      <c r="R72" s="36"/>
    </row>
    <row r="73" spans="1:18" ht="18.75" x14ac:dyDescent="0.3">
      <c r="A73" s="5"/>
      <c r="B73" s="42"/>
      <c r="C73" s="29" t="s">
        <v>86</v>
      </c>
      <c r="D73" s="7">
        <v>11</v>
      </c>
      <c r="E73" s="27">
        <v>0</v>
      </c>
      <c r="F73" s="26">
        <v>0</v>
      </c>
      <c r="G73" s="29">
        <v>187</v>
      </c>
      <c r="I73" s="68" t="s">
        <v>84</v>
      </c>
      <c r="J73" s="67"/>
      <c r="K73" s="67"/>
      <c r="L73" s="67"/>
      <c r="M73" s="67"/>
      <c r="N73" s="37" t="s">
        <v>85</v>
      </c>
      <c r="O73" s="37"/>
      <c r="P73" s="37"/>
      <c r="Q73" s="37"/>
      <c r="R73" s="38"/>
    </row>
    <row r="74" spans="1:18" ht="18.75" x14ac:dyDescent="0.3">
      <c r="A74" s="5"/>
      <c r="B74" s="42"/>
      <c r="C74" s="29" t="s">
        <v>100</v>
      </c>
      <c r="D74" s="7">
        <v>9</v>
      </c>
      <c r="E74" s="62">
        <v>2</v>
      </c>
      <c r="F74" s="26">
        <v>0</v>
      </c>
      <c r="G74" s="61">
        <v>168</v>
      </c>
      <c r="I74" s="66" t="s">
        <v>87</v>
      </c>
      <c r="J74" s="65"/>
      <c r="K74" s="65"/>
      <c r="L74" s="65"/>
      <c r="M74" s="65"/>
      <c r="N74" s="39" t="s">
        <v>167</v>
      </c>
      <c r="O74" s="39"/>
      <c r="P74" s="39"/>
      <c r="Q74" s="39"/>
      <c r="R74" s="40"/>
    </row>
    <row r="75" spans="1:18" ht="18.75" x14ac:dyDescent="0.3">
      <c r="A75" s="5"/>
      <c r="B75" s="42"/>
      <c r="C75" s="29" t="s">
        <v>95</v>
      </c>
      <c r="D75" s="7">
        <v>9</v>
      </c>
      <c r="E75" s="62">
        <v>2</v>
      </c>
      <c r="F75" s="26">
        <v>0</v>
      </c>
      <c r="G75" s="61">
        <v>159</v>
      </c>
      <c r="I75" s="66" t="s">
        <v>90</v>
      </c>
      <c r="J75" s="65"/>
      <c r="K75" s="65"/>
      <c r="L75" s="65"/>
      <c r="M75" s="65"/>
      <c r="N75" s="39" t="s">
        <v>166</v>
      </c>
      <c r="O75" s="39"/>
      <c r="P75" s="39"/>
      <c r="Q75" s="39"/>
      <c r="R75" s="40"/>
    </row>
    <row r="76" spans="1:18" ht="18.75" x14ac:dyDescent="0.3">
      <c r="A76" s="6"/>
      <c r="B76" s="42"/>
      <c r="C76" s="29" t="s">
        <v>92</v>
      </c>
      <c r="D76" s="7">
        <v>8</v>
      </c>
      <c r="E76" s="62">
        <v>3</v>
      </c>
      <c r="F76" s="26">
        <v>0</v>
      </c>
      <c r="G76" s="61">
        <v>151</v>
      </c>
      <c r="I76" s="66" t="s">
        <v>93</v>
      </c>
      <c r="J76" s="65"/>
      <c r="K76" s="65"/>
      <c r="L76" s="65"/>
      <c r="M76" s="65"/>
      <c r="N76" s="39" t="s">
        <v>165</v>
      </c>
      <c r="O76" s="39"/>
      <c r="P76" s="39"/>
      <c r="Q76" s="39"/>
      <c r="R76" s="40"/>
    </row>
    <row r="77" spans="1:18" ht="18" customHeight="1" x14ac:dyDescent="0.3">
      <c r="A77" s="6"/>
      <c r="B77" s="42"/>
      <c r="C77" s="30" t="s">
        <v>97</v>
      </c>
      <c r="D77" s="9">
        <v>7</v>
      </c>
      <c r="E77" s="11">
        <v>4</v>
      </c>
      <c r="F77" s="26">
        <v>0</v>
      </c>
      <c r="G77" s="30">
        <v>142</v>
      </c>
      <c r="I77" s="66" t="s">
        <v>96</v>
      </c>
      <c r="J77" s="65"/>
      <c r="K77" s="65"/>
      <c r="L77" s="65"/>
      <c r="M77" s="65"/>
      <c r="N77" s="39" t="s">
        <v>119</v>
      </c>
      <c r="O77" s="39"/>
      <c r="P77" s="39"/>
      <c r="Q77" s="39"/>
      <c r="R77" s="40"/>
    </row>
    <row r="78" spans="1:18" ht="18" customHeight="1" thickBot="1" x14ac:dyDescent="0.35">
      <c r="A78" s="6"/>
      <c r="B78" s="42"/>
      <c r="C78" s="30" t="s">
        <v>101</v>
      </c>
      <c r="D78" s="9">
        <v>5</v>
      </c>
      <c r="E78" s="11">
        <v>6</v>
      </c>
      <c r="F78" s="26">
        <v>0</v>
      </c>
      <c r="G78" s="30">
        <v>141</v>
      </c>
      <c r="I78" s="64" t="s">
        <v>98</v>
      </c>
      <c r="J78" s="63"/>
      <c r="K78" s="63"/>
      <c r="L78" s="63"/>
      <c r="M78" s="63"/>
      <c r="N78" s="39" t="s">
        <v>118</v>
      </c>
      <c r="O78" s="39"/>
      <c r="P78" s="39"/>
      <c r="Q78" s="39"/>
      <c r="R78" s="40"/>
    </row>
    <row r="79" spans="1:18" ht="18.75" x14ac:dyDescent="0.3">
      <c r="A79" s="6"/>
      <c r="B79" s="42"/>
      <c r="C79" s="29" t="s">
        <v>103</v>
      </c>
      <c r="D79" s="7">
        <v>5</v>
      </c>
      <c r="E79" s="62">
        <v>6</v>
      </c>
      <c r="F79" s="26">
        <v>0</v>
      </c>
      <c r="G79" s="61">
        <v>139</v>
      </c>
      <c r="H79" s="6"/>
      <c r="I79" s="6"/>
    </row>
    <row r="80" spans="1:18" ht="18.75" x14ac:dyDescent="0.3">
      <c r="A80" s="6"/>
      <c r="B80" s="42"/>
      <c r="C80" s="29" t="s">
        <v>99</v>
      </c>
      <c r="D80" s="7">
        <v>4</v>
      </c>
      <c r="E80" s="27">
        <v>7</v>
      </c>
      <c r="F80" s="26">
        <v>0</v>
      </c>
      <c r="G80" s="29">
        <v>132</v>
      </c>
      <c r="H80" s="6"/>
    </row>
    <row r="81" spans="2:7" ht="18.75" x14ac:dyDescent="0.3">
      <c r="B81" s="42"/>
      <c r="C81" s="31" t="s">
        <v>83</v>
      </c>
      <c r="D81" s="20">
        <v>4</v>
      </c>
      <c r="E81" s="53">
        <v>7</v>
      </c>
      <c r="F81" s="52">
        <v>0</v>
      </c>
      <c r="G81" s="31">
        <v>119</v>
      </c>
    </row>
    <row r="82" spans="2:7" ht="18.75" x14ac:dyDescent="0.3">
      <c r="B82" s="42"/>
      <c r="C82" s="29" t="s">
        <v>89</v>
      </c>
      <c r="D82" s="7">
        <v>3</v>
      </c>
      <c r="E82" s="62">
        <v>8</v>
      </c>
      <c r="F82" s="26">
        <v>0</v>
      </c>
      <c r="G82" s="61">
        <v>114</v>
      </c>
    </row>
    <row r="83" spans="2:7" ht="18.75" x14ac:dyDescent="0.3">
      <c r="B83" s="42"/>
      <c r="C83" s="30" t="s">
        <v>104</v>
      </c>
      <c r="D83" s="9">
        <v>1</v>
      </c>
      <c r="E83" s="11">
        <v>10</v>
      </c>
      <c r="F83" s="26">
        <v>0</v>
      </c>
      <c r="G83" s="30">
        <v>74</v>
      </c>
    </row>
    <row r="84" spans="2:7" ht="19.5" thickBot="1" x14ac:dyDescent="0.35">
      <c r="B84" s="43"/>
      <c r="C84" s="30" t="s">
        <v>102</v>
      </c>
      <c r="D84" s="9">
        <v>0</v>
      </c>
      <c r="E84" s="11">
        <v>11</v>
      </c>
      <c r="F84" s="26">
        <v>0</v>
      </c>
      <c r="G84" s="30">
        <v>58</v>
      </c>
    </row>
    <row r="85" spans="2:7" ht="15.75" thickBot="1" x14ac:dyDescent="0.3"/>
    <row r="86" spans="2:7" ht="19.5" thickBot="1" x14ac:dyDescent="0.35">
      <c r="C86" s="60" t="s">
        <v>105</v>
      </c>
      <c r="D86" s="59" t="s">
        <v>79</v>
      </c>
      <c r="E86" s="59" t="s">
        <v>80</v>
      </c>
      <c r="F86" s="55" t="s">
        <v>108</v>
      </c>
      <c r="G86" s="58" t="s">
        <v>81</v>
      </c>
    </row>
    <row r="87" spans="2:7" ht="18.75" x14ac:dyDescent="0.3">
      <c r="C87" s="20" t="s">
        <v>86</v>
      </c>
      <c r="D87" s="20">
        <v>11</v>
      </c>
      <c r="E87" s="53">
        <v>0</v>
      </c>
      <c r="F87" s="52">
        <v>0</v>
      </c>
      <c r="G87" s="31">
        <v>187</v>
      </c>
    </row>
    <row r="88" spans="2:7" ht="18.75" x14ac:dyDescent="0.3">
      <c r="C88" s="20" t="s">
        <v>100</v>
      </c>
      <c r="D88" s="20">
        <v>9</v>
      </c>
      <c r="E88" s="51">
        <v>2</v>
      </c>
      <c r="F88" s="26">
        <v>0</v>
      </c>
      <c r="G88" s="50">
        <v>168</v>
      </c>
    </row>
    <row r="89" spans="2:7" ht="18.75" x14ac:dyDescent="0.3">
      <c r="C89" s="7" t="s">
        <v>95</v>
      </c>
      <c r="D89" s="7">
        <v>9</v>
      </c>
      <c r="E89" s="62">
        <v>2</v>
      </c>
      <c r="F89" s="26">
        <v>0</v>
      </c>
      <c r="G89" s="61">
        <v>159</v>
      </c>
    </row>
    <row r="90" spans="2:7" ht="18.75" x14ac:dyDescent="0.3">
      <c r="C90" s="7" t="s">
        <v>103</v>
      </c>
      <c r="D90" s="7">
        <v>5</v>
      </c>
      <c r="E90" s="62">
        <v>6</v>
      </c>
      <c r="F90" s="26">
        <v>0</v>
      </c>
      <c r="G90" s="61">
        <v>139</v>
      </c>
    </row>
    <row r="91" spans="2:7" ht="15.75" thickBot="1" x14ac:dyDescent="0.3"/>
    <row r="92" spans="2:7" ht="19.5" thickBot="1" x14ac:dyDescent="0.35">
      <c r="C92" s="60" t="s">
        <v>106</v>
      </c>
      <c r="D92" s="59" t="s">
        <v>79</v>
      </c>
      <c r="E92" s="59" t="s">
        <v>80</v>
      </c>
      <c r="F92" s="55" t="s">
        <v>108</v>
      </c>
      <c r="G92" s="58" t="s">
        <v>81</v>
      </c>
    </row>
    <row r="93" spans="2:7" ht="18.75" x14ac:dyDescent="0.3">
      <c r="C93" s="20" t="s">
        <v>92</v>
      </c>
      <c r="D93" s="20">
        <v>8</v>
      </c>
      <c r="E93" s="51">
        <v>3</v>
      </c>
      <c r="F93" s="52">
        <v>0</v>
      </c>
      <c r="G93" s="50">
        <v>151</v>
      </c>
    </row>
    <row r="94" spans="2:7" ht="18.75" x14ac:dyDescent="0.3">
      <c r="C94" s="9" t="s">
        <v>97</v>
      </c>
      <c r="D94" s="9">
        <v>7</v>
      </c>
      <c r="E94" s="11">
        <v>4</v>
      </c>
      <c r="F94" s="26">
        <v>0</v>
      </c>
      <c r="G94" s="30">
        <v>142</v>
      </c>
    </row>
    <row r="95" spans="2:7" ht="18.75" x14ac:dyDescent="0.3">
      <c r="C95" s="9" t="s">
        <v>101</v>
      </c>
      <c r="D95" s="9">
        <v>5</v>
      </c>
      <c r="E95" s="11">
        <v>6</v>
      </c>
      <c r="F95" s="26">
        <v>0</v>
      </c>
      <c r="G95" s="30">
        <v>141</v>
      </c>
    </row>
    <row r="96" spans="2:7" ht="18.75" x14ac:dyDescent="0.3">
      <c r="C96" s="7" t="s">
        <v>99</v>
      </c>
      <c r="D96" s="7">
        <v>4</v>
      </c>
      <c r="E96" s="27">
        <v>7</v>
      </c>
      <c r="F96" s="26">
        <v>0</v>
      </c>
      <c r="G96" s="29">
        <v>132</v>
      </c>
    </row>
    <row r="97" spans="3:7" ht="15.75" thickBot="1" x14ac:dyDescent="0.3"/>
    <row r="98" spans="3:7" ht="19.5" thickBot="1" x14ac:dyDescent="0.35">
      <c r="C98" s="57" t="s">
        <v>107</v>
      </c>
      <c r="D98" s="56" t="s">
        <v>79</v>
      </c>
      <c r="E98" s="56" t="s">
        <v>80</v>
      </c>
      <c r="F98" s="55" t="s">
        <v>108</v>
      </c>
      <c r="G98" s="54" t="s">
        <v>81</v>
      </c>
    </row>
    <row r="99" spans="3:7" ht="18.75" x14ac:dyDescent="0.3">
      <c r="C99" s="20" t="s">
        <v>83</v>
      </c>
      <c r="D99" s="20">
        <v>4</v>
      </c>
      <c r="E99" s="53">
        <v>7</v>
      </c>
      <c r="F99" s="52">
        <v>0</v>
      </c>
      <c r="G99" s="31">
        <v>119</v>
      </c>
    </row>
    <row r="100" spans="3:7" ht="18.75" x14ac:dyDescent="0.3">
      <c r="C100" s="20" t="s">
        <v>89</v>
      </c>
      <c r="D100" s="20">
        <v>3</v>
      </c>
      <c r="E100" s="51">
        <v>8</v>
      </c>
      <c r="F100" s="26">
        <v>0</v>
      </c>
      <c r="G100" s="50">
        <v>114</v>
      </c>
    </row>
    <row r="101" spans="3:7" ht="18.75" x14ac:dyDescent="0.3">
      <c r="C101" s="9" t="s">
        <v>104</v>
      </c>
      <c r="D101" s="9">
        <v>1</v>
      </c>
      <c r="E101" s="11">
        <v>10</v>
      </c>
      <c r="F101" s="26">
        <v>0</v>
      </c>
      <c r="G101" s="30">
        <v>74</v>
      </c>
    </row>
    <row r="102" spans="3:7" ht="18.75" x14ac:dyDescent="0.3">
      <c r="C102" s="9" t="s">
        <v>102</v>
      </c>
      <c r="D102" s="9">
        <v>0</v>
      </c>
      <c r="E102" s="11">
        <v>11</v>
      </c>
      <c r="F102" s="26">
        <v>0</v>
      </c>
      <c r="G102" s="30">
        <v>58</v>
      </c>
    </row>
  </sheetData>
  <mergeCells count="14">
    <mergeCell ref="N78:R78"/>
    <mergeCell ref="I72:R72"/>
    <mergeCell ref="N73:R73"/>
    <mergeCell ref="N74:R74"/>
    <mergeCell ref="N75:R75"/>
    <mergeCell ref="N76:R76"/>
    <mergeCell ref="N77:R77"/>
    <mergeCell ref="B72:B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pane ySplit="1" topLeftCell="A2" activePane="bottomLeft" state="frozen"/>
      <selection pane="bottomLeft" activeCell="I74" sqref="I74:R76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SUM(1493+1503+1499+1371+1478+1493+1503+1503+1487+1503+1428+1499)</f>
        <v>17760</v>
      </c>
      <c r="E2" s="14">
        <f>SUM(82+81+101+87+100+89+93+104+80+61+65+78)</f>
        <v>1021</v>
      </c>
      <c r="F2" s="15">
        <f>SUM(D2/E2)</f>
        <v>17.394711067580804</v>
      </c>
      <c r="G2" s="14">
        <v>12</v>
      </c>
      <c r="H2" s="14">
        <v>11</v>
      </c>
      <c r="I2" s="14">
        <v>1</v>
      </c>
      <c r="J2" s="14"/>
      <c r="K2" s="14"/>
      <c r="L2" s="14">
        <v>49.5</v>
      </c>
      <c r="M2" s="16">
        <v>40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SUM(1497+1503+1503+1503+1503+1343+1374+1383+1499+1493+1503)</f>
        <v>16104</v>
      </c>
      <c r="E3" s="14">
        <f>SUM(100+85+83+92+83+81+85+94+91+89+89)</f>
        <v>972</v>
      </c>
      <c r="F3" s="15">
        <f>SUM(D3/E3)</f>
        <v>16.567901234567902</v>
      </c>
      <c r="G3" s="14">
        <v>11</v>
      </c>
      <c r="H3" s="14">
        <v>9</v>
      </c>
      <c r="I3" s="14">
        <v>4</v>
      </c>
      <c r="J3" s="14"/>
      <c r="K3" s="14"/>
      <c r="L3" s="14">
        <v>47</v>
      </c>
      <c r="M3" s="16">
        <v>10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SUM(1475+1503+1379+1273+1389+1467+1447+1471+1380+1494)</f>
        <v>14278</v>
      </c>
      <c r="E4" s="14">
        <f>SUM(91+92+81+81+71+83+111+86+76+99)</f>
        <v>871</v>
      </c>
      <c r="F4" s="15">
        <f>SUM(D4/E4)</f>
        <v>16.392652123995408</v>
      </c>
      <c r="G4" s="14">
        <v>10</v>
      </c>
      <c r="H4" s="14">
        <v>7</v>
      </c>
      <c r="I4" s="14"/>
      <c r="J4" s="14"/>
      <c r="K4" s="14"/>
      <c r="L4" s="76">
        <v>32</v>
      </c>
      <c r="M4" s="16">
        <v>10</v>
      </c>
    </row>
    <row r="5" spans="1:13" ht="18.75" x14ac:dyDescent="0.3">
      <c r="A5" s="3">
        <v>4</v>
      </c>
      <c r="B5" s="4" t="s">
        <v>15</v>
      </c>
      <c r="C5" s="4" t="s">
        <v>16</v>
      </c>
      <c r="D5" s="14">
        <f>SUM(1350+1487+1463+1503+1503+1483+1282+1468+1471+1456)</f>
        <v>14466</v>
      </c>
      <c r="E5" s="14">
        <f>SUM(80+82+83+99+122+85+99+103+103+77)</f>
        <v>933</v>
      </c>
      <c r="F5" s="15">
        <f>SUM(D5/E5)</f>
        <v>15.504823151125402</v>
      </c>
      <c r="G5" s="14">
        <v>10</v>
      </c>
      <c r="H5" s="14">
        <v>7</v>
      </c>
      <c r="I5" s="14"/>
      <c r="J5" s="14"/>
      <c r="K5" s="14"/>
      <c r="L5" s="14">
        <v>35.5</v>
      </c>
      <c r="M5" s="16">
        <v>10</v>
      </c>
    </row>
    <row r="6" spans="1:13" ht="18.75" x14ac:dyDescent="0.3">
      <c r="A6" s="3">
        <v>5</v>
      </c>
      <c r="B6" s="4" t="s">
        <v>117</v>
      </c>
      <c r="C6" s="4" t="s">
        <v>53</v>
      </c>
      <c r="D6" s="14">
        <f>SUM(1503)</f>
        <v>1503</v>
      </c>
      <c r="E6" s="14">
        <f>SUM(97)</f>
        <v>97</v>
      </c>
      <c r="F6" s="15">
        <f>SUM(D6/E6)</f>
        <v>15.494845360824742</v>
      </c>
      <c r="G6" s="14">
        <v>1</v>
      </c>
      <c r="H6" s="14">
        <v>1</v>
      </c>
      <c r="I6" s="14"/>
      <c r="J6" s="14"/>
      <c r="K6" s="14"/>
      <c r="L6" s="14">
        <v>3.5</v>
      </c>
      <c r="M6" s="16"/>
    </row>
    <row r="7" spans="1:13" ht="18.75" x14ac:dyDescent="0.3">
      <c r="A7" s="3">
        <v>6</v>
      </c>
      <c r="B7" s="4" t="s">
        <v>34</v>
      </c>
      <c r="C7" s="4" t="s">
        <v>16</v>
      </c>
      <c r="D7" s="14">
        <f>SUM(1483+1471+1501+1503+1495+1501+1486+1458+1501+1503+1503+1443)</f>
        <v>17848</v>
      </c>
      <c r="E7" s="14">
        <f>SUM(107+83+84+79+105+120+108+87+98+102+93+92)</f>
        <v>1158</v>
      </c>
      <c r="F7" s="15">
        <f>SUM(D7/E7)</f>
        <v>15.412780656303973</v>
      </c>
      <c r="G7" s="14">
        <v>12</v>
      </c>
      <c r="H7" s="14">
        <v>8</v>
      </c>
      <c r="I7" s="14"/>
      <c r="J7" s="14"/>
      <c r="K7" s="14"/>
      <c r="L7" s="14">
        <v>45.5</v>
      </c>
      <c r="M7" s="16">
        <v>15</v>
      </c>
    </row>
    <row r="8" spans="1:13" ht="18.75" x14ac:dyDescent="0.3">
      <c r="A8" s="3">
        <v>7</v>
      </c>
      <c r="B8" s="4" t="s">
        <v>38</v>
      </c>
      <c r="C8" s="4" t="s">
        <v>21</v>
      </c>
      <c r="D8" s="14">
        <f>SUM(1487+1503+1503+1386+1501+1503+1415+1495+1442+1486+1304+1211)</f>
        <v>17236</v>
      </c>
      <c r="E8" s="14">
        <f>SUM(111+101+74+85+132+87+82+95+76+112+88+78)</f>
        <v>1121</v>
      </c>
      <c r="F8" s="15">
        <f>SUM(D8/E8)</f>
        <v>15.375557537912577</v>
      </c>
      <c r="G8" s="14">
        <v>12</v>
      </c>
      <c r="H8" s="14">
        <v>7</v>
      </c>
      <c r="I8" s="14"/>
      <c r="J8" s="14"/>
      <c r="K8" s="14">
        <v>1</v>
      </c>
      <c r="L8" s="14">
        <v>40</v>
      </c>
      <c r="M8" s="16">
        <v>10</v>
      </c>
    </row>
    <row r="9" spans="1:13" ht="18.75" x14ac:dyDescent="0.3">
      <c r="A9" s="3">
        <v>8</v>
      </c>
      <c r="B9" s="4" t="s">
        <v>27</v>
      </c>
      <c r="C9" s="4" t="s">
        <v>19</v>
      </c>
      <c r="D9" s="14">
        <f>SUM(1491+1430+1503+1498+1306+1503+1443+1496+1492+1503+1382+1431)</f>
        <v>17478</v>
      </c>
      <c r="E9" s="14">
        <f>SUM(102+105+81+93+72+105+84+83+120+98+108+87)</f>
        <v>1138</v>
      </c>
      <c r="F9" s="15">
        <f>SUM(D9/E9)</f>
        <v>15.358523725834798</v>
      </c>
      <c r="G9" s="14">
        <v>12</v>
      </c>
      <c r="H9" s="14">
        <v>9</v>
      </c>
      <c r="I9" s="14"/>
      <c r="J9" s="14"/>
      <c r="K9" s="14">
        <v>1</v>
      </c>
      <c r="L9" s="14">
        <v>46</v>
      </c>
      <c r="M9" s="16">
        <v>5</v>
      </c>
    </row>
    <row r="10" spans="1:13" ht="18.75" x14ac:dyDescent="0.3">
      <c r="A10" s="3">
        <v>9</v>
      </c>
      <c r="B10" s="4" t="s">
        <v>11</v>
      </c>
      <c r="C10" s="4" t="s">
        <v>12</v>
      </c>
      <c r="D10" s="14">
        <f>SUM(1471+1503+1366+1503+1427+1501+1493+1342+1334+1491+1448)</f>
        <v>15879</v>
      </c>
      <c r="E10" s="14">
        <f>SUM(76+92+101+115+84+100+114+88+77+95+98)</f>
        <v>1040</v>
      </c>
      <c r="F10" s="15">
        <f>SUM(D10/E10)</f>
        <v>15.268269230769231</v>
      </c>
      <c r="G10" s="14">
        <v>11</v>
      </c>
      <c r="H10" s="14">
        <v>8</v>
      </c>
      <c r="I10" s="14">
        <v>2</v>
      </c>
      <c r="J10" s="14"/>
      <c r="K10" s="14"/>
      <c r="L10" s="14">
        <v>42</v>
      </c>
      <c r="M10" s="16">
        <v>25</v>
      </c>
    </row>
    <row r="11" spans="1:13" ht="18.75" x14ac:dyDescent="0.3">
      <c r="A11" s="3">
        <v>10</v>
      </c>
      <c r="B11" s="26" t="s">
        <v>135</v>
      </c>
      <c r="C11" s="4" t="s">
        <v>134</v>
      </c>
      <c r="D11" s="14">
        <f>SUM(1306+1503+1416+1435+1467)</f>
        <v>7127</v>
      </c>
      <c r="E11" s="14">
        <f>SUM(81+98+89+98+104)</f>
        <v>470</v>
      </c>
      <c r="F11" s="15">
        <f>SUM(D11/E11)</f>
        <v>15.163829787234043</v>
      </c>
      <c r="G11" s="14">
        <v>5</v>
      </c>
      <c r="H11" s="14">
        <v>3</v>
      </c>
      <c r="I11" s="14"/>
      <c r="J11" s="14"/>
      <c r="K11" s="14"/>
      <c r="L11" s="14">
        <v>20.5</v>
      </c>
      <c r="M11" s="16"/>
    </row>
    <row r="12" spans="1:13" ht="18.75" x14ac:dyDescent="0.3">
      <c r="A12" s="3">
        <v>11</v>
      </c>
      <c r="B12" s="4" t="s">
        <v>18</v>
      </c>
      <c r="C12" s="7" t="s">
        <v>19</v>
      </c>
      <c r="D12" s="14">
        <f>SUM(1503+1488+1503+1430+1468+1461+1444+1411+1423+1351+1503+1383)</f>
        <v>17368</v>
      </c>
      <c r="E12" s="14">
        <f>SUM(93+90+102+88+102+99+93+85+111+94+99+91)</f>
        <v>1147</v>
      </c>
      <c r="F12" s="15">
        <f>SUM(D12/E12)</f>
        <v>15.142109851787271</v>
      </c>
      <c r="G12" s="14">
        <v>12</v>
      </c>
      <c r="H12" s="14">
        <v>5</v>
      </c>
      <c r="I12" s="14"/>
      <c r="J12" s="14"/>
      <c r="K12" s="14"/>
      <c r="L12" s="14">
        <v>45</v>
      </c>
      <c r="M12" s="16"/>
    </row>
    <row r="13" spans="1:13" ht="18.75" x14ac:dyDescent="0.3">
      <c r="A13" s="3">
        <v>12</v>
      </c>
      <c r="B13" s="4" t="s">
        <v>71</v>
      </c>
      <c r="C13" s="4" t="s">
        <v>53</v>
      </c>
      <c r="D13" s="14">
        <f>SUM(1343+1449+1503+1477+1348+1444+1219+1461+1293+1503+1455)</f>
        <v>15495</v>
      </c>
      <c r="E13" s="14">
        <f>SUM(82+98+96+114+102+85+94+96+86+94+95)</f>
        <v>1042</v>
      </c>
      <c r="F13" s="15">
        <f>SUM(D13/E13)</f>
        <v>14.870441458733206</v>
      </c>
      <c r="G13" s="14">
        <v>10</v>
      </c>
      <c r="H13" s="14">
        <v>3</v>
      </c>
      <c r="I13" s="14">
        <v>1</v>
      </c>
      <c r="J13" s="14"/>
      <c r="K13" s="14"/>
      <c r="L13" s="14">
        <v>29</v>
      </c>
      <c r="M13" s="16"/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SUM(1489+1454+1482+1503+1393+1503+1503+1503+1381+932+1415+1503)</f>
        <v>17061</v>
      </c>
      <c r="E14" s="14">
        <f>SUM(111+105+94+95+97+115+88+96+97+57+89+116)</f>
        <v>1160</v>
      </c>
      <c r="F14" s="15">
        <f>SUM(D14/E14)</f>
        <v>14.707758620689654</v>
      </c>
      <c r="G14" s="14">
        <v>12</v>
      </c>
      <c r="H14" s="14">
        <v>7</v>
      </c>
      <c r="I14" s="14"/>
      <c r="J14" s="14"/>
      <c r="K14" s="14"/>
      <c r="L14" s="14">
        <v>44.5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SUM(1400+1499+1422+1493+1503+1477+1499+1499+1503+1493+1316+1450)</f>
        <v>17554</v>
      </c>
      <c r="E15" s="14">
        <f>SUM(96+101+81+130+107+114+92+101+87+113+90+85)</f>
        <v>1197</v>
      </c>
      <c r="F15" s="15">
        <f>SUM(D15/E15)</f>
        <v>14.66499582289056</v>
      </c>
      <c r="G15" s="14">
        <v>12</v>
      </c>
      <c r="H15" s="14">
        <v>8</v>
      </c>
      <c r="I15" s="14"/>
      <c r="J15" s="14"/>
      <c r="K15" s="14"/>
      <c r="L15" s="14">
        <v>41</v>
      </c>
      <c r="M15" s="16"/>
    </row>
    <row r="16" spans="1:13" ht="18.75" x14ac:dyDescent="0.3">
      <c r="A16" s="3">
        <v>15</v>
      </c>
      <c r="B16" s="4" t="s">
        <v>44</v>
      </c>
      <c r="C16" s="4" t="s">
        <v>19</v>
      </c>
      <c r="D16" s="14">
        <f>SUM(1499+1503+1495+1500+1498+1471+1503+1455+1269)</f>
        <v>13193</v>
      </c>
      <c r="E16" s="14">
        <f>SUM(120+113+112+127+83+89+94+83+79)</f>
        <v>900</v>
      </c>
      <c r="F16" s="15">
        <f>SUM(D16/E16)</f>
        <v>14.658888888888889</v>
      </c>
      <c r="G16" s="14">
        <v>9</v>
      </c>
      <c r="H16" s="14">
        <v>7</v>
      </c>
      <c r="I16" s="14"/>
      <c r="J16" s="14"/>
      <c r="K16" s="14"/>
      <c r="L16" s="14">
        <v>36</v>
      </c>
      <c r="M16" s="16">
        <v>5</v>
      </c>
    </row>
    <row r="17" spans="1:13" ht="18.75" x14ac:dyDescent="0.3">
      <c r="A17" s="3">
        <v>16</v>
      </c>
      <c r="B17" s="75" t="s">
        <v>116</v>
      </c>
      <c r="C17" s="4" t="s">
        <v>46</v>
      </c>
      <c r="D17" s="14">
        <f>SUM(1184+1495+1503+1260+1369+1493+1471+1423+1289+1493)</f>
        <v>13980</v>
      </c>
      <c r="E17" s="14">
        <f>SUM(78+154+98+84+87+93+95+90+82+108)</f>
        <v>969</v>
      </c>
      <c r="F17" s="15">
        <f>SUM(D17/E17)</f>
        <v>14.427244582043343</v>
      </c>
      <c r="G17" s="14">
        <v>9</v>
      </c>
      <c r="H17" s="14">
        <v>5</v>
      </c>
      <c r="I17" s="14"/>
      <c r="J17" s="14"/>
      <c r="K17" s="14"/>
      <c r="L17" s="14">
        <v>23.5</v>
      </c>
      <c r="M17" s="16"/>
    </row>
    <row r="18" spans="1:13" ht="18.75" x14ac:dyDescent="0.3">
      <c r="A18" s="3">
        <v>17</v>
      </c>
      <c r="B18" s="4" t="s">
        <v>24</v>
      </c>
      <c r="C18" s="4" t="s">
        <v>23</v>
      </c>
      <c r="D18" s="14">
        <f>SUM(1408+1503+1475+1495+1503+1485+1204+1389+1499+1348+1034+1441)</f>
        <v>16784</v>
      </c>
      <c r="E18" s="14">
        <f>SUM(93+120+122+113+103+85+82+98+120+85+60+89)</f>
        <v>1170</v>
      </c>
      <c r="F18" s="15">
        <f>SUM(D18/E18)</f>
        <v>14.345299145299146</v>
      </c>
      <c r="G18" s="14">
        <v>12</v>
      </c>
      <c r="H18" s="14">
        <v>6</v>
      </c>
      <c r="I18" s="14"/>
      <c r="J18" s="14"/>
      <c r="K18" s="14"/>
      <c r="L18" s="14">
        <v>38</v>
      </c>
      <c r="M18" s="16"/>
    </row>
    <row r="19" spans="1:13" ht="18.75" x14ac:dyDescent="0.3">
      <c r="A19" s="3">
        <v>18</v>
      </c>
      <c r="B19" s="3" t="s">
        <v>20</v>
      </c>
      <c r="C19" s="4" t="s">
        <v>21</v>
      </c>
      <c r="D19" s="14">
        <f>SUM(1503+1459+1401+1182+1442+1421+1237+1455+1443+1489+1483)</f>
        <v>15515</v>
      </c>
      <c r="E19" s="14">
        <f>SUM(96+99+104+94+108+90+102+91+113+87+122)</f>
        <v>1106</v>
      </c>
      <c r="F19" s="15">
        <f>SUM(D19/E19)</f>
        <v>14.028028933092225</v>
      </c>
      <c r="G19" s="14">
        <v>11</v>
      </c>
      <c r="H19" s="14">
        <v>3</v>
      </c>
      <c r="I19" s="14">
        <v>1</v>
      </c>
      <c r="J19" s="14"/>
      <c r="K19" s="14"/>
      <c r="L19" s="14">
        <v>34.5</v>
      </c>
      <c r="M19" s="16">
        <v>5</v>
      </c>
    </row>
    <row r="20" spans="1:13" ht="18.75" x14ac:dyDescent="0.3">
      <c r="A20" s="3">
        <v>19</v>
      </c>
      <c r="B20" s="3" t="s">
        <v>32</v>
      </c>
      <c r="C20" s="4" t="s">
        <v>33</v>
      </c>
      <c r="D20" s="14">
        <f>SUM(1375+1349+1415+1479+1469+1503+1453+1325+1482+1503+1386+1370)</f>
        <v>17109</v>
      </c>
      <c r="E20" s="14">
        <f>SUM(97+95+104+117+106+116+111+102+95+94+88+103)</f>
        <v>1228</v>
      </c>
      <c r="F20" s="15">
        <f>SUM(D20/E20)</f>
        <v>13.932410423452769</v>
      </c>
      <c r="G20" s="14">
        <v>12</v>
      </c>
      <c r="H20" s="14">
        <v>7</v>
      </c>
      <c r="I20" s="14"/>
      <c r="J20" s="14"/>
      <c r="K20" s="14"/>
      <c r="L20" s="14">
        <v>36</v>
      </c>
      <c r="M20" s="16"/>
    </row>
    <row r="21" spans="1:13" ht="18.75" x14ac:dyDescent="0.3">
      <c r="A21" s="3">
        <v>20</v>
      </c>
      <c r="B21" s="26" t="s">
        <v>52</v>
      </c>
      <c r="C21" s="4" t="s">
        <v>53</v>
      </c>
      <c r="D21" s="14">
        <f>SUM(1503+1209+1369+1358+1425+1485+1441+1503+1439+1503+1296+1397)</f>
        <v>16928</v>
      </c>
      <c r="E21" s="14">
        <f>SUM(129+84+84+114+99+97+112+101+93+115+111+78)</f>
        <v>1217</v>
      </c>
      <c r="F21" s="15">
        <f>SUM(D21/E21)</f>
        <v>13.909613804437141</v>
      </c>
      <c r="G21" s="14">
        <v>12</v>
      </c>
      <c r="H21" s="14">
        <v>7</v>
      </c>
      <c r="I21" s="14"/>
      <c r="J21" s="14"/>
      <c r="K21" s="14"/>
      <c r="L21" s="14">
        <v>41</v>
      </c>
      <c r="M21" s="16">
        <v>15</v>
      </c>
    </row>
    <row r="22" spans="1:13" ht="18.75" x14ac:dyDescent="0.3">
      <c r="A22" s="3">
        <v>21</v>
      </c>
      <c r="B22" s="4" t="s">
        <v>47</v>
      </c>
      <c r="C22" s="7" t="s">
        <v>12</v>
      </c>
      <c r="D22" s="14">
        <f>SUM(1197+1447+1355+1487+1477+1503+1496+1503+1499+1487+1461)</f>
        <v>15912</v>
      </c>
      <c r="E22" s="14">
        <f>SUM(99+96+96+122+112+92+111+108+105+105+110)</f>
        <v>1156</v>
      </c>
      <c r="F22" s="15">
        <f>SUM(D22/E22)</f>
        <v>13.764705882352942</v>
      </c>
      <c r="G22" s="14">
        <v>11</v>
      </c>
      <c r="H22" s="14">
        <v>7</v>
      </c>
      <c r="I22" s="14">
        <v>1</v>
      </c>
      <c r="J22" s="14"/>
      <c r="K22" s="14"/>
      <c r="L22" s="14">
        <v>40</v>
      </c>
      <c r="M22" s="16"/>
    </row>
    <row r="23" spans="1:13" ht="18.75" x14ac:dyDescent="0.3">
      <c r="A23" s="3">
        <v>22</v>
      </c>
      <c r="B23" s="26" t="s">
        <v>40</v>
      </c>
      <c r="C23" s="4" t="s">
        <v>23</v>
      </c>
      <c r="D23" s="14">
        <f>SUM(1446+1503+1491+1491+1503+1501+1441+1501+1366+1481+1408+1461)</f>
        <v>17593</v>
      </c>
      <c r="E23" s="14">
        <f>SUM(110+105+126+119+112+102+113+100+90+106+100+99)</f>
        <v>1282</v>
      </c>
      <c r="F23" s="15">
        <f>SUM(D23/E23)</f>
        <v>13.723088923556942</v>
      </c>
      <c r="G23" s="14">
        <v>12</v>
      </c>
      <c r="H23" s="14">
        <v>6</v>
      </c>
      <c r="I23" s="14"/>
      <c r="J23" s="14"/>
      <c r="K23" s="14"/>
      <c r="L23" s="14">
        <v>39</v>
      </c>
      <c r="M23" s="16">
        <v>5</v>
      </c>
    </row>
    <row r="24" spans="1:13" ht="18.75" x14ac:dyDescent="0.3">
      <c r="A24" s="3">
        <v>23</v>
      </c>
      <c r="B24" s="4" t="s">
        <v>31</v>
      </c>
      <c r="C24" s="4" t="s">
        <v>19</v>
      </c>
      <c r="D24" s="14">
        <f>SUM(1485+1497+1501+1503+1503+1372+1409+1496+1503+1503+1491)</f>
        <v>16263</v>
      </c>
      <c r="E24" s="14">
        <f>SUM(103+100+143+103+132+96+79+99+121+99+113)</f>
        <v>1188</v>
      </c>
      <c r="F24" s="15">
        <f>SUM(D24/E24)</f>
        <v>13.689393939393939</v>
      </c>
      <c r="G24" s="14">
        <v>11</v>
      </c>
      <c r="H24" s="14">
        <v>7</v>
      </c>
      <c r="I24" s="14">
        <v>1</v>
      </c>
      <c r="J24" s="14"/>
      <c r="K24" s="14"/>
      <c r="L24" s="14">
        <v>39.5</v>
      </c>
      <c r="M24" s="16"/>
    </row>
    <row r="25" spans="1:13" ht="18.75" x14ac:dyDescent="0.3">
      <c r="A25" s="3">
        <v>24</v>
      </c>
      <c r="B25" s="26" t="s">
        <v>56</v>
      </c>
      <c r="C25" s="4" t="s">
        <v>29</v>
      </c>
      <c r="D25" s="14">
        <f>SUM(1501+1284+1142+1483+1269+1441+1481+1441+1467+1501+1503+1464)</f>
        <v>16977</v>
      </c>
      <c r="E25" s="14">
        <f>SUM(132+99+81+119+90+91+99+106+117+113+110+98)</f>
        <v>1255</v>
      </c>
      <c r="F25" s="15">
        <f>SUM(D25/E25)</f>
        <v>13.527490039840638</v>
      </c>
      <c r="G25" s="14">
        <v>12</v>
      </c>
      <c r="H25" s="14">
        <v>9</v>
      </c>
      <c r="I25" s="14">
        <v>1</v>
      </c>
      <c r="J25" s="14"/>
      <c r="K25" s="14"/>
      <c r="L25" s="14">
        <v>41</v>
      </c>
      <c r="M25" s="16"/>
    </row>
    <row r="26" spans="1:13" ht="18.75" x14ac:dyDescent="0.3">
      <c r="A26" s="3">
        <v>25</v>
      </c>
      <c r="B26" s="4" t="s">
        <v>115</v>
      </c>
      <c r="C26" s="4" t="s">
        <v>12</v>
      </c>
      <c r="D26" s="14">
        <f>SUM(1485+1493+1468+1503+1359+1483+1500+1292+1494+1503)</f>
        <v>14580</v>
      </c>
      <c r="E26" s="14">
        <f>SUM(119+86+129+112+98+129+113+102+111+83)</f>
        <v>1082</v>
      </c>
      <c r="F26" s="15">
        <f>SUM(D26/E26)</f>
        <v>13.475046210720887</v>
      </c>
      <c r="G26" s="14">
        <v>10</v>
      </c>
      <c r="H26" s="14">
        <v>5</v>
      </c>
      <c r="I26" s="14"/>
      <c r="J26" s="14"/>
      <c r="K26" s="14"/>
      <c r="L26" s="14">
        <v>34</v>
      </c>
      <c r="M26" s="16">
        <v>5</v>
      </c>
    </row>
    <row r="27" spans="1:13" ht="18.75" x14ac:dyDescent="0.3">
      <c r="A27" s="3">
        <v>26</v>
      </c>
      <c r="B27" s="4" t="s">
        <v>67</v>
      </c>
      <c r="C27" s="4" t="s">
        <v>49</v>
      </c>
      <c r="D27" s="14">
        <f>SUM(1501+1454+1401+1499+1498+1316+1320+1277+1388+1365+1411+1416)</f>
        <v>16846</v>
      </c>
      <c r="E27" s="14">
        <f>SUM(162+98+128+112+110+80+97+104+99+90+87+97)</f>
        <v>1264</v>
      </c>
      <c r="F27" s="15">
        <f>SUM(D27/E27)</f>
        <v>13.32753164556962</v>
      </c>
      <c r="G27" s="14">
        <v>12</v>
      </c>
      <c r="H27" s="14">
        <v>5</v>
      </c>
      <c r="I27" s="14"/>
      <c r="J27" s="14"/>
      <c r="K27" s="14"/>
      <c r="L27" s="14">
        <v>33.5</v>
      </c>
      <c r="M27" s="16">
        <v>10</v>
      </c>
    </row>
    <row r="28" spans="1:13" ht="18.75" x14ac:dyDescent="0.3">
      <c r="A28" s="3">
        <v>27</v>
      </c>
      <c r="B28" s="4" t="s">
        <v>22</v>
      </c>
      <c r="C28" s="4" t="s">
        <v>23</v>
      </c>
      <c r="D28" s="14">
        <f>SUM(1503+1341+1499+1500+1503+1438+1495+1503+1483+1269+1441+1449)</f>
        <v>17424</v>
      </c>
      <c r="E28" s="14">
        <f>SUM(96+100+124+121+117+114+112+94+111+108+138+86)</f>
        <v>1321</v>
      </c>
      <c r="F28" s="15">
        <f>SUM(D28/E28)</f>
        <v>13.19000757002271</v>
      </c>
      <c r="G28" s="14">
        <v>12</v>
      </c>
      <c r="H28" s="14">
        <v>7</v>
      </c>
      <c r="I28" s="14"/>
      <c r="J28" s="14"/>
      <c r="K28" s="14"/>
      <c r="L28" s="14">
        <v>40</v>
      </c>
      <c r="M28" s="16"/>
    </row>
    <row r="29" spans="1:13" ht="18.75" x14ac:dyDescent="0.3">
      <c r="A29" s="3">
        <v>28</v>
      </c>
      <c r="B29" s="26" t="s">
        <v>51</v>
      </c>
      <c r="C29" s="4" t="s">
        <v>33</v>
      </c>
      <c r="D29" s="14">
        <f>SUM(1125+1277+1380+1480+1455+1503+1435+1451+1472)</f>
        <v>12578</v>
      </c>
      <c r="E29" s="14">
        <f>SUM(96+102+98+119+103+112+87+126+111)</f>
        <v>954</v>
      </c>
      <c r="F29" s="15">
        <f>SUM(D29/E29)</f>
        <v>13.184486373165619</v>
      </c>
      <c r="G29" s="14">
        <v>9</v>
      </c>
      <c r="H29" s="14">
        <v>3</v>
      </c>
      <c r="I29" s="14"/>
      <c r="J29" s="14"/>
      <c r="K29" s="14"/>
      <c r="L29" s="14">
        <v>23.5</v>
      </c>
      <c r="M29" s="16">
        <v>5</v>
      </c>
    </row>
    <row r="30" spans="1:13" ht="18.75" x14ac:dyDescent="0.3">
      <c r="A30" s="3">
        <v>29</v>
      </c>
      <c r="B30" s="4" t="s">
        <v>43</v>
      </c>
      <c r="C30" s="4" t="s">
        <v>29</v>
      </c>
      <c r="D30" s="14">
        <f>SUM(984+1493+1090+1355+1485+1453+1343+1461+1498+1401+1497+1406)</f>
        <v>16466</v>
      </c>
      <c r="E30" s="14">
        <f>SUM(78+103+78+96+99+108+86+109+161+117+136+85)</f>
        <v>1256</v>
      </c>
      <c r="F30" s="15">
        <f>SUM(D30/E30)</f>
        <v>13.109872611464969</v>
      </c>
      <c r="G30" s="14">
        <v>12</v>
      </c>
      <c r="H30" s="14">
        <v>7</v>
      </c>
      <c r="I30" s="14"/>
      <c r="J30" s="14"/>
      <c r="K30" s="14"/>
      <c r="L30" s="14">
        <v>35</v>
      </c>
      <c r="M30" s="16"/>
    </row>
    <row r="31" spans="1:13" ht="18.75" x14ac:dyDescent="0.3">
      <c r="A31" s="3">
        <v>30</v>
      </c>
      <c r="B31" s="4" t="s">
        <v>48</v>
      </c>
      <c r="C31" s="7" t="s">
        <v>49</v>
      </c>
      <c r="D31" s="14">
        <f>SUM(1498+1501+1411+1162+1480+1223+1193+1475+1503+1352+1503+1319)</f>
        <v>16620</v>
      </c>
      <c r="E31" s="14">
        <f>SUM(124+124+124+90+129+85+84+111+99+96+133+77)</f>
        <v>1276</v>
      </c>
      <c r="F31" s="15">
        <f>SUM(D31/E31)</f>
        <v>13.025078369905955</v>
      </c>
      <c r="G31" s="14">
        <v>12</v>
      </c>
      <c r="H31" s="14">
        <v>4</v>
      </c>
      <c r="I31" s="14"/>
      <c r="J31" s="14">
        <v>1</v>
      </c>
      <c r="K31" s="14"/>
      <c r="L31" s="14">
        <v>32.5</v>
      </c>
      <c r="M31" s="16">
        <v>5</v>
      </c>
    </row>
    <row r="32" spans="1:13" ht="18.75" x14ac:dyDescent="0.3">
      <c r="A32" s="3">
        <v>31</v>
      </c>
      <c r="B32" s="26" t="s">
        <v>133</v>
      </c>
      <c r="C32" s="4" t="s">
        <v>46</v>
      </c>
      <c r="D32" s="14">
        <f>SUM(1380+1496+1443+1214+1489+1355+1390+1398+1501)</f>
        <v>12666</v>
      </c>
      <c r="E32" s="14">
        <f>SUM(111+130+100+89+114+99+111+101+118)</f>
        <v>973</v>
      </c>
      <c r="F32" s="15">
        <f>SUM(D32/E32)</f>
        <v>13.017471736896198</v>
      </c>
      <c r="G32" s="14">
        <v>9</v>
      </c>
      <c r="H32" s="14">
        <v>4</v>
      </c>
      <c r="I32" s="14"/>
      <c r="J32" s="14"/>
      <c r="K32" s="14"/>
      <c r="L32" s="14">
        <v>17</v>
      </c>
      <c r="M32" s="16"/>
    </row>
    <row r="33" spans="1:13" ht="18.75" x14ac:dyDescent="0.3">
      <c r="A33" s="3">
        <v>32</v>
      </c>
      <c r="B33" s="26" t="s">
        <v>74</v>
      </c>
      <c r="C33" s="7" t="s">
        <v>60</v>
      </c>
      <c r="D33" s="14">
        <f>SUM(1491+1480+1457+1253+1439+1475+1353+1072+1475)</f>
        <v>12495</v>
      </c>
      <c r="E33" s="14">
        <f>SUM(100+103+151+111+93+113+111+81+104)</f>
        <v>967</v>
      </c>
      <c r="F33" s="15">
        <f>SUM(D33/E33)</f>
        <v>12.921406411582213</v>
      </c>
      <c r="G33" s="14">
        <v>9</v>
      </c>
      <c r="H33" s="14">
        <v>4</v>
      </c>
      <c r="I33" s="14"/>
      <c r="J33" s="14"/>
      <c r="K33" s="14"/>
      <c r="L33" s="14">
        <v>15.5</v>
      </c>
      <c r="M33" s="16"/>
    </row>
    <row r="34" spans="1:13" ht="18.75" x14ac:dyDescent="0.3">
      <c r="A34" s="3">
        <v>33</v>
      </c>
      <c r="B34" s="8" t="s">
        <v>36</v>
      </c>
      <c r="C34" s="4" t="s">
        <v>16</v>
      </c>
      <c r="D34" s="14">
        <f>SUM(1472+1279+1463+1479+1401+1487+1503+1251+1489+1503+1491)</f>
        <v>15818</v>
      </c>
      <c r="E34" s="14">
        <f>SUM(108+93+117+130+103+115+130+83+123+116+113)</f>
        <v>1231</v>
      </c>
      <c r="F34" s="15">
        <f>SUM(D34/E34)</f>
        <v>12.849715678310316</v>
      </c>
      <c r="G34" s="14">
        <v>11</v>
      </c>
      <c r="H34" s="14">
        <v>7</v>
      </c>
      <c r="I34" s="14"/>
      <c r="J34" s="14"/>
      <c r="K34" s="14"/>
      <c r="L34" s="14">
        <v>38.5</v>
      </c>
      <c r="M34" s="16"/>
    </row>
    <row r="35" spans="1:13" ht="18.75" x14ac:dyDescent="0.3">
      <c r="A35" s="3">
        <v>34</v>
      </c>
      <c r="B35" s="7" t="s">
        <v>72</v>
      </c>
      <c r="C35" s="4" t="s">
        <v>19</v>
      </c>
      <c r="D35" s="17">
        <f>SUM(1495+1461+1481+1503)</f>
        <v>5940</v>
      </c>
      <c r="E35" s="14">
        <f>SUM(117+130+128+88)</f>
        <v>463</v>
      </c>
      <c r="F35" s="15">
        <f>SUM(D35/E35)</f>
        <v>12.829373650107991</v>
      </c>
      <c r="G35" s="14">
        <v>4</v>
      </c>
      <c r="H35" s="14">
        <v>3</v>
      </c>
      <c r="I35" s="14"/>
      <c r="J35" s="14"/>
      <c r="K35" s="14"/>
      <c r="L35" s="14">
        <v>26</v>
      </c>
      <c r="M35" s="16"/>
    </row>
    <row r="36" spans="1:13" ht="18.75" x14ac:dyDescent="0.3">
      <c r="A36" s="3">
        <v>35</v>
      </c>
      <c r="B36" s="7" t="s">
        <v>26</v>
      </c>
      <c r="C36" s="4" t="s">
        <v>21</v>
      </c>
      <c r="D36" s="17">
        <f>SUM(1301+1470+1495+1501+1264+1489+1497)</f>
        <v>10017</v>
      </c>
      <c r="E36" s="14">
        <f>SUM(88+118+154+110+98+105+117)</f>
        <v>790</v>
      </c>
      <c r="F36" s="15">
        <f>SUM(D36/E36)</f>
        <v>12.679746835443037</v>
      </c>
      <c r="G36" s="14">
        <v>7</v>
      </c>
      <c r="H36" s="14">
        <v>4</v>
      </c>
      <c r="I36" s="14"/>
      <c r="J36" s="14">
        <v>2</v>
      </c>
      <c r="K36" s="14"/>
      <c r="L36" s="14">
        <v>22.5</v>
      </c>
      <c r="M36" s="16"/>
    </row>
    <row r="37" spans="1:13" ht="18.75" x14ac:dyDescent="0.3">
      <c r="A37" s="3">
        <v>36</v>
      </c>
      <c r="B37" s="7" t="s">
        <v>35</v>
      </c>
      <c r="C37" s="4" t="s">
        <v>33</v>
      </c>
      <c r="D37" s="17">
        <f>SUM(1453+1310+1456+1304+949+1406+1450+1503+1487+1503+1376+1483)</f>
        <v>16680</v>
      </c>
      <c r="E37" s="14">
        <f>SUM(105+122+95+112+75+90+148+117+102+131+109+112)</f>
        <v>1318</v>
      </c>
      <c r="F37" s="15">
        <f>SUM(D37/E37)</f>
        <v>12.655538694992412</v>
      </c>
      <c r="G37" s="14">
        <v>12</v>
      </c>
      <c r="H37" s="14">
        <v>6</v>
      </c>
      <c r="I37" s="14"/>
      <c r="J37" s="14"/>
      <c r="K37" s="14"/>
      <c r="L37" s="14">
        <v>40.5</v>
      </c>
      <c r="M37" s="16">
        <v>5</v>
      </c>
    </row>
    <row r="38" spans="1:13" ht="18.75" x14ac:dyDescent="0.3">
      <c r="A38" s="3">
        <v>37</v>
      </c>
      <c r="B38" s="9" t="s">
        <v>73</v>
      </c>
      <c r="C38" s="4" t="s">
        <v>21</v>
      </c>
      <c r="D38" s="17">
        <f>SUM(1472+1490+1500+1453)</f>
        <v>5915</v>
      </c>
      <c r="E38" s="14">
        <f>SUM(133+105+121+116)</f>
        <v>475</v>
      </c>
      <c r="F38" s="15">
        <f>SUM(D38/E38)</f>
        <v>12.452631578947368</v>
      </c>
      <c r="G38" s="14">
        <v>4</v>
      </c>
      <c r="H38" s="14">
        <v>3</v>
      </c>
      <c r="I38" s="14"/>
      <c r="J38" s="14"/>
      <c r="K38" s="14"/>
      <c r="L38" s="14">
        <v>11.5</v>
      </c>
      <c r="M38" s="16"/>
    </row>
    <row r="39" spans="1:13" ht="18.75" x14ac:dyDescent="0.3">
      <c r="A39" s="3">
        <v>38</v>
      </c>
      <c r="B39" s="9" t="s">
        <v>57</v>
      </c>
      <c r="C39" s="4" t="s">
        <v>46</v>
      </c>
      <c r="D39" s="17">
        <f>SUM(1416+1252+1334+1500+1345+1490+1487+1180+1384+1213+1499)</f>
        <v>15100</v>
      </c>
      <c r="E39" s="14">
        <f>SUM(125+84+99+144+105+98+147+99+102+93+140)</f>
        <v>1236</v>
      </c>
      <c r="F39" s="15">
        <f>SUM(D39/E39)</f>
        <v>12.216828478964402</v>
      </c>
      <c r="G39" s="14">
        <v>11</v>
      </c>
      <c r="H39" s="14">
        <v>4</v>
      </c>
      <c r="I39" s="14"/>
      <c r="J39" s="14"/>
      <c r="K39" s="14"/>
      <c r="L39" s="14">
        <v>22</v>
      </c>
      <c r="M39" s="16"/>
    </row>
    <row r="40" spans="1:13" ht="18.75" x14ac:dyDescent="0.3">
      <c r="A40" s="3">
        <v>39</v>
      </c>
      <c r="B40" s="9" t="s">
        <v>39</v>
      </c>
      <c r="C40" s="4" t="s">
        <v>29</v>
      </c>
      <c r="D40" s="17">
        <f>SUM(1503+1335+1494+1501+1503+1447+1312+1503+1503+1467+1475+1503)</f>
        <v>17546</v>
      </c>
      <c r="E40" s="14">
        <f>SUM(114+123+120+142+132+98+89+119+143+99+153+108)</f>
        <v>1440</v>
      </c>
      <c r="F40" s="15">
        <f>SUM(D40/E40)</f>
        <v>12.184722222222222</v>
      </c>
      <c r="G40" s="14">
        <v>12</v>
      </c>
      <c r="H40" s="14">
        <v>7</v>
      </c>
      <c r="I40" s="14"/>
      <c r="J40" s="14"/>
      <c r="K40" s="14"/>
      <c r="L40" s="14">
        <v>40</v>
      </c>
      <c r="M40" s="16"/>
    </row>
    <row r="41" spans="1:13" ht="18.75" x14ac:dyDescent="0.3">
      <c r="A41" s="3">
        <v>40</v>
      </c>
      <c r="B41" s="7" t="s">
        <v>41</v>
      </c>
      <c r="C41" s="4" t="s">
        <v>21</v>
      </c>
      <c r="D41" s="17">
        <f>SUM(1179+1413+1443+1451+1367+1503+1448+1485+1503+1348+1477+1412)</f>
        <v>17029</v>
      </c>
      <c r="E41" s="14">
        <f>SUM(90+119+112+108+114+113+120+144+155+94+114+119)</f>
        <v>1402</v>
      </c>
      <c r="F41" s="15">
        <f>SUM(D41/E41)</f>
        <v>12.146219686162626</v>
      </c>
      <c r="G41" s="14">
        <v>12</v>
      </c>
      <c r="H41" s="14">
        <v>4</v>
      </c>
      <c r="I41" s="14">
        <v>1</v>
      </c>
      <c r="J41" s="14"/>
      <c r="K41" s="14"/>
      <c r="L41" s="14">
        <v>31</v>
      </c>
      <c r="M41" s="16">
        <v>5</v>
      </c>
    </row>
    <row r="42" spans="1:13" ht="18.75" x14ac:dyDescent="0.3">
      <c r="A42" s="3">
        <v>41</v>
      </c>
      <c r="B42" s="28" t="s">
        <v>50</v>
      </c>
      <c r="C42" s="8" t="s">
        <v>12</v>
      </c>
      <c r="D42" s="17">
        <f>SUM(1235+1395+1503)</f>
        <v>4133</v>
      </c>
      <c r="E42" s="14">
        <f>SUM(104+119+119)</f>
        <v>342</v>
      </c>
      <c r="F42" s="15">
        <f>SUM(D42/E42)</f>
        <v>12.084795321637428</v>
      </c>
      <c r="G42" s="14">
        <v>3</v>
      </c>
      <c r="H42" s="14">
        <v>1</v>
      </c>
      <c r="I42" s="14"/>
      <c r="J42" s="14"/>
      <c r="K42" s="14"/>
      <c r="L42" s="14">
        <v>12</v>
      </c>
      <c r="M42" s="16"/>
    </row>
    <row r="43" spans="1:13" ht="18.75" x14ac:dyDescent="0.3">
      <c r="A43" s="3">
        <v>42</v>
      </c>
      <c r="B43" s="9" t="s">
        <v>76</v>
      </c>
      <c r="C43" s="7" t="s">
        <v>49</v>
      </c>
      <c r="D43" s="17">
        <f>SUM(1499+1501+1408+1503+1495+1495+1481+1100+1277+1401+1503)</f>
        <v>15663</v>
      </c>
      <c r="E43" s="14">
        <f>SUM(172+128+99+114+138+126+106+92+79+114+134)</f>
        <v>1302</v>
      </c>
      <c r="F43" s="15">
        <f>SUM(D43/E43)</f>
        <v>12.02995391705069</v>
      </c>
      <c r="G43" s="14">
        <v>11</v>
      </c>
      <c r="H43" s="14">
        <v>7</v>
      </c>
      <c r="I43" s="14"/>
      <c r="J43" s="14"/>
      <c r="K43" s="14"/>
      <c r="L43" s="14">
        <v>34</v>
      </c>
      <c r="M43" s="16"/>
    </row>
    <row r="44" spans="1:13" ht="18.75" x14ac:dyDescent="0.3">
      <c r="A44" s="3">
        <v>43</v>
      </c>
      <c r="B44" s="18" t="s">
        <v>55</v>
      </c>
      <c r="C44" s="7" t="s">
        <v>33</v>
      </c>
      <c r="D44" s="17">
        <f>SUM(1418+1495+1361+1446+1491+1483+1468+1496+1503+1469+1237)</f>
        <v>15867</v>
      </c>
      <c r="E44" s="14">
        <f>SUM(122+118+123+150+97+115+113+113+127+160+81)</f>
        <v>1319</v>
      </c>
      <c r="F44" s="15">
        <f>SUM(D44/E44)</f>
        <v>12.029567854435179</v>
      </c>
      <c r="G44" s="14">
        <v>11</v>
      </c>
      <c r="H44" s="14">
        <v>7</v>
      </c>
      <c r="I44" s="14"/>
      <c r="J44" s="14"/>
      <c r="K44" s="14"/>
      <c r="L44" s="14">
        <v>32.5</v>
      </c>
      <c r="M44" s="16"/>
    </row>
    <row r="45" spans="1:13" ht="18.75" x14ac:dyDescent="0.3">
      <c r="A45" s="3">
        <v>44</v>
      </c>
      <c r="B45" s="7" t="s">
        <v>63</v>
      </c>
      <c r="C45" s="7" t="s">
        <v>53</v>
      </c>
      <c r="D45" s="17">
        <f>SUM(1498+1066+1491+1501+1497+1393)</f>
        <v>8446</v>
      </c>
      <c r="E45" s="14">
        <f>SUM(158+78+104+125+126+112)</f>
        <v>703</v>
      </c>
      <c r="F45" s="15">
        <f>SUM(D45/E45)</f>
        <v>12.014224751066857</v>
      </c>
      <c r="G45" s="14">
        <v>6</v>
      </c>
      <c r="H45" s="14">
        <v>2</v>
      </c>
      <c r="I45" s="14"/>
      <c r="J45" s="14"/>
      <c r="K45" s="14"/>
      <c r="L45" s="14">
        <v>11</v>
      </c>
      <c r="M45" s="16"/>
    </row>
    <row r="46" spans="1:13" ht="18.75" x14ac:dyDescent="0.3">
      <c r="A46" s="3">
        <v>45</v>
      </c>
      <c r="B46" s="9" t="s">
        <v>132</v>
      </c>
      <c r="C46" s="7" t="s">
        <v>14</v>
      </c>
      <c r="D46" s="17">
        <f>SUM(1485+1373+1487+1427)</f>
        <v>5772</v>
      </c>
      <c r="E46" s="14">
        <f>SUM(129+93+141+121)</f>
        <v>484</v>
      </c>
      <c r="F46" s="15">
        <f>SUM(D46/E46)</f>
        <v>11.925619834710744</v>
      </c>
      <c r="G46" s="14">
        <v>4</v>
      </c>
      <c r="H46" s="14">
        <v>3</v>
      </c>
      <c r="I46" s="14"/>
      <c r="J46" s="14"/>
      <c r="K46" s="14"/>
      <c r="L46" s="14">
        <v>14</v>
      </c>
      <c r="M46" s="16"/>
    </row>
    <row r="47" spans="1:13" ht="18.75" x14ac:dyDescent="0.3">
      <c r="A47" s="3">
        <v>46</v>
      </c>
      <c r="B47" s="9" t="s">
        <v>131</v>
      </c>
      <c r="C47" s="7" t="s">
        <v>60</v>
      </c>
      <c r="D47" s="17">
        <f>SUM(1359)</f>
        <v>1359</v>
      </c>
      <c r="E47" s="14">
        <f>SUM(116)</f>
        <v>116</v>
      </c>
      <c r="F47" s="15">
        <f>SUM(D47/E47)</f>
        <v>11.71551724137931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130</v>
      </c>
      <c r="C48" s="7" t="s">
        <v>21</v>
      </c>
      <c r="D48" s="17">
        <f>SUM(1363)</f>
        <v>1363</v>
      </c>
      <c r="E48" s="14">
        <f>SUM(117)</f>
        <v>117</v>
      </c>
      <c r="F48" s="15">
        <f>SUM(D48/E48)</f>
        <v>11.649572649572649</v>
      </c>
      <c r="G48" s="14">
        <v>1</v>
      </c>
      <c r="H48" s="14"/>
      <c r="I48" s="14"/>
      <c r="J48" s="14"/>
      <c r="K48" s="14"/>
      <c r="L48" s="14">
        <v>1</v>
      </c>
      <c r="M48" s="16"/>
    </row>
    <row r="49" spans="1:13" ht="18.75" x14ac:dyDescent="0.3">
      <c r="A49" s="3">
        <v>48</v>
      </c>
      <c r="B49" s="9" t="s">
        <v>30</v>
      </c>
      <c r="C49" s="4" t="s">
        <v>23</v>
      </c>
      <c r="D49" s="17">
        <f>SUM(1302+1358+1471+1503+1495+1235+1457+1491+1322+1364+1473+1265)</f>
        <v>16736</v>
      </c>
      <c r="E49" s="14">
        <f>SUM(90+98+130+127+149+111+149+144+100+120+133+99)</f>
        <v>1450</v>
      </c>
      <c r="F49" s="15">
        <f>SUM(D49/E49)</f>
        <v>11.542068965517242</v>
      </c>
      <c r="G49" s="14">
        <v>12</v>
      </c>
      <c r="H49" s="14">
        <v>6</v>
      </c>
      <c r="I49" s="14"/>
      <c r="J49" s="14"/>
      <c r="K49" s="14"/>
      <c r="L49" s="14">
        <v>34</v>
      </c>
      <c r="M49" s="16"/>
    </row>
    <row r="50" spans="1:13" ht="18.75" x14ac:dyDescent="0.3">
      <c r="A50" s="3">
        <v>49</v>
      </c>
      <c r="B50" s="9" t="s">
        <v>129</v>
      </c>
      <c r="C50" s="8" t="s">
        <v>16</v>
      </c>
      <c r="D50" s="17">
        <f>SUM(1424+1496+1503)</f>
        <v>4423</v>
      </c>
      <c r="E50" s="14">
        <f>SUM(126+145+116)</f>
        <v>387</v>
      </c>
      <c r="F50" s="15">
        <f>SUM(D50/E50)</f>
        <v>11.428940568475452</v>
      </c>
      <c r="G50" s="14">
        <v>3</v>
      </c>
      <c r="H50" s="14">
        <v>1</v>
      </c>
      <c r="I50" s="14"/>
      <c r="J50" s="14"/>
      <c r="K50" s="14"/>
      <c r="L50" s="14">
        <v>11.5</v>
      </c>
      <c r="M50" s="16"/>
    </row>
    <row r="51" spans="1:13" ht="18.75" x14ac:dyDescent="0.3">
      <c r="A51" s="3">
        <v>50</v>
      </c>
      <c r="B51" s="27" t="s">
        <v>54</v>
      </c>
      <c r="C51" s="7" t="s">
        <v>49</v>
      </c>
      <c r="D51" s="17">
        <f>SUM(1408+1461+1300)</f>
        <v>4169</v>
      </c>
      <c r="E51" s="14">
        <f>SUM(121+158+86)</f>
        <v>365</v>
      </c>
      <c r="F51" s="15">
        <f>SUM(D51/E51)</f>
        <v>11.421917808219177</v>
      </c>
      <c r="G51" s="14">
        <v>3</v>
      </c>
      <c r="H51" s="14">
        <v>1</v>
      </c>
      <c r="I51" s="14"/>
      <c r="J51" s="14"/>
      <c r="K51" s="14"/>
      <c r="L51" s="14">
        <v>9.5</v>
      </c>
      <c r="M51" s="16"/>
    </row>
    <row r="52" spans="1:13" ht="18.75" x14ac:dyDescent="0.3">
      <c r="A52" s="3">
        <v>51</v>
      </c>
      <c r="B52" s="11" t="s">
        <v>128</v>
      </c>
      <c r="C52" s="8" t="s">
        <v>46</v>
      </c>
      <c r="D52" s="17">
        <f>SUM(1498+1487+1119+1427+1245+1489)</f>
        <v>8265</v>
      </c>
      <c r="E52" s="14">
        <f>SUM(161+114+90+105+111+144)</f>
        <v>725</v>
      </c>
      <c r="F52" s="15">
        <f>SUM(D52/E52)</f>
        <v>11.4</v>
      </c>
      <c r="G52" s="14">
        <v>6</v>
      </c>
      <c r="H52" s="14">
        <v>3</v>
      </c>
      <c r="I52" s="14"/>
      <c r="J52" s="14"/>
      <c r="K52" s="14"/>
      <c r="L52" s="14">
        <v>17.5</v>
      </c>
      <c r="M52" s="16"/>
    </row>
    <row r="53" spans="1:13" ht="18.75" x14ac:dyDescent="0.3">
      <c r="A53" s="3">
        <v>52</v>
      </c>
      <c r="B53" s="11" t="s">
        <v>127</v>
      </c>
      <c r="C53" s="4" t="s">
        <v>60</v>
      </c>
      <c r="D53" s="17">
        <f>SUM(913)</f>
        <v>913</v>
      </c>
      <c r="E53" s="14">
        <f>SUM(81)</f>
        <v>81</v>
      </c>
      <c r="F53" s="15">
        <f>SUM(D53/E53)</f>
        <v>11.271604938271604</v>
      </c>
      <c r="G53" s="14">
        <v>1</v>
      </c>
      <c r="H53" s="14"/>
      <c r="I53" s="14"/>
      <c r="J53" s="14"/>
      <c r="K53" s="14"/>
      <c r="L53" s="14">
        <v>1.5</v>
      </c>
      <c r="M53" s="16"/>
    </row>
    <row r="54" spans="1:13" ht="18.75" x14ac:dyDescent="0.3">
      <c r="A54" s="3">
        <v>53</v>
      </c>
      <c r="B54" s="11" t="s">
        <v>69</v>
      </c>
      <c r="C54" s="7" t="s">
        <v>60</v>
      </c>
      <c r="D54" s="17">
        <f>SUM(1297+1501+1485+1355+1413+1350+1379+1478+1232+1371+1360)</f>
        <v>15221</v>
      </c>
      <c r="E54" s="14">
        <f>SUM(156+158+152+127+108+117+122+108+93+104+110)</f>
        <v>1355</v>
      </c>
      <c r="F54" s="15">
        <f>SUM(D54/E54)</f>
        <v>11.233210332103321</v>
      </c>
      <c r="G54" s="14">
        <v>10</v>
      </c>
      <c r="H54" s="14">
        <v>4</v>
      </c>
      <c r="I54" s="14"/>
      <c r="J54" s="14"/>
      <c r="K54" s="14"/>
      <c r="L54" s="14">
        <v>19</v>
      </c>
      <c r="M54" s="16"/>
    </row>
    <row r="55" spans="1:13" ht="18.75" x14ac:dyDescent="0.3">
      <c r="A55" s="3">
        <v>54</v>
      </c>
      <c r="B55" s="27" t="s">
        <v>58</v>
      </c>
      <c r="C55" s="7" t="s">
        <v>14</v>
      </c>
      <c r="D55" s="17">
        <f>SUM(1431+1499+1493+1499+1374+1491+1468+1458+1503+1481+1238)</f>
        <v>15935</v>
      </c>
      <c r="E55" s="14">
        <f>SUM(128+168+144+126+105+139+114+150+107+128+115)</f>
        <v>1424</v>
      </c>
      <c r="F55" s="15">
        <f>SUM(D55/E55)</f>
        <v>11.190308988764045</v>
      </c>
      <c r="G55" s="14">
        <v>11</v>
      </c>
      <c r="H55" s="14">
        <v>5</v>
      </c>
      <c r="I55" s="14"/>
      <c r="J55" s="14"/>
      <c r="K55" s="14"/>
      <c r="L55" s="14">
        <v>36.5</v>
      </c>
      <c r="M55" s="16"/>
    </row>
    <row r="56" spans="1:13" ht="18.75" x14ac:dyDescent="0.3">
      <c r="A56" s="3">
        <v>55</v>
      </c>
      <c r="B56" s="27" t="s">
        <v>42</v>
      </c>
      <c r="C56" s="7" t="s">
        <v>14</v>
      </c>
      <c r="D56" s="17">
        <f>SUM(1482+1499+1503+1491+1294+1465+1439+1445+1503+1264+1407)</f>
        <v>15792</v>
      </c>
      <c r="E56" s="14">
        <f>SUM(117+165+144+126+126+162+121+110+118+105+121)</f>
        <v>1415</v>
      </c>
      <c r="F56" s="15">
        <f>SUM(D56/E56)</f>
        <v>11.160424028268551</v>
      </c>
      <c r="G56" s="14">
        <v>11</v>
      </c>
      <c r="H56" s="14">
        <v>4</v>
      </c>
      <c r="I56" s="14">
        <v>1</v>
      </c>
      <c r="J56" s="14"/>
      <c r="K56" s="14"/>
      <c r="L56" s="14">
        <v>33</v>
      </c>
      <c r="M56" s="16"/>
    </row>
    <row r="57" spans="1:13" ht="18.75" x14ac:dyDescent="0.3">
      <c r="A57" s="3">
        <v>56</v>
      </c>
      <c r="B57" s="11" t="s">
        <v>45</v>
      </c>
      <c r="C57" s="7" t="s">
        <v>46</v>
      </c>
      <c r="D57" s="17">
        <f>SUM(1497+1394+1490)</f>
        <v>4381</v>
      </c>
      <c r="E57" s="14">
        <f>SUM(120+114+162)</f>
        <v>396</v>
      </c>
      <c r="F57" s="15">
        <f>SUM(D57/E57)</f>
        <v>11.063131313131313</v>
      </c>
      <c r="G57" s="14">
        <v>3</v>
      </c>
      <c r="H57" s="14"/>
      <c r="I57" s="14"/>
      <c r="J57" s="14"/>
      <c r="K57" s="14"/>
      <c r="L57" s="14">
        <v>2.5</v>
      </c>
      <c r="M57" s="16"/>
    </row>
    <row r="58" spans="1:13" ht="18.75" x14ac:dyDescent="0.3">
      <c r="A58" s="3">
        <v>57</v>
      </c>
      <c r="B58" s="11" t="s">
        <v>126</v>
      </c>
      <c r="C58" s="7" t="s">
        <v>21</v>
      </c>
      <c r="D58" s="17">
        <f>SUM(1350)</f>
        <v>1350</v>
      </c>
      <c r="E58" s="14">
        <f>SUM(123)</f>
        <v>123</v>
      </c>
      <c r="F58" s="15">
        <f>SUM(D58/E58)</f>
        <v>10.975609756097562</v>
      </c>
      <c r="G58" s="14">
        <v>1</v>
      </c>
      <c r="H58" s="14"/>
      <c r="I58" s="14"/>
      <c r="J58" s="14"/>
      <c r="K58" s="14"/>
      <c r="L58" s="14">
        <v>1.5</v>
      </c>
      <c r="M58" s="16"/>
    </row>
    <row r="59" spans="1:13" ht="18.75" x14ac:dyDescent="0.3">
      <c r="A59" s="3">
        <v>58</v>
      </c>
      <c r="B59" s="11" t="s">
        <v>70</v>
      </c>
      <c r="C59" s="4" t="s">
        <v>53</v>
      </c>
      <c r="D59" s="17">
        <f>SUM(1480+1435+1503+1491+1497+1463+1423+1446+1485+1395)</f>
        <v>14618</v>
      </c>
      <c r="E59" s="14">
        <f>SUM(180+141+139+125+151+119+116+99+134+135)</f>
        <v>1339</v>
      </c>
      <c r="F59" s="15">
        <f>SUM(D59/E59)</f>
        <v>10.917102315160568</v>
      </c>
      <c r="G59" s="14">
        <v>10</v>
      </c>
      <c r="H59" s="14">
        <v>1</v>
      </c>
      <c r="I59" s="14"/>
      <c r="J59" s="14"/>
      <c r="K59" s="14"/>
      <c r="L59" s="14">
        <v>18</v>
      </c>
      <c r="M59" s="16"/>
    </row>
    <row r="60" spans="1:13" ht="18.75" x14ac:dyDescent="0.3">
      <c r="A60" s="3">
        <v>59</v>
      </c>
      <c r="B60" s="11" t="s">
        <v>62</v>
      </c>
      <c r="C60" s="8" t="s">
        <v>60</v>
      </c>
      <c r="D60" s="17">
        <f>SUM(1264+920+1335+1422)</f>
        <v>4941</v>
      </c>
      <c r="E60" s="14">
        <f>SUM(123+72+138+121)</f>
        <v>454</v>
      </c>
      <c r="F60" s="15">
        <f>SUM(D60/E60)</f>
        <v>10.883259911894273</v>
      </c>
      <c r="G60" s="14">
        <v>4</v>
      </c>
      <c r="H60" s="14"/>
      <c r="I60" s="14"/>
      <c r="J60" s="14"/>
      <c r="K60" s="14"/>
      <c r="L60" s="14">
        <v>6</v>
      </c>
      <c r="M60" s="16"/>
    </row>
    <row r="61" spans="1:13" ht="18.75" x14ac:dyDescent="0.3">
      <c r="A61" s="3">
        <v>60</v>
      </c>
      <c r="B61" s="11" t="s">
        <v>59</v>
      </c>
      <c r="C61" s="7" t="s">
        <v>60</v>
      </c>
      <c r="D61" s="17">
        <f>SUM(1495+1198+1171+1097+1373+1006+1352)</f>
        <v>8692</v>
      </c>
      <c r="E61" s="14">
        <f>SUM(137+121+90+90+162+90+112)</f>
        <v>802</v>
      </c>
      <c r="F61" s="15">
        <f>SUM(D61/E61)</f>
        <v>10.83790523690773</v>
      </c>
      <c r="G61" s="14">
        <v>7</v>
      </c>
      <c r="H61" s="14"/>
      <c r="I61" s="14"/>
      <c r="J61" s="14"/>
      <c r="K61" s="14"/>
      <c r="L61" s="14">
        <v>4.5</v>
      </c>
      <c r="M61" s="16"/>
    </row>
    <row r="62" spans="1:13" ht="18.75" x14ac:dyDescent="0.3">
      <c r="A62" s="3">
        <v>61</v>
      </c>
      <c r="B62" s="11" t="s">
        <v>65</v>
      </c>
      <c r="C62" s="4" t="s">
        <v>46</v>
      </c>
      <c r="D62" s="17">
        <f>SUM(1493+1344+1345+1483+1412)</f>
        <v>7077</v>
      </c>
      <c r="E62" s="14">
        <f>SUM(159+141+111+139+117)</f>
        <v>667</v>
      </c>
      <c r="F62" s="15">
        <f>SUM(D62/E62)</f>
        <v>10.610194902548725</v>
      </c>
      <c r="G62" s="14">
        <v>4</v>
      </c>
      <c r="H62" s="14">
        <v>1</v>
      </c>
      <c r="I62" s="14"/>
      <c r="J62" s="14"/>
      <c r="K62" s="14"/>
      <c r="L62" s="14">
        <v>5.5</v>
      </c>
      <c r="M62" s="16"/>
    </row>
    <row r="63" spans="1:13" ht="18.75" x14ac:dyDescent="0.3">
      <c r="A63" s="3">
        <v>62</v>
      </c>
      <c r="B63" s="27" t="s">
        <v>61</v>
      </c>
      <c r="C63" s="4" t="s">
        <v>53</v>
      </c>
      <c r="D63" s="17">
        <f>SUM(1483+1452+1373+1441+1447+1477+1492+1477)</f>
        <v>11642</v>
      </c>
      <c r="E63" s="14">
        <f>SUM(136+141+114+142+106+162+152+159)</f>
        <v>1112</v>
      </c>
      <c r="F63" s="15">
        <f>SUM(D63/E63)</f>
        <v>10.469424460431656</v>
      </c>
      <c r="G63" s="14">
        <v>8</v>
      </c>
      <c r="H63" s="14">
        <v>4</v>
      </c>
      <c r="I63" s="14"/>
      <c r="J63" s="14"/>
      <c r="K63" s="14"/>
      <c r="L63" s="14">
        <v>23.5</v>
      </c>
      <c r="M63" s="16"/>
    </row>
    <row r="64" spans="1:13" ht="18.75" x14ac:dyDescent="0.3">
      <c r="A64" s="3">
        <v>63</v>
      </c>
      <c r="B64" s="11" t="s">
        <v>75</v>
      </c>
      <c r="C64" s="4" t="s">
        <v>60</v>
      </c>
      <c r="D64" s="17">
        <f>SUM(1459+1180+1070+1335+1316+1160)</f>
        <v>7520</v>
      </c>
      <c r="E64" s="14">
        <f>SUM(165+111+96+129+102+135)</f>
        <v>738</v>
      </c>
      <c r="F64" s="15">
        <f>SUM(D64/E64)</f>
        <v>10.189701897018971</v>
      </c>
      <c r="G64" s="14">
        <v>6</v>
      </c>
      <c r="H64" s="14"/>
      <c r="I64" s="14"/>
      <c r="J64" s="14"/>
      <c r="K64" s="14"/>
      <c r="L64" s="14">
        <v>6</v>
      </c>
      <c r="M64" s="16"/>
    </row>
    <row r="65" spans="1:18" ht="18.75" x14ac:dyDescent="0.3">
      <c r="A65" s="3">
        <v>64</v>
      </c>
      <c r="B65" s="27" t="s">
        <v>66</v>
      </c>
      <c r="C65" s="4" t="s">
        <v>49</v>
      </c>
      <c r="D65" s="17">
        <f>SUM(1474+1189+1448+1191+1495+1421+1358+1223+1499+1498)</f>
        <v>13796</v>
      </c>
      <c r="E65" s="14">
        <f>SUM(158+126+132+107+162+123+124+117+158+161)</f>
        <v>1368</v>
      </c>
      <c r="F65" s="15">
        <f>SUM(D65/E65)</f>
        <v>10.084795321637428</v>
      </c>
      <c r="G65" s="14">
        <v>10</v>
      </c>
      <c r="H65" s="14">
        <v>2</v>
      </c>
      <c r="I65" s="14"/>
      <c r="J65" s="14"/>
      <c r="K65" s="14"/>
      <c r="L65" s="14">
        <v>20.5</v>
      </c>
      <c r="M65" s="16"/>
    </row>
    <row r="66" spans="1:18" ht="18.75" x14ac:dyDescent="0.3">
      <c r="A66" s="3">
        <v>65</v>
      </c>
      <c r="B66" s="11" t="s">
        <v>125</v>
      </c>
      <c r="C66" s="7" t="s">
        <v>12</v>
      </c>
      <c r="D66" s="17">
        <f>SUM(1385)</f>
        <v>1385</v>
      </c>
      <c r="E66" s="14">
        <f>SUM(138)</f>
        <v>138</v>
      </c>
      <c r="F66" s="15">
        <f>SUM(D66/E66)</f>
        <v>10.036231884057971</v>
      </c>
      <c r="G66" s="14">
        <v>1</v>
      </c>
      <c r="H66" s="14"/>
      <c r="I66" s="14"/>
      <c r="J66" s="14"/>
      <c r="K66" s="14"/>
      <c r="L66" s="14">
        <v>2.5</v>
      </c>
      <c r="M66" s="16"/>
    </row>
    <row r="67" spans="1:18" ht="18.75" x14ac:dyDescent="0.3">
      <c r="A67" s="3">
        <v>66</v>
      </c>
      <c r="B67" s="74" t="s">
        <v>68</v>
      </c>
      <c r="C67" s="28" t="s">
        <v>60</v>
      </c>
      <c r="D67" s="17">
        <f>SUM(1493+1464+1445+1017+1395+1287+1373+1324+1417)</f>
        <v>12215</v>
      </c>
      <c r="E67" s="14">
        <f>SUM(177+162+141+93+130+116+144+124+136)</f>
        <v>1223</v>
      </c>
      <c r="F67" s="15">
        <f>SUM(D67/E67)</f>
        <v>9.9877350776778417</v>
      </c>
      <c r="G67" s="14">
        <v>9</v>
      </c>
      <c r="H67" s="14">
        <v>1</v>
      </c>
      <c r="I67" s="14"/>
      <c r="J67" s="14"/>
      <c r="K67" s="14"/>
      <c r="L67" s="14">
        <v>10.5</v>
      </c>
      <c r="M67" s="16"/>
    </row>
    <row r="68" spans="1:18" ht="18.75" x14ac:dyDescent="0.3">
      <c r="A68" s="3">
        <v>67</v>
      </c>
      <c r="B68" s="26" t="s">
        <v>64</v>
      </c>
      <c r="C68" s="4" t="s">
        <v>46</v>
      </c>
      <c r="D68" s="17">
        <f>SUM(1468+1466+912)</f>
        <v>3846</v>
      </c>
      <c r="E68" s="14">
        <f>SUM(156+165+75)</f>
        <v>396</v>
      </c>
      <c r="F68" s="15">
        <f>SUM(D68/E68)</f>
        <v>9.7121212121212128</v>
      </c>
      <c r="G68" s="14">
        <v>3</v>
      </c>
      <c r="H68" s="14"/>
      <c r="I68" s="14"/>
      <c r="J68" s="14"/>
      <c r="K68" s="14"/>
      <c r="L68" s="14">
        <v>2.5</v>
      </c>
      <c r="M68" s="16"/>
    </row>
    <row r="69" spans="1:18" ht="18.75" x14ac:dyDescent="0.3">
      <c r="A69" s="3">
        <v>68</v>
      </c>
      <c r="B69" s="73" t="s">
        <v>124</v>
      </c>
      <c r="C69" s="72" t="s">
        <v>46</v>
      </c>
      <c r="D69" s="17">
        <f>SUM(1491)</f>
        <v>1491</v>
      </c>
      <c r="E69" s="14">
        <f>SUM(165)</f>
        <v>165</v>
      </c>
      <c r="F69" s="15">
        <f>SUM(D69/E69)</f>
        <v>9.036363636363637</v>
      </c>
      <c r="G69" s="14">
        <v>1</v>
      </c>
      <c r="H69" s="14"/>
      <c r="I69" s="14"/>
      <c r="J69" s="14"/>
      <c r="K69" s="14"/>
      <c r="L69" s="14">
        <v>0.5</v>
      </c>
      <c r="M69" s="16"/>
    </row>
    <row r="70" spans="1:18" ht="18.75" x14ac:dyDescent="0.3">
      <c r="A70" s="3">
        <v>69</v>
      </c>
      <c r="B70" s="11" t="s">
        <v>113</v>
      </c>
      <c r="C70" s="7" t="s">
        <v>46</v>
      </c>
      <c r="D70" s="17"/>
      <c r="E70" s="14"/>
      <c r="F70" s="15"/>
      <c r="G70" s="14"/>
      <c r="H70" s="14"/>
      <c r="I70" s="14"/>
      <c r="J70" s="14"/>
      <c r="K70" s="14"/>
      <c r="L70" s="14">
        <v>0</v>
      </c>
      <c r="M70" s="16"/>
    </row>
    <row r="71" spans="1:18" ht="17.25" customHeight="1" thickBo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8" ht="19.5" customHeight="1" thickBot="1" x14ac:dyDescent="0.35">
      <c r="A72" s="5"/>
      <c r="B72" s="41" t="s">
        <v>123</v>
      </c>
      <c r="C72" s="60" t="s">
        <v>78</v>
      </c>
      <c r="D72" s="59" t="s">
        <v>79</v>
      </c>
      <c r="E72" s="70" t="s">
        <v>80</v>
      </c>
      <c r="F72" s="55" t="s">
        <v>108</v>
      </c>
      <c r="G72" s="69" t="s">
        <v>81</v>
      </c>
      <c r="I72" s="34" t="s">
        <v>82</v>
      </c>
      <c r="J72" s="35"/>
      <c r="K72" s="35"/>
      <c r="L72" s="35"/>
      <c r="M72" s="35"/>
      <c r="N72" s="35"/>
      <c r="O72" s="35"/>
      <c r="P72" s="35"/>
      <c r="Q72" s="35"/>
      <c r="R72" s="36"/>
    </row>
    <row r="73" spans="1:18" ht="18.75" x14ac:dyDescent="0.3">
      <c r="A73" s="5"/>
      <c r="B73" s="42"/>
      <c r="C73" s="29" t="s">
        <v>86</v>
      </c>
      <c r="D73" s="7">
        <v>11</v>
      </c>
      <c r="E73" s="27">
        <v>1</v>
      </c>
      <c r="F73" s="26">
        <v>0</v>
      </c>
      <c r="G73" s="29">
        <v>195</v>
      </c>
      <c r="I73" s="68" t="s">
        <v>84</v>
      </c>
      <c r="J73" s="67"/>
      <c r="K73" s="67"/>
      <c r="L73" s="67"/>
      <c r="M73" s="67"/>
      <c r="N73" s="37" t="s">
        <v>85</v>
      </c>
      <c r="O73" s="37"/>
      <c r="P73" s="37"/>
      <c r="Q73" s="37"/>
      <c r="R73" s="38"/>
    </row>
    <row r="74" spans="1:18" ht="18.75" x14ac:dyDescent="0.3">
      <c r="A74" s="5"/>
      <c r="B74" s="42"/>
      <c r="C74" s="29" t="s">
        <v>100</v>
      </c>
      <c r="D74" s="7">
        <v>10</v>
      </c>
      <c r="E74" s="62">
        <v>2</v>
      </c>
      <c r="F74" s="26">
        <v>0</v>
      </c>
      <c r="G74" s="61">
        <v>184</v>
      </c>
      <c r="I74" s="66" t="s">
        <v>87</v>
      </c>
      <c r="J74" s="65"/>
      <c r="K74" s="65"/>
      <c r="L74" s="65"/>
      <c r="M74" s="65"/>
      <c r="N74" s="39" t="s">
        <v>122</v>
      </c>
      <c r="O74" s="39"/>
      <c r="P74" s="39"/>
      <c r="Q74" s="39"/>
      <c r="R74" s="40"/>
    </row>
    <row r="75" spans="1:18" ht="18.75" x14ac:dyDescent="0.3">
      <c r="A75" s="5"/>
      <c r="B75" s="42"/>
      <c r="C75" s="29" t="s">
        <v>95</v>
      </c>
      <c r="D75" s="7">
        <v>10</v>
      </c>
      <c r="E75" s="62">
        <v>2</v>
      </c>
      <c r="F75" s="26">
        <v>0</v>
      </c>
      <c r="G75" s="61">
        <v>175</v>
      </c>
      <c r="I75" s="66" t="s">
        <v>90</v>
      </c>
      <c r="J75" s="65"/>
      <c r="K75" s="65"/>
      <c r="L75" s="65"/>
      <c r="M75" s="65"/>
      <c r="N75" s="39" t="s">
        <v>121</v>
      </c>
      <c r="O75" s="39"/>
      <c r="P75" s="39"/>
      <c r="Q75" s="39"/>
      <c r="R75" s="40"/>
    </row>
    <row r="76" spans="1:18" ht="18.75" x14ac:dyDescent="0.3">
      <c r="A76" s="6"/>
      <c r="B76" s="42"/>
      <c r="C76" s="29" t="s">
        <v>92</v>
      </c>
      <c r="D76" s="7">
        <v>9</v>
      </c>
      <c r="E76" s="62">
        <v>3</v>
      </c>
      <c r="F76" s="26">
        <v>0</v>
      </c>
      <c r="G76" s="61">
        <v>165</v>
      </c>
      <c r="I76" s="66" t="s">
        <v>93</v>
      </c>
      <c r="J76" s="65"/>
      <c r="K76" s="65"/>
      <c r="L76" s="65"/>
      <c r="M76" s="65"/>
      <c r="N76" s="39" t="s">
        <v>120</v>
      </c>
      <c r="O76" s="39"/>
      <c r="P76" s="39"/>
      <c r="Q76" s="39"/>
      <c r="R76" s="40"/>
    </row>
    <row r="77" spans="1:18" ht="18" customHeight="1" x14ac:dyDescent="0.3">
      <c r="A77" s="6"/>
      <c r="B77" s="42"/>
      <c r="C77" s="30" t="s">
        <v>97</v>
      </c>
      <c r="D77" s="9">
        <v>7</v>
      </c>
      <c r="E77" s="11">
        <v>5</v>
      </c>
      <c r="F77" s="26">
        <v>0</v>
      </c>
      <c r="G77" s="30">
        <v>151</v>
      </c>
      <c r="I77" s="66" t="s">
        <v>96</v>
      </c>
      <c r="J77" s="65"/>
      <c r="K77" s="65"/>
      <c r="L77" s="65"/>
      <c r="M77" s="65"/>
      <c r="N77" s="39" t="s">
        <v>119</v>
      </c>
      <c r="O77" s="39"/>
      <c r="P77" s="39"/>
      <c r="Q77" s="39"/>
      <c r="R77" s="40"/>
    </row>
    <row r="78" spans="1:18" ht="18" customHeight="1" thickBot="1" x14ac:dyDescent="0.35">
      <c r="A78" s="6"/>
      <c r="B78" s="42"/>
      <c r="C78" s="30" t="s">
        <v>101</v>
      </c>
      <c r="D78" s="9">
        <v>6</v>
      </c>
      <c r="E78" s="11">
        <v>6</v>
      </c>
      <c r="F78" s="26">
        <v>0</v>
      </c>
      <c r="G78" s="30">
        <v>156</v>
      </c>
      <c r="I78" s="64" t="s">
        <v>98</v>
      </c>
      <c r="J78" s="63"/>
      <c r="K78" s="63"/>
      <c r="L78" s="63"/>
      <c r="M78" s="63"/>
      <c r="N78" s="39" t="s">
        <v>118</v>
      </c>
      <c r="O78" s="39"/>
      <c r="P78" s="39"/>
      <c r="Q78" s="39"/>
      <c r="R78" s="40"/>
    </row>
    <row r="79" spans="1:18" ht="18.75" x14ac:dyDescent="0.3">
      <c r="A79" s="6"/>
      <c r="B79" s="42"/>
      <c r="C79" s="29" t="s">
        <v>103</v>
      </c>
      <c r="D79" s="7">
        <v>5</v>
      </c>
      <c r="E79" s="62">
        <v>7</v>
      </c>
      <c r="F79" s="26">
        <v>0</v>
      </c>
      <c r="G79" s="61">
        <v>147</v>
      </c>
      <c r="H79" s="6"/>
      <c r="I79" s="6"/>
    </row>
    <row r="80" spans="1:18" ht="18.75" x14ac:dyDescent="0.3">
      <c r="A80" s="6"/>
      <c r="B80" s="42"/>
      <c r="C80" s="31" t="s">
        <v>83</v>
      </c>
      <c r="D80" s="20">
        <v>5</v>
      </c>
      <c r="E80" s="53">
        <v>7</v>
      </c>
      <c r="F80" s="52">
        <v>0</v>
      </c>
      <c r="G80" s="31">
        <v>131</v>
      </c>
      <c r="H80" s="6"/>
    </row>
    <row r="81" spans="2:7" ht="18.75" x14ac:dyDescent="0.3">
      <c r="B81" s="42"/>
      <c r="C81" s="29" t="s">
        <v>99</v>
      </c>
      <c r="D81" s="7">
        <v>4</v>
      </c>
      <c r="E81" s="27">
        <v>8</v>
      </c>
      <c r="F81" s="26">
        <v>0</v>
      </c>
      <c r="G81" s="29">
        <v>142</v>
      </c>
    </row>
    <row r="82" spans="2:7" ht="18.75" x14ac:dyDescent="0.3">
      <c r="B82" s="42"/>
      <c r="C82" s="29" t="s">
        <v>89</v>
      </c>
      <c r="D82" s="7">
        <v>3</v>
      </c>
      <c r="E82" s="62">
        <v>9</v>
      </c>
      <c r="F82" s="26">
        <v>0</v>
      </c>
      <c r="G82" s="61">
        <v>126</v>
      </c>
    </row>
    <row r="83" spans="2:7" ht="18.75" x14ac:dyDescent="0.3">
      <c r="B83" s="42"/>
      <c r="C83" s="30" t="s">
        <v>104</v>
      </c>
      <c r="D83" s="9">
        <v>2</v>
      </c>
      <c r="E83" s="11">
        <v>10</v>
      </c>
      <c r="F83" s="26">
        <v>0</v>
      </c>
      <c r="G83" s="30">
        <v>91</v>
      </c>
    </row>
    <row r="84" spans="2:7" ht="19.5" thickBot="1" x14ac:dyDescent="0.35">
      <c r="B84" s="43"/>
      <c r="C84" s="30" t="s">
        <v>102</v>
      </c>
      <c r="D84" s="9">
        <v>0</v>
      </c>
      <c r="E84" s="11">
        <v>12</v>
      </c>
      <c r="F84" s="26">
        <v>0</v>
      </c>
      <c r="G84" s="30">
        <v>65</v>
      </c>
    </row>
    <row r="85" spans="2:7" ht="15.75" thickBot="1" x14ac:dyDescent="0.3"/>
    <row r="86" spans="2:7" ht="19.5" thickBot="1" x14ac:dyDescent="0.35">
      <c r="C86" s="60" t="s">
        <v>105</v>
      </c>
      <c r="D86" s="59" t="s">
        <v>79</v>
      </c>
      <c r="E86" s="59" t="s">
        <v>80</v>
      </c>
      <c r="F86" s="55" t="s">
        <v>108</v>
      </c>
      <c r="G86" s="58" t="s">
        <v>81</v>
      </c>
    </row>
    <row r="87" spans="2:7" ht="18.75" x14ac:dyDescent="0.3">
      <c r="C87" s="20" t="s">
        <v>86</v>
      </c>
      <c r="D87" s="20">
        <v>11</v>
      </c>
      <c r="E87" s="53">
        <v>1</v>
      </c>
      <c r="F87" s="52">
        <v>0</v>
      </c>
      <c r="G87" s="31">
        <v>195</v>
      </c>
    </row>
    <row r="88" spans="2:7" ht="18.75" x14ac:dyDescent="0.3">
      <c r="C88" s="20" t="s">
        <v>100</v>
      </c>
      <c r="D88" s="20">
        <v>10</v>
      </c>
      <c r="E88" s="51">
        <v>2</v>
      </c>
      <c r="F88" s="26">
        <v>0</v>
      </c>
      <c r="G88" s="50">
        <v>184</v>
      </c>
    </row>
    <row r="89" spans="2:7" ht="18.75" x14ac:dyDescent="0.3">
      <c r="C89" s="7" t="s">
        <v>95</v>
      </c>
      <c r="D89" s="7">
        <v>10</v>
      </c>
      <c r="E89" s="62">
        <v>2</v>
      </c>
      <c r="F89" s="26">
        <v>0</v>
      </c>
      <c r="G89" s="61">
        <v>175</v>
      </c>
    </row>
    <row r="90" spans="2:7" ht="18.75" x14ac:dyDescent="0.3">
      <c r="C90" s="7" t="s">
        <v>103</v>
      </c>
      <c r="D90" s="7">
        <v>5</v>
      </c>
      <c r="E90" s="62">
        <v>7</v>
      </c>
      <c r="F90" s="26">
        <v>0</v>
      </c>
      <c r="G90" s="61">
        <v>147</v>
      </c>
    </row>
    <row r="91" spans="2:7" ht="15.75" thickBot="1" x14ac:dyDescent="0.3"/>
    <row r="92" spans="2:7" ht="19.5" thickBot="1" x14ac:dyDescent="0.35">
      <c r="C92" s="60" t="s">
        <v>106</v>
      </c>
      <c r="D92" s="59" t="s">
        <v>79</v>
      </c>
      <c r="E92" s="59" t="s">
        <v>80</v>
      </c>
      <c r="F92" s="55" t="s">
        <v>108</v>
      </c>
      <c r="G92" s="58" t="s">
        <v>81</v>
      </c>
    </row>
    <row r="93" spans="2:7" ht="18.75" x14ac:dyDescent="0.3">
      <c r="C93" s="20" t="s">
        <v>92</v>
      </c>
      <c r="D93" s="20">
        <v>9</v>
      </c>
      <c r="E93" s="51">
        <v>3</v>
      </c>
      <c r="F93" s="52">
        <v>0</v>
      </c>
      <c r="G93" s="50">
        <v>165</v>
      </c>
    </row>
    <row r="94" spans="2:7" ht="18.75" x14ac:dyDescent="0.3">
      <c r="C94" s="9" t="s">
        <v>97</v>
      </c>
      <c r="D94" s="9">
        <v>7</v>
      </c>
      <c r="E94" s="11">
        <v>5</v>
      </c>
      <c r="F94" s="26">
        <v>0</v>
      </c>
      <c r="G94" s="30">
        <v>151</v>
      </c>
    </row>
    <row r="95" spans="2:7" ht="18.75" x14ac:dyDescent="0.3">
      <c r="C95" s="9" t="s">
        <v>101</v>
      </c>
      <c r="D95" s="9">
        <v>6</v>
      </c>
      <c r="E95" s="11">
        <v>6</v>
      </c>
      <c r="F95" s="26">
        <v>0</v>
      </c>
      <c r="G95" s="30">
        <v>156</v>
      </c>
    </row>
    <row r="96" spans="2:7" ht="18.75" x14ac:dyDescent="0.3">
      <c r="C96" s="7" t="s">
        <v>99</v>
      </c>
      <c r="D96" s="7">
        <v>4</v>
      </c>
      <c r="E96" s="27">
        <v>8</v>
      </c>
      <c r="F96" s="26">
        <v>0</v>
      </c>
      <c r="G96" s="29">
        <v>142</v>
      </c>
    </row>
    <row r="97" spans="3:7" ht="15.75" thickBot="1" x14ac:dyDescent="0.3"/>
    <row r="98" spans="3:7" ht="19.5" thickBot="1" x14ac:dyDescent="0.35">
      <c r="C98" s="57" t="s">
        <v>107</v>
      </c>
      <c r="D98" s="56" t="s">
        <v>79</v>
      </c>
      <c r="E98" s="56" t="s">
        <v>80</v>
      </c>
      <c r="F98" s="55" t="s">
        <v>108</v>
      </c>
      <c r="G98" s="54" t="s">
        <v>81</v>
      </c>
    </row>
    <row r="99" spans="3:7" ht="18.75" x14ac:dyDescent="0.3">
      <c r="C99" s="20" t="s">
        <v>83</v>
      </c>
      <c r="D99" s="20">
        <v>5</v>
      </c>
      <c r="E99" s="53">
        <v>7</v>
      </c>
      <c r="F99" s="52">
        <v>0</v>
      </c>
      <c r="G99" s="31">
        <v>131</v>
      </c>
    </row>
    <row r="100" spans="3:7" ht="18.75" x14ac:dyDescent="0.3">
      <c r="C100" s="20" t="s">
        <v>89</v>
      </c>
      <c r="D100" s="20">
        <v>3</v>
      </c>
      <c r="E100" s="51">
        <v>9</v>
      </c>
      <c r="F100" s="26">
        <v>0</v>
      </c>
      <c r="G100" s="50">
        <v>126</v>
      </c>
    </row>
    <row r="101" spans="3:7" ht="18.75" x14ac:dyDescent="0.3">
      <c r="C101" s="9" t="s">
        <v>104</v>
      </c>
      <c r="D101" s="9">
        <v>2</v>
      </c>
      <c r="E101" s="11">
        <v>10</v>
      </c>
      <c r="F101" s="26">
        <v>0</v>
      </c>
      <c r="G101" s="30">
        <v>91</v>
      </c>
    </row>
    <row r="102" spans="3:7" ht="18.75" x14ac:dyDescent="0.3">
      <c r="C102" s="9" t="s">
        <v>102</v>
      </c>
      <c r="D102" s="9">
        <v>0</v>
      </c>
      <c r="E102" s="11">
        <v>12</v>
      </c>
      <c r="F102" s="26">
        <v>0</v>
      </c>
      <c r="G102" s="30">
        <v>65</v>
      </c>
    </row>
  </sheetData>
  <mergeCells count="14">
    <mergeCell ref="N78:R78"/>
    <mergeCell ref="I72:R72"/>
    <mergeCell ref="N73:R73"/>
    <mergeCell ref="N74:R74"/>
    <mergeCell ref="N75:R75"/>
    <mergeCell ref="N76:R76"/>
    <mergeCell ref="N77:R77"/>
    <mergeCell ref="B72:B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workbookViewId="0">
      <pane ySplit="1" topLeftCell="A2" activePane="bottomLeft" state="frozen"/>
      <selection pane="bottomLeft" activeCell="G105" sqref="G105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SUM(1493+1503+1499+1371+1478+1493+1503+1503+1487+1503+1428+1499+1404)</f>
        <v>19164</v>
      </c>
      <c r="E2" s="14">
        <f>SUM(82+81+101+87+100+89+93+104+80+61+65+78+75)</f>
        <v>1096</v>
      </c>
      <c r="F2" s="15">
        <f>SUM(D2/E2)</f>
        <v>17.485401459854014</v>
      </c>
      <c r="G2" s="14">
        <v>13</v>
      </c>
      <c r="H2" s="14">
        <v>11</v>
      </c>
      <c r="I2" s="14">
        <v>1</v>
      </c>
      <c r="J2" s="14"/>
      <c r="K2" s="14"/>
      <c r="L2" s="14">
        <v>51.5</v>
      </c>
      <c r="M2" s="16">
        <v>45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SUM(1497+1503+1503+1503+1503+1343+1374+1383+1499+1493+1503)</f>
        <v>16104</v>
      </c>
      <c r="E3" s="14">
        <f>SUM(100+85+83+92+83+81+85+94+91+89+89)</f>
        <v>972</v>
      </c>
      <c r="F3" s="15">
        <f>SUM(D3/E3)</f>
        <v>16.567901234567902</v>
      </c>
      <c r="G3" s="14">
        <v>11</v>
      </c>
      <c r="H3" s="14">
        <v>9</v>
      </c>
      <c r="I3" s="14">
        <v>4</v>
      </c>
      <c r="J3" s="14"/>
      <c r="K3" s="14"/>
      <c r="L3" s="14">
        <v>47</v>
      </c>
      <c r="M3" s="16">
        <v>10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SUM(1475+1503+1379+1273+1389+1467+1447+1471+1380+1494+1411)</f>
        <v>15689</v>
      </c>
      <c r="E4" s="14">
        <f>SUM(91+92+81+81+71+83+111+86+76+99+95)</f>
        <v>966</v>
      </c>
      <c r="F4" s="15">
        <f>SUM(D4/E4)</f>
        <v>16.24120082815735</v>
      </c>
      <c r="G4" s="14">
        <v>11</v>
      </c>
      <c r="H4" s="14">
        <v>7</v>
      </c>
      <c r="I4" s="14"/>
      <c r="J4" s="14"/>
      <c r="K4" s="14"/>
      <c r="L4" s="76">
        <v>35</v>
      </c>
      <c r="M4" s="16">
        <v>10</v>
      </c>
    </row>
    <row r="5" spans="1:13" ht="18.75" x14ac:dyDescent="0.3">
      <c r="A5" s="3">
        <v>4</v>
      </c>
      <c r="B5" s="4" t="s">
        <v>117</v>
      </c>
      <c r="C5" s="4" t="s">
        <v>53</v>
      </c>
      <c r="D5" s="14">
        <f>SUM(1503)</f>
        <v>1503</v>
      </c>
      <c r="E5" s="14">
        <f>SUM(97)</f>
        <v>97</v>
      </c>
      <c r="F5" s="15">
        <f>SUM(D5/E5)</f>
        <v>15.494845360824742</v>
      </c>
      <c r="G5" s="14">
        <v>1</v>
      </c>
      <c r="H5" s="14">
        <v>1</v>
      </c>
      <c r="I5" s="14"/>
      <c r="J5" s="14"/>
      <c r="K5" s="14"/>
      <c r="L5" s="14">
        <v>3.5</v>
      </c>
      <c r="M5" s="16"/>
    </row>
    <row r="6" spans="1:13" ht="18.75" x14ac:dyDescent="0.3">
      <c r="A6" s="3">
        <v>5</v>
      </c>
      <c r="B6" s="4" t="s">
        <v>27</v>
      </c>
      <c r="C6" s="4" t="s">
        <v>19</v>
      </c>
      <c r="D6" s="14">
        <f>SUM(1491+1430+1503+1498+1306+1503+1443+1496+1492+1503+1382+1431+1482)</f>
        <v>18960</v>
      </c>
      <c r="E6" s="14">
        <f>SUM(102+105+81+93+72+105+84+83+120+98+108+87+89)</f>
        <v>1227</v>
      </c>
      <c r="F6" s="15">
        <f>SUM(D6/E6)</f>
        <v>15.452322738386307</v>
      </c>
      <c r="G6" s="14">
        <v>13</v>
      </c>
      <c r="H6" s="14">
        <v>9</v>
      </c>
      <c r="I6" s="14"/>
      <c r="J6" s="14"/>
      <c r="K6" s="14">
        <v>1</v>
      </c>
      <c r="L6" s="14">
        <v>48</v>
      </c>
      <c r="M6" s="16">
        <v>5</v>
      </c>
    </row>
    <row r="7" spans="1:13" ht="18.75" x14ac:dyDescent="0.3">
      <c r="A7" s="3">
        <v>6</v>
      </c>
      <c r="B7" s="4" t="s">
        <v>38</v>
      </c>
      <c r="C7" s="4" t="s">
        <v>21</v>
      </c>
      <c r="D7" s="14">
        <f>SUM(1487+1503+1503+1386+1501+1503+1415+1495+1442+1486+1304+1211+1471)</f>
        <v>18707</v>
      </c>
      <c r="E7" s="14">
        <f>SUM(111+101+74+85+132+87+82+95+76+112+88+78+97)</f>
        <v>1218</v>
      </c>
      <c r="F7" s="15">
        <f>SUM(D7/E7)</f>
        <v>15.358784893267652</v>
      </c>
      <c r="G7" s="14">
        <v>13</v>
      </c>
      <c r="H7" s="14">
        <v>8</v>
      </c>
      <c r="I7" s="14"/>
      <c r="J7" s="14"/>
      <c r="K7" s="14">
        <v>1</v>
      </c>
      <c r="L7" s="14">
        <v>44.5</v>
      </c>
      <c r="M7" s="16">
        <v>10</v>
      </c>
    </row>
    <row r="8" spans="1:13" ht="18.75" x14ac:dyDescent="0.3">
      <c r="A8" s="3">
        <v>7</v>
      </c>
      <c r="B8" s="4" t="s">
        <v>15</v>
      </c>
      <c r="C8" s="4" t="s">
        <v>16</v>
      </c>
      <c r="D8" s="14">
        <f>SUM(1350+1487+1463+1503+1503+1483+1282+1468+1471+1456+1428)</f>
        <v>15894</v>
      </c>
      <c r="E8" s="14">
        <f>SUM(80+82+83+99+122+85+99+103+103+77+104)</f>
        <v>1037</v>
      </c>
      <c r="F8" s="15">
        <f>SUM(D8/E8)</f>
        <v>15.326904532304725</v>
      </c>
      <c r="G8" s="14">
        <v>11</v>
      </c>
      <c r="H8" s="14">
        <v>7</v>
      </c>
      <c r="I8" s="14"/>
      <c r="J8" s="14"/>
      <c r="K8" s="14"/>
      <c r="L8" s="14">
        <v>38</v>
      </c>
      <c r="M8" s="16">
        <v>10</v>
      </c>
    </row>
    <row r="9" spans="1:13" ht="18.75" x14ac:dyDescent="0.3">
      <c r="A9" s="3">
        <v>8</v>
      </c>
      <c r="B9" s="4" t="s">
        <v>34</v>
      </c>
      <c r="C9" s="4" t="s">
        <v>16</v>
      </c>
      <c r="D9" s="14">
        <f>SUM(1483+1471+1501+1503+1495+1501+1486+1458+1501+1503+1503+1443+1483)</f>
        <v>19331</v>
      </c>
      <c r="E9" s="14">
        <f>SUM(107+83+84+79+105+120+108+87+98+102+93+92+110)</f>
        <v>1268</v>
      </c>
      <c r="F9" s="15">
        <f>SUM(D9/E9)</f>
        <v>15.245268138801261</v>
      </c>
      <c r="G9" s="14">
        <v>13</v>
      </c>
      <c r="H9" s="14">
        <v>9</v>
      </c>
      <c r="I9" s="14"/>
      <c r="J9" s="14"/>
      <c r="K9" s="14"/>
      <c r="L9" s="14">
        <v>48.5</v>
      </c>
      <c r="M9" s="16">
        <v>15</v>
      </c>
    </row>
    <row r="10" spans="1:13" ht="18.75" x14ac:dyDescent="0.3">
      <c r="A10" s="3">
        <v>9</v>
      </c>
      <c r="B10" s="26" t="s">
        <v>135</v>
      </c>
      <c r="C10" s="4" t="s">
        <v>134</v>
      </c>
      <c r="D10" s="14">
        <f>SUM(1306+1503+1416+1435+1467)</f>
        <v>7127</v>
      </c>
      <c r="E10" s="14">
        <f>SUM(81+98+89+98+104)</f>
        <v>470</v>
      </c>
      <c r="F10" s="15">
        <f>SUM(D10/E10)</f>
        <v>15.163829787234043</v>
      </c>
      <c r="G10" s="14">
        <v>5</v>
      </c>
      <c r="H10" s="14">
        <v>3</v>
      </c>
      <c r="I10" s="14"/>
      <c r="J10" s="14"/>
      <c r="K10" s="14"/>
      <c r="L10" s="14">
        <v>20.5</v>
      </c>
      <c r="M10" s="16"/>
    </row>
    <row r="11" spans="1:13" ht="18.75" x14ac:dyDescent="0.3">
      <c r="A11" s="3">
        <v>10</v>
      </c>
      <c r="B11" s="4" t="s">
        <v>11</v>
      </c>
      <c r="C11" s="4" t="s">
        <v>12</v>
      </c>
      <c r="D11" s="14">
        <f>SUM(1471+1503+1366+1503+1427+1501+1493+1342+1334+1491+1448+1501)</f>
        <v>17380</v>
      </c>
      <c r="E11" s="14">
        <f>SUM(76+92+101+115+84+100+114+88+77+95+98+108)</f>
        <v>1148</v>
      </c>
      <c r="F11" s="15">
        <f>SUM(D11/E11)</f>
        <v>15.139372822299652</v>
      </c>
      <c r="G11" s="14">
        <v>12</v>
      </c>
      <c r="H11" s="14">
        <v>9</v>
      </c>
      <c r="I11" s="14">
        <v>2</v>
      </c>
      <c r="J11" s="14"/>
      <c r="K11" s="14"/>
      <c r="L11" s="14">
        <v>45.5</v>
      </c>
      <c r="M11" s="16">
        <v>25</v>
      </c>
    </row>
    <row r="12" spans="1:13" ht="18.75" x14ac:dyDescent="0.3">
      <c r="A12" s="3">
        <v>11</v>
      </c>
      <c r="B12" s="4" t="s">
        <v>18</v>
      </c>
      <c r="C12" s="7" t="s">
        <v>19</v>
      </c>
      <c r="D12" s="14">
        <f>SUM(1503+1488+1503+1430+1468+1461+1444+1411+1423+1351+1503+1383+1415)</f>
        <v>18783</v>
      </c>
      <c r="E12" s="14">
        <f>SUM(93+90+102+88+102+99+93+85+111+94+99+91+96)</f>
        <v>1243</v>
      </c>
      <c r="F12" s="15">
        <f>SUM(D12/E12)</f>
        <v>15.11102172164119</v>
      </c>
      <c r="G12" s="14">
        <v>13</v>
      </c>
      <c r="H12" s="14">
        <v>5</v>
      </c>
      <c r="I12" s="14"/>
      <c r="J12" s="14"/>
      <c r="K12" s="14"/>
      <c r="L12" s="14">
        <v>46</v>
      </c>
      <c r="M12" s="16"/>
    </row>
    <row r="13" spans="1:13" ht="18.75" x14ac:dyDescent="0.3">
      <c r="A13" s="3">
        <v>12</v>
      </c>
      <c r="B13" s="4" t="s">
        <v>28</v>
      </c>
      <c r="C13" s="4" t="s">
        <v>29</v>
      </c>
      <c r="D13" s="14">
        <f>SUM(1400+1499+1422+1493+1503+1477+1499+1499+1503+1493+1316+1450+1503)</f>
        <v>19057</v>
      </c>
      <c r="E13" s="14">
        <f>SUM(96+101+81+130+107+114+92+101+87+113+90+85+75)</f>
        <v>1272</v>
      </c>
      <c r="F13" s="15">
        <f>SUM(D13/E13)</f>
        <v>14.98191823899371</v>
      </c>
      <c r="G13" s="14">
        <v>13</v>
      </c>
      <c r="H13" s="14">
        <v>9</v>
      </c>
      <c r="I13" s="14"/>
      <c r="J13" s="14"/>
      <c r="K13" s="14"/>
      <c r="L13" s="14">
        <v>45</v>
      </c>
      <c r="M13" s="16">
        <v>5</v>
      </c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SUM(1489+1454+1482+1503+1393+1503+1503+1503+1381+932+1415+1503+1471)</f>
        <v>18532</v>
      </c>
      <c r="E14" s="14">
        <f>SUM(111+105+94+95+97+115+88+96+97+57+89+116+107)</f>
        <v>1267</v>
      </c>
      <c r="F14" s="15">
        <f>SUM(D14/E14)</f>
        <v>14.626677190213101</v>
      </c>
      <c r="G14" s="14">
        <v>13</v>
      </c>
      <c r="H14" s="14">
        <v>7</v>
      </c>
      <c r="I14" s="14"/>
      <c r="J14" s="14"/>
      <c r="K14" s="14"/>
      <c r="L14" s="14">
        <v>47</v>
      </c>
      <c r="M14" s="16"/>
    </row>
    <row r="15" spans="1:13" ht="18.75" x14ac:dyDescent="0.3">
      <c r="A15" s="3">
        <v>14</v>
      </c>
      <c r="B15" s="4" t="s">
        <v>71</v>
      </c>
      <c r="C15" s="4" t="s">
        <v>53</v>
      </c>
      <c r="D15" s="14">
        <f>SUM(1343+1449+1503+1477+1348+1444+1219+1461+1293+1503+1455+1495)</f>
        <v>16990</v>
      </c>
      <c r="E15" s="14">
        <f>SUM(82+98+96+114+102+85+94+96+86+94+95+131)</f>
        <v>1173</v>
      </c>
      <c r="F15" s="15">
        <f>SUM(D15/E15)</f>
        <v>14.484228473998295</v>
      </c>
      <c r="G15" s="14">
        <v>11</v>
      </c>
      <c r="H15" s="14">
        <v>4</v>
      </c>
      <c r="I15" s="14">
        <v>1</v>
      </c>
      <c r="J15" s="14"/>
      <c r="K15" s="14"/>
      <c r="L15" s="14">
        <v>32.5</v>
      </c>
      <c r="M15" s="16"/>
    </row>
    <row r="16" spans="1:13" ht="18.75" x14ac:dyDescent="0.3">
      <c r="A16" s="3">
        <v>15</v>
      </c>
      <c r="B16" s="4" t="s">
        <v>44</v>
      </c>
      <c r="C16" s="4" t="s">
        <v>19</v>
      </c>
      <c r="D16" s="14">
        <f>SUM(1499+1503+1495+1500+1498+1471+1503+1455+1269+1503)</f>
        <v>14696</v>
      </c>
      <c r="E16" s="14">
        <f>SUM(120+113+112+127+83+89+94+83+79+117)</f>
        <v>1017</v>
      </c>
      <c r="F16" s="15">
        <f>SUM(D16/E16)</f>
        <v>14.450344149459193</v>
      </c>
      <c r="G16" s="14">
        <v>10</v>
      </c>
      <c r="H16" s="14">
        <v>8</v>
      </c>
      <c r="I16" s="14"/>
      <c r="J16" s="14"/>
      <c r="K16" s="14"/>
      <c r="L16" s="14">
        <v>41</v>
      </c>
      <c r="M16" s="16">
        <v>5</v>
      </c>
    </row>
    <row r="17" spans="1:13" ht="18.75" x14ac:dyDescent="0.3">
      <c r="A17" s="3">
        <v>16</v>
      </c>
      <c r="B17" s="10" t="s">
        <v>24</v>
      </c>
      <c r="C17" s="4" t="s">
        <v>23</v>
      </c>
      <c r="D17" s="14">
        <f>SUM(1408+1503+1475+1495+1503+1485+1204+1389+1499+1348+1034+1441+1440)</f>
        <v>18224</v>
      </c>
      <c r="E17" s="14">
        <f>SUM(93+120+122+113+103+85+82+98+120+85+60+89+98)</f>
        <v>1268</v>
      </c>
      <c r="F17" s="15">
        <f>SUM(D17/E17)</f>
        <v>14.372239747634069</v>
      </c>
      <c r="G17" s="14">
        <v>13</v>
      </c>
      <c r="H17" s="14">
        <v>6</v>
      </c>
      <c r="I17" s="14"/>
      <c r="J17" s="14"/>
      <c r="K17" s="14"/>
      <c r="L17" s="14">
        <v>40</v>
      </c>
      <c r="M17" s="16"/>
    </row>
    <row r="18" spans="1:13" ht="18.75" x14ac:dyDescent="0.3">
      <c r="A18" s="3">
        <v>17</v>
      </c>
      <c r="B18" s="3" t="s">
        <v>32</v>
      </c>
      <c r="C18" s="4" t="s">
        <v>33</v>
      </c>
      <c r="D18" s="14">
        <f>SUM(1375+1349+1415+1479+1469+1503+1453+1325+1482+1503+1386+1370+1448)</f>
        <v>18557</v>
      </c>
      <c r="E18" s="14">
        <f>SUM(97+95+104+117+106+116+111+102+95+94+88+103+86)</f>
        <v>1314</v>
      </c>
      <c r="F18" s="15">
        <f>SUM(D18/E18)</f>
        <v>14.122526636225267</v>
      </c>
      <c r="G18" s="14">
        <v>13</v>
      </c>
      <c r="H18" s="14">
        <v>8</v>
      </c>
      <c r="I18" s="14"/>
      <c r="J18" s="14"/>
      <c r="K18" s="14"/>
      <c r="L18" s="14">
        <v>40</v>
      </c>
      <c r="M18" s="16">
        <v>5</v>
      </c>
    </row>
    <row r="19" spans="1:13" ht="18.75" x14ac:dyDescent="0.3">
      <c r="A19" s="3">
        <v>18</v>
      </c>
      <c r="B19" s="3" t="s">
        <v>20</v>
      </c>
      <c r="C19" s="4" t="s">
        <v>21</v>
      </c>
      <c r="D19" s="14">
        <f>SUM(1503+1459+1401+1182+1442+1421+1237+1455+1443+1489+1483+1501)</f>
        <v>17016</v>
      </c>
      <c r="E19" s="14">
        <f>SUM(96+99+104+94+108+90+102+91+113+87+122+101)</f>
        <v>1207</v>
      </c>
      <c r="F19" s="15">
        <f>SUM(D19/E19)</f>
        <v>14.097763048881525</v>
      </c>
      <c r="G19" s="14">
        <v>12</v>
      </c>
      <c r="H19" s="14">
        <v>4</v>
      </c>
      <c r="I19" s="14">
        <v>1</v>
      </c>
      <c r="J19" s="14"/>
      <c r="K19" s="14"/>
      <c r="L19" s="14">
        <v>38.5</v>
      </c>
      <c r="M19" s="16">
        <v>5</v>
      </c>
    </row>
    <row r="20" spans="1:13" ht="18.75" x14ac:dyDescent="0.3">
      <c r="A20" s="3">
        <v>19</v>
      </c>
      <c r="B20" s="26" t="s">
        <v>116</v>
      </c>
      <c r="C20" s="4" t="s">
        <v>46</v>
      </c>
      <c r="D20" s="14">
        <f>SUM(1184+1495+1503+1260+1369+1493+1471+1423+1289+1493+1499)</f>
        <v>15479</v>
      </c>
      <c r="E20" s="14">
        <f>SUM(78+154+98+84+87+93+95+90+82+108+131)</f>
        <v>1100</v>
      </c>
      <c r="F20" s="15">
        <f>SUM(D20/E20)</f>
        <v>14.071818181818182</v>
      </c>
      <c r="G20" s="14">
        <v>10</v>
      </c>
      <c r="H20" s="14">
        <v>5</v>
      </c>
      <c r="I20" s="14"/>
      <c r="J20" s="14"/>
      <c r="K20" s="14"/>
      <c r="L20" s="14">
        <v>26</v>
      </c>
      <c r="M20" s="16"/>
    </row>
    <row r="21" spans="1:13" ht="18.75" x14ac:dyDescent="0.3">
      <c r="A21" s="3">
        <v>20</v>
      </c>
      <c r="B21" s="4" t="s">
        <v>47</v>
      </c>
      <c r="C21" s="4" t="s">
        <v>12</v>
      </c>
      <c r="D21" s="14">
        <f>SUM(1197+1447+1355+1487+1477+1503+1496+1503+1499+1487+1461+1447)</f>
        <v>17359</v>
      </c>
      <c r="E21" s="14">
        <f>SUM(99+96+96+122+112+92+111+108+105+105+110+105)</f>
        <v>1261</v>
      </c>
      <c r="F21" s="15">
        <f>SUM(D21/E21)</f>
        <v>13.766058683584458</v>
      </c>
      <c r="G21" s="14">
        <v>12</v>
      </c>
      <c r="H21" s="14">
        <v>8</v>
      </c>
      <c r="I21" s="14">
        <v>1</v>
      </c>
      <c r="J21" s="14"/>
      <c r="K21" s="14"/>
      <c r="L21" s="14">
        <v>44</v>
      </c>
      <c r="M21" s="16"/>
    </row>
    <row r="22" spans="1:13" ht="18.75" x14ac:dyDescent="0.3">
      <c r="A22" s="3">
        <v>21</v>
      </c>
      <c r="B22" s="26" t="s">
        <v>40</v>
      </c>
      <c r="C22" s="7" t="s">
        <v>23</v>
      </c>
      <c r="D22" s="14">
        <f>SUM(1446+1503+1491+1491+1503+1501+1441+1501+1366+1481+1408+1461+1447)</f>
        <v>19040</v>
      </c>
      <c r="E22" s="14">
        <f>SUM(110+105+126+119+112+102+113+100+90+106+100+99+102)</f>
        <v>1384</v>
      </c>
      <c r="F22" s="15">
        <f>SUM(D22/E22)</f>
        <v>13.757225433526012</v>
      </c>
      <c r="G22" s="14">
        <v>13</v>
      </c>
      <c r="H22" s="14">
        <v>6</v>
      </c>
      <c r="I22" s="14"/>
      <c r="J22" s="14"/>
      <c r="K22" s="14"/>
      <c r="L22" s="14">
        <v>40.5</v>
      </c>
      <c r="M22" s="16">
        <v>5</v>
      </c>
    </row>
    <row r="23" spans="1:13" ht="18.75" x14ac:dyDescent="0.3">
      <c r="A23" s="3">
        <v>22</v>
      </c>
      <c r="B23" s="4" t="s">
        <v>31</v>
      </c>
      <c r="C23" s="4" t="s">
        <v>19</v>
      </c>
      <c r="D23" s="14">
        <f>SUM(1485+1497+1501+1503+1503+1372+1409+1496+1503+1503+1491+1297)</f>
        <v>17560</v>
      </c>
      <c r="E23" s="14">
        <f>SUM(103+100+143+103+132+96+79+99+121+99+113+100)</f>
        <v>1288</v>
      </c>
      <c r="F23" s="15">
        <f>SUM(D23/E23)</f>
        <v>13.633540372670808</v>
      </c>
      <c r="G23" s="14">
        <v>12</v>
      </c>
      <c r="H23" s="14">
        <v>7</v>
      </c>
      <c r="I23" s="14">
        <v>1</v>
      </c>
      <c r="J23" s="14"/>
      <c r="K23" s="14"/>
      <c r="L23" s="14">
        <v>40.5</v>
      </c>
      <c r="M23" s="16"/>
    </row>
    <row r="24" spans="1:13" ht="18.75" x14ac:dyDescent="0.3">
      <c r="A24" s="3">
        <v>23</v>
      </c>
      <c r="B24" s="26" t="s">
        <v>52</v>
      </c>
      <c r="C24" s="4" t="s">
        <v>53</v>
      </c>
      <c r="D24" s="14">
        <f>SUM(1503+1209+1369+1358+1425+1485+1441+1503+1439+1503+1296+1397+1495)</f>
        <v>18423</v>
      </c>
      <c r="E24" s="14">
        <f>SUM(129+84+84+114+99+97+112+101+93+115+111+78+142)</f>
        <v>1359</v>
      </c>
      <c r="F24" s="15">
        <f>SUM(D24/E24)</f>
        <v>13.556291390728477</v>
      </c>
      <c r="G24" s="14">
        <v>13</v>
      </c>
      <c r="H24" s="14">
        <v>8</v>
      </c>
      <c r="I24" s="14"/>
      <c r="J24" s="14"/>
      <c r="K24" s="14"/>
      <c r="L24" s="14">
        <v>46</v>
      </c>
      <c r="M24" s="16">
        <v>15</v>
      </c>
    </row>
    <row r="25" spans="1:13" ht="18.75" x14ac:dyDescent="0.3">
      <c r="A25" s="3">
        <v>24</v>
      </c>
      <c r="B25" s="26" t="s">
        <v>56</v>
      </c>
      <c r="C25" s="4" t="s">
        <v>29</v>
      </c>
      <c r="D25" s="14">
        <f>SUM(1501+1284+1142+1483+1269+1441+1481+1441+1467+1501+1503+1464)</f>
        <v>16977</v>
      </c>
      <c r="E25" s="14">
        <f>SUM(132+99+81+119+90+91+99+106+117+113+110+98)</f>
        <v>1255</v>
      </c>
      <c r="F25" s="15">
        <f>SUM(D25/E25)</f>
        <v>13.527490039840638</v>
      </c>
      <c r="G25" s="14">
        <v>12</v>
      </c>
      <c r="H25" s="14">
        <v>9</v>
      </c>
      <c r="I25" s="14">
        <v>1</v>
      </c>
      <c r="J25" s="14"/>
      <c r="K25" s="14"/>
      <c r="L25" s="14">
        <v>41</v>
      </c>
      <c r="M25" s="16"/>
    </row>
    <row r="26" spans="1:13" ht="18.75" x14ac:dyDescent="0.3">
      <c r="A26" s="3">
        <v>25</v>
      </c>
      <c r="B26" s="26" t="s">
        <v>51</v>
      </c>
      <c r="C26" s="4" t="s">
        <v>33</v>
      </c>
      <c r="D26" s="14">
        <f>SUM(1125+1277+1380+1480+1455+1503+1435+1451+1472+1503)</f>
        <v>14081</v>
      </c>
      <c r="E26" s="14">
        <f>SUM(96+102+98+119+103+112+87+126+111+97)</f>
        <v>1051</v>
      </c>
      <c r="F26" s="15">
        <f>SUM(D26/E26)</f>
        <v>13.397716460513797</v>
      </c>
      <c r="G26" s="14">
        <v>10</v>
      </c>
      <c r="H26" s="14">
        <v>4</v>
      </c>
      <c r="I26" s="14"/>
      <c r="J26" s="14"/>
      <c r="K26" s="14"/>
      <c r="L26" s="14">
        <v>27.5</v>
      </c>
      <c r="M26" s="16">
        <v>5</v>
      </c>
    </row>
    <row r="27" spans="1:13" ht="18.75" x14ac:dyDescent="0.3">
      <c r="A27" s="3">
        <v>26</v>
      </c>
      <c r="B27" s="4" t="s">
        <v>115</v>
      </c>
      <c r="C27" s="4" t="s">
        <v>12</v>
      </c>
      <c r="D27" s="14">
        <f>SUM(1485+1493+1468+1503+1359+1483+1500+1292+1494+1503+1491)</f>
        <v>16071</v>
      </c>
      <c r="E27" s="14">
        <f>SUM(119+86+129+112+98+129+113+102+111+83+119)</f>
        <v>1201</v>
      </c>
      <c r="F27" s="15">
        <f>SUM(D27/E27)</f>
        <v>13.38134887593672</v>
      </c>
      <c r="G27" s="14">
        <v>11</v>
      </c>
      <c r="H27" s="14">
        <v>5</v>
      </c>
      <c r="I27" s="14"/>
      <c r="J27" s="14"/>
      <c r="K27" s="14"/>
      <c r="L27" s="14">
        <v>37</v>
      </c>
      <c r="M27" s="16">
        <v>5</v>
      </c>
    </row>
    <row r="28" spans="1:13" ht="18.75" x14ac:dyDescent="0.3">
      <c r="A28" s="3">
        <v>27</v>
      </c>
      <c r="B28" s="4" t="s">
        <v>67</v>
      </c>
      <c r="C28" s="4" t="s">
        <v>49</v>
      </c>
      <c r="D28" s="14">
        <f>SUM(1501+1454+1401+1499+1498+1316+1320+1277+1388+1365+1411+1416)</f>
        <v>16846</v>
      </c>
      <c r="E28" s="14">
        <f>SUM(162+98+128+112+110+80+97+104+99+90+87+97)</f>
        <v>1264</v>
      </c>
      <c r="F28" s="15">
        <f>SUM(D28/E28)</f>
        <v>13.32753164556962</v>
      </c>
      <c r="G28" s="14">
        <v>12</v>
      </c>
      <c r="H28" s="14">
        <v>5</v>
      </c>
      <c r="I28" s="14"/>
      <c r="J28" s="14"/>
      <c r="K28" s="14"/>
      <c r="L28" s="14">
        <v>33.5</v>
      </c>
      <c r="M28" s="16">
        <v>10</v>
      </c>
    </row>
    <row r="29" spans="1:13" ht="18.75" x14ac:dyDescent="0.3">
      <c r="A29" s="3">
        <v>28</v>
      </c>
      <c r="B29" s="4" t="s">
        <v>43</v>
      </c>
      <c r="C29" s="4" t="s">
        <v>29</v>
      </c>
      <c r="D29" s="14">
        <f>SUM(984+1493+1090+1355+1485+1453+1343+1461+1498+1401+1497+1406+1428)</f>
        <v>17894</v>
      </c>
      <c r="E29" s="14">
        <f>SUM(78+103+78+96+99+108+86+109+161+117+136+85+99)</f>
        <v>1355</v>
      </c>
      <c r="F29" s="15">
        <f>SUM(D29/E29)</f>
        <v>13.20590405904059</v>
      </c>
      <c r="G29" s="14">
        <v>13</v>
      </c>
      <c r="H29" s="14">
        <v>8</v>
      </c>
      <c r="I29" s="14"/>
      <c r="J29" s="14"/>
      <c r="K29" s="14"/>
      <c r="L29" s="14">
        <v>38</v>
      </c>
      <c r="M29" s="16"/>
    </row>
    <row r="30" spans="1:13" ht="18.75" x14ac:dyDescent="0.3">
      <c r="A30" s="3">
        <v>29</v>
      </c>
      <c r="B30" s="4" t="s">
        <v>22</v>
      </c>
      <c r="C30" s="4" t="s">
        <v>23</v>
      </c>
      <c r="D30" s="14">
        <f>SUM(1503+1341+1499+1500+1503+1438+1495+1503+1483+1269+1441+1449+1391)</f>
        <v>18815</v>
      </c>
      <c r="E30" s="14">
        <f>SUM(96+100+124+121+117+114+112+94+111+108+138+86+105)</f>
        <v>1426</v>
      </c>
      <c r="F30" s="15">
        <f>SUM(D30/E30)</f>
        <v>13.194249649368864</v>
      </c>
      <c r="G30" s="14">
        <v>13</v>
      </c>
      <c r="H30" s="14">
        <v>8</v>
      </c>
      <c r="I30" s="14"/>
      <c r="J30" s="14"/>
      <c r="K30" s="14"/>
      <c r="L30" s="14">
        <v>42.5</v>
      </c>
      <c r="M30" s="16"/>
    </row>
    <row r="31" spans="1:13" ht="18.75" x14ac:dyDescent="0.3">
      <c r="A31" s="3">
        <v>30</v>
      </c>
      <c r="B31" s="4" t="s">
        <v>48</v>
      </c>
      <c r="C31" s="7" t="s">
        <v>49</v>
      </c>
      <c r="D31" s="14">
        <f>SUM(1498+1501+1411+1162+1480+1223+1193+1475+1503+1352+1503+1319+1503)</f>
        <v>18123</v>
      </c>
      <c r="E31" s="14">
        <f>SUM(124+124+124+90+129+85+84+111+99+96+133+77+100)</f>
        <v>1376</v>
      </c>
      <c r="F31" s="15">
        <f>SUM(D31/E31)</f>
        <v>13.17078488372093</v>
      </c>
      <c r="G31" s="14">
        <v>13</v>
      </c>
      <c r="H31" s="14">
        <v>5</v>
      </c>
      <c r="I31" s="14"/>
      <c r="J31" s="14">
        <v>1</v>
      </c>
      <c r="K31" s="14"/>
      <c r="L31" s="14">
        <v>38</v>
      </c>
      <c r="M31" s="16">
        <v>5</v>
      </c>
    </row>
    <row r="32" spans="1:13" ht="18.75" x14ac:dyDescent="0.3">
      <c r="A32" s="3">
        <v>31</v>
      </c>
      <c r="B32" s="4" t="s">
        <v>36</v>
      </c>
      <c r="C32" s="4" t="s">
        <v>16</v>
      </c>
      <c r="D32" s="14">
        <f>SUM(1472+1279+1463+1479+1401+1487+1503+1251+1489+1503+1491+1479)</f>
        <v>17297</v>
      </c>
      <c r="E32" s="14">
        <f>SUM(108+93+117+130+103+115+130+83+123+116+113+101)</f>
        <v>1332</v>
      </c>
      <c r="F32" s="15">
        <f>SUM(D32/E32)</f>
        <v>12.985735735735735</v>
      </c>
      <c r="G32" s="14">
        <v>12</v>
      </c>
      <c r="H32" s="14">
        <v>7</v>
      </c>
      <c r="I32" s="14"/>
      <c r="J32" s="14"/>
      <c r="K32" s="14"/>
      <c r="L32" s="14">
        <v>41</v>
      </c>
      <c r="M32" s="16"/>
    </row>
    <row r="33" spans="1:13" ht="18.75" x14ac:dyDescent="0.3">
      <c r="A33" s="3">
        <v>32</v>
      </c>
      <c r="B33" s="26" t="s">
        <v>74</v>
      </c>
      <c r="C33" s="7" t="s">
        <v>60</v>
      </c>
      <c r="D33" s="14">
        <f>SUM(1491+1480+1457+1253+1439+1475+1353+1072+1475)</f>
        <v>12495</v>
      </c>
      <c r="E33" s="14">
        <f>SUM(100+103+151+111+93+113+111+81+104)</f>
        <v>967</v>
      </c>
      <c r="F33" s="15">
        <f>SUM(D33/E33)</f>
        <v>12.921406411582213</v>
      </c>
      <c r="G33" s="14">
        <v>9</v>
      </c>
      <c r="H33" s="14">
        <v>4</v>
      </c>
      <c r="I33" s="14"/>
      <c r="J33" s="14"/>
      <c r="K33" s="14"/>
      <c r="L33" s="14">
        <v>15.5</v>
      </c>
      <c r="M33" s="16"/>
    </row>
    <row r="34" spans="1:13" ht="18.75" x14ac:dyDescent="0.3">
      <c r="A34" s="3">
        <v>33</v>
      </c>
      <c r="B34" s="8" t="s">
        <v>72</v>
      </c>
      <c r="C34" s="4" t="s">
        <v>19</v>
      </c>
      <c r="D34" s="14">
        <f>SUM(1495+1461+1481+1503)</f>
        <v>5940</v>
      </c>
      <c r="E34" s="14">
        <f>SUM(117+130+128+88)</f>
        <v>463</v>
      </c>
      <c r="F34" s="15">
        <f>SUM(D34/E34)</f>
        <v>12.829373650107991</v>
      </c>
      <c r="G34" s="14">
        <v>4</v>
      </c>
      <c r="H34" s="14">
        <v>3</v>
      </c>
      <c r="I34" s="14"/>
      <c r="J34" s="14"/>
      <c r="K34" s="14"/>
      <c r="L34" s="14">
        <v>28</v>
      </c>
      <c r="M34" s="16"/>
    </row>
    <row r="35" spans="1:13" ht="18.75" x14ac:dyDescent="0.3">
      <c r="A35" s="3">
        <v>34</v>
      </c>
      <c r="B35" s="7" t="s">
        <v>26</v>
      </c>
      <c r="C35" s="4" t="s">
        <v>21</v>
      </c>
      <c r="D35" s="17">
        <f>SUM(1301+1470+1495+1501+1264+1489+1497+1461)</f>
        <v>11478</v>
      </c>
      <c r="E35" s="14">
        <f>SUM(88+118+154+110+98+105+117+105)</f>
        <v>895</v>
      </c>
      <c r="F35" s="15">
        <f>SUM(D35/E35)</f>
        <v>12.824581005586593</v>
      </c>
      <c r="G35" s="14">
        <v>8</v>
      </c>
      <c r="H35" s="14">
        <v>4</v>
      </c>
      <c r="I35" s="14"/>
      <c r="J35" s="14">
        <v>2</v>
      </c>
      <c r="K35" s="14"/>
      <c r="L35" s="14">
        <v>25.5</v>
      </c>
      <c r="M35" s="16"/>
    </row>
    <row r="36" spans="1:13" ht="18.75" x14ac:dyDescent="0.3">
      <c r="A36" s="3">
        <v>35</v>
      </c>
      <c r="B36" s="9" t="s">
        <v>133</v>
      </c>
      <c r="C36" s="4" t="s">
        <v>46</v>
      </c>
      <c r="D36" s="17">
        <f>SUM(1380+1496+1443+1214+1489+1355+1390+1398+1501+1491)</f>
        <v>14157</v>
      </c>
      <c r="E36" s="14">
        <f>SUM(111+130+100+89+114+99+111+101+118+139)</f>
        <v>1112</v>
      </c>
      <c r="F36" s="15">
        <f>SUM(D36/E36)</f>
        <v>12.731115107913668</v>
      </c>
      <c r="G36" s="14">
        <v>10</v>
      </c>
      <c r="H36" s="14">
        <v>4</v>
      </c>
      <c r="I36" s="14"/>
      <c r="J36" s="14"/>
      <c r="K36" s="14"/>
      <c r="L36" s="14">
        <v>18</v>
      </c>
      <c r="M36" s="16"/>
    </row>
    <row r="37" spans="1:13" ht="18.75" x14ac:dyDescent="0.3">
      <c r="A37" s="3">
        <v>36</v>
      </c>
      <c r="B37" s="7" t="s">
        <v>35</v>
      </c>
      <c r="C37" s="4" t="s">
        <v>33</v>
      </c>
      <c r="D37" s="17">
        <f>SUM(1453+1310+1456+1304+949+1406+1450+1503+1487+1503+1376+1483+1374)</f>
        <v>18054</v>
      </c>
      <c r="E37" s="14">
        <f>SUM(105+122+95+112+75+90+148+117+102+131+109+112+117)</f>
        <v>1435</v>
      </c>
      <c r="F37" s="15">
        <f>SUM(D37/E37)</f>
        <v>12.581184668989547</v>
      </c>
      <c r="G37" s="14">
        <v>13</v>
      </c>
      <c r="H37" s="14">
        <v>6</v>
      </c>
      <c r="I37" s="14"/>
      <c r="J37" s="14"/>
      <c r="K37" s="14"/>
      <c r="L37" s="14">
        <v>41.5</v>
      </c>
      <c r="M37" s="16">
        <v>5</v>
      </c>
    </row>
    <row r="38" spans="1:13" ht="18.75" x14ac:dyDescent="0.3">
      <c r="A38" s="3">
        <v>37</v>
      </c>
      <c r="B38" s="18" t="s">
        <v>55</v>
      </c>
      <c r="C38" s="4" t="s">
        <v>33</v>
      </c>
      <c r="D38" s="17">
        <f>SUM(1418+1495+1361+1446+1491+1483+1468+1496+1503+1469+1237+1485)</f>
        <v>17352</v>
      </c>
      <c r="E38" s="14">
        <f>SUM(122+118+123+150+97+115+113+113+127+160+81+97)</f>
        <v>1416</v>
      </c>
      <c r="F38" s="15">
        <f>SUM(D38/E38)</f>
        <v>12.254237288135593</v>
      </c>
      <c r="G38" s="14">
        <v>12</v>
      </c>
      <c r="H38" s="14">
        <v>8</v>
      </c>
      <c r="I38" s="14"/>
      <c r="J38" s="14"/>
      <c r="K38" s="14"/>
      <c r="L38" s="14">
        <v>36.5</v>
      </c>
      <c r="M38" s="16"/>
    </row>
    <row r="39" spans="1:13" ht="18.75" x14ac:dyDescent="0.3">
      <c r="A39" s="3">
        <v>38</v>
      </c>
      <c r="B39" s="9" t="s">
        <v>57</v>
      </c>
      <c r="C39" s="4" t="s">
        <v>46</v>
      </c>
      <c r="D39" s="17">
        <f>SUM(1416+1252+1334+1500+1345+1490+1487+1180+1384+1213+1499)</f>
        <v>15100</v>
      </c>
      <c r="E39" s="14">
        <f>SUM(125+84+99+144+105+98+147+99+102+93+140)</f>
        <v>1236</v>
      </c>
      <c r="F39" s="15">
        <f>SUM(D39/E39)</f>
        <v>12.216828478964402</v>
      </c>
      <c r="G39" s="14">
        <v>11</v>
      </c>
      <c r="H39" s="14">
        <v>4</v>
      </c>
      <c r="I39" s="14"/>
      <c r="J39" s="14"/>
      <c r="K39" s="14"/>
      <c r="L39" s="14">
        <v>22</v>
      </c>
      <c r="M39" s="16"/>
    </row>
    <row r="40" spans="1:13" ht="18.75" x14ac:dyDescent="0.3">
      <c r="A40" s="3">
        <v>39</v>
      </c>
      <c r="B40" s="9" t="s">
        <v>76</v>
      </c>
      <c r="C40" s="4" t="s">
        <v>49</v>
      </c>
      <c r="D40" s="17">
        <f>SUM(1499+1501+1408+1503+1495+1495+1481+1100+1277+1401+1503+1503)</f>
        <v>17166</v>
      </c>
      <c r="E40" s="14">
        <f>SUM(172+128+99+114+138+126+106+92+79+114+134+106)</f>
        <v>1408</v>
      </c>
      <c r="F40" s="15">
        <f>SUM(D40/E40)</f>
        <v>12.191761363636363</v>
      </c>
      <c r="G40" s="14">
        <v>12</v>
      </c>
      <c r="H40" s="14">
        <v>8</v>
      </c>
      <c r="I40" s="14"/>
      <c r="J40" s="14"/>
      <c r="K40" s="14"/>
      <c r="L40" s="14">
        <v>39.5</v>
      </c>
      <c r="M40" s="16"/>
    </row>
    <row r="41" spans="1:13" ht="18.75" x14ac:dyDescent="0.3">
      <c r="A41" s="3">
        <v>40</v>
      </c>
      <c r="B41" s="7" t="s">
        <v>41</v>
      </c>
      <c r="C41" s="4" t="s">
        <v>21</v>
      </c>
      <c r="D41" s="17">
        <f>SUM(1179+1413+1443+1451+1367+1503+1448+1485+1503+1348+1477+1412)</f>
        <v>17029</v>
      </c>
      <c r="E41" s="14">
        <f>SUM(90+119+112+108+114+113+120+144+155+94+114+119)</f>
        <v>1402</v>
      </c>
      <c r="F41" s="15">
        <f>SUM(D41/E41)</f>
        <v>12.146219686162626</v>
      </c>
      <c r="G41" s="14">
        <v>12</v>
      </c>
      <c r="H41" s="14">
        <v>4</v>
      </c>
      <c r="I41" s="14">
        <v>1</v>
      </c>
      <c r="J41" s="14"/>
      <c r="K41" s="14"/>
      <c r="L41" s="14">
        <v>31</v>
      </c>
      <c r="M41" s="16">
        <v>5</v>
      </c>
    </row>
    <row r="42" spans="1:13" ht="18.75" x14ac:dyDescent="0.3">
      <c r="A42" s="3">
        <v>41</v>
      </c>
      <c r="B42" s="79" t="s">
        <v>39</v>
      </c>
      <c r="C42" s="8" t="s">
        <v>29</v>
      </c>
      <c r="D42" s="17">
        <f>SUM(1503+1335+1494+1501+1503+1447+1312+1503+1503+1467+1475+1503+1496)</f>
        <v>19042</v>
      </c>
      <c r="E42" s="14">
        <f>SUM(114+123+120+142+132+98+89+119+143+99+153+108+135)</f>
        <v>1575</v>
      </c>
      <c r="F42" s="15">
        <f>SUM(D42/E42)</f>
        <v>12.090158730158731</v>
      </c>
      <c r="G42" s="14">
        <v>13</v>
      </c>
      <c r="H42" s="14">
        <v>7</v>
      </c>
      <c r="I42" s="14"/>
      <c r="J42" s="14"/>
      <c r="K42" s="14"/>
      <c r="L42" s="14">
        <v>42</v>
      </c>
      <c r="M42" s="16"/>
    </row>
    <row r="43" spans="1:13" ht="18.75" x14ac:dyDescent="0.3">
      <c r="A43" s="3">
        <v>42</v>
      </c>
      <c r="B43" s="7" t="s">
        <v>50</v>
      </c>
      <c r="C43" s="7" t="s">
        <v>12</v>
      </c>
      <c r="D43" s="17">
        <f>SUM(1235+1395+1503)</f>
        <v>4133</v>
      </c>
      <c r="E43" s="14">
        <f>SUM(104+119+119)</f>
        <v>342</v>
      </c>
      <c r="F43" s="15">
        <f>SUM(D43/E43)</f>
        <v>12.084795321637428</v>
      </c>
      <c r="G43" s="14">
        <v>3</v>
      </c>
      <c r="H43" s="14">
        <v>1</v>
      </c>
      <c r="I43" s="14"/>
      <c r="J43" s="14"/>
      <c r="K43" s="14"/>
      <c r="L43" s="14">
        <v>12</v>
      </c>
      <c r="M43" s="16"/>
    </row>
    <row r="44" spans="1:13" ht="18.75" x14ac:dyDescent="0.3">
      <c r="A44" s="3">
        <v>43</v>
      </c>
      <c r="B44" s="7" t="s">
        <v>63</v>
      </c>
      <c r="C44" s="7" t="s">
        <v>53</v>
      </c>
      <c r="D44" s="17">
        <f>SUM(1498+1066+1491+1501+1497+1393)</f>
        <v>8446</v>
      </c>
      <c r="E44" s="14">
        <f>SUM(158+78+104+125+126+112)</f>
        <v>703</v>
      </c>
      <c r="F44" s="15">
        <f>SUM(D44/E44)</f>
        <v>12.014224751066857</v>
      </c>
      <c r="G44" s="14">
        <v>6</v>
      </c>
      <c r="H44" s="14">
        <v>2</v>
      </c>
      <c r="I44" s="14"/>
      <c r="J44" s="14"/>
      <c r="K44" s="14"/>
      <c r="L44" s="14">
        <v>11</v>
      </c>
      <c r="M44" s="16"/>
    </row>
    <row r="45" spans="1:13" ht="18.75" x14ac:dyDescent="0.3">
      <c r="A45" s="3">
        <v>44</v>
      </c>
      <c r="B45" s="9" t="s">
        <v>73</v>
      </c>
      <c r="C45" s="7" t="s">
        <v>21</v>
      </c>
      <c r="D45" s="17">
        <f>SUM(1472+1490+1500+1453+1330)</f>
        <v>7245</v>
      </c>
      <c r="E45" s="14">
        <f>SUM(133+105+121+116+129)</f>
        <v>604</v>
      </c>
      <c r="F45" s="15">
        <f>SUM(D45/E45)</f>
        <v>11.995033112582782</v>
      </c>
      <c r="G45" s="14">
        <v>5</v>
      </c>
      <c r="H45" s="14">
        <v>4</v>
      </c>
      <c r="I45" s="14"/>
      <c r="J45" s="14"/>
      <c r="K45" s="14"/>
      <c r="L45" s="14">
        <v>16</v>
      </c>
      <c r="M45" s="16"/>
    </row>
    <row r="46" spans="1:13" ht="18.75" x14ac:dyDescent="0.3">
      <c r="A46" s="3">
        <v>45</v>
      </c>
      <c r="B46" s="9" t="s">
        <v>132</v>
      </c>
      <c r="C46" s="7" t="s">
        <v>14</v>
      </c>
      <c r="D46" s="17">
        <f>SUM(1485+1373+1487+1427)</f>
        <v>5772</v>
      </c>
      <c r="E46" s="14">
        <f>SUM(129+93+141+121)</f>
        <v>484</v>
      </c>
      <c r="F46" s="15">
        <f>SUM(D46/E46)</f>
        <v>11.925619834710744</v>
      </c>
      <c r="G46" s="14">
        <v>4</v>
      </c>
      <c r="H46" s="14">
        <v>3</v>
      </c>
      <c r="I46" s="14"/>
      <c r="J46" s="14"/>
      <c r="K46" s="14"/>
      <c r="L46" s="14">
        <v>14</v>
      </c>
      <c r="M46" s="16"/>
    </row>
    <row r="47" spans="1:13" ht="18.75" x14ac:dyDescent="0.3">
      <c r="A47" s="3">
        <v>46</v>
      </c>
      <c r="B47" s="9" t="s">
        <v>131</v>
      </c>
      <c r="C47" s="7" t="s">
        <v>60</v>
      </c>
      <c r="D47" s="17">
        <f>SUM(1359)</f>
        <v>1359</v>
      </c>
      <c r="E47" s="14">
        <f>SUM(116)</f>
        <v>116</v>
      </c>
      <c r="F47" s="15">
        <f>SUM(D47/E47)</f>
        <v>11.71551724137931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129</v>
      </c>
      <c r="C48" s="7" t="s">
        <v>16</v>
      </c>
      <c r="D48" s="17">
        <f>SUM(1424+1496+1503+1498)</f>
        <v>5921</v>
      </c>
      <c r="E48" s="14">
        <f>SUM(126+145+116+119)</f>
        <v>506</v>
      </c>
      <c r="F48" s="15">
        <f>SUM(D48/E48)</f>
        <v>11.701581027667984</v>
      </c>
      <c r="G48" s="14">
        <v>4</v>
      </c>
      <c r="H48" s="14">
        <v>2</v>
      </c>
      <c r="I48" s="14"/>
      <c r="J48" s="14"/>
      <c r="K48" s="14"/>
      <c r="L48" s="14">
        <v>14.5</v>
      </c>
      <c r="M48" s="16"/>
    </row>
    <row r="49" spans="1:13" ht="18.75" x14ac:dyDescent="0.3">
      <c r="A49" s="3">
        <v>48</v>
      </c>
      <c r="B49" s="9" t="s">
        <v>130</v>
      </c>
      <c r="C49" s="4" t="s">
        <v>21</v>
      </c>
      <c r="D49" s="17">
        <f>SUM(1363)</f>
        <v>1363</v>
      </c>
      <c r="E49" s="14">
        <f>SUM(117)</f>
        <v>117</v>
      </c>
      <c r="F49" s="15">
        <f>SUM(D49/E49)</f>
        <v>11.649572649572649</v>
      </c>
      <c r="G49" s="14">
        <v>1</v>
      </c>
      <c r="H49" s="14"/>
      <c r="I49" s="14"/>
      <c r="J49" s="14"/>
      <c r="K49" s="14"/>
      <c r="L49" s="14">
        <v>1</v>
      </c>
      <c r="M49" s="16"/>
    </row>
    <row r="50" spans="1:13" ht="18.75" x14ac:dyDescent="0.3">
      <c r="A50" s="3">
        <v>49</v>
      </c>
      <c r="B50" s="9" t="s">
        <v>175</v>
      </c>
      <c r="C50" s="8" t="s">
        <v>29</v>
      </c>
      <c r="D50" s="17">
        <f>SUM(1346)</f>
        <v>1346</v>
      </c>
      <c r="E50" s="14">
        <f>SUM(116)</f>
        <v>116</v>
      </c>
      <c r="F50" s="15">
        <f>SUM(D50/E50)</f>
        <v>11.603448275862069</v>
      </c>
      <c r="G50" s="14">
        <v>1</v>
      </c>
      <c r="H50" s="14"/>
      <c r="I50" s="14"/>
      <c r="J50" s="14"/>
      <c r="K50" s="14"/>
      <c r="L50" s="14">
        <v>2</v>
      </c>
      <c r="M50" s="16"/>
    </row>
    <row r="51" spans="1:13" ht="18.75" x14ac:dyDescent="0.3">
      <c r="A51" s="3">
        <v>50</v>
      </c>
      <c r="B51" s="11" t="s">
        <v>30</v>
      </c>
      <c r="C51" s="7" t="s">
        <v>23</v>
      </c>
      <c r="D51" s="17">
        <f>SUM(1302+1358+1471+1503+1495+1235+1457+1491+1322+1364+1473+1265+1481)</f>
        <v>18217</v>
      </c>
      <c r="E51" s="14">
        <f>SUM(90+98+130+127+149+111+149+144+100+120+133+99+129)</f>
        <v>1579</v>
      </c>
      <c r="F51" s="15">
        <f>SUM(D51/E51)</f>
        <v>11.537048765041165</v>
      </c>
      <c r="G51" s="14">
        <v>13</v>
      </c>
      <c r="H51" s="14">
        <v>6</v>
      </c>
      <c r="I51" s="14"/>
      <c r="J51" s="14"/>
      <c r="K51" s="14"/>
      <c r="L51" s="14">
        <v>36</v>
      </c>
      <c r="M51" s="16"/>
    </row>
    <row r="52" spans="1:13" ht="18.75" x14ac:dyDescent="0.3">
      <c r="A52" s="3">
        <v>51</v>
      </c>
      <c r="B52" s="11" t="s">
        <v>128</v>
      </c>
      <c r="C52" s="8" t="s">
        <v>46</v>
      </c>
      <c r="D52" s="17">
        <f>SUM(1498+1487+1119+1427+1245+1489+1321)</f>
        <v>9586</v>
      </c>
      <c r="E52" s="14">
        <f>SUM(161+114+90+105+111+144+108)</f>
        <v>833</v>
      </c>
      <c r="F52" s="15">
        <f>SUM(D52/E52)</f>
        <v>11.5078031212485</v>
      </c>
      <c r="G52" s="14">
        <v>7</v>
      </c>
      <c r="H52" s="14">
        <v>3</v>
      </c>
      <c r="I52" s="14"/>
      <c r="J52" s="14"/>
      <c r="K52" s="14"/>
      <c r="L52" s="14">
        <v>20</v>
      </c>
      <c r="M52" s="16"/>
    </row>
    <row r="53" spans="1:13" ht="18.75" x14ac:dyDescent="0.3">
      <c r="A53" s="3">
        <v>52</v>
      </c>
      <c r="B53" s="11" t="s">
        <v>127</v>
      </c>
      <c r="C53" s="4" t="s">
        <v>60</v>
      </c>
      <c r="D53" s="17">
        <f>SUM(913)</f>
        <v>913</v>
      </c>
      <c r="E53" s="14">
        <f>SUM(81)</f>
        <v>81</v>
      </c>
      <c r="F53" s="15">
        <f>SUM(D53/E53)</f>
        <v>11.271604938271604</v>
      </c>
      <c r="G53" s="14">
        <v>1</v>
      </c>
      <c r="H53" s="14"/>
      <c r="I53" s="14"/>
      <c r="J53" s="14"/>
      <c r="K53" s="14"/>
      <c r="L53" s="14">
        <v>1.5</v>
      </c>
      <c r="M53" s="16"/>
    </row>
    <row r="54" spans="1:13" ht="18.75" x14ac:dyDescent="0.3">
      <c r="A54" s="3">
        <v>53</v>
      </c>
      <c r="B54" s="11" t="s">
        <v>69</v>
      </c>
      <c r="C54" s="7" t="s">
        <v>60</v>
      </c>
      <c r="D54" s="17">
        <f>SUM(1297+1501+1485+1355+1413+1350+1379+1478+1232+1371+1360)</f>
        <v>15221</v>
      </c>
      <c r="E54" s="14">
        <f>SUM(156+158+152+127+108+117+122+108+93+104+110)</f>
        <v>1355</v>
      </c>
      <c r="F54" s="15">
        <f>SUM(D54/E54)</f>
        <v>11.233210332103321</v>
      </c>
      <c r="G54" s="14">
        <v>10</v>
      </c>
      <c r="H54" s="14">
        <v>4</v>
      </c>
      <c r="I54" s="14"/>
      <c r="J54" s="14"/>
      <c r="K54" s="14"/>
      <c r="L54" s="14">
        <v>19</v>
      </c>
      <c r="M54" s="16"/>
    </row>
    <row r="55" spans="1:13" ht="18.75" x14ac:dyDescent="0.3">
      <c r="A55" s="3">
        <v>54</v>
      </c>
      <c r="B55" s="27" t="s">
        <v>42</v>
      </c>
      <c r="C55" s="7" t="s">
        <v>14</v>
      </c>
      <c r="D55" s="17">
        <f>SUM(1482+1499+1503+1491+1294+1465+1439+1445+1503+1264+1407+1429)</f>
        <v>17221</v>
      </c>
      <c r="E55" s="14">
        <f>SUM(117+165+144+126+126+162+121+110+118+105+121+120)</f>
        <v>1535</v>
      </c>
      <c r="F55" s="15">
        <f>SUM(D55/E55)</f>
        <v>11.218892508143323</v>
      </c>
      <c r="G55" s="14">
        <v>12</v>
      </c>
      <c r="H55" s="14">
        <v>5</v>
      </c>
      <c r="I55" s="14">
        <v>1</v>
      </c>
      <c r="J55" s="14"/>
      <c r="K55" s="14"/>
      <c r="L55" s="14">
        <v>37</v>
      </c>
      <c r="M55" s="16"/>
    </row>
    <row r="56" spans="1:13" ht="18.75" x14ac:dyDescent="0.3">
      <c r="A56" s="3">
        <v>55</v>
      </c>
      <c r="B56" s="11" t="s">
        <v>70</v>
      </c>
      <c r="C56" s="7" t="s">
        <v>53</v>
      </c>
      <c r="D56" s="17">
        <f>SUM(1480+1435+1503+1491+1497+1463+1423+1446+1485+1395+1495)</f>
        <v>16113</v>
      </c>
      <c r="E56" s="14">
        <f>SUM(180+141+139+125+151+119+116+99+134+135+104)</f>
        <v>1443</v>
      </c>
      <c r="F56" s="15">
        <f>SUM(D56/E56)</f>
        <v>11.166320166320165</v>
      </c>
      <c r="G56" s="14">
        <v>11</v>
      </c>
      <c r="H56" s="14">
        <v>2</v>
      </c>
      <c r="I56" s="14"/>
      <c r="J56" s="14"/>
      <c r="K56" s="14"/>
      <c r="L56" s="14">
        <v>21.5</v>
      </c>
      <c r="M56" s="16"/>
    </row>
    <row r="57" spans="1:13" ht="18.75" x14ac:dyDescent="0.3">
      <c r="A57" s="3">
        <v>56</v>
      </c>
      <c r="B57" s="11" t="s">
        <v>62</v>
      </c>
      <c r="C57" s="7" t="s">
        <v>60</v>
      </c>
      <c r="D57" s="17">
        <f>SUM(1264+920+1335+1422+1173)</f>
        <v>6114</v>
      </c>
      <c r="E57" s="14">
        <f>SUM(123+72+138+121+96)</f>
        <v>550</v>
      </c>
      <c r="F57" s="15">
        <f>SUM(D57/E57)</f>
        <v>11.116363636363637</v>
      </c>
      <c r="G57" s="14">
        <v>5</v>
      </c>
      <c r="H57" s="14"/>
      <c r="I57" s="14"/>
      <c r="J57" s="14"/>
      <c r="K57" s="14"/>
      <c r="L57" s="14">
        <v>6.5</v>
      </c>
      <c r="M57" s="16"/>
    </row>
    <row r="58" spans="1:13" ht="18.75" x14ac:dyDescent="0.3">
      <c r="A58" s="3">
        <v>57</v>
      </c>
      <c r="B58" s="27" t="s">
        <v>58</v>
      </c>
      <c r="C58" s="7" t="s">
        <v>14</v>
      </c>
      <c r="D58" s="17">
        <f>SUM(1431+1499+1493+1499+1374+1491+1468+1458+1503+1481+1238+1297)</f>
        <v>17232</v>
      </c>
      <c r="E58" s="14">
        <f>SUM(128+168+144+126+105+139+114+150+107+128+115+128)</f>
        <v>1552</v>
      </c>
      <c r="F58" s="15">
        <f>SUM(D58/E58)</f>
        <v>11.103092783505154</v>
      </c>
      <c r="G58" s="14">
        <v>12</v>
      </c>
      <c r="H58" s="14">
        <v>6</v>
      </c>
      <c r="I58" s="14"/>
      <c r="J58" s="14"/>
      <c r="K58" s="14"/>
      <c r="L58" s="14">
        <v>40.5</v>
      </c>
      <c r="M58" s="16"/>
    </row>
    <row r="59" spans="1:13" ht="18.75" x14ac:dyDescent="0.3">
      <c r="A59" s="3">
        <v>58</v>
      </c>
      <c r="B59" s="11" t="s">
        <v>45</v>
      </c>
      <c r="C59" s="4" t="s">
        <v>46</v>
      </c>
      <c r="D59" s="17">
        <f>SUM(1497+1394+1490)</f>
        <v>4381</v>
      </c>
      <c r="E59" s="14">
        <f>SUM(120+114+162)</f>
        <v>396</v>
      </c>
      <c r="F59" s="15">
        <f>SUM(D59/E59)</f>
        <v>11.063131313131313</v>
      </c>
      <c r="G59" s="14">
        <v>3</v>
      </c>
      <c r="H59" s="14"/>
      <c r="I59" s="14"/>
      <c r="J59" s="14"/>
      <c r="K59" s="14"/>
      <c r="L59" s="14">
        <v>2.5</v>
      </c>
      <c r="M59" s="16"/>
    </row>
    <row r="60" spans="1:13" ht="18.75" x14ac:dyDescent="0.3">
      <c r="A60" s="3">
        <v>59</v>
      </c>
      <c r="B60" s="11" t="s">
        <v>59</v>
      </c>
      <c r="C60" s="8" t="s">
        <v>60</v>
      </c>
      <c r="D60" s="17">
        <f>SUM(1495+1198+1171+1097+1373+1006+1352+1276)</f>
        <v>9968</v>
      </c>
      <c r="E60" s="14">
        <f>SUM(137+121+90+90+162+90+112+103)</f>
        <v>905</v>
      </c>
      <c r="F60" s="15">
        <f>SUM(D60/E60)</f>
        <v>11.014364640883977</v>
      </c>
      <c r="G60" s="14">
        <v>8</v>
      </c>
      <c r="H60" s="14"/>
      <c r="I60" s="14"/>
      <c r="J60" s="14"/>
      <c r="K60" s="14"/>
      <c r="L60" s="14">
        <v>5</v>
      </c>
      <c r="M60" s="16"/>
    </row>
    <row r="61" spans="1:13" ht="18.75" x14ac:dyDescent="0.3">
      <c r="A61" s="3">
        <v>60</v>
      </c>
      <c r="B61" s="11" t="s">
        <v>126</v>
      </c>
      <c r="C61" s="7" t="s">
        <v>21</v>
      </c>
      <c r="D61" s="17">
        <f>SUM(1350)</f>
        <v>1350</v>
      </c>
      <c r="E61" s="14">
        <f>SUM(123)</f>
        <v>123</v>
      </c>
      <c r="F61" s="15">
        <f>SUM(D61/E61)</f>
        <v>10.975609756097562</v>
      </c>
      <c r="G61" s="14">
        <v>1</v>
      </c>
      <c r="H61" s="14"/>
      <c r="I61" s="14"/>
      <c r="J61" s="14"/>
      <c r="K61" s="14"/>
      <c r="L61" s="14">
        <v>1.5</v>
      </c>
      <c r="M61" s="16"/>
    </row>
    <row r="62" spans="1:13" ht="18.75" x14ac:dyDescent="0.3">
      <c r="A62" s="3">
        <v>61</v>
      </c>
      <c r="B62" s="27" t="s">
        <v>54</v>
      </c>
      <c r="C62" s="4" t="s">
        <v>49</v>
      </c>
      <c r="D62" s="17">
        <f>SUM(1408+1461+1300+1499)</f>
        <v>5668</v>
      </c>
      <c r="E62" s="14">
        <f>SUM(121+158+86+156)</f>
        <v>521</v>
      </c>
      <c r="F62" s="15">
        <f>SUM(D62/E62)</f>
        <v>10.879078694817659</v>
      </c>
      <c r="G62" s="14">
        <v>4</v>
      </c>
      <c r="H62" s="14">
        <v>2</v>
      </c>
      <c r="I62" s="14"/>
      <c r="J62" s="14"/>
      <c r="K62" s="14"/>
      <c r="L62" s="14">
        <v>15</v>
      </c>
      <c r="M62" s="16"/>
    </row>
    <row r="63" spans="1:13" ht="18.75" x14ac:dyDescent="0.3">
      <c r="A63" s="3">
        <v>62</v>
      </c>
      <c r="B63" s="27" t="s">
        <v>61</v>
      </c>
      <c r="C63" s="4" t="s">
        <v>53</v>
      </c>
      <c r="D63" s="17">
        <f>SUM(1483+1452+1373+1441+1447+1477+1492+1477+1503)</f>
        <v>13145</v>
      </c>
      <c r="E63" s="14">
        <f>SUM(136+141+114+142+106+162+152+159+133)</f>
        <v>1245</v>
      </c>
      <c r="F63" s="15">
        <f>SUM(D63/E63)</f>
        <v>10.558232931726907</v>
      </c>
      <c r="G63" s="14">
        <v>9</v>
      </c>
      <c r="H63" s="14">
        <v>5</v>
      </c>
      <c r="I63" s="14"/>
      <c r="J63" s="14"/>
      <c r="K63" s="14"/>
      <c r="L63" s="14">
        <v>29.5</v>
      </c>
      <c r="M63" s="16"/>
    </row>
    <row r="64" spans="1:13" ht="18.75" x14ac:dyDescent="0.3">
      <c r="A64" s="3">
        <v>63</v>
      </c>
      <c r="B64" s="11" t="s">
        <v>65</v>
      </c>
      <c r="C64" s="4" t="s">
        <v>46</v>
      </c>
      <c r="D64" s="17">
        <f>SUM(1493+1344+1345+1483+1412+1317)</f>
        <v>8394</v>
      </c>
      <c r="E64" s="14">
        <f>SUM(159+141+111+139+117+129)</f>
        <v>796</v>
      </c>
      <c r="F64" s="15">
        <f>SUM(D64/E64)</f>
        <v>10.545226130653266</v>
      </c>
      <c r="G64" s="14">
        <v>6</v>
      </c>
      <c r="H64" s="14">
        <v>1</v>
      </c>
      <c r="I64" s="14"/>
      <c r="J64" s="14"/>
      <c r="K64" s="14"/>
      <c r="L64" s="14">
        <v>5.5</v>
      </c>
      <c r="M64" s="16"/>
    </row>
    <row r="65" spans="1:18" ht="18.75" x14ac:dyDescent="0.3">
      <c r="A65" s="3">
        <v>64</v>
      </c>
      <c r="B65" s="11" t="s">
        <v>75</v>
      </c>
      <c r="C65" s="4" t="s">
        <v>60</v>
      </c>
      <c r="D65" s="17">
        <f>SUM(1459+1180+1070+1335+1316+1160)</f>
        <v>7520</v>
      </c>
      <c r="E65" s="14">
        <f>SUM(165+111+96+129+102+135)</f>
        <v>738</v>
      </c>
      <c r="F65" s="15">
        <f>SUM(D65/E65)</f>
        <v>10.189701897018971</v>
      </c>
      <c r="G65" s="14">
        <v>6</v>
      </c>
      <c r="H65" s="14"/>
      <c r="I65" s="14"/>
      <c r="J65" s="14"/>
      <c r="K65" s="14"/>
      <c r="L65" s="14">
        <v>6</v>
      </c>
      <c r="M65" s="16"/>
    </row>
    <row r="66" spans="1:18" ht="18.75" x14ac:dyDescent="0.3">
      <c r="A66" s="3">
        <v>65</v>
      </c>
      <c r="B66" s="27" t="s">
        <v>66</v>
      </c>
      <c r="C66" s="7" t="s">
        <v>49</v>
      </c>
      <c r="D66" s="17">
        <f>SUM(1474+1189+1448+1191+1495+1421+1358+1223+1499+1498)</f>
        <v>13796</v>
      </c>
      <c r="E66" s="14">
        <f>SUM(158+126+132+107+162+123+124+117+158+161)</f>
        <v>1368</v>
      </c>
      <c r="F66" s="15">
        <f>SUM(D66/E66)</f>
        <v>10.084795321637428</v>
      </c>
      <c r="G66" s="14">
        <v>10</v>
      </c>
      <c r="H66" s="14">
        <v>2</v>
      </c>
      <c r="I66" s="14"/>
      <c r="J66" s="14"/>
      <c r="K66" s="14"/>
      <c r="L66" s="14">
        <v>20.5</v>
      </c>
      <c r="M66" s="16"/>
    </row>
    <row r="67" spans="1:18" ht="18.75" x14ac:dyDescent="0.3">
      <c r="A67" s="3">
        <v>66</v>
      </c>
      <c r="B67" s="74" t="s">
        <v>125</v>
      </c>
      <c r="C67" s="28" t="s">
        <v>12</v>
      </c>
      <c r="D67" s="17">
        <f>SUM(1385)</f>
        <v>1385</v>
      </c>
      <c r="E67" s="14">
        <f>SUM(138)</f>
        <v>138</v>
      </c>
      <c r="F67" s="15">
        <f>SUM(D67/E67)</f>
        <v>10.036231884057971</v>
      </c>
      <c r="G67" s="14">
        <v>1</v>
      </c>
      <c r="H67" s="14"/>
      <c r="I67" s="14"/>
      <c r="J67" s="14"/>
      <c r="K67" s="14"/>
      <c r="L67" s="14">
        <v>2.5</v>
      </c>
      <c r="M67" s="16"/>
    </row>
    <row r="68" spans="1:18" ht="18.75" x14ac:dyDescent="0.3">
      <c r="A68" s="3">
        <v>67</v>
      </c>
      <c r="B68" s="26" t="s">
        <v>68</v>
      </c>
      <c r="C68" s="4" t="s">
        <v>60</v>
      </c>
      <c r="D68" s="17">
        <f>SUM(1493+1464+1445+1017+1395+1287+1373+1324+1417+1438)</f>
        <v>13653</v>
      </c>
      <c r="E68" s="14">
        <f>SUM(177+162+141+93+130+116+144+124+136+156)</f>
        <v>1379</v>
      </c>
      <c r="F68" s="15">
        <f>SUM(D68/E68)</f>
        <v>9.9006526468455398</v>
      </c>
      <c r="G68" s="14">
        <v>10</v>
      </c>
      <c r="H68" s="14">
        <v>1</v>
      </c>
      <c r="I68" s="14"/>
      <c r="J68" s="14"/>
      <c r="K68" s="14"/>
      <c r="L68" s="14">
        <v>11</v>
      </c>
      <c r="M68" s="16"/>
    </row>
    <row r="69" spans="1:18" ht="18.75" x14ac:dyDescent="0.3">
      <c r="A69" s="3">
        <v>68</v>
      </c>
      <c r="B69" s="73" t="s">
        <v>64</v>
      </c>
      <c r="C69" s="72" t="s">
        <v>46</v>
      </c>
      <c r="D69" s="17">
        <f>SUM(1468+1466+912)</f>
        <v>3846</v>
      </c>
      <c r="E69" s="14">
        <f>SUM(156+165+75)</f>
        <v>396</v>
      </c>
      <c r="F69" s="15">
        <f>SUM(D69/E69)</f>
        <v>9.7121212121212128</v>
      </c>
      <c r="G69" s="14">
        <v>3</v>
      </c>
      <c r="H69" s="14"/>
      <c r="I69" s="14"/>
      <c r="J69" s="14"/>
      <c r="K69" s="14"/>
      <c r="L69" s="14">
        <v>2.5</v>
      </c>
      <c r="M69" s="16"/>
    </row>
    <row r="70" spans="1:18" ht="18.75" x14ac:dyDescent="0.3">
      <c r="A70" s="3">
        <v>69</v>
      </c>
      <c r="B70" s="73" t="s">
        <v>124</v>
      </c>
      <c r="C70" s="4" t="s">
        <v>46</v>
      </c>
      <c r="D70" s="17">
        <f>SUM(1491)</f>
        <v>1491</v>
      </c>
      <c r="E70" s="14">
        <f>SUM(165)</f>
        <v>165</v>
      </c>
      <c r="F70" s="15">
        <f>SUM(D70/E70)</f>
        <v>9.036363636363637</v>
      </c>
      <c r="G70" s="14">
        <v>1</v>
      </c>
      <c r="H70" s="14"/>
      <c r="I70" s="14"/>
      <c r="J70" s="14"/>
      <c r="K70" s="14"/>
      <c r="L70" s="14">
        <v>0.5</v>
      </c>
      <c r="M70" s="16"/>
    </row>
    <row r="71" spans="1:18" ht="18.75" x14ac:dyDescent="0.3">
      <c r="A71" s="3">
        <v>70</v>
      </c>
      <c r="B71" s="73" t="s">
        <v>174</v>
      </c>
      <c r="C71" s="28" t="s">
        <v>60</v>
      </c>
      <c r="D71" s="17">
        <f>SUM(1475)</f>
        <v>1475</v>
      </c>
      <c r="E71" s="14">
        <f>SUM(180)</f>
        <v>180</v>
      </c>
      <c r="F71" s="15">
        <f>SUM(D71/E71)</f>
        <v>8.1944444444444446</v>
      </c>
      <c r="G71" s="14">
        <v>1</v>
      </c>
      <c r="H71" s="14"/>
      <c r="I71" s="14"/>
      <c r="J71" s="14"/>
      <c r="K71" s="14"/>
      <c r="L71" s="14">
        <v>1.5</v>
      </c>
      <c r="M71" s="16"/>
    </row>
    <row r="72" spans="1:18" ht="18.75" x14ac:dyDescent="0.3">
      <c r="A72" s="3">
        <v>71</v>
      </c>
      <c r="B72" s="73" t="s">
        <v>173</v>
      </c>
      <c r="C72" s="4" t="s">
        <v>49</v>
      </c>
      <c r="D72" s="17">
        <f>SUM(1468)</f>
        <v>1468</v>
      </c>
      <c r="E72" s="14">
        <f>SUM(180)</f>
        <v>180</v>
      </c>
      <c r="F72" s="15">
        <f>SUM(D72/E72)</f>
        <v>8.155555555555555</v>
      </c>
      <c r="G72" s="14">
        <v>1</v>
      </c>
      <c r="H72" s="14">
        <v>1</v>
      </c>
      <c r="I72" s="14"/>
      <c r="J72" s="14"/>
      <c r="K72" s="14"/>
      <c r="L72" s="14">
        <v>4.5</v>
      </c>
      <c r="M72" s="16"/>
    </row>
    <row r="73" spans="1:18" ht="18.75" x14ac:dyDescent="0.3">
      <c r="A73" s="3">
        <v>72</v>
      </c>
      <c r="B73" s="11" t="s">
        <v>113</v>
      </c>
      <c r="C73" s="7" t="s">
        <v>46</v>
      </c>
      <c r="D73" s="17"/>
      <c r="E73" s="14"/>
      <c r="F73" s="15"/>
      <c r="G73" s="14"/>
      <c r="H73" s="14"/>
      <c r="I73" s="14"/>
      <c r="J73" s="14"/>
      <c r="K73" s="14"/>
      <c r="L73" s="14">
        <v>0</v>
      </c>
      <c r="M73" s="16"/>
    </row>
    <row r="74" spans="1:18" ht="17.25" customHeight="1" thickBot="1" x14ac:dyDescent="0.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8" ht="19.5" customHeight="1" thickBot="1" x14ac:dyDescent="0.35">
      <c r="A75" s="5"/>
      <c r="B75" s="41" t="s">
        <v>172</v>
      </c>
      <c r="C75" s="60" t="s">
        <v>78</v>
      </c>
      <c r="D75" s="59" t="s">
        <v>79</v>
      </c>
      <c r="E75" s="70" t="s">
        <v>80</v>
      </c>
      <c r="F75" s="55" t="s">
        <v>108</v>
      </c>
      <c r="G75" s="69" t="s">
        <v>81</v>
      </c>
      <c r="I75" s="34" t="s">
        <v>82</v>
      </c>
      <c r="J75" s="35"/>
      <c r="K75" s="35"/>
      <c r="L75" s="35"/>
      <c r="M75" s="35"/>
      <c r="N75" s="35"/>
      <c r="O75" s="35"/>
      <c r="P75" s="35"/>
      <c r="Q75" s="35"/>
      <c r="R75" s="36"/>
    </row>
    <row r="76" spans="1:18" ht="18.75" x14ac:dyDescent="0.3">
      <c r="A76" s="5"/>
      <c r="B76" s="42"/>
      <c r="C76" s="29" t="s">
        <v>86</v>
      </c>
      <c r="D76" s="7">
        <v>11</v>
      </c>
      <c r="E76" s="27">
        <v>2</v>
      </c>
      <c r="F76" s="26">
        <v>0</v>
      </c>
      <c r="G76" s="29">
        <v>206</v>
      </c>
      <c r="I76" s="68" t="s">
        <v>84</v>
      </c>
      <c r="J76" s="67"/>
      <c r="K76" s="67"/>
      <c r="L76" s="67"/>
      <c r="M76" s="67"/>
      <c r="N76" s="37" t="s">
        <v>85</v>
      </c>
      <c r="O76" s="37"/>
      <c r="P76" s="37"/>
      <c r="Q76" s="37"/>
      <c r="R76" s="38"/>
    </row>
    <row r="77" spans="1:18" ht="18.75" x14ac:dyDescent="0.3">
      <c r="A77" s="5"/>
      <c r="B77" s="42"/>
      <c r="C77" s="29" t="s">
        <v>95</v>
      </c>
      <c r="D77" s="7">
        <v>11</v>
      </c>
      <c r="E77" s="62">
        <v>2</v>
      </c>
      <c r="F77" s="26">
        <v>0</v>
      </c>
      <c r="G77" s="61">
        <v>188</v>
      </c>
      <c r="I77" s="66" t="s">
        <v>87</v>
      </c>
      <c r="J77" s="65"/>
      <c r="K77" s="65"/>
      <c r="L77" s="65"/>
      <c r="M77" s="65"/>
      <c r="N77" s="39" t="s">
        <v>171</v>
      </c>
      <c r="O77" s="39"/>
      <c r="P77" s="39"/>
      <c r="Q77" s="39"/>
      <c r="R77" s="40"/>
    </row>
    <row r="78" spans="1:18" ht="18.75" x14ac:dyDescent="0.3">
      <c r="A78" s="5"/>
      <c r="B78" s="42"/>
      <c r="C78" s="29" t="s">
        <v>100</v>
      </c>
      <c r="D78" s="7">
        <v>10</v>
      </c>
      <c r="E78" s="62">
        <v>3</v>
      </c>
      <c r="F78" s="26">
        <v>0</v>
      </c>
      <c r="G78" s="61">
        <v>195</v>
      </c>
      <c r="I78" s="66" t="s">
        <v>90</v>
      </c>
      <c r="J78" s="65"/>
      <c r="K78" s="65"/>
      <c r="L78" s="65"/>
      <c r="M78" s="65"/>
      <c r="N78" s="39" t="s">
        <v>170</v>
      </c>
      <c r="O78" s="39"/>
      <c r="P78" s="39"/>
      <c r="Q78" s="39"/>
      <c r="R78" s="40"/>
    </row>
    <row r="79" spans="1:18" ht="18.75" x14ac:dyDescent="0.3">
      <c r="A79" s="6"/>
      <c r="B79" s="42"/>
      <c r="C79" s="29" t="s">
        <v>92</v>
      </c>
      <c r="D79" s="7">
        <v>10</v>
      </c>
      <c r="E79" s="62">
        <v>3</v>
      </c>
      <c r="F79" s="26">
        <v>0</v>
      </c>
      <c r="G79" s="61">
        <v>178</v>
      </c>
      <c r="I79" s="66" t="s">
        <v>93</v>
      </c>
      <c r="J79" s="65"/>
      <c r="K79" s="65"/>
      <c r="L79" s="65"/>
      <c r="M79" s="65"/>
      <c r="N79" s="39" t="s">
        <v>169</v>
      </c>
      <c r="O79" s="39"/>
      <c r="P79" s="39"/>
      <c r="Q79" s="39"/>
      <c r="R79" s="40"/>
    </row>
    <row r="80" spans="1:18" ht="18" customHeight="1" x14ac:dyDescent="0.3">
      <c r="A80" s="6"/>
      <c r="B80" s="42"/>
      <c r="C80" s="30" t="s">
        <v>97</v>
      </c>
      <c r="D80" s="9">
        <v>7</v>
      </c>
      <c r="E80" s="11">
        <v>6</v>
      </c>
      <c r="F80" s="26">
        <v>0</v>
      </c>
      <c r="G80" s="30">
        <v>159</v>
      </c>
      <c r="I80" s="66" t="s">
        <v>96</v>
      </c>
      <c r="J80" s="65"/>
      <c r="K80" s="65"/>
      <c r="L80" s="65"/>
      <c r="M80" s="65"/>
      <c r="N80" s="39" t="s">
        <v>119</v>
      </c>
      <c r="O80" s="39"/>
      <c r="P80" s="39"/>
      <c r="Q80" s="39"/>
      <c r="R80" s="40"/>
    </row>
    <row r="81" spans="1:18" ht="18" customHeight="1" thickBot="1" x14ac:dyDescent="0.35">
      <c r="A81" s="6"/>
      <c r="B81" s="42"/>
      <c r="C81" s="30" t="s">
        <v>101</v>
      </c>
      <c r="D81" s="9">
        <v>6</v>
      </c>
      <c r="E81" s="11">
        <v>7</v>
      </c>
      <c r="F81" s="26">
        <v>0</v>
      </c>
      <c r="G81" s="30">
        <v>167</v>
      </c>
      <c r="I81" s="64" t="s">
        <v>98</v>
      </c>
      <c r="J81" s="63"/>
      <c r="K81" s="63"/>
      <c r="L81" s="63"/>
      <c r="M81" s="63"/>
      <c r="N81" s="39" t="s">
        <v>169</v>
      </c>
      <c r="O81" s="39"/>
      <c r="P81" s="39"/>
      <c r="Q81" s="39"/>
      <c r="R81" s="40"/>
    </row>
    <row r="82" spans="1:18" ht="18.75" x14ac:dyDescent="0.3">
      <c r="A82" s="6"/>
      <c r="B82" s="42"/>
      <c r="C82" s="29" t="s">
        <v>103</v>
      </c>
      <c r="D82" s="7">
        <v>6</v>
      </c>
      <c r="E82" s="62">
        <v>7</v>
      </c>
      <c r="F82" s="26">
        <v>0</v>
      </c>
      <c r="G82" s="61">
        <v>160</v>
      </c>
      <c r="H82" s="6"/>
      <c r="I82" s="6"/>
    </row>
    <row r="83" spans="1:18" ht="18.75" x14ac:dyDescent="0.3">
      <c r="A83" s="6"/>
      <c r="B83" s="42"/>
      <c r="C83" s="31" t="s">
        <v>83</v>
      </c>
      <c r="D83" s="20">
        <v>6</v>
      </c>
      <c r="E83" s="53">
        <v>7</v>
      </c>
      <c r="F83" s="52">
        <v>0</v>
      </c>
      <c r="G83" s="31">
        <v>152</v>
      </c>
      <c r="H83" s="6"/>
    </row>
    <row r="84" spans="1:18" ht="18.75" x14ac:dyDescent="0.3">
      <c r="B84" s="42"/>
      <c r="C84" s="29" t="s">
        <v>99</v>
      </c>
      <c r="D84" s="7">
        <v>5</v>
      </c>
      <c r="E84" s="27">
        <v>8</v>
      </c>
      <c r="F84" s="26">
        <v>0</v>
      </c>
      <c r="G84" s="29">
        <v>158</v>
      </c>
    </row>
    <row r="85" spans="1:18" ht="18.75" x14ac:dyDescent="0.3">
      <c r="B85" s="42"/>
      <c r="C85" s="29" t="s">
        <v>89</v>
      </c>
      <c r="D85" s="7">
        <v>4</v>
      </c>
      <c r="E85" s="62">
        <v>9</v>
      </c>
      <c r="F85" s="26">
        <v>0</v>
      </c>
      <c r="G85" s="61">
        <v>144</v>
      </c>
    </row>
    <row r="86" spans="1:18" ht="18.75" x14ac:dyDescent="0.3">
      <c r="B86" s="42"/>
      <c r="C86" s="30" t="s">
        <v>104</v>
      </c>
      <c r="D86" s="9">
        <v>2</v>
      </c>
      <c r="E86" s="11">
        <v>11</v>
      </c>
      <c r="F86" s="26">
        <v>0</v>
      </c>
      <c r="G86" s="30">
        <v>97</v>
      </c>
    </row>
    <row r="87" spans="1:18" ht="19.5" thickBot="1" x14ac:dyDescent="0.35">
      <c r="B87" s="43"/>
      <c r="C87" s="30" t="s">
        <v>102</v>
      </c>
      <c r="D87" s="9">
        <v>0</v>
      </c>
      <c r="E87" s="11">
        <v>13</v>
      </c>
      <c r="F87" s="26">
        <v>0</v>
      </c>
      <c r="G87" s="30">
        <v>68</v>
      </c>
    </row>
    <row r="88" spans="1:18" ht="15.75" thickBot="1" x14ac:dyDescent="0.3"/>
    <row r="89" spans="1:18" ht="19.5" thickBot="1" x14ac:dyDescent="0.35">
      <c r="C89" s="60" t="s">
        <v>105</v>
      </c>
      <c r="D89" s="59" t="s">
        <v>79</v>
      </c>
      <c r="E89" s="59" t="s">
        <v>80</v>
      </c>
      <c r="F89" s="55" t="s">
        <v>108</v>
      </c>
      <c r="G89" s="58" t="s">
        <v>81</v>
      </c>
    </row>
    <row r="90" spans="1:18" ht="18.75" x14ac:dyDescent="0.3">
      <c r="C90" s="20" t="s">
        <v>86</v>
      </c>
      <c r="D90" s="20">
        <v>11</v>
      </c>
      <c r="E90" s="53">
        <v>2</v>
      </c>
      <c r="F90" s="52">
        <v>0</v>
      </c>
      <c r="G90" s="31">
        <v>206</v>
      </c>
    </row>
    <row r="91" spans="1:18" ht="18.75" x14ac:dyDescent="0.3">
      <c r="C91" s="7" t="s">
        <v>95</v>
      </c>
      <c r="D91" s="7">
        <v>11</v>
      </c>
      <c r="E91" s="62">
        <v>2</v>
      </c>
      <c r="F91" s="26">
        <v>0</v>
      </c>
      <c r="G91" s="61">
        <v>188</v>
      </c>
    </row>
    <row r="92" spans="1:18" ht="18.75" x14ac:dyDescent="0.3">
      <c r="C92" s="20" t="s">
        <v>100</v>
      </c>
      <c r="D92" s="20">
        <v>10</v>
      </c>
      <c r="E92" s="51">
        <v>3</v>
      </c>
      <c r="F92" s="26">
        <v>0</v>
      </c>
      <c r="G92" s="50">
        <v>195</v>
      </c>
    </row>
    <row r="93" spans="1:18" ht="18.75" x14ac:dyDescent="0.3">
      <c r="C93" s="7" t="s">
        <v>103</v>
      </c>
      <c r="D93" s="7">
        <v>6</v>
      </c>
      <c r="E93" s="62">
        <v>7</v>
      </c>
      <c r="F93" s="26">
        <v>0</v>
      </c>
      <c r="G93" s="61">
        <v>160</v>
      </c>
    </row>
    <row r="94" spans="1:18" ht="15.75" thickBot="1" x14ac:dyDescent="0.3"/>
    <row r="95" spans="1:18" ht="19.5" thickBot="1" x14ac:dyDescent="0.35">
      <c r="C95" s="60" t="s">
        <v>106</v>
      </c>
      <c r="D95" s="59" t="s">
        <v>79</v>
      </c>
      <c r="E95" s="59" t="s">
        <v>80</v>
      </c>
      <c r="F95" s="55" t="s">
        <v>108</v>
      </c>
      <c r="G95" s="58" t="s">
        <v>81</v>
      </c>
    </row>
    <row r="96" spans="1:18" ht="18.75" x14ac:dyDescent="0.3">
      <c r="C96" s="20" t="s">
        <v>92</v>
      </c>
      <c r="D96" s="20">
        <v>10</v>
      </c>
      <c r="E96" s="51">
        <v>3</v>
      </c>
      <c r="F96" s="52">
        <v>0</v>
      </c>
      <c r="G96" s="50">
        <v>178</v>
      </c>
    </row>
    <row r="97" spans="3:7" ht="18.75" x14ac:dyDescent="0.3">
      <c r="C97" s="9" t="s">
        <v>97</v>
      </c>
      <c r="D97" s="9">
        <v>7</v>
      </c>
      <c r="E97" s="11">
        <v>6</v>
      </c>
      <c r="F97" s="26">
        <v>0</v>
      </c>
      <c r="G97" s="30">
        <v>159</v>
      </c>
    </row>
    <row r="98" spans="3:7" ht="18.75" x14ac:dyDescent="0.3">
      <c r="C98" s="9" t="s">
        <v>101</v>
      </c>
      <c r="D98" s="9">
        <v>6</v>
      </c>
      <c r="E98" s="11">
        <v>7</v>
      </c>
      <c r="F98" s="26">
        <v>0</v>
      </c>
      <c r="G98" s="30">
        <v>167</v>
      </c>
    </row>
    <row r="99" spans="3:7" ht="18.75" x14ac:dyDescent="0.3">
      <c r="C99" s="7" t="s">
        <v>99</v>
      </c>
      <c r="D99" s="7">
        <v>5</v>
      </c>
      <c r="E99" s="27">
        <v>8</v>
      </c>
      <c r="F99" s="26">
        <v>0</v>
      </c>
      <c r="G99" s="29">
        <v>158</v>
      </c>
    </row>
    <row r="100" spans="3:7" ht="15.75" thickBot="1" x14ac:dyDescent="0.3"/>
    <row r="101" spans="3:7" ht="19.5" thickBot="1" x14ac:dyDescent="0.35">
      <c r="C101" s="57" t="s">
        <v>107</v>
      </c>
      <c r="D101" s="56" t="s">
        <v>79</v>
      </c>
      <c r="E101" s="56" t="s">
        <v>80</v>
      </c>
      <c r="F101" s="55" t="s">
        <v>108</v>
      </c>
      <c r="G101" s="54" t="s">
        <v>81</v>
      </c>
    </row>
    <row r="102" spans="3:7" ht="18.75" x14ac:dyDescent="0.3">
      <c r="C102" s="20" t="s">
        <v>83</v>
      </c>
      <c r="D102" s="20">
        <v>6</v>
      </c>
      <c r="E102" s="53">
        <v>7</v>
      </c>
      <c r="F102" s="52">
        <v>0</v>
      </c>
      <c r="G102" s="31">
        <v>152</v>
      </c>
    </row>
    <row r="103" spans="3:7" ht="18.75" x14ac:dyDescent="0.3">
      <c r="C103" s="20" t="s">
        <v>89</v>
      </c>
      <c r="D103" s="20">
        <v>4</v>
      </c>
      <c r="E103" s="51">
        <v>9</v>
      </c>
      <c r="F103" s="26">
        <v>0</v>
      </c>
      <c r="G103" s="50">
        <v>144</v>
      </c>
    </row>
    <row r="104" spans="3:7" ht="18.75" x14ac:dyDescent="0.3">
      <c r="C104" s="9" t="s">
        <v>104</v>
      </c>
      <c r="D104" s="9">
        <v>2</v>
      </c>
      <c r="E104" s="11">
        <v>11</v>
      </c>
      <c r="F104" s="26">
        <v>0</v>
      </c>
      <c r="G104" s="30">
        <v>97</v>
      </c>
    </row>
    <row r="105" spans="3:7" ht="18.75" x14ac:dyDescent="0.3">
      <c r="C105" s="9" t="s">
        <v>102</v>
      </c>
      <c r="D105" s="9">
        <v>0</v>
      </c>
      <c r="E105" s="11">
        <v>13</v>
      </c>
      <c r="F105" s="26">
        <v>0</v>
      </c>
      <c r="G105" s="30">
        <v>68</v>
      </c>
    </row>
  </sheetData>
  <mergeCells count="14">
    <mergeCell ref="B75:B87"/>
    <mergeCell ref="I76:M76"/>
    <mergeCell ref="I77:M77"/>
    <mergeCell ref="I78:M78"/>
    <mergeCell ref="I79:M79"/>
    <mergeCell ref="I80:M80"/>
    <mergeCell ref="I81:M81"/>
    <mergeCell ref="N81:R81"/>
    <mergeCell ref="I75:R75"/>
    <mergeCell ref="N76:R76"/>
    <mergeCell ref="N77:R77"/>
    <mergeCell ref="N78:R78"/>
    <mergeCell ref="N79:R79"/>
    <mergeCell ref="N80:R8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workbookViewId="0">
      <pane ySplit="1" topLeftCell="A2" activePane="bottomLeft" state="frozen"/>
      <selection pane="bottomLeft" activeCell="M94" sqref="M94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SUM(1493+1503+1499+1371+1478+1493+1503+1503+1487+1503+1428+1499+1404+1503)</f>
        <v>20667</v>
      </c>
      <c r="E2" s="14">
        <f>SUM(82+81+101+87+100+89+93+104+80+61+65+78+75+88)</f>
        <v>1184</v>
      </c>
      <c r="F2" s="15">
        <f>SUM(D2/E2)</f>
        <v>17.455236486486488</v>
      </c>
      <c r="G2" s="14">
        <v>14</v>
      </c>
      <c r="H2" s="14">
        <v>12</v>
      </c>
      <c r="I2" s="14">
        <v>1</v>
      </c>
      <c r="J2" s="14"/>
      <c r="K2" s="14"/>
      <c r="L2" s="14">
        <v>56</v>
      </c>
      <c r="M2" s="16">
        <v>45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SUM(1497+1503+1503+1503+1503+1343+1374+1383+1499+1493+1503+1454)</f>
        <v>17558</v>
      </c>
      <c r="E3" s="14">
        <f>SUM(100+85+83+92+83+81+85+94+91+89+89+81)</f>
        <v>1053</v>
      </c>
      <c r="F3" s="15">
        <f>SUM(D3/E3)</f>
        <v>16.674264007597341</v>
      </c>
      <c r="G3" s="14">
        <v>12</v>
      </c>
      <c r="H3" s="14">
        <v>10</v>
      </c>
      <c r="I3" s="14">
        <v>4</v>
      </c>
      <c r="J3" s="14"/>
      <c r="K3" s="14"/>
      <c r="L3" s="14">
        <v>51</v>
      </c>
      <c r="M3" s="16">
        <v>15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SUM(1475+1503+1379+1273+1389+1467+1447+1471+1380+1494+1411+1453)</f>
        <v>17142</v>
      </c>
      <c r="E4" s="14">
        <f>SUM(91+92+81+81+71+83+111+86+76+99+95+88)</f>
        <v>1054</v>
      </c>
      <c r="F4" s="15">
        <f>SUM(D4/E4)</f>
        <v>16.263757115749527</v>
      </c>
      <c r="G4" s="14">
        <v>12</v>
      </c>
      <c r="H4" s="14">
        <v>8</v>
      </c>
      <c r="I4" s="14"/>
      <c r="J4" s="14"/>
      <c r="K4" s="14"/>
      <c r="L4" s="76">
        <v>38</v>
      </c>
      <c r="M4" s="16">
        <v>10</v>
      </c>
    </row>
    <row r="5" spans="1:13" ht="18.75" x14ac:dyDescent="0.3">
      <c r="A5" s="3">
        <v>4</v>
      </c>
      <c r="B5" s="4" t="s">
        <v>117</v>
      </c>
      <c r="C5" s="4" t="s">
        <v>53</v>
      </c>
      <c r="D5" s="14">
        <f>SUM(1503)</f>
        <v>1503</v>
      </c>
      <c r="E5" s="14">
        <f>SUM(97)</f>
        <v>97</v>
      </c>
      <c r="F5" s="15">
        <f>SUM(D5/E5)</f>
        <v>15.494845360824742</v>
      </c>
      <c r="G5" s="14">
        <v>1</v>
      </c>
      <c r="H5" s="14">
        <v>1</v>
      </c>
      <c r="I5" s="14"/>
      <c r="J5" s="14"/>
      <c r="K5" s="14"/>
      <c r="L5" s="14">
        <v>3.5</v>
      </c>
      <c r="M5" s="16"/>
    </row>
    <row r="6" spans="1:13" ht="18.75" x14ac:dyDescent="0.3">
      <c r="A6" s="3">
        <v>5</v>
      </c>
      <c r="B6" s="4" t="s">
        <v>27</v>
      </c>
      <c r="C6" s="4" t="s">
        <v>19</v>
      </c>
      <c r="D6" s="14">
        <f>SUM(1491+1430+1503+1498+1306+1503+1443+1496+1492+1503+1382+1431+1482)</f>
        <v>18960</v>
      </c>
      <c r="E6" s="14">
        <f>SUM(102+105+81+93+72+105+84+83+120+98+108+87+89)</f>
        <v>1227</v>
      </c>
      <c r="F6" s="15">
        <f>SUM(D6/E6)</f>
        <v>15.452322738386307</v>
      </c>
      <c r="G6" s="14">
        <v>13</v>
      </c>
      <c r="H6" s="14">
        <v>9</v>
      </c>
      <c r="I6" s="14"/>
      <c r="J6" s="14"/>
      <c r="K6" s="14">
        <v>1</v>
      </c>
      <c r="L6" s="14">
        <v>48</v>
      </c>
      <c r="M6" s="16">
        <v>5</v>
      </c>
    </row>
    <row r="7" spans="1:13" ht="18.75" x14ac:dyDescent="0.3">
      <c r="A7" s="3">
        <v>6</v>
      </c>
      <c r="B7" s="4" t="s">
        <v>34</v>
      </c>
      <c r="C7" s="4" t="s">
        <v>16</v>
      </c>
      <c r="D7" s="14">
        <f>SUM(1483+1471+1501+1503+1495+1501+1486+1458+1501+1503+1503+1443+1483+1503)</f>
        <v>20834</v>
      </c>
      <c r="E7" s="14">
        <f>SUM(107+83+84+79+105+120+108+87+98+102+93+92+110+85)</f>
        <v>1353</v>
      </c>
      <c r="F7" s="15">
        <f>SUM(D7/E7)</f>
        <v>15.398373983739837</v>
      </c>
      <c r="G7" s="14">
        <v>14</v>
      </c>
      <c r="H7" s="14">
        <v>10</v>
      </c>
      <c r="I7" s="14"/>
      <c r="J7" s="14"/>
      <c r="K7" s="14"/>
      <c r="L7" s="14">
        <v>54</v>
      </c>
      <c r="M7" s="16">
        <v>15</v>
      </c>
    </row>
    <row r="8" spans="1:13" ht="18.75" x14ac:dyDescent="0.3">
      <c r="A8" s="3">
        <v>7</v>
      </c>
      <c r="B8" s="4" t="s">
        <v>15</v>
      </c>
      <c r="C8" s="4" t="s">
        <v>16</v>
      </c>
      <c r="D8" s="14">
        <f>SUM(1350+1487+1463+1503+1503+1483+1282+1468+1471+1456+1428+1448)</f>
        <v>17342</v>
      </c>
      <c r="E8" s="14">
        <f>SUM(80+82+83+99+122+85+99+103+103+77+104+94)</f>
        <v>1131</v>
      </c>
      <c r="F8" s="15">
        <f>SUM(D8/E8)</f>
        <v>15.333333333333334</v>
      </c>
      <c r="G8" s="14">
        <v>12</v>
      </c>
      <c r="H8" s="14">
        <v>7</v>
      </c>
      <c r="I8" s="14"/>
      <c r="J8" s="14"/>
      <c r="K8" s="14"/>
      <c r="L8" s="14">
        <v>41</v>
      </c>
      <c r="M8" s="16">
        <v>10</v>
      </c>
    </row>
    <row r="9" spans="1:13" ht="18.75" x14ac:dyDescent="0.3">
      <c r="A9" s="3">
        <v>8</v>
      </c>
      <c r="B9" s="4" t="s">
        <v>38</v>
      </c>
      <c r="C9" s="4" t="s">
        <v>21</v>
      </c>
      <c r="D9" s="14">
        <f>SUM(1487+1503+1503+1386+1501+1503+1415+1495+1442+1486+1304+1211+1471+1397)</f>
        <v>20104</v>
      </c>
      <c r="E9" s="14">
        <f>SUM(111+101+74+85+132+87+82+95+76+112+88+78+97+98)</f>
        <v>1316</v>
      </c>
      <c r="F9" s="15">
        <f>SUM(D9/E9)</f>
        <v>15.276595744680851</v>
      </c>
      <c r="G9" s="14">
        <v>14</v>
      </c>
      <c r="H9" s="14">
        <v>9</v>
      </c>
      <c r="I9" s="14"/>
      <c r="J9" s="14"/>
      <c r="K9" s="14">
        <v>1</v>
      </c>
      <c r="L9" s="14">
        <v>46.5</v>
      </c>
      <c r="M9" s="16">
        <v>10</v>
      </c>
    </row>
    <row r="10" spans="1:13" ht="18.75" x14ac:dyDescent="0.3">
      <c r="A10" s="3">
        <v>9</v>
      </c>
      <c r="B10" s="26" t="s">
        <v>135</v>
      </c>
      <c r="C10" s="4" t="s">
        <v>134</v>
      </c>
      <c r="D10" s="14">
        <f>SUM(1306+1503+1416+1435+1467)</f>
        <v>7127</v>
      </c>
      <c r="E10" s="14">
        <f>SUM(81+98+89+98+104)</f>
        <v>470</v>
      </c>
      <c r="F10" s="15">
        <f>SUM(D10/E10)</f>
        <v>15.163829787234043</v>
      </c>
      <c r="G10" s="14">
        <v>5</v>
      </c>
      <c r="H10" s="14">
        <v>3</v>
      </c>
      <c r="I10" s="14"/>
      <c r="J10" s="14"/>
      <c r="K10" s="14"/>
      <c r="L10" s="14">
        <v>20.5</v>
      </c>
      <c r="M10" s="16"/>
    </row>
    <row r="11" spans="1:13" ht="18.75" x14ac:dyDescent="0.3">
      <c r="A11" s="3">
        <v>10</v>
      </c>
      <c r="B11" s="4" t="s">
        <v>11</v>
      </c>
      <c r="C11" s="4" t="s">
        <v>12</v>
      </c>
      <c r="D11" s="14">
        <f>SUM(1471+1503+1366+1503+1427+1501+1493+1342+1334+1491+1448+1501+1493)</f>
        <v>18873</v>
      </c>
      <c r="E11" s="14">
        <f>SUM(76+92+101+115+84+100+114+88+77+95+98+108+106)</f>
        <v>1254</v>
      </c>
      <c r="F11" s="15">
        <f>SUM(D11/E11)</f>
        <v>15.05023923444976</v>
      </c>
      <c r="G11" s="14">
        <v>13</v>
      </c>
      <c r="H11" s="14">
        <v>10</v>
      </c>
      <c r="I11" s="14">
        <v>2</v>
      </c>
      <c r="J11" s="14"/>
      <c r="K11" s="14"/>
      <c r="L11" s="14">
        <v>48.5</v>
      </c>
      <c r="M11" s="16">
        <v>25</v>
      </c>
    </row>
    <row r="12" spans="1:13" ht="18.75" x14ac:dyDescent="0.3">
      <c r="A12" s="3">
        <v>11</v>
      </c>
      <c r="B12" s="4" t="s">
        <v>18</v>
      </c>
      <c r="C12" s="7" t="s">
        <v>19</v>
      </c>
      <c r="D12" s="14">
        <f>SUM(1503+1488+1503+1430+1468+1461+1444+1411+1423+1351+1503+1383+1415+1469)</f>
        <v>20252</v>
      </c>
      <c r="E12" s="14">
        <f>SUM(93+90+102+88+102+99+93+85+111+94+99+91+96+107)</f>
        <v>1350</v>
      </c>
      <c r="F12" s="15">
        <f>SUM(D12/E12)</f>
        <v>15.001481481481482</v>
      </c>
      <c r="G12" s="14">
        <v>14</v>
      </c>
      <c r="H12" s="14">
        <v>5</v>
      </c>
      <c r="I12" s="14"/>
      <c r="J12" s="14"/>
      <c r="K12" s="14"/>
      <c r="L12" s="14">
        <v>49</v>
      </c>
      <c r="M12" s="16"/>
    </row>
    <row r="13" spans="1:13" ht="18.75" x14ac:dyDescent="0.3">
      <c r="A13" s="3">
        <v>12</v>
      </c>
      <c r="B13" s="4" t="s">
        <v>28</v>
      </c>
      <c r="C13" s="4" t="s">
        <v>29</v>
      </c>
      <c r="D13" s="14">
        <f>SUM(1400+1499+1422+1493+1503+1477+1499+1499+1503+1493+1316+1450+1503+1484)</f>
        <v>20541</v>
      </c>
      <c r="E13" s="14">
        <f>SUM(96+101+81+130+107+114+92+101+87+113+90+85+75+99)</f>
        <v>1371</v>
      </c>
      <c r="F13" s="15">
        <f>SUM(D13/E13)</f>
        <v>14.982494529540482</v>
      </c>
      <c r="G13" s="14">
        <v>14</v>
      </c>
      <c r="H13" s="14">
        <v>9</v>
      </c>
      <c r="I13" s="14"/>
      <c r="J13" s="14"/>
      <c r="K13" s="14"/>
      <c r="L13" s="14">
        <v>48</v>
      </c>
      <c r="M13" s="16">
        <v>5</v>
      </c>
    </row>
    <row r="14" spans="1:13" ht="18.75" x14ac:dyDescent="0.3">
      <c r="A14" s="3">
        <v>13</v>
      </c>
      <c r="B14" s="4" t="s">
        <v>24</v>
      </c>
      <c r="C14" s="4" t="s">
        <v>23</v>
      </c>
      <c r="D14" s="14">
        <f>SUM(1408+1503+1475+1495+1503+1485+1204+1389+1499+1348+1034+1441+1440+1433)</f>
        <v>19657</v>
      </c>
      <c r="E14" s="14">
        <f>SUM(93+120+122+113+103+85+82+98+120+85+60+89+98+84)</f>
        <v>1352</v>
      </c>
      <c r="F14" s="15">
        <f>SUM(D14/E14)</f>
        <v>14.539201183431953</v>
      </c>
      <c r="G14" s="14">
        <v>14</v>
      </c>
      <c r="H14" s="14">
        <v>6</v>
      </c>
      <c r="I14" s="14"/>
      <c r="J14" s="14"/>
      <c r="K14" s="14"/>
      <c r="L14" s="14">
        <v>42</v>
      </c>
      <c r="M14" s="16"/>
    </row>
    <row r="15" spans="1:13" ht="18.75" x14ac:dyDescent="0.3">
      <c r="A15" s="3">
        <v>14</v>
      </c>
      <c r="B15" s="4" t="s">
        <v>37</v>
      </c>
      <c r="C15" s="4" t="s">
        <v>12</v>
      </c>
      <c r="D15" s="14">
        <f>SUM(1489+1454+1482+1503+1393+1503+1503+1503+1381+932+1415+1503+1471+1423)</f>
        <v>19955</v>
      </c>
      <c r="E15" s="14">
        <f>SUM(111+105+94+95+97+115+88+96+97+57+89+116+107+112)</f>
        <v>1379</v>
      </c>
      <c r="F15" s="15">
        <f>SUM(D15/E15)</f>
        <v>14.470630891950689</v>
      </c>
      <c r="G15" s="14">
        <v>14</v>
      </c>
      <c r="H15" s="14">
        <v>7</v>
      </c>
      <c r="I15" s="14"/>
      <c r="J15" s="14"/>
      <c r="K15" s="14"/>
      <c r="L15" s="14">
        <v>49</v>
      </c>
      <c r="M15" s="16"/>
    </row>
    <row r="16" spans="1:13" ht="18.75" x14ac:dyDescent="0.3">
      <c r="A16" s="3">
        <v>15</v>
      </c>
      <c r="B16" s="4" t="s">
        <v>71</v>
      </c>
      <c r="C16" s="4" t="s">
        <v>53</v>
      </c>
      <c r="D16" s="14">
        <f>SUM(1343+1449+1503+1477+1348+1444+1219+1461+1293+1503+1455+1495+1403)</f>
        <v>18393</v>
      </c>
      <c r="E16" s="14">
        <f>SUM(82+98+96+114+102+85+94+96+86+94+95+131+106)</f>
        <v>1279</v>
      </c>
      <c r="F16" s="15">
        <f>SUM(D16/E16)</f>
        <v>14.380766223612197</v>
      </c>
      <c r="G16" s="14">
        <v>12</v>
      </c>
      <c r="H16" s="14">
        <v>5</v>
      </c>
      <c r="I16" s="14">
        <v>1</v>
      </c>
      <c r="J16" s="14"/>
      <c r="K16" s="14"/>
      <c r="L16" s="14">
        <v>37</v>
      </c>
      <c r="M16" s="16"/>
    </row>
    <row r="17" spans="1:13" ht="18.75" x14ac:dyDescent="0.3">
      <c r="A17" s="3">
        <v>16</v>
      </c>
      <c r="B17" s="10" t="s">
        <v>44</v>
      </c>
      <c r="C17" s="4" t="s">
        <v>19</v>
      </c>
      <c r="D17" s="14">
        <f>SUM(1499+1503+1495+1500+1498+1471+1503+1455+1269+1503+1500)</f>
        <v>16196</v>
      </c>
      <c r="E17" s="14">
        <f>SUM(120+113+112+127+83+89+94+83+79+117+113)</f>
        <v>1130</v>
      </c>
      <c r="F17" s="15">
        <f>SUM(D17/E17)</f>
        <v>14.332743362831858</v>
      </c>
      <c r="G17" s="14">
        <v>11</v>
      </c>
      <c r="H17" s="14">
        <v>9</v>
      </c>
      <c r="I17" s="14"/>
      <c r="J17" s="14"/>
      <c r="K17" s="14"/>
      <c r="L17" s="14">
        <v>45</v>
      </c>
      <c r="M17" s="16">
        <v>5</v>
      </c>
    </row>
    <row r="18" spans="1:13" ht="18.75" x14ac:dyDescent="0.3">
      <c r="A18" s="3">
        <v>17</v>
      </c>
      <c r="B18" s="3" t="s">
        <v>32</v>
      </c>
      <c r="C18" s="4" t="s">
        <v>33</v>
      </c>
      <c r="D18" s="14">
        <f>SUM(1375+1349+1415+1479+1469+1503+1453+1325+1482+1503+1386+1370+1448+1397)</f>
        <v>19954</v>
      </c>
      <c r="E18" s="14">
        <f>SUM(97+95+104+117+106+116+111+102+95+94+88+103+86+82)</f>
        <v>1396</v>
      </c>
      <c r="F18" s="15">
        <f>SUM(D18/E18)</f>
        <v>14.293696275071634</v>
      </c>
      <c r="G18" s="14">
        <v>14</v>
      </c>
      <c r="H18" s="14">
        <v>8</v>
      </c>
      <c r="I18" s="14"/>
      <c r="J18" s="14"/>
      <c r="K18" s="14"/>
      <c r="L18" s="14">
        <v>42</v>
      </c>
      <c r="M18" s="16">
        <v>5</v>
      </c>
    </row>
    <row r="19" spans="1:13" ht="18.75" x14ac:dyDescent="0.3">
      <c r="A19" s="3">
        <v>18</v>
      </c>
      <c r="B19" s="26" t="s">
        <v>116</v>
      </c>
      <c r="C19" s="4" t="s">
        <v>46</v>
      </c>
      <c r="D19" s="14">
        <f>SUM(1184+1495+1503+1260+1369+1493+1471+1423+1289+1493+1499+1392)</f>
        <v>16871</v>
      </c>
      <c r="E19" s="14">
        <f>SUM(78+154+98+84+87+93+95+90+82+108+131+104)</f>
        <v>1204</v>
      </c>
      <c r="F19" s="15">
        <f>SUM(D19/E19)</f>
        <v>14.012458471760798</v>
      </c>
      <c r="G19" s="14">
        <v>11</v>
      </c>
      <c r="H19" s="14">
        <v>5</v>
      </c>
      <c r="I19" s="14"/>
      <c r="J19" s="14"/>
      <c r="K19" s="14"/>
      <c r="L19" s="14">
        <v>27.5</v>
      </c>
      <c r="M19" s="16"/>
    </row>
    <row r="20" spans="1:13" ht="18.75" x14ac:dyDescent="0.3">
      <c r="A20" s="3">
        <v>19</v>
      </c>
      <c r="B20" s="26" t="s">
        <v>40</v>
      </c>
      <c r="C20" s="4" t="s">
        <v>23</v>
      </c>
      <c r="D20" s="14">
        <f>SUM(1446+1503+1491+1491+1503+1501+1441+1501+1366+1481+1408+1461+1447+1414)</f>
        <v>20454</v>
      </c>
      <c r="E20" s="14">
        <f>SUM(110+105+126+119+112+102+113+100+90+106+100+99+102+83)</f>
        <v>1467</v>
      </c>
      <c r="F20" s="15">
        <f>SUM(D20/E20)</f>
        <v>13.942740286298568</v>
      </c>
      <c r="G20" s="14">
        <v>14</v>
      </c>
      <c r="H20" s="14">
        <v>6</v>
      </c>
      <c r="I20" s="14"/>
      <c r="J20" s="14"/>
      <c r="K20" s="14"/>
      <c r="L20" s="14">
        <v>43</v>
      </c>
      <c r="M20" s="16">
        <v>5</v>
      </c>
    </row>
    <row r="21" spans="1:13" ht="18.75" x14ac:dyDescent="0.3">
      <c r="A21" s="3">
        <v>20</v>
      </c>
      <c r="B21" s="3" t="s">
        <v>20</v>
      </c>
      <c r="C21" s="4" t="s">
        <v>21</v>
      </c>
      <c r="D21" s="14">
        <f>SUM(1503+1459+1401+1182+1442+1421+1237+1455+1443+1489+1483+1501+1497)</f>
        <v>18513</v>
      </c>
      <c r="E21" s="14">
        <f>SUM(96+99+104+94+108+90+102+91+113+87+122+101+121)</f>
        <v>1328</v>
      </c>
      <c r="F21" s="15">
        <f>SUM(D21/E21)</f>
        <v>13.940512048192771</v>
      </c>
      <c r="G21" s="14">
        <v>13</v>
      </c>
      <c r="H21" s="14">
        <v>5</v>
      </c>
      <c r="I21" s="14">
        <v>1</v>
      </c>
      <c r="J21" s="14"/>
      <c r="K21" s="14"/>
      <c r="L21" s="14">
        <v>41.5</v>
      </c>
      <c r="M21" s="16">
        <v>5</v>
      </c>
    </row>
    <row r="22" spans="1:13" ht="18.75" x14ac:dyDescent="0.3">
      <c r="A22" s="3">
        <v>21</v>
      </c>
      <c r="B22" s="26" t="s">
        <v>52</v>
      </c>
      <c r="C22" s="7" t="s">
        <v>53</v>
      </c>
      <c r="D22" s="14">
        <f>SUM(1503+1209+1369+1358+1425+1485+1441+1503+1439+1503+1296+1397+1495+1503)</f>
        <v>19926</v>
      </c>
      <c r="E22" s="14">
        <f>SUM(129+84+84+114+99+97+112+101+93+115+111+78+142+88)</f>
        <v>1447</v>
      </c>
      <c r="F22" s="15">
        <f>SUM(D22/E22)</f>
        <v>13.7705597788528</v>
      </c>
      <c r="G22" s="14">
        <v>14</v>
      </c>
      <c r="H22" s="14">
        <v>9</v>
      </c>
      <c r="I22" s="14"/>
      <c r="J22" s="14"/>
      <c r="K22" s="14"/>
      <c r="L22" s="14">
        <v>51</v>
      </c>
      <c r="M22" s="16">
        <v>15</v>
      </c>
    </row>
    <row r="23" spans="1:13" ht="18.75" x14ac:dyDescent="0.3">
      <c r="A23" s="3">
        <v>22</v>
      </c>
      <c r="B23" s="4" t="s">
        <v>31</v>
      </c>
      <c r="C23" s="4" t="s">
        <v>19</v>
      </c>
      <c r="D23" s="14">
        <f>SUM(1485+1497+1501+1503+1503+1372+1409+1496+1503+1503+1491+1297+1394)</f>
        <v>18954</v>
      </c>
      <c r="E23" s="14">
        <f>SUM(103+100+143+103+132+96+79+99+121+99+113+100+90)</f>
        <v>1378</v>
      </c>
      <c r="F23" s="15">
        <f>SUM(D23/E23)</f>
        <v>13.754716981132075</v>
      </c>
      <c r="G23" s="14">
        <v>13</v>
      </c>
      <c r="H23" s="14">
        <v>7</v>
      </c>
      <c r="I23" s="14">
        <v>1</v>
      </c>
      <c r="J23" s="14"/>
      <c r="K23" s="14"/>
      <c r="L23" s="14">
        <v>43.5</v>
      </c>
      <c r="M23" s="16">
        <v>5</v>
      </c>
    </row>
    <row r="24" spans="1:13" ht="18.75" x14ac:dyDescent="0.3">
      <c r="A24" s="3">
        <v>23</v>
      </c>
      <c r="B24" s="4" t="s">
        <v>47</v>
      </c>
      <c r="C24" s="4" t="s">
        <v>12</v>
      </c>
      <c r="D24" s="14">
        <f>SUM(1197+1447+1355+1487+1477+1503+1496+1503+1499+1487+1461+1447+1235)</f>
        <v>18594</v>
      </c>
      <c r="E24" s="14">
        <f>SUM(99+96+96+122+112+92+111+108+105+105+110+105+93)</f>
        <v>1354</v>
      </c>
      <c r="F24" s="15">
        <f>SUM(D24/E24)</f>
        <v>13.732644017725258</v>
      </c>
      <c r="G24" s="14">
        <v>13</v>
      </c>
      <c r="H24" s="14">
        <v>9</v>
      </c>
      <c r="I24" s="14">
        <v>1</v>
      </c>
      <c r="J24" s="14"/>
      <c r="K24" s="14"/>
      <c r="L24" s="14">
        <v>47</v>
      </c>
      <c r="M24" s="16"/>
    </row>
    <row r="25" spans="1:13" ht="18.75" x14ac:dyDescent="0.3">
      <c r="A25" s="3">
        <v>24</v>
      </c>
      <c r="B25" s="4" t="s">
        <v>115</v>
      </c>
      <c r="C25" s="4" t="s">
        <v>12</v>
      </c>
      <c r="D25" s="14">
        <f>SUM(1485+1493+1468+1503+1359+1483+1500+1292+1494+1503+1491+1250)</f>
        <v>17321</v>
      </c>
      <c r="E25" s="14">
        <f>SUM(119+86+129+112+98+129+113+102+111+83+119+84)</f>
        <v>1285</v>
      </c>
      <c r="F25" s="15">
        <f>SUM(D25/E25)</f>
        <v>13.479377431906615</v>
      </c>
      <c r="G25" s="14">
        <v>12</v>
      </c>
      <c r="H25" s="14">
        <v>5</v>
      </c>
      <c r="I25" s="14"/>
      <c r="J25" s="14"/>
      <c r="K25" s="14"/>
      <c r="L25" s="14">
        <v>39</v>
      </c>
      <c r="M25" s="16">
        <v>5</v>
      </c>
    </row>
    <row r="26" spans="1:13" ht="18.75" x14ac:dyDescent="0.3">
      <c r="A26" s="3">
        <v>25</v>
      </c>
      <c r="B26" s="26" t="s">
        <v>51</v>
      </c>
      <c r="C26" s="4" t="s">
        <v>33</v>
      </c>
      <c r="D26" s="14">
        <f>SUM(1125+1277+1380+1480+1455+1503+1435+1451+1472+1503+1315)</f>
        <v>15396</v>
      </c>
      <c r="E26" s="14">
        <f>SUM(96+102+98+119+103+112+87+126+111+97+92)</f>
        <v>1143</v>
      </c>
      <c r="F26" s="15">
        <f>SUM(D26/E26)</f>
        <v>13.469816272965879</v>
      </c>
      <c r="G26" s="14">
        <v>11</v>
      </c>
      <c r="H26" s="14">
        <v>5</v>
      </c>
      <c r="I26" s="14"/>
      <c r="J26" s="14"/>
      <c r="K26" s="14"/>
      <c r="L26" s="14">
        <v>30.5</v>
      </c>
      <c r="M26" s="16">
        <v>5</v>
      </c>
    </row>
    <row r="27" spans="1:13" ht="18.75" x14ac:dyDescent="0.3">
      <c r="A27" s="3">
        <v>26</v>
      </c>
      <c r="B27" s="4" t="s">
        <v>67</v>
      </c>
      <c r="C27" s="4" t="s">
        <v>49</v>
      </c>
      <c r="D27" s="14">
        <f>SUM(1501+1454+1401+1499+1498+1316+1320+1277+1388+1365+1411+1416+1463)</f>
        <v>18309</v>
      </c>
      <c r="E27" s="14">
        <f>SUM(162+98+128+112+110+80+97+104+99+90+87+97+103)</f>
        <v>1367</v>
      </c>
      <c r="F27" s="15">
        <f>SUM(D27/E27)</f>
        <v>13.393562545720556</v>
      </c>
      <c r="G27" s="14">
        <v>13</v>
      </c>
      <c r="H27" s="14">
        <v>6</v>
      </c>
      <c r="I27" s="14"/>
      <c r="J27" s="14"/>
      <c r="K27" s="14"/>
      <c r="L27" s="14">
        <v>38</v>
      </c>
      <c r="M27" s="16">
        <v>10</v>
      </c>
    </row>
    <row r="28" spans="1:13" ht="18.75" x14ac:dyDescent="0.3">
      <c r="A28" s="3">
        <v>27</v>
      </c>
      <c r="B28" s="26" t="s">
        <v>56</v>
      </c>
      <c r="C28" s="4" t="s">
        <v>29</v>
      </c>
      <c r="D28" s="14">
        <f>SUM(1501+1284+1142+1483+1269+1441+1481+1441+1467+1501+1503+1464+1481)</f>
        <v>18458</v>
      </c>
      <c r="E28" s="14">
        <f>SUM(132+99+81+119+90+91+99+106+117+113+110+98+126)</f>
        <v>1381</v>
      </c>
      <c r="F28" s="15">
        <f>SUM(D28/E28)</f>
        <v>13.365677045619117</v>
      </c>
      <c r="G28" s="14">
        <v>13</v>
      </c>
      <c r="H28" s="14">
        <v>9</v>
      </c>
      <c r="I28" s="14">
        <v>1</v>
      </c>
      <c r="J28" s="14"/>
      <c r="K28" s="14"/>
      <c r="L28" s="14">
        <v>44.5</v>
      </c>
      <c r="M28" s="16">
        <v>5</v>
      </c>
    </row>
    <row r="29" spans="1:13" ht="18.75" x14ac:dyDescent="0.3">
      <c r="A29" s="3">
        <v>28</v>
      </c>
      <c r="B29" s="4" t="s">
        <v>72</v>
      </c>
      <c r="C29" s="4" t="s">
        <v>19</v>
      </c>
      <c r="D29" s="14">
        <f>SUM(1495+1461+1481+1503+1368)</f>
        <v>7308</v>
      </c>
      <c r="E29" s="14">
        <f>SUM(117+130+128+88+84)</f>
        <v>547</v>
      </c>
      <c r="F29" s="15">
        <f>SUM(D29/E29)</f>
        <v>13.360146252285192</v>
      </c>
      <c r="G29" s="14">
        <v>5</v>
      </c>
      <c r="H29" s="14">
        <v>4</v>
      </c>
      <c r="I29" s="14"/>
      <c r="J29" s="14"/>
      <c r="K29" s="14"/>
      <c r="L29" s="14">
        <v>32</v>
      </c>
      <c r="M29" s="16"/>
    </row>
    <row r="30" spans="1:13" ht="18.75" x14ac:dyDescent="0.3">
      <c r="A30" s="3">
        <v>29</v>
      </c>
      <c r="B30" s="4" t="s">
        <v>48</v>
      </c>
      <c r="C30" s="4" t="s">
        <v>49</v>
      </c>
      <c r="D30" s="14">
        <f>SUM(1498+1501+1411+1162+1480+1223+1193+1475+1503+1352+1503+1319+1503+1471)</f>
        <v>19594</v>
      </c>
      <c r="E30" s="14">
        <f>SUM(124+124+124+90+129+85+84+111+99+96+133+77+100+94)</f>
        <v>1470</v>
      </c>
      <c r="F30" s="15">
        <f>SUM(D30/E30)</f>
        <v>13.329251700680272</v>
      </c>
      <c r="G30" s="14">
        <v>14</v>
      </c>
      <c r="H30" s="14">
        <v>6</v>
      </c>
      <c r="I30" s="14"/>
      <c r="J30" s="14">
        <v>1</v>
      </c>
      <c r="K30" s="14"/>
      <c r="L30" s="14">
        <v>43</v>
      </c>
      <c r="M30" s="16">
        <v>5</v>
      </c>
    </row>
    <row r="31" spans="1:13" ht="18.75" x14ac:dyDescent="0.3">
      <c r="A31" s="3">
        <v>30</v>
      </c>
      <c r="B31" s="4" t="s">
        <v>43</v>
      </c>
      <c r="C31" s="7" t="s">
        <v>29</v>
      </c>
      <c r="D31" s="14">
        <f>SUM(984+1493+1090+1355+1485+1453+1343+1461+1498+1401+1497+1406+1428+1355)</f>
        <v>19249</v>
      </c>
      <c r="E31" s="14">
        <f>SUM(78+103+78+96+99+108+86+109+161+117+136+85+99+91)</f>
        <v>1446</v>
      </c>
      <c r="F31" s="15">
        <f>SUM(D31/E31)</f>
        <v>13.311894882434302</v>
      </c>
      <c r="G31" s="14">
        <v>14</v>
      </c>
      <c r="H31" s="14">
        <v>8</v>
      </c>
      <c r="I31" s="14"/>
      <c r="J31" s="14"/>
      <c r="K31" s="14"/>
      <c r="L31" s="14">
        <v>41</v>
      </c>
      <c r="M31" s="16"/>
    </row>
    <row r="32" spans="1:13" ht="18.75" x14ac:dyDescent="0.3">
      <c r="A32" s="3">
        <v>31</v>
      </c>
      <c r="B32" s="4" t="s">
        <v>22</v>
      </c>
      <c r="C32" s="4" t="s">
        <v>23</v>
      </c>
      <c r="D32" s="14">
        <f>SUM(1503+1341+1499+1500+1503+1438+1495+1503+1483+1269+1441+1449+1391+1501)</f>
        <v>20316</v>
      </c>
      <c r="E32" s="14">
        <f>SUM(96+100+124+121+117+114+112+94+111+108+138+86+105+103)</f>
        <v>1529</v>
      </c>
      <c r="F32" s="15">
        <f>SUM(D32/E32)</f>
        <v>13.287115761935906</v>
      </c>
      <c r="G32" s="14">
        <v>14</v>
      </c>
      <c r="H32" s="14">
        <v>9</v>
      </c>
      <c r="I32" s="14"/>
      <c r="J32" s="14"/>
      <c r="K32" s="14"/>
      <c r="L32" s="14">
        <v>46</v>
      </c>
      <c r="M32" s="16"/>
    </row>
    <row r="33" spans="1:13" ht="18.75" x14ac:dyDescent="0.3">
      <c r="A33" s="3">
        <v>32</v>
      </c>
      <c r="B33" s="4" t="s">
        <v>26</v>
      </c>
      <c r="C33" s="7" t="s">
        <v>21</v>
      </c>
      <c r="D33" s="14">
        <f>SUM(1301+1470+1495+1501+1264+1489+1497+1461+1463)</f>
        <v>12941</v>
      </c>
      <c r="E33" s="14">
        <f>SUM(88+118+154+110+98+105+117+105+96)</f>
        <v>991</v>
      </c>
      <c r="F33" s="15">
        <f>SUM(D33/E33)</f>
        <v>13.058526740665993</v>
      </c>
      <c r="G33" s="14">
        <v>9</v>
      </c>
      <c r="H33" s="14">
        <v>5</v>
      </c>
      <c r="I33" s="14"/>
      <c r="J33" s="14">
        <v>2</v>
      </c>
      <c r="K33" s="14"/>
      <c r="L33" s="14">
        <v>29</v>
      </c>
      <c r="M33" s="16"/>
    </row>
    <row r="34" spans="1:13" ht="18.75" x14ac:dyDescent="0.3">
      <c r="A34" s="3">
        <v>33</v>
      </c>
      <c r="B34" s="77" t="s">
        <v>74</v>
      </c>
      <c r="C34" s="4" t="s">
        <v>60</v>
      </c>
      <c r="D34" s="14">
        <f>SUM(1491+1480+1457+1253+1439+1475+1353+1072+1475+1364)</f>
        <v>13859</v>
      </c>
      <c r="E34" s="14">
        <f>SUM(100+103+151+111+93+113+111+81+104+105)</f>
        <v>1072</v>
      </c>
      <c r="F34" s="15">
        <f>SUM(D34/E34)</f>
        <v>12.928171641791044</v>
      </c>
      <c r="G34" s="14">
        <v>10</v>
      </c>
      <c r="H34" s="14">
        <v>4</v>
      </c>
      <c r="I34" s="14"/>
      <c r="J34" s="14"/>
      <c r="K34" s="14"/>
      <c r="L34" s="14">
        <v>17</v>
      </c>
      <c r="M34" s="16"/>
    </row>
    <row r="35" spans="1:13" ht="18.75" x14ac:dyDescent="0.3">
      <c r="A35" s="3">
        <v>34</v>
      </c>
      <c r="B35" s="9" t="s">
        <v>133</v>
      </c>
      <c r="C35" s="4" t="s">
        <v>46</v>
      </c>
      <c r="D35" s="17">
        <f>SUM(1380+1496+1443+1214+1489+1355+1390+1398+1501+1491+1329)</f>
        <v>15486</v>
      </c>
      <c r="E35" s="14">
        <f>SUM(111+130+100+89+114+99+111+101+118+139+96)</f>
        <v>1208</v>
      </c>
      <c r="F35" s="15">
        <f>SUM(D35/E35)</f>
        <v>12.819536423841059</v>
      </c>
      <c r="G35" s="14">
        <v>11</v>
      </c>
      <c r="H35" s="14">
        <v>4</v>
      </c>
      <c r="I35" s="14"/>
      <c r="J35" s="14"/>
      <c r="K35" s="14"/>
      <c r="L35" s="14">
        <v>19</v>
      </c>
      <c r="M35" s="16"/>
    </row>
    <row r="36" spans="1:13" ht="18.75" x14ac:dyDescent="0.3">
      <c r="A36" s="3">
        <v>35</v>
      </c>
      <c r="B36" s="7" t="s">
        <v>36</v>
      </c>
      <c r="C36" s="4" t="s">
        <v>16</v>
      </c>
      <c r="D36" s="17">
        <f>SUM(1472+1279+1463+1479+1401+1487+1503+1251+1489+1503+1491+1479+1451)</f>
        <v>18748</v>
      </c>
      <c r="E36" s="14">
        <f>SUM(108+93+117+130+103+115+130+83+123+116+113+101+135)</f>
        <v>1467</v>
      </c>
      <c r="F36" s="15">
        <f>SUM(D36/E36)</f>
        <v>12.77982276755283</v>
      </c>
      <c r="G36" s="14">
        <v>13</v>
      </c>
      <c r="H36" s="14">
        <v>7</v>
      </c>
      <c r="I36" s="14"/>
      <c r="J36" s="14"/>
      <c r="K36" s="14"/>
      <c r="L36" s="14">
        <v>42</v>
      </c>
      <c r="M36" s="16"/>
    </row>
    <row r="37" spans="1:13" ht="18.75" x14ac:dyDescent="0.3">
      <c r="A37" s="3">
        <v>36</v>
      </c>
      <c r="B37" s="7" t="s">
        <v>35</v>
      </c>
      <c r="C37" s="4" t="s">
        <v>33</v>
      </c>
      <c r="D37" s="17">
        <f>SUM(1453+1310+1456+1304+949+1406+1450+1503+1487+1503+1376+1483+1374+1219)</f>
        <v>19273</v>
      </c>
      <c r="E37" s="14">
        <f>SUM(105+122+95+112+75+90+148+117+102+131+109+112+117+84)</f>
        <v>1519</v>
      </c>
      <c r="F37" s="15">
        <f>SUM(D37/E37)</f>
        <v>12.687952600394997</v>
      </c>
      <c r="G37" s="14">
        <v>14</v>
      </c>
      <c r="H37" s="14">
        <v>6</v>
      </c>
      <c r="I37" s="14"/>
      <c r="J37" s="14"/>
      <c r="K37" s="14"/>
      <c r="L37" s="14">
        <v>42.5</v>
      </c>
      <c r="M37" s="16">
        <v>5</v>
      </c>
    </row>
    <row r="38" spans="1:13" ht="18.75" x14ac:dyDescent="0.3">
      <c r="A38" s="3">
        <v>37</v>
      </c>
      <c r="B38" s="9" t="s">
        <v>39</v>
      </c>
      <c r="C38" s="4" t="s">
        <v>29</v>
      </c>
      <c r="D38" s="17">
        <f>SUM(1503+1335+1494+1501+1503+1447+1312+1503+1503+1467+1475+1503+1496+1409)</f>
        <v>20451</v>
      </c>
      <c r="E38" s="14">
        <f>SUM(114+123+120+142+132+98+89+119+143+99+153+108+135+89)</f>
        <v>1664</v>
      </c>
      <c r="F38" s="15">
        <f>SUM(D38/E38)</f>
        <v>12.290264423076923</v>
      </c>
      <c r="G38" s="14">
        <v>14</v>
      </c>
      <c r="H38" s="14">
        <v>8</v>
      </c>
      <c r="I38" s="14"/>
      <c r="J38" s="14"/>
      <c r="K38" s="14"/>
      <c r="L38" s="14">
        <v>46.5</v>
      </c>
      <c r="M38" s="16"/>
    </row>
    <row r="39" spans="1:13" ht="18.75" x14ac:dyDescent="0.3">
      <c r="A39" s="3">
        <v>38</v>
      </c>
      <c r="B39" s="9" t="s">
        <v>76</v>
      </c>
      <c r="C39" s="4" t="s">
        <v>49</v>
      </c>
      <c r="D39" s="17">
        <f>SUM(1499+1501+1408+1503+1495+1495+1481+1100+1277+1401+1503+1503+1471)</f>
        <v>18637</v>
      </c>
      <c r="E39" s="14">
        <f>SUM(172+128+99+114+138+126+106+92+79+114+134+106+109)</f>
        <v>1517</v>
      </c>
      <c r="F39" s="15">
        <f>SUM(D39/E39)</f>
        <v>12.285431773236651</v>
      </c>
      <c r="G39" s="14">
        <v>13</v>
      </c>
      <c r="H39" s="14">
        <v>8</v>
      </c>
      <c r="I39" s="14"/>
      <c r="J39" s="14"/>
      <c r="K39" s="14"/>
      <c r="L39" s="14">
        <v>43.5</v>
      </c>
      <c r="M39" s="16"/>
    </row>
    <row r="40" spans="1:13" ht="18.75" x14ac:dyDescent="0.3">
      <c r="A40" s="3">
        <v>39</v>
      </c>
      <c r="B40" s="9" t="s">
        <v>57</v>
      </c>
      <c r="C40" s="4" t="s">
        <v>46</v>
      </c>
      <c r="D40" s="17">
        <f>SUM(1416+1252+1334+1500+1345+1490+1487+1180+1384+1213+1499+1338)</f>
        <v>16438</v>
      </c>
      <c r="E40" s="14">
        <f>SUM(125+84+99+144+105+98+147+99+102+93+140+109)</f>
        <v>1345</v>
      </c>
      <c r="F40" s="15">
        <f>SUM(D40/E40)</f>
        <v>12.221561338289963</v>
      </c>
      <c r="G40" s="14">
        <v>12</v>
      </c>
      <c r="H40" s="14">
        <v>5</v>
      </c>
      <c r="I40" s="14"/>
      <c r="J40" s="14"/>
      <c r="K40" s="14"/>
      <c r="L40" s="14">
        <v>24</v>
      </c>
      <c r="M40" s="16"/>
    </row>
    <row r="41" spans="1:13" ht="18.75" x14ac:dyDescent="0.3">
      <c r="A41" s="3">
        <v>40</v>
      </c>
      <c r="B41" s="7" t="s">
        <v>41</v>
      </c>
      <c r="C41" s="4" t="s">
        <v>21</v>
      </c>
      <c r="D41" s="17">
        <f>SUM(1179+1413+1443+1451+1367+1503+1448+1485+1503+1348+1477+1412)</f>
        <v>17029</v>
      </c>
      <c r="E41" s="14">
        <f>SUM(90+119+112+108+114+113+120+144+155+94+114+119)</f>
        <v>1402</v>
      </c>
      <c r="F41" s="15">
        <f>SUM(D41/E41)</f>
        <v>12.146219686162626</v>
      </c>
      <c r="G41" s="14">
        <v>12</v>
      </c>
      <c r="H41" s="14">
        <v>4</v>
      </c>
      <c r="I41" s="14">
        <v>1</v>
      </c>
      <c r="J41" s="14"/>
      <c r="K41" s="14"/>
      <c r="L41" s="14">
        <v>31.5</v>
      </c>
      <c r="M41" s="16">
        <v>5</v>
      </c>
    </row>
    <row r="42" spans="1:13" ht="18.75" x14ac:dyDescent="0.3">
      <c r="A42" s="3">
        <v>41</v>
      </c>
      <c r="B42" s="78" t="s">
        <v>55</v>
      </c>
      <c r="C42" s="8" t="s">
        <v>33</v>
      </c>
      <c r="D42" s="17">
        <f>SUM(1418+1495+1361+1446+1491+1483+1468+1496+1503+1469+1237+1485+1501)</f>
        <v>18853</v>
      </c>
      <c r="E42" s="14">
        <f>SUM(122+118+123+150+97+115+113+113+127+160+81+97+139)</f>
        <v>1555</v>
      </c>
      <c r="F42" s="15">
        <f>SUM(D42/E42)</f>
        <v>12.12411575562701</v>
      </c>
      <c r="G42" s="14">
        <v>13</v>
      </c>
      <c r="H42" s="14">
        <v>9</v>
      </c>
      <c r="I42" s="14"/>
      <c r="J42" s="14"/>
      <c r="K42" s="14"/>
      <c r="L42" s="14">
        <v>39.5</v>
      </c>
      <c r="M42" s="16"/>
    </row>
    <row r="43" spans="1:13" ht="18.75" x14ac:dyDescent="0.3">
      <c r="A43" s="3">
        <v>42</v>
      </c>
      <c r="B43" s="7" t="s">
        <v>50</v>
      </c>
      <c r="C43" s="7" t="s">
        <v>12</v>
      </c>
      <c r="D43" s="17">
        <f>SUM(1235+1395+1503)</f>
        <v>4133</v>
      </c>
      <c r="E43" s="14">
        <f>SUM(104+119+119)</f>
        <v>342</v>
      </c>
      <c r="F43" s="15">
        <f>SUM(D43/E43)</f>
        <v>12.084795321637428</v>
      </c>
      <c r="G43" s="14">
        <v>3</v>
      </c>
      <c r="H43" s="14">
        <v>1</v>
      </c>
      <c r="I43" s="14"/>
      <c r="J43" s="14"/>
      <c r="K43" s="14"/>
      <c r="L43" s="14">
        <v>12</v>
      </c>
      <c r="M43" s="16"/>
    </row>
    <row r="44" spans="1:13" ht="18.75" x14ac:dyDescent="0.3">
      <c r="A44" s="3">
        <v>43</v>
      </c>
      <c r="B44" s="7" t="s">
        <v>63</v>
      </c>
      <c r="C44" s="7" t="s">
        <v>53</v>
      </c>
      <c r="D44" s="17">
        <f>SUM(1498+1066+1491+1501+1497+1393)</f>
        <v>8446</v>
      </c>
      <c r="E44" s="14">
        <f>SUM(158+78+104+125+126+112)</f>
        <v>703</v>
      </c>
      <c r="F44" s="15">
        <f>SUM(D44/E44)</f>
        <v>12.014224751066857</v>
      </c>
      <c r="G44" s="14">
        <v>6</v>
      </c>
      <c r="H44" s="14">
        <v>2</v>
      </c>
      <c r="I44" s="14"/>
      <c r="J44" s="14"/>
      <c r="K44" s="14"/>
      <c r="L44" s="14">
        <v>11</v>
      </c>
      <c r="M44" s="16"/>
    </row>
    <row r="45" spans="1:13" ht="18.75" x14ac:dyDescent="0.3">
      <c r="A45" s="3">
        <v>44</v>
      </c>
      <c r="B45" s="9" t="s">
        <v>73</v>
      </c>
      <c r="C45" s="7" t="s">
        <v>21</v>
      </c>
      <c r="D45" s="17">
        <f>SUM(1472+1490+1500+1453+1330)</f>
        <v>7245</v>
      </c>
      <c r="E45" s="14">
        <f>SUM(133+105+121+116+129)</f>
        <v>604</v>
      </c>
      <c r="F45" s="15">
        <f>SUM(D45/E45)</f>
        <v>11.995033112582782</v>
      </c>
      <c r="G45" s="14">
        <v>5</v>
      </c>
      <c r="H45" s="14">
        <v>4</v>
      </c>
      <c r="I45" s="14"/>
      <c r="J45" s="14"/>
      <c r="K45" s="14"/>
      <c r="L45" s="14">
        <v>16</v>
      </c>
      <c r="M45" s="16"/>
    </row>
    <row r="46" spans="1:13" ht="18.75" x14ac:dyDescent="0.3">
      <c r="A46" s="3">
        <v>45</v>
      </c>
      <c r="B46" s="9" t="s">
        <v>132</v>
      </c>
      <c r="C46" s="7" t="s">
        <v>14</v>
      </c>
      <c r="D46" s="17">
        <f>SUM(1485+1373+1487+1427)</f>
        <v>5772</v>
      </c>
      <c r="E46" s="14">
        <f>SUM(129+93+141+121)</f>
        <v>484</v>
      </c>
      <c r="F46" s="15">
        <f>SUM(D46/E46)</f>
        <v>11.925619834710744</v>
      </c>
      <c r="G46" s="14">
        <v>4</v>
      </c>
      <c r="H46" s="14">
        <v>3</v>
      </c>
      <c r="I46" s="14"/>
      <c r="J46" s="14"/>
      <c r="K46" s="14"/>
      <c r="L46" s="14">
        <v>14</v>
      </c>
      <c r="M46" s="16"/>
    </row>
    <row r="47" spans="1:13" ht="18.75" x14ac:dyDescent="0.3">
      <c r="A47" s="3">
        <v>46</v>
      </c>
      <c r="B47" s="9" t="s">
        <v>131</v>
      </c>
      <c r="C47" s="7" t="s">
        <v>60</v>
      </c>
      <c r="D47" s="17">
        <f>SUM(1359)</f>
        <v>1359</v>
      </c>
      <c r="E47" s="14">
        <f>SUM(116)</f>
        <v>116</v>
      </c>
      <c r="F47" s="15">
        <f>SUM(D47/E47)</f>
        <v>11.71551724137931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129</v>
      </c>
      <c r="C48" s="7" t="s">
        <v>16</v>
      </c>
      <c r="D48" s="17">
        <f>SUM(1424+1496+1503+1498)</f>
        <v>5921</v>
      </c>
      <c r="E48" s="14">
        <f>SUM(126+145+116+119)</f>
        <v>506</v>
      </c>
      <c r="F48" s="15">
        <f>SUM(D48/E48)</f>
        <v>11.701581027667984</v>
      </c>
      <c r="G48" s="14">
        <v>4</v>
      </c>
      <c r="H48" s="14">
        <v>2</v>
      </c>
      <c r="I48" s="14"/>
      <c r="J48" s="14"/>
      <c r="K48" s="14"/>
      <c r="L48" s="14">
        <v>16</v>
      </c>
      <c r="M48" s="16"/>
    </row>
    <row r="49" spans="1:13" ht="18.75" x14ac:dyDescent="0.3">
      <c r="A49" s="3">
        <v>48</v>
      </c>
      <c r="B49" s="9" t="s">
        <v>130</v>
      </c>
      <c r="C49" s="4" t="s">
        <v>21</v>
      </c>
      <c r="D49" s="17">
        <f>SUM(1363)</f>
        <v>1363</v>
      </c>
      <c r="E49" s="14">
        <f>SUM(117)</f>
        <v>117</v>
      </c>
      <c r="F49" s="15">
        <f>SUM(D49/E49)</f>
        <v>11.649572649572649</v>
      </c>
      <c r="G49" s="14">
        <v>1</v>
      </c>
      <c r="H49" s="14"/>
      <c r="I49" s="14"/>
      <c r="J49" s="14"/>
      <c r="K49" s="14"/>
      <c r="L49" s="14">
        <v>1</v>
      </c>
      <c r="M49" s="16"/>
    </row>
    <row r="50" spans="1:13" ht="18.75" x14ac:dyDescent="0.3">
      <c r="A50" s="3">
        <v>49</v>
      </c>
      <c r="B50" s="9" t="s">
        <v>175</v>
      </c>
      <c r="C50" s="8" t="s">
        <v>29</v>
      </c>
      <c r="D50" s="17">
        <f>SUM(1346)</f>
        <v>1346</v>
      </c>
      <c r="E50" s="14">
        <f>SUM(116)</f>
        <v>116</v>
      </c>
      <c r="F50" s="15">
        <f>SUM(D50/E50)</f>
        <v>11.603448275862069</v>
      </c>
      <c r="G50" s="14">
        <v>1</v>
      </c>
      <c r="H50" s="14"/>
      <c r="I50" s="14"/>
      <c r="J50" s="14"/>
      <c r="K50" s="14"/>
      <c r="L50" s="14">
        <v>2</v>
      </c>
      <c r="M50" s="16"/>
    </row>
    <row r="51" spans="1:13" ht="18.75" x14ac:dyDescent="0.3">
      <c r="A51" s="3">
        <v>50</v>
      </c>
      <c r="B51" s="11" t="s">
        <v>128</v>
      </c>
      <c r="C51" s="7" t="s">
        <v>46</v>
      </c>
      <c r="D51" s="17">
        <f>SUM(1498+1487+1119+1427+1245+1489+1321+1490)</f>
        <v>11076</v>
      </c>
      <c r="E51" s="14">
        <f>SUM(161+114+90+105+111+144+108+122)</f>
        <v>955</v>
      </c>
      <c r="F51" s="15">
        <f>SUM(D51/E51)</f>
        <v>11.597905759162304</v>
      </c>
      <c r="G51" s="14">
        <v>8</v>
      </c>
      <c r="H51" s="14">
        <v>4</v>
      </c>
      <c r="I51" s="14"/>
      <c r="J51" s="14"/>
      <c r="K51" s="14"/>
      <c r="L51" s="14">
        <v>22.5</v>
      </c>
      <c r="M51" s="16"/>
    </row>
    <row r="52" spans="1:13" ht="18.75" x14ac:dyDescent="0.3">
      <c r="A52" s="3">
        <v>51</v>
      </c>
      <c r="B52" s="11" t="s">
        <v>30</v>
      </c>
      <c r="C52" s="8" t="s">
        <v>23</v>
      </c>
      <c r="D52" s="17">
        <f>SUM(1302+1358+1471+1503+1495+1235+1457+1491+1322+1364+1473+1265+1481+1491)</f>
        <v>19708</v>
      </c>
      <c r="E52" s="14">
        <f>SUM(90+98+130+127+149+111+149+144+100+120+133+99+129+147)</f>
        <v>1726</v>
      </c>
      <c r="F52" s="15">
        <f>SUM(D52/E52)</f>
        <v>11.418308227114716</v>
      </c>
      <c r="G52" s="14">
        <v>14</v>
      </c>
      <c r="H52" s="14">
        <v>6</v>
      </c>
      <c r="I52" s="14"/>
      <c r="J52" s="14"/>
      <c r="K52" s="14"/>
      <c r="L52" s="14">
        <v>39</v>
      </c>
      <c r="M52" s="16"/>
    </row>
    <row r="53" spans="1:13" ht="18.75" x14ac:dyDescent="0.3">
      <c r="A53" s="3">
        <v>52</v>
      </c>
      <c r="B53" s="27" t="s">
        <v>42</v>
      </c>
      <c r="C53" s="4" t="s">
        <v>14</v>
      </c>
      <c r="D53" s="17">
        <f>SUM(1482+1499+1503+1491+1294+1465+1439+1445+1503+1264+1407+1429+1348)</f>
        <v>18569</v>
      </c>
      <c r="E53" s="14">
        <f>SUM(117+165+144+126+126+162+121+110+118+105+121+120+100)</f>
        <v>1635</v>
      </c>
      <c r="F53" s="15">
        <f>SUM(D53/E53)</f>
        <v>11.357186544342508</v>
      </c>
      <c r="G53" s="14">
        <v>13</v>
      </c>
      <c r="H53" s="14">
        <v>5</v>
      </c>
      <c r="I53" s="14">
        <v>1</v>
      </c>
      <c r="J53" s="14"/>
      <c r="K53" s="14"/>
      <c r="L53" s="14">
        <v>39</v>
      </c>
      <c r="M53" s="16"/>
    </row>
    <row r="54" spans="1:13" ht="18.75" x14ac:dyDescent="0.3">
      <c r="A54" s="3">
        <v>53</v>
      </c>
      <c r="B54" s="11" t="s">
        <v>69</v>
      </c>
      <c r="C54" s="7" t="s">
        <v>60</v>
      </c>
      <c r="D54" s="17">
        <f>SUM(1297+1501+1485+1355+1413+1350+1379+1478+1232+1371+1360+1466)</f>
        <v>16687</v>
      </c>
      <c r="E54" s="14">
        <f>SUM(156+158+152+127+108+117+122+108+93+104+110+123)</f>
        <v>1478</v>
      </c>
      <c r="F54" s="15">
        <f>SUM(D54/E54)</f>
        <v>11.290257104194858</v>
      </c>
      <c r="G54" s="14">
        <v>11</v>
      </c>
      <c r="H54" s="14">
        <v>5</v>
      </c>
      <c r="I54" s="14"/>
      <c r="J54" s="14"/>
      <c r="K54" s="14"/>
      <c r="L54" s="14">
        <v>22</v>
      </c>
      <c r="M54" s="16"/>
    </row>
    <row r="55" spans="1:13" ht="18.75" x14ac:dyDescent="0.3">
      <c r="A55" s="3">
        <v>54</v>
      </c>
      <c r="B55" s="11" t="s">
        <v>127</v>
      </c>
      <c r="C55" s="7" t="s">
        <v>60</v>
      </c>
      <c r="D55" s="17">
        <f>SUM(913)</f>
        <v>913</v>
      </c>
      <c r="E55" s="14">
        <f>SUM(81)</f>
        <v>81</v>
      </c>
      <c r="F55" s="15">
        <f>SUM(D55/E55)</f>
        <v>11.271604938271604</v>
      </c>
      <c r="G55" s="14">
        <v>1</v>
      </c>
      <c r="H55" s="14"/>
      <c r="I55" s="14"/>
      <c r="J55" s="14"/>
      <c r="K55" s="14"/>
      <c r="L55" s="14">
        <v>1.5</v>
      </c>
      <c r="M55" s="16"/>
    </row>
    <row r="56" spans="1:13" ht="18.75" x14ac:dyDescent="0.3">
      <c r="A56" s="3">
        <v>55</v>
      </c>
      <c r="B56" s="11" t="s">
        <v>59</v>
      </c>
      <c r="C56" s="7" t="s">
        <v>60</v>
      </c>
      <c r="D56" s="17">
        <f>SUM(1495+1198+1171+1097+1373+1006+1352+1276+1154)</f>
        <v>11122</v>
      </c>
      <c r="E56" s="14">
        <f>SUM(137+121+90+90+162+90+112+103+84)</f>
        <v>989</v>
      </c>
      <c r="F56" s="15">
        <f>SUM(D56/E56)</f>
        <v>11.245702730030334</v>
      </c>
      <c r="G56" s="14">
        <v>9</v>
      </c>
      <c r="H56" s="14"/>
      <c r="I56" s="14"/>
      <c r="J56" s="14"/>
      <c r="K56" s="14"/>
      <c r="L56" s="14">
        <v>5</v>
      </c>
      <c r="M56" s="16"/>
    </row>
    <row r="57" spans="1:13" ht="18.75" x14ac:dyDescent="0.3">
      <c r="A57" s="3">
        <v>56</v>
      </c>
      <c r="B57" s="11" t="s">
        <v>70</v>
      </c>
      <c r="C57" s="7" t="s">
        <v>53</v>
      </c>
      <c r="D57" s="17">
        <f>SUM(1480+1435+1503+1491+1497+1463+1423+1446+1485+1395+1495+1415)</f>
        <v>17528</v>
      </c>
      <c r="E57" s="14">
        <f>SUM(180+141+139+125+151+119+116+99+134+135+104+119)</f>
        <v>1562</v>
      </c>
      <c r="F57" s="15">
        <f>SUM(D57/E57)</f>
        <v>11.221510883482715</v>
      </c>
      <c r="G57" s="14">
        <v>12</v>
      </c>
      <c r="H57" s="14">
        <v>2</v>
      </c>
      <c r="I57" s="14"/>
      <c r="J57" s="14"/>
      <c r="K57" s="14"/>
      <c r="L57" s="14">
        <v>24.5</v>
      </c>
      <c r="M57" s="16"/>
    </row>
    <row r="58" spans="1:13" ht="18.75" x14ac:dyDescent="0.3">
      <c r="A58" s="3">
        <v>57</v>
      </c>
      <c r="B58" s="11" t="s">
        <v>62</v>
      </c>
      <c r="C58" s="7" t="s">
        <v>60</v>
      </c>
      <c r="D58" s="17">
        <f>SUM(1264+920+1335+1422+1173)</f>
        <v>6114</v>
      </c>
      <c r="E58" s="14">
        <f>SUM(123+72+138+121+96)</f>
        <v>550</v>
      </c>
      <c r="F58" s="15">
        <f>SUM(D58/E58)</f>
        <v>11.116363636363637</v>
      </c>
      <c r="G58" s="14">
        <v>5</v>
      </c>
      <c r="H58" s="14"/>
      <c r="I58" s="14"/>
      <c r="J58" s="14"/>
      <c r="K58" s="14"/>
      <c r="L58" s="14">
        <v>7</v>
      </c>
      <c r="M58" s="16"/>
    </row>
    <row r="59" spans="1:13" ht="18.75" x14ac:dyDescent="0.3">
      <c r="A59" s="3">
        <v>58</v>
      </c>
      <c r="B59" s="11" t="s">
        <v>45</v>
      </c>
      <c r="C59" s="4" t="s">
        <v>46</v>
      </c>
      <c r="D59" s="17">
        <f>SUM(1497+1394+1490)</f>
        <v>4381</v>
      </c>
      <c r="E59" s="14">
        <f>SUM(120+114+162)</f>
        <v>396</v>
      </c>
      <c r="F59" s="15">
        <f>SUM(D59/E59)</f>
        <v>11.063131313131313</v>
      </c>
      <c r="G59" s="14">
        <v>3</v>
      </c>
      <c r="H59" s="14"/>
      <c r="I59" s="14"/>
      <c r="J59" s="14"/>
      <c r="K59" s="14"/>
      <c r="L59" s="14">
        <v>2.5</v>
      </c>
      <c r="M59" s="16"/>
    </row>
    <row r="60" spans="1:13" ht="18.75" x14ac:dyDescent="0.3">
      <c r="A60" s="3">
        <v>59</v>
      </c>
      <c r="B60" s="27" t="s">
        <v>54</v>
      </c>
      <c r="C60" s="8" t="s">
        <v>49</v>
      </c>
      <c r="D60" s="17">
        <f>SUM(1408+1461+1300+1499+1435)</f>
        <v>7103</v>
      </c>
      <c r="E60" s="14">
        <f>SUM(121+158+86+156+122)</f>
        <v>643</v>
      </c>
      <c r="F60" s="15">
        <f>SUM(D60/E60)</f>
        <v>11.046656298600311</v>
      </c>
      <c r="G60" s="14">
        <v>5</v>
      </c>
      <c r="H60" s="14">
        <v>2</v>
      </c>
      <c r="I60" s="14"/>
      <c r="J60" s="14"/>
      <c r="K60" s="14"/>
      <c r="L60" s="14">
        <v>18.5</v>
      </c>
      <c r="M60" s="16"/>
    </row>
    <row r="61" spans="1:13" ht="18.75" x14ac:dyDescent="0.3">
      <c r="A61" s="3">
        <v>60</v>
      </c>
      <c r="B61" s="27" t="s">
        <v>58</v>
      </c>
      <c r="C61" s="7" t="s">
        <v>14</v>
      </c>
      <c r="D61" s="17">
        <f>SUM(1431+1499+1493+1499+1374+1491+1468+1458+1503+1481+1238+1297+1443)</f>
        <v>18675</v>
      </c>
      <c r="E61" s="14">
        <f>SUM(128+168+144+126+105+139+114+150+107+128+115+128+140)</f>
        <v>1692</v>
      </c>
      <c r="F61" s="15">
        <f>SUM(D61/E61)</f>
        <v>11.037234042553191</v>
      </c>
      <c r="G61" s="14">
        <v>13</v>
      </c>
      <c r="H61" s="14">
        <v>7</v>
      </c>
      <c r="I61" s="14"/>
      <c r="J61" s="14"/>
      <c r="K61" s="14"/>
      <c r="L61" s="14">
        <v>44</v>
      </c>
      <c r="M61" s="16"/>
    </row>
    <row r="62" spans="1:13" ht="18.75" x14ac:dyDescent="0.3">
      <c r="A62" s="3">
        <v>61</v>
      </c>
      <c r="B62" s="11" t="s">
        <v>126</v>
      </c>
      <c r="C62" s="4" t="s">
        <v>21</v>
      </c>
      <c r="D62" s="17">
        <f>SUM(1350)</f>
        <v>1350</v>
      </c>
      <c r="E62" s="14">
        <f>SUM(123)</f>
        <v>123</v>
      </c>
      <c r="F62" s="15">
        <f>SUM(D62/E62)</f>
        <v>10.975609756097562</v>
      </c>
      <c r="G62" s="14">
        <v>1</v>
      </c>
      <c r="H62" s="14"/>
      <c r="I62" s="14"/>
      <c r="J62" s="14"/>
      <c r="K62" s="14"/>
      <c r="L62" s="14">
        <v>1.5</v>
      </c>
      <c r="M62" s="16"/>
    </row>
    <row r="63" spans="1:13" ht="18.75" x14ac:dyDescent="0.3">
      <c r="A63" s="3">
        <v>62</v>
      </c>
      <c r="B63" s="11" t="s">
        <v>65</v>
      </c>
      <c r="C63" s="4" t="s">
        <v>46</v>
      </c>
      <c r="D63" s="17">
        <f>SUM(1493+1344+1345+1483+1412+1317)</f>
        <v>8394</v>
      </c>
      <c r="E63" s="14">
        <f>SUM(159+141+111+139+117+129)</f>
        <v>796</v>
      </c>
      <c r="F63" s="15">
        <f>SUM(D63/E63)</f>
        <v>10.545226130653266</v>
      </c>
      <c r="G63" s="14">
        <v>6</v>
      </c>
      <c r="H63" s="14">
        <v>1</v>
      </c>
      <c r="I63" s="14"/>
      <c r="J63" s="14"/>
      <c r="K63" s="14"/>
      <c r="L63" s="14">
        <v>5.5</v>
      </c>
      <c r="M63" s="16"/>
    </row>
    <row r="64" spans="1:13" ht="18.75" x14ac:dyDescent="0.3">
      <c r="A64" s="3">
        <v>63</v>
      </c>
      <c r="B64" s="27" t="s">
        <v>61</v>
      </c>
      <c r="C64" s="4" t="s">
        <v>53</v>
      </c>
      <c r="D64" s="17">
        <f>SUM(1483+1452+1373+1441+1447+1477+1492+1477+1503+1499)</f>
        <v>14644</v>
      </c>
      <c r="E64" s="14">
        <f>SUM(136+141+114+142+106+162+152+159+133+165)</f>
        <v>1410</v>
      </c>
      <c r="F64" s="15">
        <f>SUM(D64/E64)</f>
        <v>10.38581560283688</v>
      </c>
      <c r="G64" s="14">
        <v>10</v>
      </c>
      <c r="H64" s="14">
        <v>6</v>
      </c>
      <c r="I64" s="14"/>
      <c r="J64" s="14"/>
      <c r="K64" s="14"/>
      <c r="L64" s="14">
        <v>34</v>
      </c>
      <c r="M64" s="16"/>
    </row>
    <row r="65" spans="1:18" ht="18.75" x14ac:dyDescent="0.3">
      <c r="A65" s="3">
        <v>64</v>
      </c>
      <c r="B65" s="11" t="s">
        <v>75</v>
      </c>
      <c r="C65" s="4" t="s">
        <v>60</v>
      </c>
      <c r="D65" s="17">
        <f>SUM(1459+1180+1070+1335+1316+1160)</f>
        <v>7520</v>
      </c>
      <c r="E65" s="14">
        <f>SUM(165+111+96+129+102+135)</f>
        <v>738</v>
      </c>
      <c r="F65" s="15">
        <f>SUM(D65/E65)</f>
        <v>10.189701897018971</v>
      </c>
      <c r="G65" s="14">
        <v>6</v>
      </c>
      <c r="H65" s="14"/>
      <c r="I65" s="14"/>
      <c r="J65" s="14"/>
      <c r="K65" s="14"/>
      <c r="L65" s="14">
        <v>6.5</v>
      </c>
      <c r="M65" s="16"/>
    </row>
    <row r="66" spans="1:18" ht="18.75" x14ac:dyDescent="0.3">
      <c r="A66" s="3">
        <v>65</v>
      </c>
      <c r="B66" s="27" t="s">
        <v>66</v>
      </c>
      <c r="C66" s="7" t="s">
        <v>49</v>
      </c>
      <c r="D66" s="17">
        <f>SUM(1474+1189+1448+1191+1495+1421+1358+1223+1499+1498)</f>
        <v>13796</v>
      </c>
      <c r="E66" s="14">
        <f>SUM(158+126+132+107+162+123+124+117+158+161)</f>
        <v>1368</v>
      </c>
      <c r="F66" s="15">
        <f>SUM(D66/E66)</f>
        <v>10.084795321637428</v>
      </c>
      <c r="G66" s="14">
        <v>10</v>
      </c>
      <c r="H66" s="14">
        <v>2</v>
      </c>
      <c r="I66" s="14"/>
      <c r="J66" s="14"/>
      <c r="K66" s="14"/>
      <c r="L66" s="14">
        <v>20.5</v>
      </c>
      <c r="M66" s="16"/>
    </row>
    <row r="67" spans="1:18" ht="18.75" x14ac:dyDescent="0.3">
      <c r="A67" s="3">
        <v>66</v>
      </c>
      <c r="B67" s="74" t="s">
        <v>125</v>
      </c>
      <c r="C67" s="28" t="s">
        <v>12</v>
      </c>
      <c r="D67" s="17">
        <f>SUM(1385)</f>
        <v>1385</v>
      </c>
      <c r="E67" s="14">
        <f>SUM(138)</f>
        <v>138</v>
      </c>
      <c r="F67" s="15">
        <f>SUM(D67/E67)</f>
        <v>10.036231884057971</v>
      </c>
      <c r="G67" s="14">
        <v>1</v>
      </c>
      <c r="H67" s="14"/>
      <c r="I67" s="14"/>
      <c r="J67" s="14"/>
      <c r="K67" s="14"/>
      <c r="L67" s="14">
        <v>2.5</v>
      </c>
      <c r="M67" s="16"/>
    </row>
    <row r="68" spans="1:18" ht="18.75" x14ac:dyDescent="0.3">
      <c r="A68" s="3">
        <v>67</v>
      </c>
      <c r="B68" s="26" t="s">
        <v>68</v>
      </c>
      <c r="C68" s="4" t="s">
        <v>60</v>
      </c>
      <c r="D68" s="17">
        <f>SUM(1493+1464+1445+1017+1395+1287+1373+1324+1417+1438+1470)</f>
        <v>15123</v>
      </c>
      <c r="E68" s="14">
        <f>SUM(177+162+141+93+130+116+144+124+136+156+162)</f>
        <v>1541</v>
      </c>
      <c r="F68" s="15">
        <f>SUM(D68/E68)</f>
        <v>9.8137573004542507</v>
      </c>
      <c r="G68" s="14">
        <v>11</v>
      </c>
      <c r="H68" s="14">
        <v>1</v>
      </c>
      <c r="I68" s="14"/>
      <c r="J68" s="14"/>
      <c r="K68" s="14"/>
      <c r="L68" s="14">
        <v>12.5</v>
      </c>
      <c r="M68" s="16"/>
    </row>
    <row r="69" spans="1:18" ht="18.75" x14ac:dyDescent="0.3">
      <c r="A69" s="3">
        <v>68</v>
      </c>
      <c r="B69" s="73" t="s">
        <v>64</v>
      </c>
      <c r="C69" s="72" t="s">
        <v>46</v>
      </c>
      <c r="D69" s="17">
        <f>SUM(1468+1466+912)</f>
        <v>3846</v>
      </c>
      <c r="E69" s="14">
        <f>SUM(156+165+75)</f>
        <v>396</v>
      </c>
      <c r="F69" s="15">
        <f>SUM(D69/E69)</f>
        <v>9.7121212121212128</v>
      </c>
      <c r="G69" s="14">
        <v>3</v>
      </c>
      <c r="H69" s="14"/>
      <c r="I69" s="14"/>
      <c r="J69" s="14"/>
      <c r="K69" s="14"/>
      <c r="L69" s="14">
        <v>2.5</v>
      </c>
      <c r="M69" s="16"/>
    </row>
    <row r="70" spans="1:18" ht="18.75" x14ac:dyDescent="0.3">
      <c r="A70" s="3">
        <v>69</v>
      </c>
      <c r="B70" s="73" t="s">
        <v>124</v>
      </c>
      <c r="C70" s="4" t="s">
        <v>46</v>
      </c>
      <c r="D70" s="17">
        <f>SUM(1491)</f>
        <v>1491</v>
      </c>
      <c r="E70" s="14">
        <f>SUM(165)</f>
        <v>165</v>
      </c>
      <c r="F70" s="15">
        <f>SUM(D70/E70)</f>
        <v>9.036363636363637</v>
      </c>
      <c r="G70" s="14">
        <v>1</v>
      </c>
      <c r="H70" s="14"/>
      <c r="I70" s="14"/>
      <c r="J70" s="14"/>
      <c r="K70" s="14"/>
      <c r="L70" s="14">
        <v>0.5</v>
      </c>
      <c r="M70" s="16"/>
    </row>
    <row r="71" spans="1:18" ht="18.75" x14ac:dyDescent="0.3">
      <c r="A71" s="3">
        <v>70</v>
      </c>
      <c r="B71" s="73" t="s">
        <v>174</v>
      </c>
      <c r="C71" s="28" t="s">
        <v>60</v>
      </c>
      <c r="D71" s="17">
        <f>SUM(1475)</f>
        <v>1475</v>
      </c>
      <c r="E71" s="14">
        <f>SUM(180)</f>
        <v>180</v>
      </c>
      <c r="F71" s="15">
        <f>SUM(D71/E71)</f>
        <v>8.1944444444444446</v>
      </c>
      <c r="G71" s="14">
        <v>1</v>
      </c>
      <c r="H71" s="14"/>
      <c r="I71" s="14"/>
      <c r="J71" s="14"/>
      <c r="K71" s="14"/>
      <c r="L71" s="14">
        <v>1.5</v>
      </c>
      <c r="M71" s="16"/>
    </row>
    <row r="72" spans="1:18" ht="18.75" x14ac:dyDescent="0.3">
      <c r="A72" s="3">
        <v>71</v>
      </c>
      <c r="B72" s="73" t="s">
        <v>173</v>
      </c>
      <c r="C72" s="4" t="s">
        <v>49</v>
      </c>
      <c r="D72" s="17">
        <f>SUM(1468)</f>
        <v>1468</v>
      </c>
      <c r="E72" s="14">
        <f>SUM(180)</f>
        <v>180</v>
      </c>
      <c r="F72" s="15">
        <f>SUM(D72/E72)</f>
        <v>8.155555555555555</v>
      </c>
      <c r="G72" s="14">
        <v>1</v>
      </c>
      <c r="H72" s="14">
        <v>1</v>
      </c>
      <c r="I72" s="14"/>
      <c r="J72" s="14"/>
      <c r="K72" s="14"/>
      <c r="L72" s="14">
        <v>4.5</v>
      </c>
      <c r="M72" s="16"/>
    </row>
    <row r="73" spans="1:18" ht="18.75" x14ac:dyDescent="0.3">
      <c r="A73" s="3">
        <v>72</v>
      </c>
      <c r="B73" s="11" t="s">
        <v>113</v>
      </c>
      <c r="C73" s="7" t="s">
        <v>46</v>
      </c>
      <c r="D73" s="17"/>
      <c r="E73" s="14"/>
      <c r="F73" s="15"/>
      <c r="G73" s="14"/>
      <c r="H73" s="14"/>
      <c r="I73" s="14"/>
      <c r="J73" s="14"/>
      <c r="K73" s="14"/>
      <c r="L73" s="14">
        <v>0</v>
      </c>
      <c r="M73" s="16"/>
    </row>
    <row r="74" spans="1:18" ht="17.25" customHeight="1" thickBot="1" x14ac:dyDescent="0.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8" ht="19.5" customHeight="1" thickBot="1" x14ac:dyDescent="0.35">
      <c r="A75" s="5"/>
      <c r="B75" s="41" t="s">
        <v>179</v>
      </c>
      <c r="C75" s="60" t="s">
        <v>78</v>
      </c>
      <c r="D75" s="59" t="s">
        <v>79</v>
      </c>
      <c r="E75" s="70" t="s">
        <v>80</v>
      </c>
      <c r="F75" s="55" t="s">
        <v>108</v>
      </c>
      <c r="G75" s="69" t="s">
        <v>81</v>
      </c>
      <c r="I75" s="34" t="s">
        <v>82</v>
      </c>
      <c r="J75" s="35"/>
      <c r="K75" s="35"/>
      <c r="L75" s="35"/>
      <c r="M75" s="35"/>
      <c r="N75" s="35"/>
      <c r="O75" s="35"/>
      <c r="P75" s="35"/>
      <c r="Q75" s="35"/>
      <c r="R75" s="36"/>
    </row>
    <row r="76" spans="1:18" ht="18.75" x14ac:dyDescent="0.3">
      <c r="A76" s="5"/>
      <c r="B76" s="42"/>
      <c r="C76" s="29" t="s">
        <v>86</v>
      </c>
      <c r="D76" s="7">
        <v>12</v>
      </c>
      <c r="E76" s="27">
        <v>2</v>
      </c>
      <c r="F76" s="26">
        <v>0</v>
      </c>
      <c r="G76" s="29">
        <v>220</v>
      </c>
      <c r="I76" s="68" t="s">
        <v>84</v>
      </c>
      <c r="J76" s="67"/>
      <c r="K76" s="67"/>
      <c r="L76" s="67"/>
      <c r="M76" s="67"/>
      <c r="N76" s="37" t="s">
        <v>85</v>
      </c>
      <c r="O76" s="37"/>
      <c r="P76" s="37"/>
      <c r="Q76" s="37"/>
      <c r="R76" s="38"/>
    </row>
    <row r="77" spans="1:18" ht="18.75" x14ac:dyDescent="0.3">
      <c r="A77" s="5"/>
      <c r="B77" s="42"/>
      <c r="C77" s="29" t="s">
        <v>100</v>
      </c>
      <c r="D77" s="7">
        <v>11</v>
      </c>
      <c r="E77" s="62">
        <v>3</v>
      </c>
      <c r="F77" s="26">
        <v>0</v>
      </c>
      <c r="G77" s="61">
        <v>210</v>
      </c>
      <c r="I77" s="66" t="s">
        <v>87</v>
      </c>
      <c r="J77" s="65"/>
      <c r="K77" s="65"/>
      <c r="L77" s="65"/>
      <c r="M77" s="65"/>
      <c r="N77" s="39" t="s">
        <v>178</v>
      </c>
      <c r="O77" s="39"/>
      <c r="P77" s="39"/>
      <c r="Q77" s="39"/>
      <c r="R77" s="40"/>
    </row>
    <row r="78" spans="1:18" ht="18.75" x14ac:dyDescent="0.3">
      <c r="A78" s="5"/>
      <c r="B78" s="42"/>
      <c r="C78" s="29" t="s">
        <v>95</v>
      </c>
      <c r="D78" s="7">
        <v>11</v>
      </c>
      <c r="E78" s="62">
        <v>3</v>
      </c>
      <c r="F78" s="26">
        <v>0</v>
      </c>
      <c r="G78" s="61">
        <v>198</v>
      </c>
      <c r="I78" s="66" t="s">
        <v>90</v>
      </c>
      <c r="J78" s="65"/>
      <c r="K78" s="65"/>
      <c r="L78" s="65"/>
      <c r="M78" s="65"/>
      <c r="N78" s="39" t="s">
        <v>177</v>
      </c>
      <c r="O78" s="39"/>
      <c r="P78" s="39"/>
      <c r="Q78" s="39"/>
      <c r="R78" s="40"/>
    </row>
    <row r="79" spans="1:18" ht="18.75" x14ac:dyDescent="0.3">
      <c r="A79" s="6"/>
      <c r="B79" s="42"/>
      <c r="C79" s="29" t="s">
        <v>92</v>
      </c>
      <c r="D79" s="7">
        <v>11</v>
      </c>
      <c r="E79" s="62">
        <v>3</v>
      </c>
      <c r="F79" s="26">
        <v>0</v>
      </c>
      <c r="G79" s="61">
        <v>191</v>
      </c>
      <c r="I79" s="66" t="s">
        <v>93</v>
      </c>
      <c r="J79" s="65"/>
      <c r="K79" s="65"/>
      <c r="L79" s="65"/>
      <c r="M79" s="65"/>
      <c r="N79" s="39" t="s">
        <v>176</v>
      </c>
      <c r="O79" s="39"/>
      <c r="P79" s="39"/>
      <c r="Q79" s="39"/>
      <c r="R79" s="40"/>
    </row>
    <row r="80" spans="1:18" ht="18" customHeight="1" x14ac:dyDescent="0.3">
      <c r="A80" s="6"/>
      <c r="B80" s="42"/>
      <c r="C80" s="30" t="s">
        <v>101</v>
      </c>
      <c r="D80" s="9">
        <v>7</v>
      </c>
      <c r="E80" s="11">
        <v>7</v>
      </c>
      <c r="F80" s="26">
        <v>0</v>
      </c>
      <c r="G80" s="30">
        <v>181</v>
      </c>
      <c r="I80" s="66" t="s">
        <v>96</v>
      </c>
      <c r="J80" s="65"/>
      <c r="K80" s="65"/>
      <c r="L80" s="65"/>
      <c r="M80" s="65"/>
      <c r="N80" s="39" t="s">
        <v>119</v>
      </c>
      <c r="O80" s="39"/>
      <c r="P80" s="39"/>
      <c r="Q80" s="39"/>
      <c r="R80" s="40"/>
    </row>
    <row r="81" spans="1:18" ht="18" customHeight="1" thickBot="1" x14ac:dyDescent="0.35">
      <c r="A81" s="6"/>
      <c r="B81" s="42"/>
      <c r="C81" s="30" t="s">
        <v>97</v>
      </c>
      <c r="D81" s="9">
        <v>7</v>
      </c>
      <c r="E81" s="11">
        <v>7</v>
      </c>
      <c r="F81" s="26">
        <v>0</v>
      </c>
      <c r="G81" s="30">
        <v>170</v>
      </c>
      <c r="I81" s="64" t="s">
        <v>98</v>
      </c>
      <c r="J81" s="63"/>
      <c r="K81" s="63"/>
      <c r="L81" s="63"/>
      <c r="M81" s="63"/>
      <c r="N81" s="39" t="s">
        <v>176</v>
      </c>
      <c r="O81" s="39"/>
      <c r="P81" s="39"/>
      <c r="Q81" s="39"/>
      <c r="R81" s="40"/>
    </row>
    <row r="82" spans="1:18" ht="18.75" x14ac:dyDescent="0.3">
      <c r="A82" s="6"/>
      <c r="B82" s="42"/>
      <c r="C82" s="31" t="s">
        <v>83</v>
      </c>
      <c r="D82" s="20">
        <v>7</v>
      </c>
      <c r="E82" s="53">
        <v>7</v>
      </c>
      <c r="F82" s="52">
        <v>0</v>
      </c>
      <c r="G82" s="31">
        <v>169</v>
      </c>
      <c r="H82" s="6"/>
      <c r="I82" s="6"/>
    </row>
    <row r="83" spans="1:18" ht="18.75" x14ac:dyDescent="0.3">
      <c r="A83" s="6"/>
      <c r="B83" s="42"/>
      <c r="C83" s="29" t="s">
        <v>103</v>
      </c>
      <c r="D83" s="7">
        <v>6</v>
      </c>
      <c r="E83" s="62">
        <v>8</v>
      </c>
      <c r="F83" s="26">
        <v>0</v>
      </c>
      <c r="G83" s="61">
        <v>169</v>
      </c>
      <c r="H83" s="6"/>
    </row>
    <row r="84" spans="1:18" ht="18.75" x14ac:dyDescent="0.3">
      <c r="B84" s="42"/>
      <c r="C84" s="29" t="s">
        <v>99</v>
      </c>
      <c r="D84" s="7">
        <v>5</v>
      </c>
      <c r="E84" s="27">
        <v>9</v>
      </c>
      <c r="F84" s="26">
        <v>0</v>
      </c>
      <c r="G84" s="29">
        <v>168</v>
      </c>
    </row>
    <row r="85" spans="1:18" ht="18.75" x14ac:dyDescent="0.3">
      <c r="B85" s="42"/>
      <c r="C85" s="29" t="s">
        <v>89</v>
      </c>
      <c r="D85" s="7">
        <v>5</v>
      </c>
      <c r="E85" s="62">
        <v>9</v>
      </c>
      <c r="F85" s="26">
        <v>0</v>
      </c>
      <c r="G85" s="61">
        <v>161</v>
      </c>
    </row>
    <row r="86" spans="1:18" ht="18.75" x14ac:dyDescent="0.3">
      <c r="B86" s="42"/>
      <c r="C86" s="30" t="s">
        <v>104</v>
      </c>
      <c r="D86" s="9">
        <v>2</v>
      </c>
      <c r="E86" s="11">
        <v>12</v>
      </c>
      <c r="F86" s="26">
        <v>0</v>
      </c>
      <c r="G86" s="30">
        <v>104</v>
      </c>
    </row>
    <row r="87" spans="1:18" ht="19.5" thickBot="1" x14ac:dyDescent="0.35">
      <c r="B87" s="43"/>
      <c r="C87" s="30" t="s">
        <v>102</v>
      </c>
      <c r="D87" s="9">
        <v>0</v>
      </c>
      <c r="E87" s="11">
        <v>14</v>
      </c>
      <c r="F87" s="26">
        <v>0</v>
      </c>
      <c r="G87" s="30">
        <v>75</v>
      </c>
    </row>
    <row r="88" spans="1:18" ht="15.75" thickBot="1" x14ac:dyDescent="0.3"/>
    <row r="89" spans="1:18" ht="19.5" thickBot="1" x14ac:dyDescent="0.35">
      <c r="C89" s="60" t="s">
        <v>105</v>
      </c>
      <c r="D89" s="59" t="s">
        <v>79</v>
      </c>
      <c r="E89" s="59" t="s">
        <v>80</v>
      </c>
      <c r="F89" s="55" t="s">
        <v>108</v>
      </c>
      <c r="G89" s="58" t="s">
        <v>81</v>
      </c>
    </row>
    <row r="90" spans="1:18" ht="18.75" x14ac:dyDescent="0.3">
      <c r="C90" s="20" t="s">
        <v>86</v>
      </c>
      <c r="D90" s="20">
        <v>12</v>
      </c>
      <c r="E90" s="53">
        <v>2</v>
      </c>
      <c r="F90" s="52">
        <v>0</v>
      </c>
      <c r="G90" s="31">
        <v>220</v>
      </c>
    </row>
    <row r="91" spans="1:18" ht="18.75" x14ac:dyDescent="0.3">
      <c r="C91" s="20" t="s">
        <v>100</v>
      </c>
      <c r="D91" s="20">
        <v>11</v>
      </c>
      <c r="E91" s="51">
        <v>3</v>
      </c>
      <c r="F91" s="26">
        <v>0</v>
      </c>
      <c r="G91" s="50">
        <v>210</v>
      </c>
    </row>
    <row r="92" spans="1:18" ht="18.75" x14ac:dyDescent="0.3">
      <c r="C92" s="7" t="s">
        <v>95</v>
      </c>
      <c r="D92" s="7">
        <v>11</v>
      </c>
      <c r="E92" s="62">
        <v>3</v>
      </c>
      <c r="F92" s="26">
        <v>0</v>
      </c>
      <c r="G92" s="61">
        <v>198</v>
      </c>
    </row>
    <row r="93" spans="1:18" ht="18.75" x14ac:dyDescent="0.3">
      <c r="C93" s="7" t="s">
        <v>103</v>
      </c>
      <c r="D93" s="7">
        <v>6</v>
      </c>
      <c r="E93" s="62">
        <v>8</v>
      </c>
      <c r="F93" s="26">
        <v>0</v>
      </c>
      <c r="G93" s="61">
        <v>169</v>
      </c>
    </row>
    <row r="94" spans="1:18" ht="15.75" thickBot="1" x14ac:dyDescent="0.3"/>
    <row r="95" spans="1:18" ht="19.5" thickBot="1" x14ac:dyDescent="0.35">
      <c r="C95" s="60" t="s">
        <v>106</v>
      </c>
      <c r="D95" s="59" t="s">
        <v>79</v>
      </c>
      <c r="E95" s="59" t="s">
        <v>80</v>
      </c>
      <c r="F95" s="55" t="s">
        <v>108</v>
      </c>
      <c r="G95" s="58" t="s">
        <v>81</v>
      </c>
    </row>
    <row r="96" spans="1:18" ht="18.75" x14ac:dyDescent="0.3">
      <c r="C96" s="20" t="s">
        <v>92</v>
      </c>
      <c r="D96" s="20">
        <v>11</v>
      </c>
      <c r="E96" s="51">
        <v>3</v>
      </c>
      <c r="F96" s="52">
        <v>0</v>
      </c>
      <c r="G96" s="50">
        <v>191</v>
      </c>
    </row>
    <row r="97" spans="3:7" ht="18.75" x14ac:dyDescent="0.3">
      <c r="C97" s="9" t="s">
        <v>101</v>
      </c>
      <c r="D97" s="9">
        <v>7</v>
      </c>
      <c r="E97" s="11">
        <v>7</v>
      </c>
      <c r="F97" s="26">
        <v>0</v>
      </c>
      <c r="G97" s="30">
        <v>181</v>
      </c>
    </row>
    <row r="98" spans="3:7" ht="18.75" x14ac:dyDescent="0.3">
      <c r="C98" s="9" t="s">
        <v>97</v>
      </c>
      <c r="D98" s="9">
        <v>7</v>
      </c>
      <c r="E98" s="11">
        <v>7</v>
      </c>
      <c r="F98" s="26">
        <v>0</v>
      </c>
      <c r="G98" s="30">
        <v>170</v>
      </c>
    </row>
    <row r="99" spans="3:7" ht="18.75" x14ac:dyDescent="0.3">
      <c r="C99" s="7" t="s">
        <v>99</v>
      </c>
      <c r="D99" s="7">
        <v>5</v>
      </c>
      <c r="E99" s="27">
        <v>9</v>
      </c>
      <c r="F99" s="26">
        <v>0</v>
      </c>
      <c r="G99" s="29">
        <v>168</v>
      </c>
    </row>
    <row r="100" spans="3:7" ht="15.75" thickBot="1" x14ac:dyDescent="0.3"/>
    <row r="101" spans="3:7" ht="19.5" thickBot="1" x14ac:dyDescent="0.35">
      <c r="C101" s="57" t="s">
        <v>107</v>
      </c>
      <c r="D101" s="56" t="s">
        <v>79</v>
      </c>
      <c r="E101" s="56" t="s">
        <v>80</v>
      </c>
      <c r="F101" s="55" t="s">
        <v>108</v>
      </c>
      <c r="G101" s="54" t="s">
        <v>81</v>
      </c>
    </row>
    <row r="102" spans="3:7" ht="18.75" x14ac:dyDescent="0.3">
      <c r="C102" s="20" t="s">
        <v>83</v>
      </c>
      <c r="D102" s="20">
        <v>7</v>
      </c>
      <c r="E102" s="53">
        <v>7</v>
      </c>
      <c r="F102" s="52">
        <v>0</v>
      </c>
      <c r="G102" s="31">
        <v>169</v>
      </c>
    </row>
    <row r="103" spans="3:7" ht="18.75" x14ac:dyDescent="0.3">
      <c r="C103" s="20" t="s">
        <v>89</v>
      </c>
      <c r="D103" s="20">
        <v>5</v>
      </c>
      <c r="E103" s="51">
        <v>9</v>
      </c>
      <c r="F103" s="26">
        <v>0</v>
      </c>
      <c r="G103" s="50">
        <v>161</v>
      </c>
    </row>
    <row r="104" spans="3:7" ht="18.75" x14ac:dyDescent="0.3">
      <c r="C104" s="9" t="s">
        <v>104</v>
      </c>
      <c r="D104" s="9">
        <v>2</v>
      </c>
      <c r="E104" s="11">
        <v>12</v>
      </c>
      <c r="F104" s="26">
        <v>0</v>
      </c>
      <c r="G104" s="30">
        <v>104</v>
      </c>
    </row>
    <row r="105" spans="3:7" ht="18.75" x14ac:dyDescent="0.3">
      <c r="C105" s="9" t="s">
        <v>102</v>
      </c>
      <c r="D105" s="9">
        <v>0</v>
      </c>
      <c r="E105" s="11">
        <v>14</v>
      </c>
      <c r="F105" s="26">
        <v>0</v>
      </c>
      <c r="G105" s="30">
        <v>75</v>
      </c>
    </row>
  </sheetData>
  <mergeCells count="14">
    <mergeCell ref="N81:R81"/>
    <mergeCell ref="I75:R75"/>
    <mergeCell ref="N76:R76"/>
    <mergeCell ref="N77:R77"/>
    <mergeCell ref="N78:R78"/>
    <mergeCell ref="N79:R79"/>
    <mergeCell ref="N80:R80"/>
    <mergeCell ref="B75:B87"/>
    <mergeCell ref="I76:M76"/>
    <mergeCell ref="I77:M77"/>
    <mergeCell ref="I78:M78"/>
    <mergeCell ref="I79:M79"/>
    <mergeCell ref="I80:M80"/>
    <mergeCell ref="I81:M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workbookViewId="0">
      <pane ySplit="1" topLeftCell="A2" activePane="bottomLeft" state="frozen"/>
      <selection pane="bottomLeft" activeCell="L73" sqref="L73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7.7109375" bestFit="1" customWidth="1"/>
    <col min="7" max="7" width="8.140625" bestFit="1" customWidth="1"/>
    <col min="8" max="12" width="5.7109375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13</v>
      </c>
      <c r="C2" s="4" t="s">
        <v>14</v>
      </c>
      <c r="D2" s="14">
        <f>SUM(1493+1503)</f>
        <v>2996</v>
      </c>
      <c r="E2" s="14">
        <f>SUM(82+81)</f>
        <v>163</v>
      </c>
      <c r="F2" s="15">
        <f>SUM(D2/E2)</f>
        <v>18.380368098159508</v>
      </c>
      <c r="G2" s="14">
        <v>2</v>
      </c>
      <c r="H2" s="14">
        <v>2</v>
      </c>
      <c r="I2" s="14">
        <v>1</v>
      </c>
      <c r="J2" s="14"/>
      <c r="K2" s="14"/>
      <c r="L2" s="14">
        <v>10</v>
      </c>
      <c r="M2" s="16">
        <v>5</v>
      </c>
    </row>
    <row r="3" spans="1:13" ht="18.75" x14ac:dyDescent="0.3">
      <c r="A3" s="3">
        <v>2</v>
      </c>
      <c r="B3" s="4" t="s">
        <v>11</v>
      </c>
      <c r="C3" s="4" t="s">
        <v>12</v>
      </c>
      <c r="D3" s="14">
        <f>SUM(1471+1503)</f>
        <v>2974</v>
      </c>
      <c r="E3" s="14">
        <f>SUM(76+92)</f>
        <v>168</v>
      </c>
      <c r="F3" s="15">
        <f>SUM(D3/E3)</f>
        <v>17.702380952380953</v>
      </c>
      <c r="G3" s="14">
        <v>2</v>
      </c>
      <c r="H3" s="14">
        <v>2</v>
      </c>
      <c r="I3" s="14"/>
      <c r="J3" s="14"/>
      <c r="K3" s="14"/>
      <c r="L3" s="14">
        <v>8</v>
      </c>
      <c r="M3" s="16">
        <v>5</v>
      </c>
    </row>
    <row r="4" spans="1:13" ht="18.75" x14ac:dyDescent="0.3">
      <c r="A4" s="3">
        <v>3</v>
      </c>
      <c r="B4" s="4" t="s">
        <v>15</v>
      </c>
      <c r="C4" s="4" t="s">
        <v>16</v>
      </c>
      <c r="D4" s="14">
        <f>SUM(1350+1487)</f>
        <v>2837</v>
      </c>
      <c r="E4" s="14">
        <f>SUM(80+82)</f>
        <v>162</v>
      </c>
      <c r="F4" s="15">
        <f>SUM(D4/E4)</f>
        <v>17.512345679012345</v>
      </c>
      <c r="G4" s="14">
        <v>2</v>
      </c>
      <c r="H4" s="14">
        <v>1</v>
      </c>
      <c r="I4" s="14"/>
      <c r="J4" s="14"/>
      <c r="K4" s="14"/>
      <c r="L4" s="14">
        <v>5.5</v>
      </c>
      <c r="M4" s="16"/>
    </row>
    <row r="5" spans="1:13" ht="18.75" x14ac:dyDescent="0.3">
      <c r="A5" s="3">
        <v>4</v>
      </c>
      <c r="B5" s="4" t="s">
        <v>71</v>
      </c>
      <c r="C5" s="4" t="s">
        <v>53</v>
      </c>
      <c r="D5" s="14">
        <f>SUM(1343)</f>
        <v>1343</v>
      </c>
      <c r="E5" s="14">
        <f>SUM(82)</f>
        <v>82</v>
      </c>
      <c r="F5" s="15">
        <f>SUM(D5/E5)</f>
        <v>16.378048780487806</v>
      </c>
      <c r="G5" s="14">
        <v>1</v>
      </c>
      <c r="H5" s="14"/>
      <c r="I5" s="14"/>
      <c r="J5" s="14"/>
      <c r="K5" s="14"/>
      <c r="L5" s="14">
        <v>3.5</v>
      </c>
      <c r="M5" s="16"/>
    </row>
    <row r="6" spans="1:13" ht="18.75" x14ac:dyDescent="0.3">
      <c r="A6" s="3">
        <v>5</v>
      </c>
      <c r="B6" s="4" t="s">
        <v>18</v>
      </c>
      <c r="C6" s="4" t="s">
        <v>19</v>
      </c>
      <c r="D6" s="14">
        <f>SUM(1503+1488)</f>
        <v>2991</v>
      </c>
      <c r="E6" s="14">
        <f>SUM(93+90)</f>
        <v>183</v>
      </c>
      <c r="F6" s="15">
        <f>SUM(D6/E6)</f>
        <v>16.344262295081968</v>
      </c>
      <c r="G6" s="14">
        <v>2</v>
      </c>
      <c r="H6" s="14">
        <v>1</v>
      </c>
      <c r="I6" s="14"/>
      <c r="J6" s="14"/>
      <c r="K6" s="14"/>
      <c r="L6" s="14">
        <v>7.5</v>
      </c>
      <c r="M6" s="16"/>
    </row>
    <row r="7" spans="1:13" ht="18.75" x14ac:dyDescent="0.3">
      <c r="A7" s="3">
        <v>6</v>
      </c>
      <c r="B7" s="4" t="s">
        <v>17</v>
      </c>
      <c r="C7" s="4" t="s">
        <v>14</v>
      </c>
      <c r="D7" s="14">
        <f>SUM(1475+1503)</f>
        <v>2978</v>
      </c>
      <c r="E7" s="14">
        <f>SUM(91+92)</f>
        <v>183</v>
      </c>
      <c r="F7" s="15">
        <f>SUM(D7/E7)</f>
        <v>16.273224043715846</v>
      </c>
      <c r="G7" s="14">
        <v>2</v>
      </c>
      <c r="H7" s="14">
        <v>1</v>
      </c>
      <c r="I7" s="14"/>
      <c r="J7" s="14"/>
      <c r="K7" s="14"/>
      <c r="L7" s="14">
        <v>8.5</v>
      </c>
      <c r="M7" s="16"/>
    </row>
    <row r="8" spans="1:13" ht="18.75" x14ac:dyDescent="0.3">
      <c r="A8" s="3">
        <v>7</v>
      </c>
      <c r="B8" s="4" t="s">
        <v>25</v>
      </c>
      <c r="C8" s="4" t="s">
        <v>16</v>
      </c>
      <c r="D8" s="14">
        <f>SUM(1497+1503)</f>
        <v>3000</v>
      </c>
      <c r="E8" s="14">
        <f>SUM(100+85)</f>
        <v>185</v>
      </c>
      <c r="F8" s="15">
        <f>SUM(D8/E8)</f>
        <v>16.216216216216218</v>
      </c>
      <c r="G8" s="14">
        <v>2</v>
      </c>
      <c r="H8" s="14">
        <v>2</v>
      </c>
      <c r="I8" s="14"/>
      <c r="J8" s="14"/>
      <c r="K8" s="14"/>
      <c r="L8" s="14">
        <v>9</v>
      </c>
      <c r="M8" s="16">
        <v>5</v>
      </c>
    </row>
    <row r="9" spans="1:13" ht="18.75" x14ac:dyDescent="0.3">
      <c r="A9" s="3">
        <v>8</v>
      </c>
      <c r="B9" s="4" t="s">
        <v>34</v>
      </c>
      <c r="C9" s="4" t="s">
        <v>16</v>
      </c>
      <c r="D9" s="14">
        <f>SUM(1483+1471)</f>
        <v>2954</v>
      </c>
      <c r="E9" s="14">
        <f>SUM(107+83)</f>
        <v>190</v>
      </c>
      <c r="F9" s="15">
        <f>SUM(D9/E9)</f>
        <v>15.547368421052632</v>
      </c>
      <c r="G9" s="14">
        <v>2</v>
      </c>
      <c r="H9" s="14">
        <v>2</v>
      </c>
      <c r="I9" s="14"/>
      <c r="J9" s="14"/>
      <c r="K9" s="14"/>
      <c r="L9" s="14">
        <v>7</v>
      </c>
      <c r="M9" s="16"/>
    </row>
    <row r="10" spans="1:13" ht="18.75" x14ac:dyDescent="0.3">
      <c r="A10" s="3">
        <v>9</v>
      </c>
      <c r="B10" s="4" t="s">
        <v>117</v>
      </c>
      <c r="C10" s="4" t="s">
        <v>53</v>
      </c>
      <c r="D10" s="14">
        <f>SUM(1503)</f>
        <v>1503</v>
      </c>
      <c r="E10" s="14">
        <f>SUM(97)</f>
        <v>97</v>
      </c>
      <c r="F10" s="15">
        <f>SUM(D10/E10)</f>
        <v>15.494845360824742</v>
      </c>
      <c r="G10" s="14">
        <v>1</v>
      </c>
      <c r="H10" s="14">
        <v>1</v>
      </c>
      <c r="I10" s="14"/>
      <c r="J10" s="14"/>
      <c r="K10" s="14"/>
      <c r="L10" s="14">
        <v>3.5</v>
      </c>
      <c r="M10" s="16"/>
    </row>
    <row r="11" spans="1:13" ht="18.75" x14ac:dyDescent="0.3">
      <c r="A11" s="3">
        <v>10</v>
      </c>
      <c r="B11" s="3" t="s">
        <v>20</v>
      </c>
      <c r="C11" s="4" t="s">
        <v>21</v>
      </c>
      <c r="D11" s="14">
        <f>SUM(1503+1459)</f>
        <v>2962</v>
      </c>
      <c r="E11" s="14">
        <f>SUM(96+99)</f>
        <v>195</v>
      </c>
      <c r="F11" s="15">
        <f>SUM(D11/E11)</f>
        <v>15.189743589743589</v>
      </c>
      <c r="G11" s="14">
        <v>2</v>
      </c>
      <c r="H11" s="14">
        <v>1</v>
      </c>
      <c r="I11" s="14">
        <v>1</v>
      </c>
      <c r="J11" s="14"/>
      <c r="K11" s="14"/>
      <c r="L11" s="14">
        <v>7.5</v>
      </c>
      <c r="M11" s="16"/>
    </row>
    <row r="12" spans="1:13" ht="18.75" x14ac:dyDescent="0.3">
      <c r="A12" s="3">
        <v>11</v>
      </c>
      <c r="B12" s="26" t="s">
        <v>116</v>
      </c>
      <c r="C12" s="7" t="s">
        <v>46</v>
      </c>
      <c r="D12" s="14">
        <f>SUM(1184)</f>
        <v>1184</v>
      </c>
      <c r="E12" s="14">
        <f>SUM(78)</f>
        <v>78</v>
      </c>
      <c r="F12" s="15">
        <f>SUM(D12/E12)</f>
        <v>15.179487179487179</v>
      </c>
      <c r="G12" s="14">
        <v>1</v>
      </c>
      <c r="H12" s="14"/>
      <c r="I12" s="14"/>
      <c r="J12" s="14"/>
      <c r="K12" s="14"/>
      <c r="L12" s="14">
        <v>0.5</v>
      </c>
      <c r="M12" s="16"/>
    </row>
    <row r="13" spans="1:13" ht="18.75" x14ac:dyDescent="0.3">
      <c r="A13" s="3">
        <v>12</v>
      </c>
      <c r="B13" s="26" t="s">
        <v>74</v>
      </c>
      <c r="C13" s="4" t="s">
        <v>60</v>
      </c>
      <c r="D13" s="14">
        <f>SUM(1491)</f>
        <v>1491</v>
      </c>
      <c r="E13" s="14">
        <f>SUM(100)</f>
        <v>100</v>
      </c>
      <c r="F13" s="15">
        <f>SUM(D13/E13)</f>
        <v>14.91</v>
      </c>
      <c r="G13" s="14">
        <v>1</v>
      </c>
      <c r="H13" s="14">
        <v>1</v>
      </c>
      <c r="I13" s="14"/>
      <c r="J13" s="14"/>
      <c r="K13" s="14"/>
      <c r="L13" s="14">
        <v>4</v>
      </c>
      <c r="M13" s="16"/>
    </row>
    <row r="14" spans="1:13" ht="18.75" x14ac:dyDescent="0.3">
      <c r="A14" s="3">
        <v>13</v>
      </c>
      <c r="B14" s="4" t="s">
        <v>28</v>
      </c>
      <c r="C14" s="4" t="s">
        <v>29</v>
      </c>
      <c r="D14" s="14">
        <f>SUM(1400+1499)</f>
        <v>2899</v>
      </c>
      <c r="E14" s="14">
        <f>SUM(96+101)</f>
        <v>197</v>
      </c>
      <c r="F14" s="15">
        <f>SUM(D14/E14)</f>
        <v>14.715736040609137</v>
      </c>
      <c r="G14" s="14">
        <v>2</v>
      </c>
      <c r="H14" s="14">
        <v>2</v>
      </c>
      <c r="I14" s="14"/>
      <c r="J14" s="14"/>
      <c r="K14" s="14"/>
      <c r="L14" s="14">
        <v>6.5</v>
      </c>
      <c r="M14" s="16"/>
    </row>
    <row r="15" spans="1:13" ht="18.75" x14ac:dyDescent="0.3">
      <c r="A15" s="3">
        <v>14</v>
      </c>
      <c r="B15" s="4" t="s">
        <v>31</v>
      </c>
      <c r="C15" s="4" t="s">
        <v>19</v>
      </c>
      <c r="D15" s="14">
        <f>SUM(1485+1497)</f>
        <v>2982</v>
      </c>
      <c r="E15" s="14">
        <f>SUM(103+100)</f>
        <v>203</v>
      </c>
      <c r="F15" s="15">
        <f>SUM(D15/E15)</f>
        <v>14.689655172413794</v>
      </c>
      <c r="G15" s="14">
        <v>2</v>
      </c>
      <c r="H15" s="14"/>
      <c r="I15" s="14"/>
      <c r="J15" s="14"/>
      <c r="K15" s="14"/>
      <c r="L15" s="14">
        <v>5.5</v>
      </c>
      <c r="M15" s="16"/>
    </row>
    <row r="16" spans="1:13" ht="18.75" x14ac:dyDescent="0.3">
      <c r="A16" s="3">
        <v>15</v>
      </c>
      <c r="B16" s="4" t="s">
        <v>22</v>
      </c>
      <c r="C16" s="4" t="s">
        <v>23</v>
      </c>
      <c r="D16" s="14">
        <f>SUM(1503+1341)</f>
        <v>2844</v>
      </c>
      <c r="E16" s="14">
        <f>SUM(96+100)</f>
        <v>196</v>
      </c>
      <c r="F16" s="15">
        <f>SUM(D16/E16)</f>
        <v>14.510204081632653</v>
      </c>
      <c r="G16" s="14">
        <v>2</v>
      </c>
      <c r="H16" s="14">
        <v>1</v>
      </c>
      <c r="I16" s="14"/>
      <c r="J16" s="14"/>
      <c r="K16" s="14"/>
      <c r="L16" s="14">
        <v>8</v>
      </c>
      <c r="M16" s="16"/>
    </row>
    <row r="17" spans="1:13" ht="18.75" x14ac:dyDescent="0.3">
      <c r="A17" s="3">
        <v>16</v>
      </c>
      <c r="B17" s="71" t="s">
        <v>32</v>
      </c>
      <c r="C17" s="4" t="s">
        <v>33</v>
      </c>
      <c r="D17" s="14">
        <f>SUM(1375+1349)</f>
        <v>2724</v>
      </c>
      <c r="E17" s="14">
        <f>SUM(97+95)</f>
        <v>192</v>
      </c>
      <c r="F17" s="15">
        <f>SUM(D17/E17)</f>
        <v>14.1875</v>
      </c>
      <c r="G17" s="14">
        <v>2</v>
      </c>
      <c r="H17" s="14">
        <v>1</v>
      </c>
      <c r="I17" s="14"/>
      <c r="J17" s="14"/>
      <c r="K17" s="14"/>
      <c r="L17" s="14">
        <v>5.5</v>
      </c>
      <c r="M17" s="16"/>
    </row>
    <row r="18" spans="1:13" ht="18.75" x14ac:dyDescent="0.3">
      <c r="A18" s="3">
        <v>17</v>
      </c>
      <c r="B18" s="26" t="s">
        <v>30</v>
      </c>
      <c r="C18" s="4" t="s">
        <v>23</v>
      </c>
      <c r="D18" s="14">
        <f>SUM(1302+1358)</f>
        <v>2660</v>
      </c>
      <c r="E18" s="14">
        <f>SUM(90+98)</f>
        <v>188</v>
      </c>
      <c r="F18" s="15">
        <f>SUM(D18/E18)</f>
        <v>14.148936170212766</v>
      </c>
      <c r="G18" s="14">
        <v>2</v>
      </c>
      <c r="H18" s="14"/>
      <c r="I18" s="14"/>
      <c r="J18" s="14"/>
      <c r="K18" s="14"/>
      <c r="L18" s="14">
        <v>4.5</v>
      </c>
      <c r="M18" s="16"/>
    </row>
    <row r="19" spans="1:13" ht="18.75" x14ac:dyDescent="0.3">
      <c r="A19" s="3">
        <v>18</v>
      </c>
      <c r="B19" s="4" t="s">
        <v>27</v>
      </c>
      <c r="C19" s="4" t="s">
        <v>19</v>
      </c>
      <c r="D19" s="14">
        <f>SUM(1491+1430)</f>
        <v>2921</v>
      </c>
      <c r="E19" s="14">
        <f>SUM(102+105)</f>
        <v>207</v>
      </c>
      <c r="F19" s="15">
        <f>SUM(D19/E19)</f>
        <v>14.111111111111111</v>
      </c>
      <c r="G19" s="14">
        <v>2</v>
      </c>
      <c r="H19" s="14">
        <v>2</v>
      </c>
      <c r="I19" s="14"/>
      <c r="J19" s="14"/>
      <c r="K19" s="14"/>
      <c r="L19" s="14">
        <v>7</v>
      </c>
      <c r="M19" s="16"/>
    </row>
    <row r="20" spans="1:13" ht="18.75" x14ac:dyDescent="0.3">
      <c r="A20" s="3">
        <v>19</v>
      </c>
      <c r="B20" s="4" t="s">
        <v>38</v>
      </c>
      <c r="C20" s="4" t="s">
        <v>21</v>
      </c>
      <c r="D20" s="14">
        <f>SUM(1487+1503)</f>
        <v>2990</v>
      </c>
      <c r="E20" s="14">
        <f>SUM(111+101)</f>
        <v>212</v>
      </c>
      <c r="F20" s="15">
        <f>SUM(D20/E20)</f>
        <v>14.10377358490566</v>
      </c>
      <c r="G20" s="14">
        <v>2</v>
      </c>
      <c r="H20" s="14">
        <v>2</v>
      </c>
      <c r="I20" s="14"/>
      <c r="J20" s="14"/>
      <c r="K20" s="14"/>
      <c r="L20" s="14">
        <v>8</v>
      </c>
      <c r="M20" s="16"/>
    </row>
    <row r="21" spans="1:13" ht="18.75" x14ac:dyDescent="0.3">
      <c r="A21" s="3">
        <v>20</v>
      </c>
      <c r="B21" s="26" t="s">
        <v>40</v>
      </c>
      <c r="C21" s="4" t="s">
        <v>23</v>
      </c>
      <c r="D21" s="14">
        <f>SUM(1446+1503)</f>
        <v>2949</v>
      </c>
      <c r="E21" s="14">
        <f>SUM(110+105)</f>
        <v>215</v>
      </c>
      <c r="F21" s="15">
        <f>SUM(D21/E21)</f>
        <v>13.716279069767442</v>
      </c>
      <c r="G21" s="14">
        <v>2</v>
      </c>
      <c r="H21" s="14">
        <v>1</v>
      </c>
      <c r="I21" s="14"/>
      <c r="J21" s="14"/>
      <c r="K21" s="14"/>
      <c r="L21" s="14">
        <v>8</v>
      </c>
      <c r="M21" s="16">
        <v>5</v>
      </c>
    </row>
    <row r="22" spans="1:13" ht="18.75" x14ac:dyDescent="0.3">
      <c r="A22" s="3">
        <v>21</v>
      </c>
      <c r="B22" s="4" t="s">
        <v>36</v>
      </c>
      <c r="C22" s="7" t="s">
        <v>16</v>
      </c>
      <c r="D22" s="14">
        <f>SUM(1472+1279)</f>
        <v>2751</v>
      </c>
      <c r="E22" s="14">
        <f>SUM(108+93)</f>
        <v>201</v>
      </c>
      <c r="F22" s="15">
        <f>SUM(D22/E22)</f>
        <v>13.686567164179104</v>
      </c>
      <c r="G22" s="14">
        <v>2</v>
      </c>
      <c r="H22" s="14"/>
      <c r="I22" s="14"/>
      <c r="J22" s="14"/>
      <c r="K22" s="14"/>
      <c r="L22" s="14">
        <v>5.5</v>
      </c>
      <c r="M22" s="16"/>
    </row>
    <row r="23" spans="1:13" ht="18.75" x14ac:dyDescent="0.3">
      <c r="A23" s="3">
        <v>22</v>
      </c>
      <c r="B23" s="4" t="s">
        <v>43</v>
      </c>
      <c r="C23" s="4" t="s">
        <v>29</v>
      </c>
      <c r="D23" s="14">
        <f>SUM(984+1493)</f>
        <v>2477</v>
      </c>
      <c r="E23" s="14">
        <f>SUM(78+103)</f>
        <v>181</v>
      </c>
      <c r="F23" s="15">
        <f>SUM(D23/E23)</f>
        <v>13.685082872928177</v>
      </c>
      <c r="G23" s="14">
        <v>2</v>
      </c>
      <c r="H23" s="14">
        <v>1</v>
      </c>
      <c r="I23" s="14"/>
      <c r="J23" s="14"/>
      <c r="K23" s="14"/>
      <c r="L23" s="14">
        <v>4.5</v>
      </c>
      <c r="M23" s="16"/>
    </row>
    <row r="24" spans="1:13" ht="18.75" x14ac:dyDescent="0.3">
      <c r="A24" s="3">
        <v>23</v>
      </c>
      <c r="B24" s="4" t="s">
        <v>24</v>
      </c>
      <c r="C24" s="4" t="s">
        <v>23</v>
      </c>
      <c r="D24" s="14">
        <f>SUM(1408+1503)</f>
        <v>2911</v>
      </c>
      <c r="E24" s="14">
        <f>SUM(93+120)</f>
        <v>213</v>
      </c>
      <c r="F24" s="15">
        <f>SUM(D24/E24)</f>
        <v>13.666666666666666</v>
      </c>
      <c r="G24" s="14">
        <v>2</v>
      </c>
      <c r="H24" s="14">
        <v>2</v>
      </c>
      <c r="I24" s="14"/>
      <c r="J24" s="14"/>
      <c r="K24" s="14"/>
      <c r="L24" s="14">
        <v>8.5</v>
      </c>
      <c r="M24" s="16"/>
    </row>
    <row r="25" spans="1:13" ht="18.75" x14ac:dyDescent="0.3">
      <c r="A25" s="3">
        <v>24</v>
      </c>
      <c r="B25" s="4" t="s">
        <v>37</v>
      </c>
      <c r="C25" s="4" t="s">
        <v>12</v>
      </c>
      <c r="D25" s="14">
        <f>SUM(1489+1454)</f>
        <v>2943</v>
      </c>
      <c r="E25" s="14">
        <f>SUM(111+105)</f>
        <v>216</v>
      </c>
      <c r="F25" s="15">
        <f>SUM(D25/E25)</f>
        <v>13.625</v>
      </c>
      <c r="G25" s="14">
        <v>2</v>
      </c>
      <c r="H25" s="14">
        <v>1</v>
      </c>
      <c r="I25" s="14"/>
      <c r="J25" s="14"/>
      <c r="K25" s="14"/>
      <c r="L25" s="14">
        <v>5</v>
      </c>
      <c r="M25" s="16"/>
    </row>
    <row r="26" spans="1:13" ht="18.75" x14ac:dyDescent="0.3">
      <c r="A26" s="3">
        <v>25</v>
      </c>
      <c r="B26" s="4" t="s">
        <v>47</v>
      </c>
      <c r="C26" s="4" t="s">
        <v>12</v>
      </c>
      <c r="D26" s="14">
        <f>SUM(1197+1447)</f>
        <v>2644</v>
      </c>
      <c r="E26" s="14">
        <f>SUM(99+96)</f>
        <v>195</v>
      </c>
      <c r="F26" s="15">
        <f>SUM(D26/E26)</f>
        <v>13.558974358974359</v>
      </c>
      <c r="G26" s="14">
        <v>2</v>
      </c>
      <c r="H26" s="14">
        <v>1</v>
      </c>
      <c r="I26" s="14"/>
      <c r="J26" s="14"/>
      <c r="K26" s="14"/>
      <c r="L26" s="14">
        <v>6</v>
      </c>
      <c r="M26" s="16"/>
    </row>
    <row r="27" spans="1:13" ht="18.75" x14ac:dyDescent="0.3">
      <c r="A27" s="3">
        <v>26</v>
      </c>
      <c r="B27" s="4" t="s">
        <v>26</v>
      </c>
      <c r="C27" s="4" t="s">
        <v>21</v>
      </c>
      <c r="D27" s="14">
        <f>SUM(1301+1470)</f>
        <v>2771</v>
      </c>
      <c r="E27" s="14">
        <f>SUM(88+118)</f>
        <v>206</v>
      </c>
      <c r="F27" s="15">
        <f>SUM(D27/E27)</f>
        <v>13.451456310679612</v>
      </c>
      <c r="G27" s="14">
        <v>2</v>
      </c>
      <c r="H27" s="14">
        <v>1</v>
      </c>
      <c r="I27" s="14"/>
      <c r="J27" s="14"/>
      <c r="K27" s="14"/>
      <c r="L27" s="14">
        <v>4.5</v>
      </c>
      <c r="M27" s="16"/>
    </row>
    <row r="28" spans="1:13" ht="18.75" x14ac:dyDescent="0.3">
      <c r="A28" s="3">
        <v>27</v>
      </c>
      <c r="B28" s="4" t="s">
        <v>72</v>
      </c>
      <c r="C28" s="4" t="s">
        <v>19</v>
      </c>
      <c r="D28" s="14">
        <f>SUM(1495)</f>
        <v>1495</v>
      </c>
      <c r="E28" s="14">
        <f>SUM(117)</f>
        <v>117</v>
      </c>
      <c r="F28" s="15">
        <f>SUM(D28/E28)</f>
        <v>12.777777777777779</v>
      </c>
      <c r="G28" s="14">
        <v>1</v>
      </c>
      <c r="H28" s="14">
        <v>1</v>
      </c>
      <c r="I28" s="14"/>
      <c r="J28" s="14"/>
      <c r="K28" s="14"/>
      <c r="L28" s="14">
        <v>3.5</v>
      </c>
      <c r="M28" s="16"/>
    </row>
    <row r="29" spans="1:13" ht="18.75" x14ac:dyDescent="0.3">
      <c r="A29" s="3">
        <v>28</v>
      </c>
      <c r="B29" s="26" t="s">
        <v>57</v>
      </c>
      <c r="C29" s="4" t="s">
        <v>46</v>
      </c>
      <c r="D29" s="14">
        <f>SUM(1416+1252)</f>
        <v>2668</v>
      </c>
      <c r="E29" s="14">
        <f>SUM(125+84)</f>
        <v>209</v>
      </c>
      <c r="F29" s="15">
        <f>SUM(D29/E29)</f>
        <v>12.76555023923445</v>
      </c>
      <c r="G29" s="14">
        <v>2</v>
      </c>
      <c r="H29" s="14"/>
      <c r="I29" s="14"/>
      <c r="J29" s="14"/>
      <c r="K29" s="14"/>
      <c r="L29" s="14">
        <v>2</v>
      </c>
      <c r="M29" s="16"/>
    </row>
    <row r="30" spans="1:13" ht="18.75" x14ac:dyDescent="0.3">
      <c r="A30" s="3">
        <v>29</v>
      </c>
      <c r="B30" s="26" t="s">
        <v>52</v>
      </c>
      <c r="C30" s="4" t="s">
        <v>53</v>
      </c>
      <c r="D30" s="14">
        <f>SUM(1503+1209)</f>
        <v>2712</v>
      </c>
      <c r="E30" s="14">
        <f>SUM(129+84)</f>
        <v>213</v>
      </c>
      <c r="F30" s="15">
        <f>SUM(D30/E30)</f>
        <v>12.732394366197184</v>
      </c>
      <c r="G30" s="14">
        <v>2</v>
      </c>
      <c r="H30" s="14">
        <v>1</v>
      </c>
      <c r="I30" s="14"/>
      <c r="J30" s="14"/>
      <c r="K30" s="14"/>
      <c r="L30" s="14">
        <v>8</v>
      </c>
      <c r="M30" s="16">
        <v>5</v>
      </c>
    </row>
    <row r="31" spans="1:13" ht="18.75" x14ac:dyDescent="0.3">
      <c r="A31" s="3">
        <v>30</v>
      </c>
      <c r="B31" s="4" t="s">
        <v>44</v>
      </c>
      <c r="C31" s="7" t="s">
        <v>19</v>
      </c>
      <c r="D31" s="14">
        <f>SUM(1499)</f>
        <v>1499</v>
      </c>
      <c r="E31" s="14">
        <f>SUM(120)</f>
        <v>120</v>
      </c>
      <c r="F31" s="15">
        <f>SUM(D31/E31)</f>
        <v>12.491666666666667</v>
      </c>
      <c r="G31" s="14">
        <v>1</v>
      </c>
      <c r="H31" s="14">
        <v>1</v>
      </c>
      <c r="I31" s="14"/>
      <c r="J31" s="14"/>
      <c r="K31" s="14"/>
      <c r="L31" s="14">
        <v>5</v>
      </c>
      <c r="M31" s="16"/>
    </row>
    <row r="32" spans="1:13" ht="18.75" x14ac:dyDescent="0.3">
      <c r="A32" s="3">
        <v>31</v>
      </c>
      <c r="B32" s="4" t="s">
        <v>115</v>
      </c>
      <c r="C32" s="4" t="s">
        <v>12</v>
      </c>
      <c r="D32" s="14">
        <f>SUM(1485)</f>
        <v>1485</v>
      </c>
      <c r="E32" s="14">
        <f>SUM(119)</f>
        <v>119</v>
      </c>
      <c r="F32" s="15">
        <f>SUM(D32/E32)</f>
        <v>12.478991596638656</v>
      </c>
      <c r="G32" s="14">
        <v>1</v>
      </c>
      <c r="H32" s="14"/>
      <c r="I32" s="14"/>
      <c r="J32" s="14"/>
      <c r="K32" s="14"/>
      <c r="L32" s="14">
        <v>1.5</v>
      </c>
      <c r="M32" s="16"/>
    </row>
    <row r="33" spans="1:13" ht="18.75" x14ac:dyDescent="0.3">
      <c r="A33" s="3">
        <v>32</v>
      </c>
      <c r="B33" s="26" t="s">
        <v>45</v>
      </c>
      <c r="C33" s="7" t="s">
        <v>46</v>
      </c>
      <c r="D33" s="14">
        <f>SUM(1497)</f>
        <v>1497</v>
      </c>
      <c r="E33" s="14">
        <f>SUM(120)</f>
        <v>120</v>
      </c>
      <c r="F33" s="15">
        <f>SUM(D33/E33)</f>
        <v>12.475</v>
      </c>
      <c r="G33" s="14">
        <v>1</v>
      </c>
      <c r="H33" s="14"/>
      <c r="I33" s="14"/>
      <c r="J33" s="14"/>
      <c r="K33" s="14"/>
      <c r="L33" s="14">
        <v>1</v>
      </c>
      <c r="M33" s="16"/>
    </row>
    <row r="34" spans="1:13" ht="18.75" x14ac:dyDescent="0.3">
      <c r="A34" s="3">
        <v>33</v>
      </c>
      <c r="B34" s="8" t="s">
        <v>41</v>
      </c>
      <c r="C34" s="4" t="s">
        <v>21</v>
      </c>
      <c r="D34" s="14">
        <f>SUM(1179+1413)</f>
        <v>2592</v>
      </c>
      <c r="E34" s="14">
        <f>SUM(90+119)</f>
        <v>209</v>
      </c>
      <c r="F34" s="15">
        <f>SUM(D34/E34)</f>
        <v>12.401913875598087</v>
      </c>
      <c r="G34" s="14">
        <v>2</v>
      </c>
      <c r="H34" s="14"/>
      <c r="I34" s="14"/>
      <c r="J34" s="14"/>
      <c r="K34" s="14"/>
      <c r="L34" s="14">
        <v>2</v>
      </c>
      <c r="M34" s="16"/>
    </row>
    <row r="35" spans="1:13" ht="18.75" x14ac:dyDescent="0.3">
      <c r="A35" s="3">
        <v>34</v>
      </c>
      <c r="B35" s="7" t="s">
        <v>35</v>
      </c>
      <c r="C35" s="4" t="s">
        <v>33</v>
      </c>
      <c r="D35" s="17">
        <f>SUM(1453+1310)</f>
        <v>2763</v>
      </c>
      <c r="E35" s="14">
        <f>SUM(105+122)</f>
        <v>227</v>
      </c>
      <c r="F35" s="15">
        <f>SUM(D35/E35)</f>
        <v>12.171806167400881</v>
      </c>
      <c r="G35" s="14">
        <v>2</v>
      </c>
      <c r="H35" s="14"/>
      <c r="I35" s="14"/>
      <c r="J35" s="14"/>
      <c r="K35" s="14"/>
      <c r="L35" s="14">
        <v>4</v>
      </c>
      <c r="M35" s="16"/>
    </row>
    <row r="36" spans="1:13" ht="18.75" x14ac:dyDescent="0.3">
      <c r="A36" s="3">
        <v>35</v>
      </c>
      <c r="B36" s="18" t="s">
        <v>55</v>
      </c>
      <c r="C36" s="4" t="s">
        <v>33</v>
      </c>
      <c r="D36" s="17">
        <f>SUM(1418+1495)</f>
        <v>2913</v>
      </c>
      <c r="E36" s="14">
        <f>SUM(122+118)</f>
        <v>240</v>
      </c>
      <c r="F36" s="15">
        <f>SUM(D36/E36)</f>
        <v>12.137499999999999</v>
      </c>
      <c r="G36" s="14">
        <v>2</v>
      </c>
      <c r="H36" s="14">
        <v>1</v>
      </c>
      <c r="I36" s="14"/>
      <c r="J36" s="14"/>
      <c r="K36" s="14"/>
      <c r="L36" s="14">
        <v>6.5</v>
      </c>
      <c r="M36" s="16"/>
    </row>
    <row r="37" spans="1:13" ht="18.75" x14ac:dyDescent="0.3">
      <c r="A37" s="3">
        <v>36</v>
      </c>
      <c r="B37" s="9" t="s">
        <v>51</v>
      </c>
      <c r="C37" s="4" t="s">
        <v>33</v>
      </c>
      <c r="D37" s="17">
        <f>SUM(1125+1277)</f>
        <v>2402</v>
      </c>
      <c r="E37" s="14">
        <f>SUM(96+102)</f>
        <v>198</v>
      </c>
      <c r="F37" s="15">
        <f>SUM(D37/E37)</f>
        <v>12.131313131313131</v>
      </c>
      <c r="G37" s="14">
        <v>2</v>
      </c>
      <c r="H37" s="14"/>
      <c r="I37" s="14"/>
      <c r="J37" s="14"/>
      <c r="K37" s="14"/>
      <c r="L37" s="14">
        <v>3</v>
      </c>
      <c r="M37" s="16"/>
    </row>
    <row r="38" spans="1:13" ht="18.75" x14ac:dyDescent="0.3">
      <c r="A38" s="3">
        <v>37</v>
      </c>
      <c r="B38" s="7" t="s">
        <v>48</v>
      </c>
      <c r="C38" s="4" t="s">
        <v>49</v>
      </c>
      <c r="D38" s="17">
        <f>SUM(1498+1501)</f>
        <v>2999</v>
      </c>
      <c r="E38" s="14">
        <f>SUM(124+124)</f>
        <v>248</v>
      </c>
      <c r="F38" s="15">
        <f>SUM(D38/E38)</f>
        <v>12.09274193548387</v>
      </c>
      <c r="G38" s="14">
        <v>2</v>
      </c>
      <c r="H38" s="14">
        <v>2</v>
      </c>
      <c r="I38" s="14"/>
      <c r="J38" s="14"/>
      <c r="K38" s="14"/>
      <c r="L38" s="14">
        <v>9.5</v>
      </c>
      <c r="M38" s="16"/>
    </row>
    <row r="39" spans="1:13" ht="18.75" x14ac:dyDescent="0.3">
      <c r="A39" s="3">
        <v>38</v>
      </c>
      <c r="B39" s="9" t="s">
        <v>56</v>
      </c>
      <c r="C39" s="4" t="s">
        <v>29</v>
      </c>
      <c r="D39" s="17">
        <f>SUM(1501+1284)</f>
        <v>2785</v>
      </c>
      <c r="E39" s="14">
        <f>SUM(132+99)</f>
        <v>231</v>
      </c>
      <c r="F39" s="15">
        <f>SUM(D39/E39)</f>
        <v>12.056277056277056</v>
      </c>
      <c r="G39" s="14">
        <v>2</v>
      </c>
      <c r="H39" s="14">
        <v>1</v>
      </c>
      <c r="I39" s="14"/>
      <c r="J39" s="14"/>
      <c r="K39" s="14"/>
      <c r="L39" s="14">
        <v>3.5</v>
      </c>
      <c r="M39" s="16"/>
    </row>
    <row r="40" spans="1:13" ht="18.75" x14ac:dyDescent="0.3">
      <c r="A40" s="3">
        <v>39</v>
      </c>
      <c r="B40" s="9" t="s">
        <v>39</v>
      </c>
      <c r="C40" s="4" t="s">
        <v>29</v>
      </c>
      <c r="D40" s="17">
        <f>SUM(1503+1335)</f>
        <v>2838</v>
      </c>
      <c r="E40" s="14">
        <f>SUM(114+123)</f>
        <v>237</v>
      </c>
      <c r="F40" s="15">
        <f>SUM(D40/E40)</f>
        <v>11.974683544303797</v>
      </c>
      <c r="G40" s="14">
        <v>2</v>
      </c>
      <c r="H40" s="14">
        <v>1</v>
      </c>
      <c r="I40" s="14"/>
      <c r="J40" s="14"/>
      <c r="K40" s="14"/>
      <c r="L40" s="14">
        <v>4.5</v>
      </c>
      <c r="M40" s="16"/>
    </row>
    <row r="41" spans="1:13" ht="18.75" x14ac:dyDescent="0.3">
      <c r="A41" s="3">
        <v>40</v>
      </c>
      <c r="B41" s="7" t="s">
        <v>50</v>
      </c>
      <c r="C41" s="4" t="s">
        <v>12</v>
      </c>
      <c r="D41" s="17">
        <f>SUM(1235)</f>
        <v>1235</v>
      </c>
      <c r="E41" s="14">
        <f>SUM(104)</f>
        <v>104</v>
      </c>
      <c r="F41" s="15">
        <f>SUM(D41/E41)</f>
        <v>11.875</v>
      </c>
      <c r="G41" s="14">
        <v>1</v>
      </c>
      <c r="H41" s="14"/>
      <c r="I41" s="14"/>
      <c r="J41" s="14"/>
      <c r="K41" s="14"/>
      <c r="L41" s="14">
        <v>2.5</v>
      </c>
      <c r="M41" s="16"/>
    </row>
    <row r="42" spans="1:13" ht="18.75" x14ac:dyDescent="0.3">
      <c r="A42" s="3">
        <v>41</v>
      </c>
      <c r="B42" s="28" t="s">
        <v>67</v>
      </c>
      <c r="C42" s="8" t="s">
        <v>49</v>
      </c>
      <c r="D42" s="17">
        <f>SUM(1501+1454)</f>
        <v>2955</v>
      </c>
      <c r="E42" s="14">
        <f>SUM(162+98)</f>
        <v>260</v>
      </c>
      <c r="F42" s="15">
        <f>SUM(D42/E42)</f>
        <v>11.365384615384615</v>
      </c>
      <c r="G42" s="14">
        <v>2</v>
      </c>
      <c r="H42" s="14">
        <v>1</v>
      </c>
      <c r="I42" s="14"/>
      <c r="J42" s="14"/>
      <c r="K42" s="14"/>
      <c r="L42" s="14">
        <v>8</v>
      </c>
      <c r="M42" s="16">
        <v>10</v>
      </c>
    </row>
    <row r="43" spans="1:13" ht="18.75" x14ac:dyDescent="0.3">
      <c r="A43" s="3">
        <v>42</v>
      </c>
      <c r="B43" s="7" t="s">
        <v>61</v>
      </c>
      <c r="C43" s="7" t="s">
        <v>53</v>
      </c>
      <c r="D43" s="17">
        <f>SUM(1483)</f>
        <v>1483</v>
      </c>
      <c r="E43" s="14">
        <f>SUM(136)</f>
        <v>136</v>
      </c>
      <c r="F43" s="15">
        <f>SUM(D43/E43)</f>
        <v>10.904411764705882</v>
      </c>
      <c r="G43" s="14">
        <v>1</v>
      </c>
      <c r="H43" s="14">
        <v>1</v>
      </c>
      <c r="I43" s="14"/>
      <c r="J43" s="14"/>
      <c r="K43" s="14"/>
      <c r="L43" s="14">
        <v>5</v>
      </c>
      <c r="M43" s="16"/>
    </row>
    <row r="44" spans="1:13" ht="18.75" x14ac:dyDescent="0.3">
      <c r="A44" s="3">
        <v>43</v>
      </c>
      <c r="B44" s="7" t="s">
        <v>63</v>
      </c>
      <c r="C44" s="7" t="s">
        <v>53</v>
      </c>
      <c r="D44" s="17">
        <f>SUM(1498+1066)</f>
        <v>2564</v>
      </c>
      <c r="E44" s="14">
        <f>SUM(158+78)</f>
        <v>236</v>
      </c>
      <c r="F44" s="15">
        <f>SUM(D44/E44)</f>
        <v>10.864406779661017</v>
      </c>
      <c r="G44" s="14">
        <v>2</v>
      </c>
      <c r="H44" s="14"/>
      <c r="I44" s="14"/>
      <c r="J44" s="14"/>
      <c r="K44" s="14"/>
      <c r="L44" s="14">
        <v>2.5</v>
      </c>
      <c r="M44" s="16"/>
    </row>
    <row r="45" spans="1:13" ht="18.75" x14ac:dyDescent="0.3">
      <c r="A45" s="3">
        <v>44</v>
      </c>
      <c r="B45" s="7" t="s">
        <v>42</v>
      </c>
      <c r="C45" s="7" t="s">
        <v>14</v>
      </c>
      <c r="D45" s="17">
        <f>SUM(1482+1499)</f>
        <v>2981</v>
      </c>
      <c r="E45" s="14">
        <f>SUM(117+165)</f>
        <v>282</v>
      </c>
      <c r="F45" s="15">
        <f>SUM(D45/E45)</f>
        <v>10.570921985815604</v>
      </c>
      <c r="G45" s="14">
        <v>2</v>
      </c>
      <c r="H45" s="14">
        <v>1</v>
      </c>
      <c r="I45" s="14">
        <v>1</v>
      </c>
      <c r="J45" s="14"/>
      <c r="K45" s="14"/>
      <c r="L45" s="14">
        <v>7.5</v>
      </c>
      <c r="M45" s="16"/>
    </row>
    <row r="46" spans="1:13" ht="18.75" x14ac:dyDescent="0.3">
      <c r="A46" s="3">
        <v>45</v>
      </c>
      <c r="B46" s="9" t="s">
        <v>59</v>
      </c>
      <c r="C46" s="7" t="s">
        <v>60</v>
      </c>
      <c r="D46" s="17">
        <f>SUM(1495+1198)</f>
        <v>2693</v>
      </c>
      <c r="E46" s="14">
        <f>SUM(137+121)</f>
        <v>258</v>
      </c>
      <c r="F46" s="15">
        <f>SUM(D46/E46)</f>
        <v>10.437984496124031</v>
      </c>
      <c r="G46" s="14">
        <v>2</v>
      </c>
      <c r="H46" s="14"/>
      <c r="I46" s="14"/>
      <c r="J46" s="14"/>
      <c r="K46" s="14"/>
      <c r="L46" s="14">
        <v>2</v>
      </c>
      <c r="M46" s="16"/>
    </row>
    <row r="47" spans="1:13" ht="18.75" x14ac:dyDescent="0.3">
      <c r="A47" s="3">
        <v>46</v>
      </c>
      <c r="B47" s="7" t="s">
        <v>54</v>
      </c>
      <c r="C47" s="7" t="s">
        <v>49</v>
      </c>
      <c r="D47" s="17">
        <f>SUM(1408+1461)</f>
        <v>2869</v>
      </c>
      <c r="E47" s="14">
        <f>SUM(121+158)</f>
        <v>279</v>
      </c>
      <c r="F47" s="15">
        <f>SUM(D47/E47)</f>
        <v>10.283154121863799</v>
      </c>
      <c r="G47" s="14">
        <v>2</v>
      </c>
      <c r="H47" s="14">
        <v>1</v>
      </c>
      <c r="I47" s="14"/>
      <c r="J47" s="14"/>
      <c r="K47" s="14"/>
      <c r="L47" s="14">
        <v>8</v>
      </c>
      <c r="M47" s="16"/>
    </row>
    <row r="48" spans="1:13" ht="18.75" x14ac:dyDescent="0.3">
      <c r="A48" s="3">
        <v>47</v>
      </c>
      <c r="B48" s="9" t="s">
        <v>62</v>
      </c>
      <c r="C48" s="7" t="s">
        <v>60</v>
      </c>
      <c r="D48" s="17">
        <f>SUM(1264)</f>
        <v>1264</v>
      </c>
      <c r="E48" s="14">
        <f>SUM(123)</f>
        <v>123</v>
      </c>
      <c r="F48" s="15">
        <f>SUM(D48/E48)</f>
        <v>10.276422764227643</v>
      </c>
      <c r="G48" s="14">
        <v>1</v>
      </c>
      <c r="H48" s="14"/>
      <c r="I48" s="14"/>
      <c r="J48" s="14"/>
      <c r="K48" s="14"/>
      <c r="L48" s="14">
        <v>1.5</v>
      </c>
      <c r="M48" s="16"/>
    </row>
    <row r="49" spans="1:18" ht="18.75" x14ac:dyDescent="0.3">
      <c r="A49" s="3">
        <v>48</v>
      </c>
      <c r="B49" s="7" t="s">
        <v>58</v>
      </c>
      <c r="C49" s="4" t="s">
        <v>14</v>
      </c>
      <c r="D49" s="17">
        <f>SUM(1431+1499)</f>
        <v>2930</v>
      </c>
      <c r="E49" s="14">
        <f>SUM(128+168)</f>
        <v>296</v>
      </c>
      <c r="F49" s="15">
        <f>SUM(D49/E49)</f>
        <v>9.8986486486486491</v>
      </c>
      <c r="G49" s="14">
        <v>2</v>
      </c>
      <c r="H49" s="14">
        <v>1</v>
      </c>
      <c r="I49" s="14"/>
      <c r="J49" s="14"/>
      <c r="K49" s="14"/>
      <c r="L49" s="14">
        <v>9</v>
      </c>
      <c r="M49" s="16"/>
    </row>
    <row r="50" spans="1:18" ht="18.75" x14ac:dyDescent="0.3">
      <c r="A50" s="3">
        <v>49</v>
      </c>
      <c r="B50" s="9" t="s">
        <v>65</v>
      </c>
      <c r="C50" s="8" t="s">
        <v>46</v>
      </c>
      <c r="D50" s="17">
        <v>1493</v>
      </c>
      <c r="E50" s="14">
        <v>159</v>
      </c>
      <c r="F50" s="15">
        <f>SUM(D50/E50)</f>
        <v>9.3899371069182394</v>
      </c>
      <c r="G50" s="14">
        <v>1</v>
      </c>
      <c r="H50" s="14"/>
      <c r="I50" s="14"/>
      <c r="J50" s="14"/>
      <c r="K50" s="14"/>
      <c r="L50" s="14">
        <v>1</v>
      </c>
      <c r="M50" s="16"/>
    </row>
    <row r="51" spans="1:18" ht="18.75" x14ac:dyDescent="0.3">
      <c r="A51" s="3">
        <v>50</v>
      </c>
      <c r="B51" s="27" t="s">
        <v>66</v>
      </c>
      <c r="C51" s="7" t="s">
        <v>49</v>
      </c>
      <c r="D51" s="17">
        <f>SUM(1474)</f>
        <v>1474</v>
      </c>
      <c r="E51" s="14">
        <f>SUM(158)</f>
        <v>158</v>
      </c>
      <c r="F51" s="15">
        <f>SUM(D51/E51)</f>
        <v>9.3291139240506329</v>
      </c>
      <c r="G51" s="14">
        <v>1</v>
      </c>
      <c r="H51" s="14">
        <v>1</v>
      </c>
      <c r="I51" s="14"/>
      <c r="J51" s="14"/>
      <c r="K51" s="14"/>
      <c r="L51" s="14">
        <v>3.5</v>
      </c>
      <c r="M51" s="16"/>
    </row>
    <row r="52" spans="1:18" ht="18.75" x14ac:dyDescent="0.3">
      <c r="A52" s="3">
        <v>51</v>
      </c>
      <c r="B52" s="11" t="s">
        <v>64</v>
      </c>
      <c r="C52" s="8" t="s">
        <v>46</v>
      </c>
      <c r="D52" s="17">
        <f>SUM(1468+1466)</f>
        <v>2934</v>
      </c>
      <c r="E52" s="14">
        <f>SUM(156+165)</f>
        <v>321</v>
      </c>
      <c r="F52" s="15">
        <f>SUM(D52/E52)</f>
        <v>9.1401869158878508</v>
      </c>
      <c r="G52" s="14">
        <v>2</v>
      </c>
      <c r="H52" s="14"/>
      <c r="I52" s="14"/>
      <c r="J52" s="14"/>
      <c r="K52" s="14"/>
      <c r="L52" s="14">
        <v>2</v>
      </c>
      <c r="M52" s="16"/>
    </row>
    <row r="53" spans="1:18" ht="18.75" x14ac:dyDescent="0.3">
      <c r="A53" s="3">
        <v>52</v>
      </c>
      <c r="B53" s="11" t="s">
        <v>114</v>
      </c>
      <c r="C53" s="4" t="s">
        <v>46</v>
      </c>
      <c r="D53" s="17">
        <f>SUM(1491)</f>
        <v>1491</v>
      </c>
      <c r="E53" s="14">
        <f>SUM(165)</f>
        <v>165</v>
      </c>
      <c r="F53" s="15">
        <f>SUM(D53/E53)</f>
        <v>9.036363636363637</v>
      </c>
      <c r="G53" s="14">
        <v>1</v>
      </c>
      <c r="H53" s="14"/>
      <c r="I53" s="14"/>
      <c r="J53" s="14"/>
      <c r="K53" s="14"/>
      <c r="L53" s="14">
        <v>0.5</v>
      </c>
      <c r="M53" s="16"/>
    </row>
    <row r="54" spans="1:18" ht="18.75" x14ac:dyDescent="0.3">
      <c r="A54" s="3">
        <v>53</v>
      </c>
      <c r="B54" s="11" t="s">
        <v>69</v>
      </c>
      <c r="C54" s="7" t="s">
        <v>60</v>
      </c>
      <c r="D54" s="17">
        <f>SUM(1297+1501)</f>
        <v>2798</v>
      </c>
      <c r="E54" s="14">
        <f>SUM(156+158)</f>
        <v>314</v>
      </c>
      <c r="F54" s="15">
        <f>SUM(D54/E54)</f>
        <v>8.9108280254777075</v>
      </c>
      <c r="G54" s="14">
        <v>2</v>
      </c>
      <c r="H54" s="14">
        <v>2</v>
      </c>
      <c r="I54" s="14"/>
      <c r="J54" s="14"/>
      <c r="K54" s="14"/>
      <c r="L54" s="14">
        <v>5</v>
      </c>
      <c r="M54" s="16"/>
    </row>
    <row r="55" spans="1:18" ht="18.75" x14ac:dyDescent="0.3">
      <c r="A55" s="3">
        <v>54</v>
      </c>
      <c r="B55" s="11" t="s">
        <v>75</v>
      </c>
      <c r="C55" s="7" t="s">
        <v>60</v>
      </c>
      <c r="D55" s="17">
        <f>SUM(1459)</f>
        <v>1459</v>
      </c>
      <c r="E55" s="14">
        <f>SUM(165)</f>
        <v>165</v>
      </c>
      <c r="F55" s="15">
        <f>SUM(D55/E55)</f>
        <v>8.8424242424242419</v>
      </c>
      <c r="G55" s="14">
        <v>1</v>
      </c>
      <c r="H55" s="14"/>
      <c r="I55" s="14"/>
      <c r="J55" s="14"/>
      <c r="K55" s="14"/>
      <c r="L55" s="14">
        <v>2</v>
      </c>
      <c r="M55" s="16"/>
    </row>
    <row r="56" spans="1:18" ht="18.75" x14ac:dyDescent="0.3">
      <c r="A56" s="3">
        <v>55</v>
      </c>
      <c r="B56" s="11" t="s">
        <v>76</v>
      </c>
      <c r="C56" s="7" t="s">
        <v>49</v>
      </c>
      <c r="D56" s="17">
        <f>SUM(1499)</f>
        <v>1499</v>
      </c>
      <c r="E56" s="14">
        <f>SUM(172)</f>
        <v>172</v>
      </c>
      <c r="F56" s="15">
        <f>SUM(D56/E56)</f>
        <v>8.7151162790697683</v>
      </c>
      <c r="G56" s="14">
        <v>1</v>
      </c>
      <c r="H56" s="14">
        <v>1</v>
      </c>
      <c r="I56" s="14"/>
      <c r="J56" s="14"/>
      <c r="K56" s="14"/>
      <c r="L56" s="14">
        <v>6</v>
      </c>
      <c r="M56" s="16"/>
    </row>
    <row r="57" spans="1:18" ht="18.75" x14ac:dyDescent="0.3">
      <c r="A57" s="3">
        <v>56</v>
      </c>
      <c r="B57" s="11" t="s">
        <v>68</v>
      </c>
      <c r="C57" s="7" t="s">
        <v>60</v>
      </c>
      <c r="D57" s="17">
        <f>SUM(1493)</f>
        <v>1493</v>
      </c>
      <c r="E57" s="14">
        <f>SUM(177)</f>
        <v>177</v>
      </c>
      <c r="F57" s="15">
        <f>SUM(D57/E57)</f>
        <v>8.4350282485875709</v>
      </c>
      <c r="G57" s="14">
        <v>1</v>
      </c>
      <c r="H57" s="14">
        <v>1</v>
      </c>
      <c r="I57" s="14"/>
      <c r="J57" s="14"/>
      <c r="K57" s="14"/>
      <c r="L57" s="14">
        <v>2.5</v>
      </c>
      <c r="M57" s="16"/>
    </row>
    <row r="58" spans="1:18" ht="18.75" x14ac:dyDescent="0.3">
      <c r="A58" s="3">
        <v>57</v>
      </c>
      <c r="B58" s="11" t="s">
        <v>70</v>
      </c>
      <c r="C58" s="7" t="s">
        <v>53</v>
      </c>
      <c r="D58" s="17">
        <f>SUM(1480)</f>
        <v>1480</v>
      </c>
      <c r="E58" s="14">
        <f>SUM(180)</f>
        <v>180</v>
      </c>
      <c r="F58" s="15">
        <f>SUM(D58/E58)</f>
        <v>8.2222222222222214</v>
      </c>
      <c r="G58" s="14">
        <v>1</v>
      </c>
      <c r="H58" s="14"/>
      <c r="I58" s="14"/>
      <c r="J58" s="14"/>
      <c r="K58" s="14"/>
      <c r="L58" s="14">
        <v>1.5</v>
      </c>
      <c r="M58" s="16"/>
    </row>
    <row r="59" spans="1:18" ht="18.75" x14ac:dyDescent="0.3">
      <c r="A59" s="3">
        <v>58</v>
      </c>
      <c r="B59" s="11" t="s">
        <v>73</v>
      </c>
      <c r="C59" s="7" t="s">
        <v>21</v>
      </c>
      <c r="D59" s="17"/>
      <c r="E59" s="14"/>
      <c r="F59" s="15"/>
      <c r="G59" s="14"/>
      <c r="H59" s="14"/>
      <c r="I59" s="14"/>
      <c r="J59" s="14"/>
      <c r="K59" s="14"/>
      <c r="L59" s="14">
        <v>1</v>
      </c>
      <c r="M59" s="16"/>
    </row>
    <row r="60" spans="1:18" ht="18.75" x14ac:dyDescent="0.3">
      <c r="A60" s="3">
        <v>59</v>
      </c>
      <c r="B60" s="11" t="s">
        <v>113</v>
      </c>
      <c r="C60" s="7" t="s">
        <v>46</v>
      </c>
      <c r="D60" s="17"/>
      <c r="E60" s="14"/>
      <c r="F60" s="15"/>
      <c r="G60" s="14"/>
      <c r="H60" s="14"/>
      <c r="I60" s="14"/>
      <c r="J60" s="14"/>
      <c r="K60" s="14"/>
      <c r="L60" s="14">
        <v>0</v>
      </c>
      <c r="M60" s="16"/>
    </row>
    <row r="61" spans="1:18" ht="17.25" customHeight="1" thickBot="1" x14ac:dyDescent="0.3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8" ht="19.5" customHeight="1" thickBot="1" x14ac:dyDescent="0.35">
      <c r="A62" s="5"/>
      <c r="B62" s="41" t="s">
        <v>112</v>
      </c>
      <c r="C62" s="60" t="s">
        <v>78</v>
      </c>
      <c r="D62" s="59" t="s">
        <v>79</v>
      </c>
      <c r="E62" s="70" t="s">
        <v>80</v>
      </c>
      <c r="F62" s="55" t="s">
        <v>108</v>
      </c>
      <c r="G62" s="69" t="s">
        <v>81</v>
      </c>
      <c r="I62" s="34" t="s">
        <v>82</v>
      </c>
      <c r="J62" s="35"/>
      <c r="K62" s="35"/>
      <c r="L62" s="35"/>
      <c r="M62" s="35"/>
      <c r="N62" s="35"/>
      <c r="O62" s="35"/>
      <c r="P62" s="35"/>
      <c r="Q62" s="35"/>
      <c r="R62" s="36"/>
    </row>
    <row r="63" spans="1:18" ht="18.75" x14ac:dyDescent="0.3">
      <c r="A63" s="5"/>
      <c r="B63" s="42"/>
      <c r="C63" s="31" t="s">
        <v>83</v>
      </c>
      <c r="D63" s="20">
        <v>2</v>
      </c>
      <c r="E63" s="53">
        <v>0</v>
      </c>
      <c r="F63" s="52">
        <v>0</v>
      </c>
      <c r="G63" s="31">
        <v>35</v>
      </c>
      <c r="I63" s="68" t="s">
        <v>84</v>
      </c>
      <c r="J63" s="67"/>
      <c r="K63" s="67"/>
      <c r="L63" s="67"/>
      <c r="M63" s="67"/>
      <c r="N63" s="37" t="s">
        <v>85</v>
      </c>
      <c r="O63" s="37"/>
      <c r="P63" s="37"/>
      <c r="Q63" s="37"/>
      <c r="R63" s="38"/>
    </row>
    <row r="64" spans="1:18" ht="18.75" x14ac:dyDescent="0.3">
      <c r="A64" s="5"/>
      <c r="B64" s="42"/>
      <c r="C64" s="29" t="s">
        <v>92</v>
      </c>
      <c r="D64" s="7">
        <v>2</v>
      </c>
      <c r="E64" s="62">
        <v>0</v>
      </c>
      <c r="F64" s="26">
        <v>0</v>
      </c>
      <c r="G64" s="61">
        <v>35</v>
      </c>
      <c r="I64" s="66" t="s">
        <v>87</v>
      </c>
      <c r="J64" s="65"/>
      <c r="K64" s="65"/>
      <c r="L64" s="65"/>
      <c r="M64" s="65"/>
      <c r="N64" s="39" t="s">
        <v>111</v>
      </c>
      <c r="O64" s="39"/>
      <c r="P64" s="39"/>
      <c r="Q64" s="39"/>
      <c r="R64" s="40"/>
    </row>
    <row r="65" spans="1:18" ht="18.75" x14ac:dyDescent="0.3">
      <c r="A65" s="5"/>
      <c r="B65" s="42"/>
      <c r="C65" s="29" t="s">
        <v>86</v>
      </c>
      <c r="D65" s="7">
        <v>2</v>
      </c>
      <c r="E65" s="27">
        <v>0</v>
      </c>
      <c r="F65" s="26">
        <v>0</v>
      </c>
      <c r="G65" s="29">
        <v>31</v>
      </c>
      <c r="I65" s="66" t="s">
        <v>90</v>
      </c>
      <c r="J65" s="65"/>
      <c r="K65" s="65"/>
      <c r="L65" s="65"/>
      <c r="M65" s="65"/>
      <c r="N65" s="39" t="s">
        <v>110</v>
      </c>
      <c r="O65" s="39"/>
      <c r="P65" s="39"/>
      <c r="Q65" s="39"/>
      <c r="R65" s="40"/>
    </row>
    <row r="66" spans="1:18" ht="18.75" x14ac:dyDescent="0.3">
      <c r="A66" s="6"/>
      <c r="B66" s="42"/>
      <c r="C66" s="30" t="s">
        <v>97</v>
      </c>
      <c r="D66" s="9">
        <v>2</v>
      </c>
      <c r="E66" s="11">
        <v>0</v>
      </c>
      <c r="F66" s="26">
        <v>0</v>
      </c>
      <c r="G66" s="30">
        <v>29</v>
      </c>
      <c r="I66" s="66" t="s">
        <v>93</v>
      </c>
      <c r="J66" s="65"/>
      <c r="K66" s="65"/>
      <c r="L66" s="65"/>
      <c r="M66" s="65"/>
      <c r="N66" s="39" t="s">
        <v>109</v>
      </c>
      <c r="O66" s="39"/>
      <c r="P66" s="39"/>
      <c r="Q66" s="39"/>
      <c r="R66" s="40"/>
    </row>
    <row r="67" spans="1:18" ht="18" customHeight="1" x14ac:dyDescent="0.3">
      <c r="A67" s="6"/>
      <c r="B67" s="42"/>
      <c r="C67" s="29" t="s">
        <v>100</v>
      </c>
      <c r="D67" s="7">
        <v>1</v>
      </c>
      <c r="E67" s="62">
        <v>1</v>
      </c>
      <c r="F67" s="26">
        <v>0</v>
      </c>
      <c r="G67" s="61">
        <v>27</v>
      </c>
      <c r="I67" s="66" t="s">
        <v>96</v>
      </c>
      <c r="J67" s="65"/>
      <c r="K67" s="65"/>
      <c r="L67" s="65"/>
      <c r="M67" s="65"/>
      <c r="N67" s="39" t="s">
        <v>91</v>
      </c>
      <c r="O67" s="39"/>
      <c r="P67" s="39"/>
      <c r="Q67" s="39"/>
      <c r="R67" s="40"/>
    </row>
    <row r="68" spans="1:18" ht="18" customHeight="1" thickBot="1" x14ac:dyDescent="0.35">
      <c r="A68" s="6"/>
      <c r="B68" s="42"/>
      <c r="C68" s="29" t="s">
        <v>89</v>
      </c>
      <c r="D68" s="7">
        <v>1</v>
      </c>
      <c r="E68" s="62">
        <v>1</v>
      </c>
      <c r="F68" s="26">
        <v>0</v>
      </c>
      <c r="G68" s="61">
        <v>24</v>
      </c>
      <c r="I68" s="64" t="s">
        <v>98</v>
      </c>
      <c r="J68" s="63"/>
      <c r="K68" s="63"/>
      <c r="L68" s="63"/>
      <c r="M68" s="63"/>
      <c r="N68" s="39" t="s">
        <v>109</v>
      </c>
      <c r="O68" s="39"/>
      <c r="P68" s="39"/>
      <c r="Q68" s="39"/>
      <c r="R68" s="40"/>
    </row>
    <row r="69" spans="1:18" ht="18.75" x14ac:dyDescent="0.3">
      <c r="A69" s="6"/>
      <c r="B69" s="42"/>
      <c r="C69" s="29" t="s">
        <v>99</v>
      </c>
      <c r="D69" s="7">
        <v>1</v>
      </c>
      <c r="E69" s="27">
        <v>1</v>
      </c>
      <c r="F69" s="26">
        <v>0</v>
      </c>
      <c r="G69" s="29">
        <v>23</v>
      </c>
      <c r="H69" s="6"/>
      <c r="I69" s="6"/>
      <c r="J69" s="6"/>
      <c r="K69" s="6"/>
      <c r="L69" s="6"/>
      <c r="M69" s="6"/>
    </row>
    <row r="70" spans="1:18" ht="18.75" x14ac:dyDescent="0.3">
      <c r="A70" s="6"/>
      <c r="B70" s="42"/>
      <c r="C70" s="29" t="s">
        <v>95</v>
      </c>
      <c r="D70" s="7">
        <v>1</v>
      </c>
      <c r="E70" s="62">
        <v>1</v>
      </c>
      <c r="F70" s="26">
        <v>0</v>
      </c>
      <c r="G70" s="61">
        <v>23</v>
      </c>
      <c r="H70" s="6"/>
    </row>
    <row r="71" spans="1:18" ht="18.75" x14ac:dyDescent="0.3">
      <c r="B71" s="42"/>
      <c r="C71" s="29" t="s">
        <v>103</v>
      </c>
      <c r="D71" s="7">
        <v>0</v>
      </c>
      <c r="E71" s="62">
        <v>2</v>
      </c>
      <c r="F71" s="26">
        <v>0</v>
      </c>
      <c r="G71" s="61">
        <v>19</v>
      </c>
    </row>
    <row r="72" spans="1:18" ht="18.75" x14ac:dyDescent="0.3">
      <c r="B72" s="42"/>
      <c r="C72" s="30" t="s">
        <v>101</v>
      </c>
      <c r="D72" s="9">
        <v>0</v>
      </c>
      <c r="E72" s="11">
        <v>2</v>
      </c>
      <c r="F72" s="26">
        <v>0</v>
      </c>
      <c r="G72" s="30">
        <v>18</v>
      </c>
    </row>
    <row r="73" spans="1:18" ht="18.75" x14ac:dyDescent="0.3">
      <c r="B73" s="42"/>
      <c r="C73" s="30" t="s">
        <v>102</v>
      </c>
      <c r="D73" s="9">
        <v>0</v>
      </c>
      <c r="E73" s="11">
        <v>2</v>
      </c>
      <c r="F73" s="26">
        <v>0</v>
      </c>
      <c r="G73" s="30">
        <v>17</v>
      </c>
    </row>
    <row r="74" spans="1:18" ht="19.5" thickBot="1" x14ac:dyDescent="0.35">
      <c r="B74" s="43"/>
      <c r="C74" s="30" t="s">
        <v>104</v>
      </c>
      <c r="D74" s="9">
        <v>0</v>
      </c>
      <c r="E74" s="11">
        <v>2</v>
      </c>
      <c r="F74" s="26">
        <v>0</v>
      </c>
      <c r="G74" s="30">
        <v>7</v>
      </c>
    </row>
    <row r="75" spans="1:18" ht="15.75" thickBot="1" x14ac:dyDescent="0.3"/>
    <row r="76" spans="1:18" ht="19.5" thickBot="1" x14ac:dyDescent="0.35">
      <c r="C76" s="60" t="s">
        <v>105</v>
      </c>
      <c r="D76" s="59" t="s">
        <v>79</v>
      </c>
      <c r="E76" s="59" t="s">
        <v>80</v>
      </c>
      <c r="F76" s="55" t="s">
        <v>108</v>
      </c>
      <c r="G76" s="58" t="s">
        <v>81</v>
      </c>
    </row>
    <row r="77" spans="1:18" ht="18.75" x14ac:dyDescent="0.3">
      <c r="C77" s="20" t="s">
        <v>86</v>
      </c>
      <c r="D77" s="20">
        <v>2</v>
      </c>
      <c r="E77" s="53">
        <v>0</v>
      </c>
      <c r="F77" s="52">
        <v>0</v>
      </c>
      <c r="G77" s="31">
        <v>31</v>
      </c>
    </row>
    <row r="78" spans="1:18" ht="18.75" x14ac:dyDescent="0.3">
      <c r="C78" s="20" t="s">
        <v>100</v>
      </c>
      <c r="D78" s="20">
        <v>1</v>
      </c>
      <c r="E78" s="51">
        <v>1</v>
      </c>
      <c r="F78" s="26">
        <v>0</v>
      </c>
      <c r="G78" s="50">
        <v>27</v>
      </c>
    </row>
    <row r="79" spans="1:18" ht="18.75" x14ac:dyDescent="0.3">
      <c r="C79" s="7" t="s">
        <v>95</v>
      </c>
      <c r="D79" s="7">
        <v>1</v>
      </c>
      <c r="E79" s="62">
        <v>1</v>
      </c>
      <c r="F79" s="26">
        <v>0</v>
      </c>
      <c r="G79" s="61">
        <v>23</v>
      </c>
    </row>
    <row r="80" spans="1:18" ht="18.75" x14ac:dyDescent="0.3">
      <c r="C80" s="7" t="s">
        <v>103</v>
      </c>
      <c r="D80" s="7">
        <v>0</v>
      </c>
      <c r="E80" s="62">
        <v>2</v>
      </c>
      <c r="F80" s="26">
        <v>0</v>
      </c>
      <c r="G80" s="61">
        <v>19</v>
      </c>
    </row>
    <row r="81" spans="3:7" ht="15.75" thickBot="1" x14ac:dyDescent="0.3"/>
    <row r="82" spans="3:7" ht="19.5" thickBot="1" x14ac:dyDescent="0.35">
      <c r="C82" s="60" t="s">
        <v>106</v>
      </c>
      <c r="D82" s="59" t="s">
        <v>79</v>
      </c>
      <c r="E82" s="59" t="s">
        <v>80</v>
      </c>
      <c r="F82" s="55" t="s">
        <v>108</v>
      </c>
      <c r="G82" s="58" t="s">
        <v>81</v>
      </c>
    </row>
    <row r="83" spans="3:7" ht="18.75" x14ac:dyDescent="0.3">
      <c r="C83" s="20" t="s">
        <v>92</v>
      </c>
      <c r="D83" s="20">
        <v>2</v>
      </c>
      <c r="E83" s="51">
        <v>0</v>
      </c>
      <c r="F83" s="52">
        <v>0</v>
      </c>
      <c r="G83" s="50">
        <v>35</v>
      </c>
    </row>
    <row r="84" spans="3:7" ht="18.75" x14ac:dyDescent="0.3">
      <c r="C84" s="9" t="s">
        <v>97</v>
      </c>
      <c r="D84" s="9">
        <v>2</v>
      </c>
      <c r="E84" s="11">
        <v>0</v>
      </c>
      <c r="F84" s="26">
        <v>0</v>
      </c>
      <c r="G84" s="30">
        <v>29</v>
      </c>
    </row>
    <row r="85" spans="3:7" ht="18.75" x14ac:dyDescent="0.3">
      <c r="C85" s="7" t="s">
        <v>99</v>
      </c>
      <c r="D85" s="7">
        <v>1</v>
      </c>
      <c r="E85" s="27">
        <v>1</v>
      </c>
      <c r="F85" s="26">
        <v>0</v>
      </c>
      <c r="G85" s="29">
        <v>23</v>
      </c>
    </row>
    <row r="86" spans="3:7" ht="18.75" x14ac:dyDescent="0.3">
      <c r="C86" s="9" t="s">
        <v>101</v>
      </c>
      <c r="D86" s="9">
        <v>0</v>
      </c>
      <c r="E86" s="11">
        <v>2</v>
      </c>
      <c r="F86" s="26">
        <v>0</v>
      </c>
      <c r="G86" s="30">
        <v>18</v>
      </c>
    </row>
    <row r="87" spans="3:7" ht="15.75" thickBot="1" x14ac:dyDescent="0.3"/>
    <row r="88" spans="3:7" ht="19.5" thickBot="1" x14ac:dyDescent="0.35">
      <c r="C88" s="57" t="s">
        <v>107</v>
      </c>
      <c r="D88" s="56" t="s">
        <v>79</v>
      </c>
      <c r="E88" s="56" t="s">
        <v>80</v>
      </c>
      <c r="F88" s="55" t="s">
        <v>108</v>
      </c>
      <c r="G88" s="54" t="s">
        <v>81</v>
      </c>
    </row>
    <row r="89" spans="3:7" ht="18.75" x14ac:dyDescent="0.3">
      <c r="C89" s="20" t="s">
        <v>83</v>
      </c>
      <c r="D89" s="20">
        <v>2</v>
      </c>
      <c r="E89" s="53">
        <v>0</v>
      </c>
      <c r="F89" s="52">
        <v>0</v>
      </c>
      <c r="G89" s="31">
        <v>35</v>
      </c>
    </row>
    <row r="90" spans="3:7" ht="18.75" x14ac:dyDescent="0.3">
      <c r="C90" s="20" t="s">
        <v>89</v>
      </c>
      <c r="D90" s="20">
        <v>1</v>
      </c>
      <c r="E90" s="51">
        <v>1</v>
      </c>
      <c r="F90" s="26">
        <v>0</v>
      </c>
      <c r="G90" s="50">
        <v>24</v>
      </c>
    </row>
    <row r="91" spans="3:7" ht="18.75" x14ac:dyDescent="0.3">
      <c r="C91" s="9" t="s">
        <v>102</v>
      </c>
      <c r="D91" s="9">
        <v>0</v>
      </c>
      <c r="E91" s="11">
        <v>2</v>
      </c>
      <c r="F91" s="26">
        <v>0</v>
      </c>
      <c r="G91" s="30">
        <v>17</v>
      </c>
    </row>
    <row r="92" spans="3:7" ht="18.75" x14ac:dyDescent="0.3">
      <c r="C92" s="9" t="s">
        <v>104</v>
      </c>
      <c r="D92" s="9">
        <v>0</v>
      </c>
      <c r="E92" s="11">
        <v>2</v>
      </c>
      <c r="F92" s="26">
        <v>0</v>
      </c>
      <c r="G92" s="30">
        <v>7</v>
      </c>
    </row>
  </sheetData>
  <mergeCells count="14">
    <mergeCell ref="N68:R68"/>
    <mergeCell ref="I62:R62"/>
    <mergeCell ref="N63:R63"/>
    <mergeCell ref="N64:R64"/>
    <mergeCell ref="N65:R65"/>
    <mergeCell ref="N66:R66"/>
    <mergeCell ref="N67:R67"/>
    <mergeCell ref="B62:B74"/>
    <mergeCell ref="I63:M63"/>
    <mergeCell ref="I64:M64"/>
    <mergeCell ref="I65:M65"/>
    <mergeCell ref="I66:M66"/>
    <mergeCell ref="I67:M67"/>
    <mergeCell ref="I68:M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15</v>
      </c>
      <c r="C2" s="4" t="s">
        <v>16</v>
      </c>
      <c r="D2" s="14">
        <f>SUM(1350+1487+1463)</f>
        <v>4300</v>
      </c>
      <c r="E2" s="14">
        <f>SUM(80+82+83)</f>
        <v>245</v>
      </c>
      <c r="F2" s="15">
        <f>SUM(D2/E2)</f>
        <v>17.551020408163264</v>
      </c>
      <c r="G2" s="14">
        <v>3</v>
      </c>
      <c r="H2" s="14">
        <v>2</v>
      </c>
      <c r="I2" s="14"/>
      <c r="J2" s="14"/>
      <c r="K2" s="14"/>
      <c r="L2" s="14">
        <v>9.5</v>
      </c>
      <c r="M2" s="16">
        <v>5</v>
      </c>
    </row>
    <row r="3" spans="1:13" ht="18.75" x14ac:dyDescent="0.3">
      <c r="A3" s="3">
        <v>2</v>
      </c>
      <c r="B3" s="4" t="s">
        <v>13</v>
      </c>
      <c r="C3" s="4" t="s">
        <v>14</v>
      </c>
      <c r="D3" s="14">
        <f>SUM(1493+1503+1499)</f>
        <v>4495</v>
      </c>
      <c r="E3" s="14">
        <f>SUM(82+81+101)</f>
        <v>264</v>
      </c>
      <c r="F3" s="15">
        <f>SUM(D3/E3)</f>
        <v>17.026515151515152</v>
      </c>
      <c r="G3" s="14">
        <v>3</v>
      </c>
      <c r="H3" s="14">
        <v>3</v>
      </c>
      <c r="I3" s="14">
        <v>1</v>
      </c>
      <c r="J3" s="14"/>
      <c r="K3" s="14"/>
      <c r="L3" s="14">
        <v>14</v>
      </c>
      <c r="M3" s="16">
        <v>5</v>
      </c>
    </row>
    <row r="4" spans="1:13" ht="18.75" x14ac:dyDescent="0.3">
      <c r="A4" s="3">
        <v>3</v>
      </c>
      <c r="B4" s="4" t="s">
        <v>25</v>
      </c>
      <c r="C4" s="4" t="s">
        <v>16</v>
      </c>
      <c r="D4" s="14">
        <f>SUM(1497+1503+1503)</f>
        <v>4503</v>
      </c>
      <c r="E4" s="14">
        <f>SUM(100+85+83)</f>
        <v>268</v>
      </c>
      <c r="F4" s="15">
        <f>SUM(D4/E4)</f>
        <v>16.802238805970148</v>
      </c>
      <c r="G4" s="14">
        <v>3</v>
      </c>
      <c r="H4" s="14">
        <v>3</v>
      </c>
      <c r="I4" s="14"/>
      <c r="J4" s="14"/>
      <c r="K4" s="14"/>
      <c r="L4" s="14">
        <v>14</v>
      </c>
      <c r="M4" s="16">
        <v>5</v>
      </c>
    </row>
    <row r="5" spans="1:13" ht="18.75" x14ac:dyDescent="0.3">
      <c r="A5" s="3">
        <v>4</v>
      </c>
      <c r="B5" s="4" t="s">
        <v>17</v>
      </c>
      <c r="C5" s="4" t="s">
        <v>14</v>
      </c>
      <c r="D5" s="14">
        <f>SUM(1475+1503+1379)</f>
        <v>4357</v>
      </c>
      <c r="E5" s="14">
        <f>SUM(91+92+81)</f>
        <v>264</v>
      </c>
      <c r="F5" s="15">
        <f>SUM(D5/E5)</f>
        <v>16.503787878787879</v>
      </c>
      <c r="G5" s="14">
        <v>3</v>
      </c>
      <c r="H5" s="14">
        <v>2</v>
      </c>
      <c r="I5" s="14"/>
      <c r="J5" s="14"/>
      <c r="K5" s="14"/>
      <c r="L5" s="76">
        <v>12.5</v>
      </c>
      <c r="M5" s="16"/>
    </row>
    <row r="6" spans="1:13" ht="18.75" x14ac:dyDescent="0.3">
      <c r="A6" s="3">
        <v>5</v>
      </c>
      <c r="B6" s="4" t="s">
        <v>34</v>
      </c>
      <c r="C6" s="4" t="s">
        <v>16</v>
      </c>
      <c r="D6" s="14">
        <f>SUM(1483+1471+1501)</f>
        <v>4455</v>
      </c>
      <c r="E6" s="14">
        <f>SUM(107+83+84)</f>
        <v>274</v>
      </c>
      <c r="F6" s="15">
        <f>SUM(D6/E6)</f>
        <v>16.259124087591243</v>
      </c>
      <c r="G6" s="14">
        <v>3</v>
      </c>
      <c r="H6" s="14">
        <v>3</v>
      </c>
      <c r="I6" s="14"/>
      <c r="J6" s="14"/>
      <c r="K6" s="14"/>
      <c r="L6" s="14">
        <v>10.5</v>
      </c>
      <c r="M6" s="16"/>
    </row>
    <row r="7" spans="1:13" ht="18.75" x14ac:dyDescent="0.3">
      <c r="A7" s="3">
        <v>6</v>
      </c>
      <c r="B7" s="4" t="s">
        <v>11</v>
      </c>
      <c r="C7" s="4" t="s">
        <v>12</v>
      </c>
      <c r="D7" s="14">
        <f>SUM(1471+1503+1366)</f>
        <v>4340</v>
      </c>
      <c r="E7" s="14">
        <f>SUM(76+92+101)</f>
        <v>269</v>
      </c>
      <c r="F7" s="15">
        <f>SUM(D7/E7)</f>
        <v>16.133828996282528</v>
      </c>
      <c r="G7" s="14">
        <v>3</v>
      </c>
      <c r="H7" s="14">
        <v>3</v>
      </c>
      <c r="I7" s="14">
        <v>1</v>
      </c>
      <c r="J7" s="14"/>
      <c r="K7" s="14"/>
      <c r="L7" s="14">
        <v>12.5</v>
      </c>
      <c r="M7" s="16">
        <v>5</v>
      </c>
    </row>
    <row r="8" spans="1:13" ht="18.75" x14ac:dyDescent="0.3">
      <c r="A8" s="3">
        <v>7</v>
      </c>
      <c r="B8" s="26" t="s">
        <v>135</v>
      </c>
      <c r="C8" s="4" t="s">
        <v>33</v>
      </c>
      <c r="D8" s="14">
        <f>SUM(1306)</f>
        <v>1306</v>
      </c>
      <c r="E8" s="14">
        <f>SUM(81)</f>
        <v>81</v>
      </c>
      <c r="F8" s="15">
        <f>SUM(D8/E8)</f>
        <v>16.123456790123456</v>
      </c>
      <c r="G8" s="14">
        <v>1</v>
      </c>
      <c r="H8" s="14"/>
      <c r="I8" s="14"/>
      <c r="J8" s="14"/>
      <c r="K8" s="14"/>
      <c r="L8" s="14">
        <v>1.5</v>
      </c>
      <c r="M8" s="16"/>
    </row>
    <row r="9" spans="1:13" ht="18.75" x14ac:dyDescent="0.3">
      <c r="A9" s="3">
        <v>8</v>
      </c>
      <c r="B9" s="4" t="s">
        <v>18</v>
      </c>
      <c r="C9" s="4" t="s">
        <v>19</v>
      </c>
      <c r="D9" s="14">
        <f>SUM(1503+1488+1503)</f>
        <v>4494</v>
      </c>
      <c r="E9" s="14">
        <f>SUM(93+90+102)</f>
        <v>285</v>
      </c>
      <c r="F9" s="15">
        <f>SUM(D9/E9)</f>
        <v>15.768421052631579</v>
      </c>
      <c r="G9" s="14">
        <v>3</v>
      </c>
      <c r="H9" s="14">
        <v>2</v>
      </c>
      <c r="I9" s="14"/>
      <c r="J9" s="14"/>
      <c r="K9" s="14"/>
      <c r="L9" s="14">
        <v>13.5</v>
      </c>
      <c r="M9" s="16"/>
    </row>
    <row r="10" spans="1:13" ht="18.75" x14ac:dyDescent="0.3">
      <c r="A10" s="3">
        <v>9</v>
      </c>
      <c r="B10" s="4" t="s">
        <v>38</v>
      </c>
      <c r="C10" s="4" t="s">
        <v>21</v>
      </c>
      <c r="D10" s="14">
        <f>SUM(1487+1503+1503)</f>
        <v>4493</v>
      </c>
      <c r="E10" s="14">
        <f>SUM(111+101+74)</f>
        <v>286</v>
      </c>
      <c r="F10" s="15">
        <f>SUM(D10/E10)</f>
        <v>15.70979020979021</v>
      </c>
      <c r="G10" s="14">
        <v>3</v>
      </c>
      <c r="H10" s="14">
        <v>3</v>
      </c>
      <c r="I10" s="14"/>
      <c r="J10" s="14"/>
      <c r="K10" s="14"/>
      <c r="L10" s="14">
        <v>14</v>
      </c>
      <c r="M10" s="16">
        <v>5</v>
      </c>
    </row>
    <row r="11" spans="1:13" ht="18.75" x14ac:dyDescent="0.3">
      <c r="A11" s="3">
        <v>10</v>
      </c>
      <c r="B11" s="4" t="s">
        <v>28</v>
      </c>
      <c r="C11" s="4" t="s">
        <v>29</v>
      </c>
      <c r="D11" s="14">
        <f>SUM(1400+1499+1422)</f>
        <v>4321</v>
      </c>
      <c r="E11" s="14">
        <f>SUM(96+101+81)</f>
        <v>278</v>
      </c>
      <c r="F11" s="15">
        <f>SUM(D11/E11)</f>
        <v>15.543165467625899</v>
      </c>
      <c r="G11" s="14">
        <v>3</v>
      </c>
      <c r="H11" s="14">
        <v>2</v>
      </c>
      <c r="I11" s="14"/>
      <c r="J11" s="14"/>
      <c r="K11" s="14"/>
      <c r="L11" s="14">
        <v>9</v>
      </c>
      <c r="M11" s="16"/>
    </row>
    <row r="12" spans="1:13" ht="18.75" x14ac:dyDescent="0.3">
      <c r="A12" s="3">
        <v>11</v>
      </c>
      <c r="B12" s="4" t="s">
        <v>71</v>
      </c>
      <c r="C12" s="7" t="s">
        <v>53</v>
      </c>
      <c r="D12" s="14">
        <f>SUM(1343+1449)</f>
        <v>2792</v>
      </c>
      <c r="E12" s="14">
        <f>SUM(82+98)</f>
        <v>180</v>
      </c>
      <c r="F12" s="15">
        <f>SUM(D12/E12)</f>
        <v>15.511111111111111</v>
      </c>
      <c r="G12" s="14">
        <v>2</v>
      </c>
      <c r="H12" s="14"/>
      <c r="I12" s="14"/>
      <c r="J12" s="14"/>
      <c r="K12" s="14"/>
      <c r="L12" s="14">
        <v>5.5</v>
      </c>
      <c r="M12" s="16"/>
    </row>
    <row r="13" spans="1:13" ht="18.75" x14ac:dyDescent="0.3">
      <c r="A13" s="3">
        <v>12</v>
      </c>
      <c r="B13" s="4" t="s">
        <v>117</v>
      </c>
      <c r="C13" s="4" t="s">
        <v>53</v>
      </c>
      <c r="D13" s="14">
        <f>SUM(1503)</f>
        <v>1503</v>
      </c>
      <c r="E13" s="14">
        <f>SUM(97)</f>
        <v>97</v>
      </c>
      <c r="F13" s="15">
        <f>SUM(D13/E13)</f>
        <v>15.494845360824742</v>
      </c>
      <c r="G13" s="14">
        <v>1</v>
      </c>
      <c r="H13" s="14">
        <v>1</v>
      </c>
      <c r="I13" s="14"/>
      <c r="J13" s="14"/>
      <c r="K13" s="14"/>
      <c r="L13" s="14">
        <v>3.5</v>
      </c>
      <c r="M13" s="16"/>
    </row>
    <row r="14" spans="1:13" ht="18.75" x14ac:dyDescent="0.3">
      <c r="A14" s="3">
        <v>13</v>
      </c>
      <c r="B14" s="4" t="s">
        <v>27</v>
      </c>
      <c r="C14" s="4" t="s">
        <v>19</v>
      </c>
      <c r="D14" s="14">
        <f>SUM(1491+1430+1503)</f>
        <v>4424</v>
      </c>
      <c r="E14" s="14">
        <f>SUM(102+105+81)</f>
        <v>288</v>
      </c>
      <c r="F14" s="15">
        <f>SUM(D14/E14)</f>
        <v>15.361111111111111</v>
      </c>
      <c r="G14" s="14">
        <v>3</v>
      </c>
      <c r="H14" s="14">
        <v>3</v>
      </c>
      <c r="I14" s="14"/>
      <c r="J14" s="14"/>
      <c r="K14" s="14"/>
      <c r="L14" s="14">
        <v>13</v>
      </c>
      <c r="M14" s="16"/>
    </row>
    <row r="15" spans="1:13" ht="18.75" x14ac:dyDescent="0.3">
      <c r="A15" s="3">
        <v>14</v>
      </c>
      <c r="B15" s="26" t="s">
        <v>116</v>
      </c>
      <c r="C15" s="4" t="s">
        <v>46</v>
      </c>
      <c r="D15" s="14">
        <f>SUM(1184)</f>
        <v>1184</v>
      </c>
      <c r="E15" s="14">
        <f>SUM(78)</f>
        <v>78</v>
      </c>
      <c r="F15" s="15">
        <f>SUM(D15/E15)</f>
        <v>15.179487179487179</v>
      </c>
      <c r="G15" s="14">
        <v>1</v>
      </c>
      <c r="H15" s="14"/>
      <c r="I15" s="14"/>
      <c r="J15" s="14"/>
      <c r="K15" s="14"/>
      <c r="L15" s="14">
        <v>0.5</v>
      </c>
      <c r="M15" s="16"/>
    </row>
    <row r="16" spans="1:13" ht="18.75" x14ac:dyDescent="0.3">
      <c r="A16" s="3">
        <v>15</v>
      </c>
      <c r="B16" s="26" t="s">
        <v>74</v>
      </c>
      <c r="C16" s="4" t="s">
        <v>60</v>
      </c>
      <c r="D16" s="14">
        <f>SUM(1491+1480)</f>
        <v>2971</v>
      </c>
      <c r="E16" s="14">
        <f>SUM(100+103)</f>
        <v>203</v>
      </c>
      <c r="F16" s="15">
        <f>SUM(D16/E16)</f>
        <v>14.635467980295566</v>
      </c>
      <c r="G16" s="14">
        <v>2</v>
      </c>
      <c r="H16" s="14">
        <v>2</v>
      </c>
      <c r="I16" s="14"/>
      <c r="J16" s="14"/>
      <c r="K16" s="14"/>
      <c r="L16" s="14">
        <v>6</v>
      </c>
      <c r="M16" s="16"/>
    </row>
    <row r="17" spans="1:13" ht="18.75" x14ac:dyDescent="0.3">
      <c r="A17" s="3">
        <v>16</v>
      </c>
      <c r="B17" s="71" t="s">
        <v>20</v>
      </c>
      <c r="C17" s="4" t="s">
        <v>21</v>
      </c>
      <c r="D17" s="14">
        <f>SUM(1503+1459+1401)</f>
        <v>4363</v>
      </c>
      <c r="E17" s="14">
        <f>SUM(96+99+104)</f>
        <v>299</v>
      </c>
      <c r="F17" s="15">
        <f>SUM(D17/E17)</f>
        <v>14.591973244147157</v>
      </c>
      <c r="G17" s="14">
        <v>3</v>
      </c>
      <c r="H17" s="14">
        <v>1</v>
      </c>
      <c r="I17" s="14">
        <v>1</v>
      </c>
      <c r="J17" s="14"/>
      <c r="K17" s="14"/>
      <c r="L17" s="14">
        <v>11.5</v>
      </c>
      <c r="M17" s="16"/>
    </row>
    <row r="18" spans="1:13" ht="18.75" x14ac:dyDescent="0.3">
      <c r="A18" s="3">
        <v>17</v>
      </c>
      <c r="B18" s="4" t="s">
        <v>115</v>
      </c>
      <c r="C18" s="4" t="s">
        <v>12</v>
      </c>
      <c r="D18" s="14">
        <f>SUM(1485+1493)</f>
        <v>2978</v>
      </c>
      <c r="E18" s="14">
        <f>SUM(119+86)</f>
        <v>205</v>
      </c>
      <c r="F18" s="15">
        <f>SUM(D18/E18)</f>
        <v>14.526829268292683</v>
      </c>
      <c r="G18" s="14">
        <v>2</v>
      </c>
      <c r="H18" s="14">
        <v>1</v>
      </c>
      <c r="I18" s="14"/>
      <c r="J18" s="14"/>
      <c r="K18" s="14"/>
      <c r="L18" s="14">
        <v>6</v>
      </c>
      <c r="M18" s="16"/>
    </row>
    <row r="19" spans="1:13" ht="18.75" x14ac:dyDescent="0.3">
      <c r="A19" s="3">
        <v>18</v>
      </c>
      <c r="B19" s="4" t="s">
        <v>37</v>
      </c>
      <c r="C19" s="4" t="s">
        <v>12</v>
      </c>
      <c r="D19" s="14">
        <f>SUM(1489+1454+1482)</f>
        <v>4425</v>
      </c>
      <c r="E19" s="14">
        <f>SUM(111+105+94)</f>
        <v>310</v>
      </c>
      <c r="F19" s="15">
        <f>SUM(D19/E19)</f>
        <v>14.274193548387096</v>
      </c>
      <c r="G19" s="14">
        <v>3</v>
      </c>
      <c r="H19" s="14">
        <v>1</v>
      </c>
      <c r="I19" s="14"/>
      <c r="J19" s="14"/>
      <c r="K19" s="14"/>
      <c r="L19" s="14">
        <v>7</v>
      </c>
      <c r="M19" s="16"/>
    </row>
    <row r="20" spans="1:13" ht="18.75" x14ac:dyDescent="0.3">
      <c r="A20" s="3">
        <v>19</v>
      </c>
      <c r="B20" s="3" t="s">
        <v>32</v>
      </c>
      <c r="C20" s="4" t="s">
        <v>33</v>
      </c>
      <c r="D20" s="14">
        <f>SUM(1375+1349+1415)</f>
        <v>4139</v>
      </c>
      <c r="E20" s="14">
        <f>SUM(97+95+104)</f>
        <v>296</v>
      </c>
      <c r="F20" s="15">
        <f>SUM(D20/E20)</f>
        <v>13.983108108108109</v>
      </c>
      <c r="G20" s="14">
        <v>3</v>
      </c>
      <c r="H20" s="14">
        <v>1</v>
      </c>
      <c r="I20" s="14"/>
      <c r="J20" s="14"/>
      <c r="K20" s="14"/>
      <c r="L20" s="14">
        <v>7</v>
      </c>
      <c r="M20" s="16"/>
    </row>
    <row r="21" spans="1:13" ht="18.75" x14ac:dyDescent="0.3">
      <c r="A21" s="3">
        <v>20</v>
      </c>
      <c r="B21" s="4" t="s">
        <v>43</v>
      </c>
      <c r="C21" s="4" t="s">
        <v>29</v>
      </c>
      <c r="D21" s="14">
        <f>SUM(984+1493+1090)</f>
        <v>3567</v>
      </c>
      <c r="E21" s="14">
        <f>SUM(78+103+78)</f>
        <v>259</v>
      </c>
      <c r="F21" s="15">
        <f>SUM(D21/E21)</f>
        <v>13.772200772200772</v>
      </c>
      <c r="G21" s="14">
        <v>3</v>
      </c>
      <c r="H21" s="14">
        <v>1</v>
      </c>
      <c r="I21" s="14"/>
      <c r="J21" s="14"/>
      <c r="K21" s="14"/>
      <c r="L21" s="14">
        <v>5.5</v>
      </c>
      <c r="M21" s="16"/>
    </row>
    <row r="22" spans="1:13" ht="18.75" x14ac:dyDescent="0.3">
      <c r="A22" s="3">
        <v>21</v>
      </c>
      <c r="B22" s="4" t="s">
        <v>47</v>
      </c>
      <c r="C22" s="7" t="s">
        <v>12</v>
      </c>
      <c r="D22" s="14">
        <f>SUM(1197+1447+1355)</f>
        <v>3999</v>
      </c>
      <c r="E22" s="14">
        <f>SUM(99+96+96)</f>
        <v>291</v>
      </c>
      <c r="F22" s="15">
        <f>SUM(D22/E22)</f>
        <v>13.742268041237113</v>
      </c>
      <c r="G22" s="14">
        <v>3</v>
      </c>
      <c r="H22" s="14">
        <v>1</v>
      </c>
      <c r="I22" s="14"/>
      <c r="J22" s="14"/>
      <c r="K22" s="14"/>
      <c r="L22" s="14">
        <v>8</v>
      </c>
      <c r="M22" s="16"/>
    </row>
    <row r="23" spans="1:13" ht="18.75" x14ac:dyDescent="0.3">
      <c r="A23" s="3">
        <v>22</v>
      </c>
      <c r="B23" s="26" t="s">
        <v>52</v>
      </c>
      <c r="C23" s="4" t="s">
        <v>53</v>
      </c>
      <c r="D23" s="14">
        <f>SUM(1503+1209+1369)</f>
        <v>4081</v>
      </c>
      <c r="E23" s="14">
        <f>SUM(129+84+84)</f>
        <v>297</v>
      </c>
      <c r="F23" s="15">
        <f>SUM(D23/E23)</f>
        <v>13.74074074074074</v>
      </c>
      <c r="G23" s="14">
        <v>3</v>
      </c>
      <c r="H23" s="14">
        <v>1</v>
      </c>
      <c r="I23" s="14"/>
      <c r="J23" s="14"/>
      <c r="K23" s="14"/>
      <c r="L23" s="14">
        <v>10.5</v>
      </c>
      <c r="M23" s="16">
        <v>5</v>
      </c>
    </row>
    <row r="24" spans="1:13" ht="18.75" x14ac:dyDescent="0.3">
      <c r="A24" s="3">
        <v>23</v>
      </c>
      <c r="B24" s="4" t="s">
        <v>22</v>
      </c>
      <c r="C24" s="4" t="s">
        <v>23</v>
      </c>
      <c r="D24" s="14">
        <f>SUM(1503+1341+1499)</f>
        <v>4343</v>
      </c>
      <c r="E24" s="14">
        <f>SUM(96+100+124)</f>
        <v>320</v>
      </c>
      <c r="F24" s="15">
        <f>SUM(D24/E24)</f>
        <v>13.571875</v>
      </c>
      <c r="G24" s="14">
        <v>3</v>
      </c>
      <c r="H24" s="14">
        <v>2</v>
      </c>
      <c r="I24" s="14"/>
      <c r="J24" s="14"/>
      <c r="K24" s="14"/>
      <c r="L24" s="14">
        <v>11.5</v>
      </c>
      <c r="M24" s="16"/>
    </row>
    <row r="25" spans="1:13" ht="18.75" x14ac:dyDescent="0.3">
      <c r="A25" s="3">
        <v>24</v>
      </c>
      <c r="B25" s="4" t="s">
        <v>36</v>
      </c>
      <c r="C25" s="4" t="s">
        <v>16</v>
      </c>
      <c r="D25" s="14">
        <f>SUM(1472+1279+1463)</f>
        <v>4214</v>
      </c>
      <c r="E25" s="14">
        <f>SUM(108+93+117)</f>
        <v>318</v>
      </c>
      <c r="F25" s="15">
        <f>SUM(D25/E25)</f>
        <v>13.251572327044025</v>
      </c>
      <c r="G25" s="14">
        <v>3</v>
      </c>
      <c r="H25" s="14">
        <v>1</v>
      </c>
      <c r="I25" s="14"/>
      <c r="J25" s="14"/>
      <c r="K25" s="14"/>
      <c r="L25" s="14">
        <v>9</v>
      </c>
      <c r="M25" s="16"/>
    </row>
    <row r="26" spans="1:13" ht="18.75" x14ac:dyDescent="0.3">
      <c r="A26" s="3">
        <v>25</v>
      </c>
      <c r="B26" s="4" t="s">
        <v>35</v>
      </c>
      <c r="C26" s="4" t="s">
        <v>33</v>
      </c>
      <c r="D26" s="14">
        <f>SUM(1453+1310+1456)</f>
        <v>4219</v>
      </c>
      <c r="E26" s="14">
        <f>SUM(105+122+95)</f>
        <v>322</v>
      </c>
      <c r="F26" s="15">
        <f>SUM(D26/E26)</f>
        <v>13.102484472049689</v>
      </c>
      <c r="G26" s="14">
        <v>3</v>
      </c>
      <c r="H26" s="14">
        <v>1</v>
      </c>
      <c r="I26" s="14"/>
      <c r="J26" s="14"/>
      <c r="K26" s="14"/>
      <c r="L26" s="14">
        <v>8</v>
      </c>
      <c r="M26" s="16"/>
    </row>
    <row r="27" spans="1:13" ht="18.75" x14ac:dyDescent="0.3">
      <c r="A27" s="3">
        <v>26</v>
      </c>
      <c r="B27" s="4" t="s">
        <v>24</v>
      </c>
      <c r="C27" s="4" t="s">
        <v>23</v>
      </c>
      <c r="D27" s="14">
        <f>SUM(1408+1503+1475)</f>
        <v>4386</v>
      </c>
      <c r="E27" s="14">
        <f>SUM(93+120+122)</f>
        <v>335</v>
      </c>
      <c r="F27" s="15">
        <f>SUM(D27/E27)</f>
        <v>13.092537313432835</v>
      </c>
      <c r="G27" s="14">
        <v>3</v>
      </c>
      <c r="H27" s="14">
        <v>2</v>
      </c>
      <c r="I27" s="14"/>
      <c r="J27" s="14"/>
      <c r="K27" s="14"/>
      <c r="L27" s="14">
        <v>12.5</v>
      </c>
      <c r="M27" s="16"/>
    </row>
    <row r="28" spans="1:13" ht="18.75" x14ac:dyDescent="0.3">
      <c r="A28" s="3">
        <v>27</v>
      </c>
      <c r="B28" s="26" t="s">
        <v>40</v>
      </c>
      <c r="C28" s="4" t="s">
        <v>23</v>
      </c>
      <c r="D28" s="14">
        <f>SUM(1446+1503+1491)</f>
        <v>4440</v>
      </c>
      <c r="E28" s="14">
        <f>SUM(110+105+126)</f>
        <v>341</v>
      </c>
      <c r="F28" s="15">
        <f>SUM(D28/E28)</f>
        <v>13.020527859237538</v>
      </c>
      <c r="G28" s="14">
        <v>3</v>
      </c>
      <c r="H28" s="14">
        <v>2</v>
      </c>
      <c r="I28" s="14"/>
      <c r="J28" s="14"/>
      <c r="K28" s="14"/>
      <c r="L28" s="14">
        <v>11.5</v>
      </c>
      <c r="M28" s="16">
        <v>5</v>
      </c>
    </row>
    <row r="29" spans="1:13" ht="18.75" x14ac:dyDescent="0.3">
      <c r="A29" s="3">
        <v>28</v>
      </c>
      <c r="B29" s="26" t="s">
        <v>57</v>
      </c>
      <c r="C29" s="4" t="s">
        <v>46</v>
      </c>
      <c r="D29" s="14">
        <f>SUM(1416+1252+1334)</f>
        <v>4002</v>
      </c>
      <c r="E29" s="14">
        <f>SUM(125+84+99)</f>
        <v>308</v>
      </c>
      <c r="F29" s="15">
        <f>SUM(D29/E29)</f>
        <v>12.993506493506494</v>
      </c>
      <c r="G29" s="14">
        <v>3</v>
      </c>
      <c r="H29" s="14"/>
      <c r="I29" s="14"/>
      <c r="J29" s="14"/>
      <c r="K29" s="14"/>
      <c r="L29" s="14">
        <v>2</v>
      </c>
      <c r="M29" s="16"/>
    </row>
    <row r="30" spans="1:13" ht="18.75" x14ac:dyDescent="0.3">
      <c r="A30" s="3">
        <v>29</v>
      </c>
      <c r="B30" s="26" t="s">
        <v>30</v>
      </c>
      <c r="C30" s="4" t="s">
        <v>23</v>
      </c>
      <c r="D30" s="14">
        <f>SUM(1302+1358+1471)</f>
        <v>4131</v>
      </c>
      <c r="E30" s="14">
        <f>SUM(90+98+130)</f>
        <v>318</v>
      </c>
      <c r="F30" s="15">
        <f>SUM(D30/E30)</f>
        <v>12.990566037735849</v>
      </c>
      <c r="G30" s="14">
        <v>3</v>
      </c>
      <c r="H30" s="14">
        <v>1</v>
      </c>
      <c r="I30" s="14"/>
      <c r="J30" s="14"/>
      <c r="K30" s="14"/>
      <c r="L30" s="14">
        <v>9.5</v>
      </c>
      <c r="M30" s="16"/>
    </row>
    <row r="31" spans="1:13" ht="18.75" x14ac:dyDescent="0.3">
      <c r="A31" s="3">
        <v>30</v>
      </c>
      <c r="B31" s="4" t="s">
        <v>31</v>
      </c>
      <c r="C31" s="7" t="s">
        <v>19</v>
      </c>
      <c r="D31" s="14">
        <f>SUM(1485+1497+1501)</f>
        <v>4483</v>
      </c>
      <c r="E31" s="14">
        <f>SUM(103+100+143)</f>
        <v>346</v>
      </c>
      <c r="F31" s="15">
        <f>SUM(D31/E31)</f>
        <v>12.956647398843931</v>
      </c>
      <c r="G31" s="14">
        <v>3</v>
      </c>
      <c r="H31" s="14">
        <v>1</v>
      </c>
      <c r="I31" s="14"/>
      <c r="J31" s="14"/>
      <c r="K31" s="14"/>
      <c r="L31" s="14">
        <v>11</v>
      </c>
      <c r="M31" s="16"/>
    </row>
    <row r="32" spans="1:13" ht="18.75" x14ac:dyDescent="0.3">
      <c r="A32" s="3">
        <v>31</v>
      </c>
      <c r="B32" s="4" t="s">
        <v>44</v>
      </c>
      <c r="C32" s="4" t="s">
        <v>19</v>
      </c>
      <c r="D32" s="14">
        <f>SUM(1499+1503)</f>
        <v>3002</v>
      </c>
      <c r="E32" s="14">
        <f>SUM(120+113)</f>
        <v>233</v>
      </c>
      <c r="F32" s="15">
        <f>SUM(D32/E32)</f>
        <v>12.884120171673819</v>
      </c>
      <c r="G32" s="14">
        <v>2</v>
      </c>
      <c r="H32" s="14">
        <v>2</v>
      </c>
      <c r="I32" s="14"/>
      <c r="J32" s="14"/>
      <c r="K32" s="14"/>
      <c r="L32" s="14">
        <v>10.5</v>
      </c>
      <c r="M32" s="16"/>
    </row>
    <row r="33" spans="1:13" ht="18.75" x14ac:dyDescent="0.3">
      <c r="A33" s="3">
        <v>32</v>
      </c>
      <c r="B33" s="4" t="s">
        <v>72</v>
      </c>
      <c r="C33" s="7" t="s">
        <v>19</v>
      </c>
      <c r="D33" s="14">
        <f>SUM(1495)</f>
        <v>1495</v>
      </c>
      <c r="E33" s="14">
        <f>SUM(117)</f>
        <v>117</v>
      </c>
      <c r="F33" s="15">
        <f>SUM(D33/E33)</f>
        <v>12.777777777777779</v>
      </c>
      <c r="G33" s="14">
        <v>1</v>
      </c>
      <c r="H33" s="14">
        <v>1</v>
      </c>
      <c r="I33" s="14"/>
      <c r="J33" s="14"/>
      <c r="K33" s="14"/>
      <c r="L33" s="14">
        <v>3.5</v>
      </c>
      <c r="M33" s="16"/>
    </row>
    <row r="34" spans="1:13" ht="18.75" x14ac:dyDescent="0.3">
      <c r="A34" s="3">
        <v>33</v>
      </c>
      <c r="B34" s="77" t="s">
        <v>51</v>
      </c>
      <c r="C34" s="4" t="s">
        <v>33</v>
      </c>
      <c r="D34" s="14">
        <f>SUM(1125+1277+1380)</f>
        <v>3782</v>
      </c>
      <c r="E34" s="14">
        <f>SUM(96+102+98)</f>
        <v>296</v>
      </c>
      <c r="F34" s="15">
        <f>SUM(D34/E34)</f>
        <v>12.777027027027026</v>
      </c>
      <c r="G34" s="14">
        <v>3</v>
      </c>
      <c r="H34" s="14">
        <v>1</v>
      </c>
      <c r="I34" s="14"/>
      <c r="J34" s="14"/>
      <c r="K34" s="14"/>
      <c r="L34" s="14">
        <v>7</v>
      </c>
      <c r="M34" s="16"/>
    </row>
    <row r="35" spans="1:13" ht="18.75" x14ac:dyDescent="0.3">
      <c r="A35" s="3">
        <v>34</v>
      </c>
      <c r="B35" s="9" t="s">
        <v>56</v>
      </c>
      <c r="C35" s="4" t="s">
        <v>29</v>
      </c>
      <c r="D35" s="17">
        <f>SUM(1501+1284+1142)</f>
        <v>3927</v>
      </c>
      <c r="E35" s="14">
        <f>SUM(132+99+81)</f>
        <v>312</v>
      </c>
      <c r="F35" s="15">
        <f>SUM(D35/E35)</f>
        <v>12.586538461538462</v>
      </c>
      <c r="G35" s="14">
        <v>3</v>
      </c>
      <c r="H35" s="14">
        <v>1</v>
      </c>
      <c r="I35" s="14"/>
      <c r="J35" s="14"/>
      <c r="K35" s="14"/>
      <c r="L35" s="14">
        <v>6</v>
      </c>
      <c r="M35" s="16"/>
    </row>
    <row r="36" spans="1:13" ht="18.75" x14ac:dyDescent="0.3">
      <c r="A36" s="3">
        <v>35</v>
      </c>
      <c r="B36" s="7" t="s">
        <v>41</v>
      </c>
      <c r="C36" s="4" t="s">
        <v>21</v>
      </c>
      <c r="D36" s="17">
        <f>SUM(1179+1413+1443)</f>
        <v>4035</v>
      </c>
      <c r="E36" s="14">
        <f>SUM(90+119+112)</f>
        <v>321</v>
      </c>
      <c r="F36" s="15">
        <f>SUM(D36/E36)</f>
        <v>12.570093457943925</v>
      </c>
      <c r="G36" s="14">
        <v>3</v>
      </c>
      <c r="H36" s="14">
        <v>1</v>
      </c>
      <c r="I36" s="14"/>
      <c r="J36" s="14"/>
      <c r="K36" s="14"/>
      <c r="L36" s="14">
        <v>7</v>
      </c>
      <c r="M36" s="16">
        <v>5</v>
      </c>
    </row>
    <row r="37" spans="1:13" ht="18.75" x14ac:dyDescent="0.3">
      <c r="A37" s="3">
        <v>36</v>
      </c>
      <c r="B37" s="9" t="s">
        <v>45</v>
      </c>
      <c r="C37" s="4" t="s">
        <v>46</v>
      </c>
      <c r="D37" s="17">
        <f>SUM(1497)</f>
        <v>1497</v>
      </c>
      <c r="E37" s="14">
        <f>SUM(120)</f>
        <v>120</v>
      </c>
      <c r="F37" s="15">
        <f>SUM(D37/E37)</f>
        <v>12.475</v>
      </c>
      <c r="G37" s="14">
        <v>1</v>
      </c>
      <c r="H37" s="14"/>
      <c r="I37" s="14"/>
      <c r="J37" s="14"/>
      <c r="K37" s="14"/>
      <c r="L37" s="14">
        <v>1</v>
      </c>
      <c r="M37" s="16"/>
    </row>
    <row r="38" spans="1:13" ht="18.75" x14ac:dyDescent="0.3">
      <c r="A38" s="3">
        <v>37</v>
      </c>
      <c r="B38" s="9" t="s">
        <v>133</v>
      </c>
      <c r="C38" s="4" t="s">
        <v>46</v>
      </c>
      <c r="D38" s="17">
        <f>SUM(1380)</f>
        <v>1380</v>
      </c>
      <c r="E38" s="14">
        <f>SUM(111)</f>
        <v>111</v>
      </c>
      <c r="F38" s="15">
        <f>SUM(D38/E38)</f>
        <v>12.432432432432432</v>
      </c>
      <c r="G38" s="14">
        <v>1</v>
      </c>
      <c r="H38" s="14"/>
      <c r="I38" s="14"/>
      <c r="J38" s="14"/>
      <c r="K38" s="14"/>
      <c r="L38" s="14"/>
      <c r="M38" s="16"/>
    </row>
    <row r="39" spans="1:13" ht="18.75" x14ac:dyDescent="0.3">
      <c r="A39" s="3">
        <v>38</v>
      </c>
      <c r="B39" s="18" t="s">
        <v>55</v>
      </c>
      <c r="C39" s="4" t="s">
        <v>33</v>
      </c>
      <c r="D39" s="17">
        <f>SUM(1418+1495)</f>
        <v>2913</v>
      </c>
      <c r="E39" s="14">
        <f>SUM(122+118)</f>
        <v>240</v>
      </c>
      <c r="F39" s="15">
        <f>SUM(D39/E39)</f>
        <v>12.137499999999999</v>
      </c>
      <c r="G39" s="14">
        <v>2</v>
      </c>
      <c r="H39" s="14">
        <v>1</v>
      </c>
      <c r="I39" s="14"/>
      <c r="J39" s="14"/>
      <c r="K39" s="14"/>
      <c r="L39" s="14">
        <v>6.5</v>
      </c>
      <c r="M39" s="16"/>
    </row>
    <row r="40" spans="1:13" ht="18.75" x14ac:dyDescent="0.3">
      <c r="A40" s="3">
        <v>39</v>
      </c>
      <c r="B40" s="9" t="s">
        <v>39</v>
      </c>
      <c r="C40" s="4" t="s">
        <v>29</v>
      </c>
      <c r="D40" s="17">
        <f>SUM(1503+1335+1494)</f>
        <v>4332</v>
      </c>
      <c r="E40" s="14">
        <f>SUM(114+123+120)</f>
        <v>357</v>
      </c>
      <c r="F40" s="15">
        <f>SUM(D40/E40)</f>
        <v>12.134453781512605</v>
      </c>
      <c r="G40" s="14">
        <v>3</v>
      </c>
      <c r="H40" s="14">
        <v>1</v>
      </c>
      <c r="I40" s="14"/>
      <c r="J40" s="14"/>
      <c r="K40" s="14"/>
      <c r="L40" s="14">
        <v>6.5</v>
      </c>
      <c r="M40" s="16"/>
    </row>
    <row r="41" spans="1:13" ht="18.75" x14ac:dyDescent="0.3">
      <c r="A41" s="3">
        <v>40</v>
      </c>
      <c r="B41" s="7" t="s">
        <v>50</v>
      </c>
      <c r="C41" s="4" t="s">
        <v>12</v>
      </c>
      <c r="D41" s="17">
        <f>SUM(1235)</f>
        <v>1235</v>
      </c>
      <c r="E41" s="14">
        <f>SUM(104)</f>
        <v>104</v>
      </c>
      <c r="F41" s="15">
        <f>SUM(D41/E41)</f>
        <v>11.875</v>
      </c>
      <c r="G41" s="14">
        <v>1</v>
      </c>
      <c r="H41" s="14"/>
      <c r="I41" s="14"/>
      <c r="J41" s="14"/>
      <c r="K41" s="14"/>
      <c r="L41" s="14">
        <v>2.5</v>
      </c>
      <c r="M41" s="16"/>
    </row>
    <row r="42" spans="1:13" ht="18.75" x14ac:dyDescent="0.3">
      <c r="A42" s="3">
        <v>41</v>
      </c>
      <c r="B42" s="28" t="s">
        <v>48</v>
      </c>
      <c r="C42" s="8" t="s">
        <v>49</v>
      </c>
      <c r="D42" s="17">
        <f>SUM(1498+1501+1411)</f>
        <v>4410</v>
      </c>
      <c r="E42" s="14">
        <f>SUM(124+124+124)</f>
        <v>372</v>
      </c>
      <c r="F42" s="15">
        <f>SUM(D42/E42)</f>
        <v>11.85483870967742</v>
      </c>
      <c r="G42" s="14">
        <v>3</v>
      </c>
      <c r="H42" s="14">
        <v>2</v>
      </c>
      <c r="I42" s="14"/>
      <c r="J42" s="14"/>
      <c r="K42" s="14"/>
      <c r="L42" s="14">
        <v>12</v>
      </c>
      <c r="M42" s="16"/>
    </row>
    <row r="43" spans="1:13" ht="18.75" x14ac:dyDescent="0.3">
      <c r="A43" s="3">
        <v>42</v>
      </c>
      <c r="B43" s="7" t="s">
        <v>26</v>
      </c>
      <c r="C43" s="7" t="s">
        <v>21</v>
      </c>
      <c r="D43" s="17">
        <f>SUM(1301+1470+1495)</f>
        <v>4266</v>
      </c>
      <c r="E43" s="14">
        <f>SUM(88+118+154)</f>
        <v>360</v>
      </c>
      <c r="F43" s="15">
        <f>SUM(D43/E43)</f>
        <v>11.85</v>
      </c>
      <c r="G43" s="14">
        <v>3</v>
      </c>
      <c r="H43" s="14">
        <v>2</v>
      </c>
      <c r="I43" s="14"/>
      <c r="J43" s="14"/>
      <c r="K43" s="14"/>
      <c r="L43" s="14">
        <v>9.5</v>
      </c>
      <c r="M43" s="16"/>
    </row>
    <row r="44" spans="1:13" ht="18.75" x14ac:dyDescent="0.3">
      <c r="A44" s="3">
        <v>43</v>
      </c>
      <c r="B44" s="7" t="s">
        <v>67</v>
      </c>
      <c r="C44" s="7" t="s">
        <v>49</v>
      </c>
      <c r="D44" s="17">
        <f>SUM(1501+1454+1401)</f>
        <v>4356</v>
      </c>
      <c r="E44" s="14">
        <f>SUM(162+98+128)</f>
        <v>388</v>
      </c>
      <c r="F44" s="15">
        <f>SUM(D44/E44)</f>
        <v>11.226804123711339</v>
      </c>
      <c r="G44" s="14">
        <v>3</v>
      </c>
      <c r="H44" s="14">
        <v>1</v>
      </c>
      <c r="I44" s="14"/>
      <c r="J44" s="14"/>
      <c r="K44" s="14"/>
      <c r="L44" s="14">
        <v>9</v>
      </c>
      <c r="M44" s="16">
        <v>10</v>
      </c>
    </row>
    <row r="45" spans="1:13" ht="18.75" x14ac:dyDescent="0.3">
      <c r="A45" s="3">
        <v>44</v>
      </c>
      <c r="B45" s="9" t="s">
        <v>62</v>
      </c>
      <c r="C45" s="7" t="s">
        <v>60</v>
      </c>
      <c r="D45" s="17">
        <f>SUM(1264+920)</f>
        <v>2184</v>
      </c>
      <c r="E45" s="14">
        <f>SUM(123+72)</f>
        <v>195</v>
      </c>
      <c r="F45" s="15">
        <f>SUM(D45/E45)</f>
        <v>11.2</v>
      </c>
      <c r="G45" s="14">
        <v>2</v>
      </c>
      <c r="H45" s="14"/>
      <c r="I45" s="14"/>
      <c r="J45" s="14"/>
      <c r="K45" s="14"/>
      <c r="L45" s="14">
        <v>1.5</v>
      </c>
      <c r="M45" s="16"/>
    </row>
    <row r="46" spans="1:13" ht="18.75" x14ac:dyDescent="0.3">
      <c r="A46" s="3">
        <v>45</v>
      </c>
      <c r="B46" s="7" t="s">
        <v>63</v>
      </c>
      <c r="C46" s="7" t="s">
        <v>53</v>
      </c>
      <c r="D46" s="17">
        <f>SUM(1498+1066)</f>
        <v>2564</v>
      </c>
      <c r="E46" s="14">
        <f>SUM(158+78)</f>
        <v>236</v>
      </c>
      <c r="F46" s="15">
        <f>SUM(D46/E46)</f>
        <v>10.864406779661017</v>
      </c>
      <c r="G46" s="14">
        <v>2</v>
      </c>
      <c r="H46" s="14"/>
      <c r="I46" s="14"/>
      <c r="J46" s="14"/>
      <c r="K46" s="14"/>
      <c r="L46" s="14">
        <v>2.5</v>
      </c>
      <c r="M46" s="16"/>
    </row>
    <row r="47" spans="1:13" ht="18.75" x14ac:dyDescent="0.3">
      <c r="A47" s="3">
        <v>46</v>
      </c>
      <c r="B47" s="7" t="s">
        <v>61</v>
      </c>
      <c r="C47" s="7" t="s">
        <v>53</v>
      </c>
      <c r="D47" s="17">
        <f>SUM(1483+1452)</f>
        <v>2935</v>
      </c>
      <c r="E47" s="14">
        <f>SUM(136+141)</f>
        <v>277</v>
      </c>
      <c r="F47" s="15">
        <f>SUM(D47/E47)</f>
        <v>10.595667870036101</v>
      </c>
      <c r="G47" s="14">
        <v>2</v>
      </c>
      <c r="H47" s="14">
        <v>1</v>
      </c>
      <c r="I47" s="14"/>
      <c r="J47" s="14"/>
      <c r="K47" s="14"/>
      <c r="L47" s="14">
        <v>6</v>
      </c>
      <c r="M47" s="16"/>
    </row>
    <row r="48" spans="1:13" ht="18.75" x14ac:dyDescent="0.3">
      <c r="A48" s="3">
        <v>47</v>
      </c>
      <c r="B48" s="7" t="s">
        <v>42</v>
      </c>
      <c r="C48" s="7" t="s">
        <v>14</v>
      </c>
      <c r="D48" s="17">
        <f>SUM(1482+1499+1503)</f>
        <v>4484</v>
      </c>
      <c r="E48" s="14">
        <f>SUM(117+165+144)</f>
        <v>426</v>
      </c>
      <c r="F48" s="15">
        <f>SUM(D48/E48)</f>
        <v>10.525821596244132</v>
      </c>
      <c r="G48" s="14">
        <v>3</v>
      </c>
      <c r="H48" s="14">
        <v>2</v>
      </c>
      <c r="I48" s="14">
        <v>1</v>
      </c>
      <c r="J48" s="14"/>
      <c r="K48" s="14"/>
      <c r="L48" s="14">
        <v>12.5</v>
      </c>
      <c r="M48" s="16"/>
    </row>
    <row r="49" spans="1:18" ht="18.75" x14ac:dyDescent="0.3">
      <c r="A49" s="3">
        <v>48</v>
      </c>
      <c r="B49" s="9" t="s">
        <v>59</v>
      </c>
      <c r="C49" s="4" t="s">
        <v>60</v>
      </c>
      <c r="D49" s="17">
        <f>SUM(1495+1198)</f>
        <v>2693</v>
      </c>
      <c r="E49" s="14">
        <f>SUM(137+121)</f>
        <v>258</v>
      </c>
      <c r="F49" s="15">
        <f>SUM(D49/E49)</f>
        <v>10.437984496124031</v>
      </c>
      <c r="G49" s="14">
        <v>2</v>
      </c>
      <c r="H49" s="14"/>
      <c r="I49" s="14"/>
      <c r="J49" s="14"/>
      <c r="K49" s="14"/>
      <c r="L49" s="14">
        <v>2</v>
      </c>
      <c r="M49" s="16"/>
    </row>
    <row r="50" spans="1:18" ht="18.75" x14ac:dyDescent="0.3">
      <c r="A50" s="3">
        <v>49</v>
      </c>
      <c r="B50" s="7" t="s">
        <v>54</v>
      </c>
      <c r="C50" s="8" t="s">
        <v>49</v>
      </c>
      <c r="D50" s="17">
        <f>SUM(1408+1461)</f>
        <v>2869</v>
      </c>
      <c r="E50" s="14">
        <f>SUM(121+158)</f>
        <v>279</v>
      </c>
      <c r="F50" s="15">
        <f>SUM(D50/E50)</f>
        <v>10.283154121863799</v>
      </c>
      <c r="G50" s="14">
        <v>2</v>
      </c>
      <c r="H50" s="14">
        <v>1</v>
      </c>
      <c r="I50" s="14"/>
      <c r="J50" s="14"/>
      <c r="K50" s="14"/>
      <c r="L50" s="14">
        <v>8</v>
      </c>
      <c r="M50" s="16"/>
    </row>
    <row r="51" spans="1:18" ht="18.75" x14ac:dyDescent="0.3">
      <c r="A51" s="3">
        <v>50</v>
      </c>
      <c r="B51" s="27" t="s">
        <v>58</v>
      </c>
      <c r="C51" s="7" t="s">
        <v>14</v>
      </c>
      <c r="D51" s="17">
        <f>SUM(1431+1499+1493)</f>
        <v>4423</v>
      </c>
      <c r="E51" s="14">
        <f>SUM(128+168+144)</f>
        <v>440</v>
      </c>
      <c r="F51" s="15">
        <f>SUM(D51/E51)</f>
        <v>10.052272727272728</v>
      </c>
      <c r="G51" s="14">
        <v>3</v>
      </c>
      <c r="H51" s="14">
        <v>2</v>
      </c>
      <c r="I51" s="14"/>
      <c r="J51" s="14"/>
      <c r="K51" s="14"/>
      <c r="L51" s="14">
        <v>14</v>
      </c>
      <c r="M51" s="16"/>
    </row>
    <row r="52" spans="1:18" ht="18.75" x14ac:dyDescent="0.3">
      <c r="A52" s="3">
        <v>51</v>
      </c>
      <c r="B52" s="11" t="s">
        <v>76</v>
      </c>
      <c r="C52" s="8" t="s">
        <v>49</v>
      </c>
      <c r="D52" s="17">
        <f>SUM(1499+1501)</f>
        <v>3000</v>
      </c>
      <c r="E52" s="14">
        <f>SUM(172+128)</f>
        <v>300</v>
      </c>
      <c r="F52" s="15">
        <f>SUM(D52/E52)</f>
        <v>10</v>
      </c>
      <c r="G52" s="14">
        <v>2</v>
      </c>
      <c r="H52" s="14">
        <v>2</v>
      </c>
      <c r="I52" s="14"/>
      <c r="J52" s="14"/>
      <c r="K52" s="14"/>
      <c r="L52" s="14">
        <v>9.5</v>
      </c>
      <c r="M52" s="16"/>
    </row>
    <row r="53" spans="1:18" ht="18.75" x14ac:dyDescent="0.3">
      <c r="A53" s="3">
        <v>52</v>
      </c>
      <c r="B53" s="11" t="s">
        <v>64</v>
      </c>
      <c r="C53" s="4" t="s">
        <v>46</v>
      </c>
      <c r="D53" s="17">
        <f>SUM(1468+1466+912)</f>
        <v>3846</v>
      </c>
      <c r="E53" s="14">
        <f>SUM(156+165+75)</f>
        <v>396</v>
      </c>
      <c r="F53" s="15">
        <f>SUM(D53/E53)</f>
        <v>9.7121212121212128</v>
      </c>
      <c r="G53" s="14">
        <v>3</v>
      </c>
      <c r="H53" s="14"/>
      <c r="I53" s="14"/>
      <c r="J53" s="14"/>
      <c r="K53" s="14"/>
      <c r="L53" s="14">
        <v>2.5</v>
      </c>
      <c r="M53" s="16"/>
    </row>
    <row r="54" spans="1:18" ht="18.75" x14ac:dyDescent="0.3">
      <c r="A54" s="3">
        <v>53</v>
      </c>
      <c r="B54" s="11" t="s">
        <v>75</v>
      </c>
      <c r="C54" s="7" t="s">
        <v>60</v>
      </c>
      <c r="D54" s="17">
        <f>SUM(1459+1180)</f>
        <v>2639</v>
      </c>
      <c r="E54" s="14">
        <f>SUM(165+111)</f>
        <v>276</v>
      </c>
      <c r="F54" s="15">
        <f>SUM(D54/E54)</f>
        <v>9.5615942028985508</v>
      </c>
      <c r="G54" s="14">
        <v>2</v>
      </c>
      <c r="H54" s="14"/>
      <c r="I54" s="14"/>
      <c r="J54" s="14"/>
      <c r="K54" s="14"/>
      <c r="L54" s="14">
        <v>3</v>
      </c>
      <c r="M54" s="16"/>
    </row>
    <row r="55" spans="1:18" ht="18.75" x14ac:dyDescent="0.3">
      <c r="A55" s="3">
        <v>54</v>
      </c>
      <c r="B55" s="11" t="s">
        <v>65</v>
      </c>
      <c r="C55" s="7" t="s">
        <v>46</v>
      </c>
      <c r="D55" s="17">
        <f>SUM(1493+1344)</f>
        <v>2837</v>
      </c>
      <c r="E55" s="14">
        <f>SUM(159+141)</f>
        <v>300</v>
      </c>
      <c r="F55" s="15">
        <f>SUM(D55/E55)</f>
        <v>9.456666666666667</v>
      </c>
      <c r="G55" s="14">
        <v>2</v>
      </c>
      <c r="H55" s="14"/>
      <c r="I55" s="14"/>
      <c r="J55" s="14"/>
      <c r="K55" s="14"/>
      <c r="L55" s="14">
        <v>1.5</v>
      </c>
      <c r="M55" s="16"/>
    </row>
    <row r="56" spans="1:18" ht="18.75" x14ac:dyDescent="0.3">
      <c r="A56" s="3">
        <v>55</v>
      </c>
      <c r="B56" s="27" t="s">
        <v>66</v>
      </c>
      <c r="C56" s="7" t="s">
        <v>49</v>
      </c>
      <c r="D56" s="17">
        <f>SUM(1474+1189)</f>
        <v>2663</v>
      </c>
      <c r="E56" s="14">
        <f>SUM(158+126)</f>
        <v>284</v>
      </c>
      <c r="F56" s="15">
        <f>SUM(D56/E56)</f>
        <v>9.376760563380282</v>
      </c>
      <c r="G56" s="14">
        <v>2</v>
      </c>
      <c r="H56" s="14">
        <v>1</v>
      </c>
      <c r="I56" s="14"/>
      <c r="J56" s="14"/>
      <c r="K56" s="14"/>
      <c r="L56" s="14">
        <v>4.5</v>
      </c>
      <c r="M56" s="16"/>
    </row>
    <row r="57" spans="1:18" ht="18.75" x14ac:dyDescent="0.3">
      <c r="A57" s="3">
        <v>56</v>
      </c>
      <c r="B57" s="11" t="s">
        <v>69</v>
      </c>
      <c r="C57" s="7" t="s">
        <v>60</v>
      </c>
      <c r="D57" s="17">
        <f>SUM(1297+1501+1485)</f>
        <v>4283</v>
      </c>
      <c r="E57" s="14">
        <f>SUM(156+158+152)</f>
        <v>466</v>
      </c>
      <c r="F57" s="15">
        <f>SUM(D57/E57)</f>
        <v>9.1909871244635202</v>
      </c>
      <c r="G57" s="14">
        <v>3</v>
      </c>
      <c r="H57" s="14">
        <v>2</v>
      </c>
      <c r="I57" s="14"/>
      <c r="J57" s="14"/>
      <c r="K57" s="14"/>
      <c r="L57" s="14">
        <v>6</v>
      </c>
      <c r="M57" s="16"/>
    </row>
    <row r="58" spans="1:18" ht="18.75" x14ac:dyDescent="0.3">
      <c r="A58" s="3">
        <v>57</v>
      </c>
      <c r="B58" s="11" t="s">
        <v>70</v>
      </c>
      <c r="C58" s="7" t="s">
        <v>53</v>
      </c>
      <c r="D58" s="17">
        <f>SUM(1480+1435)</f>
        <v>2915</v>
      </c>
      <c r="E58" s="14">
        <f>SUM(180+141)</f>
        <v>321</v>
      </c>
      <c r="F58" s="15">
        <f>SUM(D58/E58)</f>
        <v>9.0809968847352032</v>
      </c>
      <c r="G58" s="14">
        <v>2</v>
      </c>
      <c r="H58" s="14"/>
      <c r="I58" s="14"/>
      <c r="J58" s="14"/>
      <c r="K58" s="14"/>
      <c r="L58" s="14">
        <v>2</v>
      </c>
      <c r="M58" s="16"/>
    </row>
    <row r="59" spans="1:18" ht="18.75" x14ac:dyDescent="0.3">
      <c r="A59" s="3">
        <v>58</v>
      </c>
      <c r="B59" s="11" t="s">
        <v>114</v>
      </c>
      <c r="C59" s="4" t="s">
        <v>46</v>
      </c>
      <c r="D59" s="17">
        <f>SUM(1491)</f>
        <v>1491</v>
      </c>
      <c r="E59" s="14">
        <f>SUM(165)</f>
        <v>165</v>
      </c>
      <c r="F59" s="15">
        <f>SUM(D59/E59)</f>
        <v>9.036363636363637</v>
      </c>
      <c r="G59" s="14">
        <v>1</v>
      </c>
      <c r="H59" s="14"/>
      <c r="I59" s="14"/>
      <c r="J59" s="14"/>
      <c r="K59" s="14"/>
      <c r="L59" s="14">
        <v>0.5</v>
      </c>
      <c r="M59" s="16"/>
    </row>
    <row r="60" spans="1:18" ht="18.75" x14ac:dyDescent="0.3">
      <c r="A60" s="3">
        <v>59</v>
      </c>
      <c r="B60" s="11" t="s">
        <v>68</v>
      </c>
      <c r="C60" s="8" t="s">
        <v>60</v>
      </c>
      <c r="D60" s="17">
        <f>SUM(1493)</f>
        <v>1493</v>
      </c>
      <c r="E60" s="14">
        <f>SUM(177)</f>
        <v>177</v>
      </c>
      <c r="F60" s="15">
        <f>SUM(D60/E60)</f>
        <v>8.4350282485875709</v>
      </c>
      <c r="G60" s="14">
        <v>1</v>
      </c>
      <c r="H60" s="14">
        <v>1</v>
      </c>
      <c r="I60" s="14"/>
      <c r="J60" s="14"/>
      <c r="K60" s="14"/>
      <c r="L60" s="14">
        <v>2.5</v>
      </c>
      <c r="M60" s="16"/>
    </row>
    <row r="61" spans="1:18" ht="18.75" x14ac:dyDescent="0.3">
      <c r="A61" s="3">
        <v>60</v>
      </c>
      <c r="B61" s="11" t="s">
        <v>73</v>
      </c>
      <c r="C61" s="7" t="s">
        <v>21</v>
      </c>
      <c r="D61" s="17"/>
      <c r="E61" s="14"/>
      <c r="F61" s="15"/>
      <c r="G61" s="14"/>
      <c r="H61" s="14"/>
      <c r="I61" s="14"/>
      <c r="J61" s="14"/>
      <c r="K61" s="14"/>
      <c r="L61" s="14">
        <v>1</v>
      </c>
      <c r="M61" s="16"/>
    </row>
    <row r="62" spans="1:18" ht="18.75" x14ac:dyDescent="0.3">
      <c r="A62" s="3">
        <v>61</v>
      </c>
      <c r="B62" s="11" t="s">
        <v>113</v>
      </c>
      <c r="C62" s="7" t="s">
        <v>46</v>
      </c>
      <c r="D62" s="17"/>
      <c r="E62" s="14"/>
      <c r="F62" s="15"/>
      <c r="G62" s="14"/>
      <c r="H62" s="14"/>
      <c r="I62" s="14"/>
      <c r="J62" s="14"/>
      <c r="K62" s="14"/>
      <c r="L62" s="14">
        <v>0</v>
      </c>
      <c r="M62" s="16"/>
    </row>
    <row r="63" spans="1:18" ht="17.25" customHeight="1" thickBot="1" x14ac:dyDescent="0.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8" ht="19.5" customHeight="1" thickBot="1" x14ac:dyDescent="0.35">
      <c r="A64" s="5"/>
      <c r="B64" s="41" t="s">
        <v>143</v>
      </c>
      <c r="C64" s="60" t="s">
        <v>78</v>
      </c>
      <c r="D64" s="59" t="s">
        <v>79</v>
      </c>
      <c r="E64" s="70" t="s">
        <v>80</v>
      </c>
      <c r="F64" s="55" t="s">
        <v>108</v>
      </c>
      <c r="G64" s="69" t="s">
        <v>81</v>
      </c>
      <c r="I64" s="34" t="s">
        <v>82</v>
      </c>
      <c r="J64" s="35"/>
      <c r="K64" s="35"/>
      <c r="L64" s="35"/>
      <c r="M64" s="35"/>
      <c r="N64" s="35"/>
      <c r="O64" s="35"/>
      <c r="P64" s="35"/>
      <c r="Q64" s="35"/>
      <c r="R64" s="36"/>
    </row>
    <row r="65" spans="1:18" ht="18.75" x14ac:dyDescent="0.3">
      <c r="A65" s="5"/>
      <c r="B65" s="42"/>
      <c r="C65" s="29" t="s">
        <v>86</v>
      </c>
      <c r="D65" s="7">
        <v>3</v>
      </c>
      <c r="E65" s="27">
        <v>0</v>
      </c>
      <c r="F65" s="26">
        <v>0</v>
      </c>
      <c r="G65" s="29">
        <v>54</v>
      </c>
      <c r="I65" s="68" t="s">
        <v>84</v>
      </c>
      <c r="J65" s="67"/>
      <c r="K65" s="67"/>
      <c r="L65" s="67"/>
      <c r="M65" s="67"/>
      <c r="N65" s="37" t="s">
        <v>85</v>
      </c>
      <c r="O65" s="37"/>
      <c r="P65" s="37"/>
      <c r="Q65" s="37"/>
      <c r="R65" s="38"/>
    </row>
    <row r="66" spans="1:18" ht="18.75" x14ac:dyDescent="0.3">
      <c r="A66" s="5"/>
      <c r="B66" s="42"/>
      <c r="C66" s="29" t="s">
        <v>92</v>
      </c>
      <c r="D66" s="7">
        <v>3</v>
      </c>
      <c r="E66" s="62">
        <v>0</v>
      </c>
      <c r="F66" s="26">
        <v>0</v>
      </c>
      <c r="G66" s="61">
        <v>53</v>
      </c>
      <c r="I66" s="66" t="s">
        <v>87</v>
      </c>
      <c r="J66" s="65"/>
      <c r="K66" s="65"/>
      <c r="L66" s="65"/>
      <c r="M66" s="65"/>
      <c r="N66" s="39" t="s">
        <v>182</v>
      </c>
      <c r="O66" s="39"/>
      <c r="P66" s="39"/>
      <c r="Q66" s="39"/>
      <c r="R66" s="40"/>
    </row>
    <row r="67" spans="1:18" ht="18.75" x14ac:dyDescent="0.3">
      <c r="A67" s="5"/>
      <c r="B67" s="42"/>
      <c r="C67" s="30" t="s">
        <v>97</v>
      </c>
      <c r="D67" s="9">
        <v>3</v>
      </c>
      <c r="E67" s="11">
        <v>0</v>
      </c>
      <c r="F67" s="26">
        <v>0</v>
      </c>
      <c r="G67" s="30">
        <v>45</v>
      </c>
      <c r="I67" s="66" t="s">
        <v>90</v>
      </c>
      <c r="J67" s="65"/>
      <c r="K67" s="65"/>
      <c r="L67" s="65"/>
      <c r="M67" s="65"/>
      <c r="N67" s="39" t="s">
        <v>181</v>
      </c>
      <c r="O67" s="39"/>
      <c r="P67" s="39"/>
      <c r="Q67" s="39"/>
      <c r="R67" s="40"/>
    </row>
    <row r="68" spans="1:18" ht="18.75" x14ac:dyDescent="0.3">
      <c r="A68" s="6"/>
      <c r="B68" s="42"/>
      <c r="C68" s="31" t="s">
        <v>83</v>
      </c>
      <c r="D68" s="20">
        <v>2</v>
      </c>
      <c r="E68" s="53">
        <v>1</v>
      </c>
      <c r="F68" s="52">
        <v>0</v>
      </c>
      <c r="G68" s="31">
        <v>43</v>
      </c>
      <c r="I68" s="66" t="s">
        <v>93</v>
      </c>
      <c r="J68" s="65"/>
      <c r="K68" s="65"/>
      <c r="L68" s="65"/>
      <c r="M68" s="65"/>
      <c r="N68" s="39" t="s">
        <v>180</v>
      </c>
      <c r="O68" s="39"/>
      <c r="P68" s="39"/>
      <c r="Q68" s="39"/>
      <c r="R68" s="40"/>
    </row>
    <row r="69" spans="1:18" ht="18" customHeight="1" x14ac:dyDescent="0.3">
      <c r="A69" s="6"/>
      <c r="B69" s="42"/>
      <c r="C69" s="29" t="s">
        <v>100</v>
      </c>
      <c r="D69" s="7">
        <v>2</v>
      </c>
      <c r="E69" s="62">
        <v>1</v>
      </c>
      <c r="F69" s="26">
        <v>0</v>
      </c>
      <c r="G69" s="61">
        <v>43</v>
      </c>
      <c r="I69" s="66" t="s">
        <v>96</v>
      </c>
      <c r="J69" s="65"/>
      <c r="K69" s="65"/>
      <c r="L69" s="65"/>
      <c r="M69" s="65"/>
      <c r="N69" s="39" t="s">
        <v>91</v>
      </c>
      <c r="O69" s="39"/>
      <c r="P69" s="39"/>
      <c r="Q69" s="39"/>
      <c r="R69" s="40"/>
    </row>
    <row r="70" spans="1:18" ht="18" customHeight="1" thickBot="1" x14ac:dyDescent="0.35">
      <c r="A70" s="6"/>
      <c r="B70" s="42"/>
      <c r="C70" s="29" t="s">
        <v>99</v>
      </c>
      <c r="D70" s="7">
        <v>2</v>
      </c>
      <c r="E70" s="27">
        <v>1</v>
      </c>
      <c r="F70" s="26">
        <v>0</v>
      </c>
      <c r="G70" s="29">
        <v>43</v>
      </c>
      <c r="I70" s="64" t="s">
        <v>98</v>
      </c>
      <c r="J70" s="63"/>
      <c r="K70" s="63"/>
      <c r="L70" s="63"/>
      <c r="M70" s="63"/>
      <c r="N70" s="39" t="s">
        <v>109</v>
      </c>
      <c r="O70" s="39"/>
      <c r="P70" s="39"/>
      <c r="Q70" s="39"/>
      <c r="R70" s="40"/>
    </row>
    <row r="71" spans="1:18" ht="18.75" x14ac:dyDescent="0.3">
      <c r="A71" s="6"/>
      <c r="B71" s="42"/>
      <c r="C71" s="29" t="s">
        <v>95</v>
      </c>
      <c r="D71" s="7">
        <v>2</v>
      </c>
      <c r="E71" s="62">
        <v>1</v>
      </c>
      <c r="F71" s="26">
        <v>0</v>
      </c>
      <c r="G71" s="61">
        <v>36</v>
      </c>
      <c r="H71" s="6"/>
      <c r="I71" s="6"/>
      <c r="J71" s="6"/>
      <c r="K71" s="6"/>
      <c r="L71" s="6"/>
      <c r="M71" s="6"/>
    </row>
    <row r="72" spans="1:18" ht="18.75" x14ac:dyDescent="0.3">
      <c r="A72" s="6"/>
      <c r="B72" s="42"/>
      <c r="C72" s="29" t="s">
        <v>89</v>
      </c>
      <c r="D72" s="7">
        <v>1</v>
      </c>
      <c r="E72" s="62">
        <v>2</v>
      </c>
      <c r="F72" s="26">
        <v>0</v>
      </c>
      <c r="G72" s="61">
        <v>30</v>
      </c>
      <c r="H72" s="6"/>
    </row>
    <row r="73" spans="1:18" ht="18.75" x14ac:dyDescent="0.3">
      <c r="B73" s="42"/>
      <c r="C73" s="29" t="s">
        <v>103</v>
      </c>
      <c r="D73" s="7">
        <v>0</v>
      </c>
      <c r="E73" s="62">
        <v>3</v>
      </c>
      <c r="F73" s="26">
        <v>0</v>
      </c>
      <c r="G73" s="61">
        <v>30</v>
      </c>
    </row>
    <row r="74" spans="1:18" ht="18.75" x14ac:dyDescent="0.3">
      <c r="B74" s="42"/>
      <c r="C74" s="30" t="s">
        <v>101</v>
      </c>
      <c r="D74" s="9">
        <v>0</v>
      </c>
      <c r="E74" s="11">
        <v>3</v>
      </c>
      <c r="F74" s="26">
        <v>0</v>
      </c>
      <c r="G74" s="30">
        <v>26</v>
      </c>
    </row>
    <row r="75" spans="1:18" ht="18.75" x14ac:dyDescent="0.3">
      <c r="B75" s="42"/>
      <c r="C75" s="30" t="s">
        <v>102</v>
      </c>
      <c r="D75" s="9">
        <v>0</v>
      </c>
      <c r="E75" s="11">
        <v>3</v>
      </c>
      <c r="F75" s="26">
        <v>0</v>
      </c>
      <c r="G75" s="30">
        <v>21</v>
      </c>
    </row>
    <row r="76" spans="1:18" ht="19.5" thickBot="1" x14ac:dyDescent="0.35">
      <c r="B76" s="43"/>
      <c r="C76" s="30" t="s">
        <v>104</v>
      </c>
      <c r="D76" s="9">
        <v>0</v>
      </c>
      <c r="E76" s="11">
        <v>3</v>
      </c>
      <c r="F76" s="26">
        <v>0</v>
      </c>
      <c r="G76" s="30">
        <v>8</v>
      </c>
    </row>
    <row r="77" spans="1:18" ht="15.75" thickBot="1" x14ac:dyDescent="0.3"/>
    <row r="78" spans="1:18" ht="19.5" thickBot="1" x14ac:dyDescent="0.35">
      <c r="C78" s="60" t="s">
        <v>105</v>
      </c>
      <c r="D78" s="59" t="s">
        <v>79</v>
      </c>
      <c r="E78" s="59" t="s">
        <v>80</v>
      </c>
      <c r="F78" s="55" t="s">
        <v>108</v>
      </c>
      <c r="G78" s="58" t="s">
        <v>81</v>
      </c>
    </row>
    <row r="79" spans="1:18" ht="18.75" x14ac:dyDescent="0.3">
      <c r="C79" s="20" t="s">
        <v>86</v>
      </c>
      <c r="D79" s="20">
        <v>3</v>
      </c>
      <c r="E79" s="53">
        <v>0</v>
      </c>
      <c r="F79" s="52">
        <v>0</v>
      </c>
      <c r="G79" s="31">
        <v>54</v>
      </c>
    </row>
    <row r="80" spans="1:18" ht="18.75" x14ac:dyDescent="0.3">
      <c r="C80" s="20" t="s">
        <v>100</v>
      </c>
      <c r="D80" s="20">
        <v>2</v>
      </c>
      <c r="E80" s="51">
        <v>1</v>
      </c>
      <c r="F80" s="26">
        <v>0</v>
      </c>
      <c r="G80" s="50">
        <v>43</v>
      </c>
    </row>
    <row r="81" spans="3:7" ht="18.75" x14ac:dyDescent="0.3">
      <c r="C81" s="7" t="s">
        <v>95</v>
      </c>
      <c r="D81" s="7">
        <v>2</v>
      </c>
      <c r="E81" s="62">
        <v>1</v>
      </c>
      <c r="F81" s="26">
        <v>0</v>
      </c>
      <c r="G81" s="61">
        <v>36</v>
      </c>
    </row>
    <row r="82" spans="3:7" ht="18.75" x14ac:dyDescent="0.3">
      <c r="C82" s="7" t="s">
        <v>103</v>
      </c>
      <c r="D82" s="7">
        <v>0</v>
      </c>
      <c r="E82" s="62">
        <v>3</v>
      </c>
      <c r="F82" s="26">
        <v>0</v>
      </c>
      <c r="G82" s="61">
        <v>30</v>
      </c>
    </row>
    <row r="83" spans="3:7" ht="15.75" thickBot="1" x14ac:dyDescent="0.3"/>
    <row r="84" spans="3:7" ht="19.5" thickBot="1" x14ac:dyDescent="0.35">
      <c r="C84" s="60" t="s">
        <v>106</v>
      </c>
      <c r="D84" s="59" t="s">
        <v>79</v>
      </c>
      <c r="E84" s="59" t="s">
        <v>80</v>
      </c>
      <c r="F84" s="55" t="s">
        <v>108</v>
      </c>
      <c r="G84" s="58" t="s">
        <v>81</v>
      </c>
    </row>
    <row r="85" spans="3:7" ht="18.75" x14ac:dyDescent="0.3">
      <c r="C85" s="20" t="s">
        <v>92</v>
      </c>
      <c r="D85" s="20">
        <v>3</v>
      </c>
      <c r="E85" s="51">
        <v>0</v>
      </c>
      <c r="F85" s="52">
        <v>0</v>
      </c>
      <c r="G85" s="50">
        <v>53</v>
      </c>
    </row>
    <row r="86" spans="3:7" ht="18.75" x14ac:dyDescent="0.3">
      <c r="C86" s="9" t="s">
        <v>97</v>
      </c>
      <c r="D86" s="9">
        <v>3</v>
      </c>
      <c r="E86" s="11">
        <v>0</v>
      </c>
      <c r="F86" s="26">
        <v>0</v>
      </c>
      <c r="G86" s="30">
        <v>45</v>
      </c>
    </row>
    <row r="87" spans="3:7" ht="18.75" x14ac:dyDescent="0.3">
      <c r="C87" s="7" t="s">
        <v>99</v>
      </c>
      <c r="D87" s="7">
        <v>2</v>
      </c>
      <c r="E87" s="27">
        <v>1</v>
      </c>
      <c r="F87" s="26">
        <v>0</v>
      </c>
      <c r="G87" s="29">
        <v>43</v>
      </c>
    </row>
    <row r="88" spans="3:7" ht="18.75" x14ac:dyDescent="0.3">
      <c r="C88" s="9" t="s">
        <v>101</v>
      </c>
      <c r="D88" s="9">
        <v>0</v>
      </c>
      <c r="E88" s="11">
        <v>3</v>
      </c>
      <c r="F88" s="26">
        <v>0</v>
      </c>
      <c r="G88" s="30">
        <v>26</v>
      </c>
    </row>
    <row r="89" spans="3:7" ht="15.75" thickBot="1" x14ac:dyDescent="0.3"/>
    <row r="90" spans="3:7" ht="19.5" thickBot="1" x14ac:dyDescent="0.35">
      <c r="C90" s="57" t="s">
        <v>107</v>
      </c>
      <c r="D90" s="56" t="s">
        <v>79</v>
      </c>
      <c r="E90" s="56" t="s">
        <v>80</v>
      </c>
      <c r="F90" s="55" t="s">
        <v>108</v>
      </c>
      <c r="G90" s="54" t="s">
        <v>81</v>
      </c>
    </row>
    <row r="91" spans="3:7" ht="18.75" x14ac:dyDescent="0.3">
      <c r="C91" s="20" t="s">
        <v>83</v>
      </c>
      <c r="D91" s="20">
        <v>2</v>
      </c>
      <c r="E91" s="53">
        <v>1</v>
      </c>
      <c r="F91" s="52">
        <v>0</v>
      </c>
      <c r="G91" s="31">
        <v>43</v>
      </c>
    </row>
    <row r="92" spans="3:7" ht="18.75" x14ac:dyDescent="0.3">
      <c r="C92" s="20" t="s">
        <v>89</v>
      </c>
      <c r="D92" s="20">
        <v>1</v>
      </c>
      <c r="E92" s="51">
        <v>2</v>
      </c>
      <c r="F92" s="26">
        <v>0</v>
      </c>
      <c r="G92" s="50">
        <v>30</v>
      </c>
    </row>
    <row r="93" spans="3:7" ht="18.75" x14ac:dyDescent="0.3">
      <c r="C93" s="9" t="s">
        <v>102</v>
      </c>
      <c r="D93" s="9">
        <v>0</v>
      </c>
      <c r="E93" s="11">
        <v>3</v>
      </c>
      <c r="F93" s="26">
        <v>0</v>
      </c>
      <c r="G93" s="30">
        <v>21</v>
      </c>
    </row>
    <row r="94" spans="3:7" ht="18.75" x14ac:dyDescent="0.3">
      <c r="C94" s="9" t="s">
        <v>104</v>
      </c>
      <c r="D94" s="9">
        <v>0</v>
      </c>
      <c r="E94" s="11">
        <v>3</v>
      </c>
      <c r="F94" s="26">
        <v>0</v>
      </c>
      <c r="G94" s="30">
        <v>8</v>
      </c>
    </row>
  </sheetData>
  <mergeCells count="14">
    <mergeCell ref="N70:R70"/>
    <mergeCell ref="I64:R64"/>
    <mergeCell ref="N65:R65"/>
    <mergeCell ref="N66:R66"/>
    <mergeCell ref="N67:R67"/>
    <mergeCell ref="N68:R68"/>
    <mergeCell ref="N69:R69"/>
    <mergeCell ref="B64:B76"/>
    <mergeCell ref="I65:M65"/>
    <mergeCell ref="I66:M66"/>
    <mergeCell ref="I67:M67"/>
    <mergeCell ref="I68:M68"/>
    <mergeCell ref="I69:M69"/>
    <mergeCell ref="I70:M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workbookViewId="0">
      <pane ySplit="1" topLeftCell="A2" activePane="bottomLeft" state="frozen"/>
      <selection pane="bottomLeft" activeCell="C55" sqref="C55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15</v>
      </c>
      <c r="C2" s="4" t="s">
        <v>16</v>
      </c>
      <c r="D2" s="14">
        <f>SUM(1350+1487+1463)</f>
        <v>4300</v>
      </c>
      <c r="E2" s="14">
        <f>SUM(80+82+83)</f>
        <v>245</v>
      </c>
      <c r="F2" s="15">
        <f>SUM(D2/E2)</f>
        <v>17.551020408163264</v>
      </c>
      <c r="G2" s="14">
        <v>3</v>
      </c>
      <c r="H2" s="14">
        <v>2</v>
      </c>
      <c r="I2" s="14"/>
      <c r="J2" s="14"/>
      <c r="K2" s="14"/>
      <c r="L2" s="14">
        <v>9.5</v>
      </c>
      <c r="M2" s="16">
        <v>5</v>
      </c>
    </row>
    <row r="3" spans="1:13" ht="18.75" x14ac:dyDescent="0.3">
      <c r="A3" s="3">
        <v>2</v>
      </c>
      <c r="B3" s="4" t="s">
        <v>34</v>
      </c>
      <c r="C3" s="4" t="s">
        <v>16</v>
      </c>
      <c r="D3" s="14">
        <f>SUM(1483+1471+1501+1503)</f>
        <v>5958</v>
      </c>
      <c r="E3" s="14">
        <f>SUM(107+83+84+79)</f>
        <v>353</v>
      </c>
      <c r="F3" s="15">
        <f>SUM(D3/E3)</f>
        <v>16.878186968838527</v>
      </c>
      <c r="G3" s="14">
        <v>4</v>
      </c>
      <c r="H3" s="14">
        <v>4</v>
      </c>
      <c r="I3" s="14"/>
      <c r="J3" s="14"/>
      <c r="K3" s="14"/>
      <c r="L3" s="14">
        <v>15</v>
      </c>
      <c r="M3" s="16">
        <v>5</v>
      </c>
    </row>
    <row r="4" spans="1:13" ht="18.75" x14ac:dyDescent="0.3">
      <c r="A4" s="3">
        <v>3</v>
      </c>
      <c r="B4" s="4" t="s">
        <v>13</v>
      </c>
      <c r="C4" s="4" t="s">
        <v>14</v>
      </c>
      <c r="D4" s="14">
        <f>SUM(1493+1503+1499+1371)</f>
        <v>5866</v>
      </c>
      <c r="E4" s="14">
        <f>SUM(82+81+101+87)</f>
        <v>351</v>
      </c>
      <c r="F4" s="15">
        <f>SUM(D4/E4)</f>
        <v>16.712250712250711</v>
      </c>
      <c r="G4" s="14">
        <v>4</v>
      </c>
      <c r="H4" s="14">
        <v>3</v>
      </c>
      <c r="I4" s="14">
        <v>1</v>
      </c>
      <c r="J4" s="14"/>
      <c r="K4" s="14"/>
      <c r="L4" s="14">
        <v>15</v>
      </c>
      <c r="M4" s="16">
        <v>5</v>
      </c>
    </row>
    <row r="5" spans="1:13" ht="18.75" x14ac:dyDescent="0.3">
      <c r="A5" s="3">
        <v>4</v>
      </c>
      <c r="B5" s="4" t="s">
        <v>25</v>
      </c>
      <c r="C5" s="4" t="s">
        <v>16</v>
      </c>
      <c r="D5" s="14">
        <f>SUM(1497+1503+1503+1503)</f>
        <v>6006</v>
      </c>
      <c r="E5" s="14">
        <f>SUM(100+85+83+92)</f>
        <v>360</v>
      </c>
      <c r="F5" s="15">
        <f>SUM(D5/E5)</f>
        <v>16.683333333333334</v>
      </c>
      <c r="G5" s="14">
        <v>4</v>
      </c>
      <c r="H5" s="14">
        <v>4</v>
      </c>
      <c r="I5" s="14">
        <v>1</v>
      </c>
      <c r="J5" s="14"/>
      <c r="K5" s="14"/>
      <c r="L5" s="14">
        <v>19</v>
      </c>
      <c r="M5" s="16">
        <v>10</v>
      </c>
    </row>
    <row r="6" spans="1:13" ht="18.75" x14ac:dyDescent="0.3">
      <c r="A6" s="3">
        <v>5</v>
      </c>
      <c r="B6" s="4" t="s">
        <v>17</v>
      </c>
      <c r="C6" s="4" t="s">
        <v>14</v>
      </c>
      <c r="D6" s="14">
        <f>SUM(1475+1503+1379+1273)</f>
        <v>5630</v>
      </c>
      <c r="E6" s="14">
        <f>SUM(91+92+81+81)</f>
        <v>345</v>
      </c>
      <c r="F6" s="15">
        <f>SUM(D6/E6)</f>
        <v>16.318840579710145</v>
      </c>
      <c r="G6" s="14">
        <v>4</v>
      </c>
      <c r="H6" s="14">
        <v>2</v>
      </c>
      <c r="I6" s="14"/>
      <c r="J6" s="14"/>
      <c r="K6" s="14"/>
      <c r="L6" s="76">
        <v>14.5</v>
      </c>
      <c r="M6" s="16"/>
    </row>
    <row r="7" spans="1:13" ht="18.75" x14ac:dyDescent="0.3">
      <c r="A7" s="3">
        <v>6</v>
      </c>
      <c r="B7" s="4" t="s">
        <v>11</v>
      </c>
      <c r="C7" s="4" t="s">
        <v>12</v>
      </c>
      <c r="D7" s="14">
        <f>SUM(1471+1503+1366)</f>
        <v>4340</v>
      </c>
      <c r="E7" s="14">
        <f>SUM(76+92+101)</f>
        <v>269</v>
      </c>
      <c r="F7" s="15">
        <f>SUM(D7/E7)</f>
        <v>16.133828996282528</v>
      </c>
      <c r="G7" s="14">
        <v>3</v>
      </c>
      <c r="H7" s="14">
        <v>3</v>
      </c>
      <c r="I7" s="14">
        <v>1</v>
      </c>
      <c r="J7" s="14"/>
      <c r="K7" s="14"/>
      <c r="L7" s="14">
        <v>12.5</v>
      </c>
      <c r="M7" s="16">
        <v>5</v>
      </c>
    </row>
    <row r="8" spans="1:13" ht="18.75" x14ac:dyDescent="0.3">
      <c r="A8" s="3">
        <v>7</v>
      </c>
      <c r="B8" s="26" t="s">
        <v>135</v>
      </c>
      <c r="C8" s="4" t="s">
        <v>33</v>
      </c>
      <c r="D8" s="14">
        <f>SUM(1306)</f>
        <v>1306</v>
      </c>
      <c r="E8" s="14">
        <f>SUM(81)</f>
        <v>81</v>
      </c>
      <c r="F8" s="15">
        <f>SUM(D8/E8)</f>
        <v>16.123456790123456</v>
      </c>
      <c r="G8" s="14">
        <v>1</v>
      </c>
      <c r="H8" s="14"/>
      <c r="I8" s="14"/>
      <c r="J8" s="14"/>
      <c r="K8" s="14"/>
      <c r="L8" s="14">
        <v>1.5</v>
      </c>
      <c r="M8" s="16"/>
    </row>
    <row r="9" spans="1:13" ht="18.75" x14ac:dyDescent="0.3">
      <c r="A9" s="3">
        <v>8</v>
      </c>
      <c r="B9" s="4" t="s">
        <v>18</v>
      </c>
      <c r="C9" s="4" t="s">
        <v>19</v>
      </c>
      <c r="D9" s="14">
        <f>SUM(1503+1488+1503+1430)</f>
        <v>5924</v>
      </c>
      <c r="E9" s="14">
        <f>SUM(93+90+102+88)</f>
        <v>373</v>
      </c>
      <c r="F9" s="15">
        <f>SUM(D9/E9)</f>
        <v>15.882037533512065</v>
      </c>
      <c r="G9" s="14">
        <v>4</v>
      </c>
      <c r="H9" s="14">
        <v>3</v>
      </c>
      <c r="I9" s="14"/>
      <c r="J9" s="14"/>
      <c r="K9" s="14"/>
      <c r="L9" s="14">
        <v>17</v>
      </c>
      <c r="M9" s="16"/>
    </row>
    <row r="10" spans="1:13" ht="18.75" x14ac:dyDescent="0.3">
      <c r="A10" s="3">
        <v>9</v>
      </c>
      <c r="B10" s="4" t="s">
        <v>38</v>
      </c>
      <c r="C10" s="4" t="s">
        <v>21</v>
      </c>
      <c r="D10" s="14">
        <f>SUM(1487+1503+1503+1386)</f>
        <v>5879</v>
      </c>
      <c r="E10" s="14">
        <f>SUM(111+101+74+85)</f>
        <v>371</v>
      </c>
      <c r="F10" s="15">
        <f>SUM(D10/E10)</f>
        <v>15.846361185983827</v>
      </c>
      <c r="G10" s="14">
        <v>4</v>
      </c>
      <c r="H10" s="14">
        <v>3</v>
      </c>
      <c r="I10" s="14"/>
      <c r="J10" s="14"/>
      <c r="K10" s="14"/>
      <c r="L10" s="14">
        <v>15.5</v>
      </c>
      <c r="M10" s="16">
        <v>5</v>
      </c>
    </row>
    <row r="11" spans="1:13" ht="18.75" x14ac:dyDescent="0.3">
      <c r="A11" s="3">
        <v>10</v>
      </c>
      <c r="B11" s="4" t="s">
        <v>71</v>
      </c>
      <c r="C11" s="4" t="s">
        <v>53</v>
      </c>
      <c r="D11" s="14">
        <f>SUM(1343+1449+1503)</f>
        <v>4295</v>
      </c>
      <c r="E11" s="14">
        <f>SUM(82+98+96)</f>
        <v>276</v>
      </c>
      <c r="F11" s="15">
        <f>SUM(D11/E11)</f>
        <v>15.561594202898551</v>
      </c>
      <c r="G11" s="14">
        <v>3</v>
      </c>
      <c r="H11" s="14">
        <v>1</v>
      </c>
      <c r="I11" s="14"/>
      <c r="J11" s="14"/>
      <c r="K11" s="14"/>
      <c r="L11" s="14">
        <v>10</v>
      </c>
      <c r="M11" s="16"/>
    </row>
    <row r="12" spans="1:13" ht="18.75" x14ac:dyDescent="0.3">
      <c r="A12" s="3">
        <v>11</v>
      </c>
      <c r="B12" s="4" t="s">
        <v>27</v>
      </c>
      <c r="C12" s="7" t="s">
        <v>19</v>
      </c>
      <c r="D12" s="14">
        <f>SUM(1491+1430+1503+1498)</f>
        <v>5922</v>
      </c>
      <c r="E12" s="14">
        <f>SUM(102+105+81+93)</f>
        <v>381</v>
      </c>
      <c r="F12" s="15">
        <f>SUM(D12/E12)</f>
        <v>15.543307086614174</v>
      </c>
      <c r="G12" s="14">
        <v>4</v>
      </c>
      <c r="H12" s="14">
        <v>4</v>
      </c>
      <c r="I12" s="14"/>
      <c r="J12" s="14"/>
      <c r="K12" s="14"/>
      <c r="L12" s="14">
        <v>17.5</v>
      </c>
      <c r="M12" s="16"/>
    </row>
    <row r="13" spans="1:13" ht="18.75" x14ac:dyDescent="0.3">
      <c r="A13" s="3">
        <v>12</v>
      </c>
      <c r="B13" s="4" t="s">
        <v>117</v>
      </c>
      <c r="C13" s="4" t="s">
        <v>53</v>
      </c>
      <c r="D13" s="14">
        <f>SUM(1503)</f>
        <v>1503</v>
      </c>
      <c r="E13" s="14">
        <f>SUM(97)</f>
        <v>97</v>
      </c>
      <c r="F13" s="15">
        <f>SUM(D13/E13)</f>
        <v>15.494845360824742</v>
      </c>
      <c r="G13" s="14">
        <v>1</v>
      </c>
      <c r="H13" s="14">
        <v>1</v>
      </c>
      <c r="I13" s="14"/>
      <c r="J13" s="14"/>
      <c r="K13" s="14"/>
      <c r="L13" s="14">
        <v>3.5</v>
      </c>
      <c r="M13" s="16"/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SUM(1489+1454+1482+1503)</f>
        <v>5928</v>
      </c>
      <c r="E14" s="14">
        <f>SUM(111+105+94+95)</f>
        <v>405</v>
      </c>
      <c r="F14" s="15">
        <f>SUM(D14/E14)</f>
        <v>14.637037037037038</v>
      </c>
      <c r="G14" s="14">
        <v>4</v>
      </c>
      <c r="H14" s="14">
        <v>2</v>
      </c>
      <c r="I14" s="14"/>
      <c r="J14" s="14"/>
      <c r="K14" s="14"/>
      <c r="L14" s="14">
        <v>10.5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SUM(1400+1499+1422+1493)</f>
        <v>5814</v>
      </c>
      <c r="E15" s="14">
        <f>SUM(96+101+81+130)</f>
        <v>408</v>
      </c>
      <c r="F15" s="15">
        <f>SUM(D15/E15)</f>
        <v>14.25</v>
      </c>
      <c r="G15" s="14">
        <v>4</v>
      </c>
      <c r="H15" s="14">
        <v>3</v>
      </c>
      <c r="I15" s="14"/>
      <c r="J15" s="14"/>
      <c r="K15" s="14"/>
      <c r="L15" s="14">
        <v>12.5</v>
      </c>
      <c r="M15" s="16"/>
    </row>
    <row r="16" spans="1:13" ht="18.75" x14ac:dyDescent="0.3">
      <c r="A16" s="3">
        <v>15</v>
      </c>
      <c r="B16" s="3" t="s">
        <v>20</v>
      </c>
      <c r="C16" s="4" t="s">
        <v>21</v>
      </c>
      <c r="D16" s="14">
        <f>SUM(1503+1459+1401+1182)</f>
        <v>5545</v>
      </c>
      <c r="E16" s="14">
        <f>SUM(96+99+104+94)</f>
        <v>393</v>
      </c>
      <c r="F16" s="15">
        <f>SUM(D16/E16)</f>
        <v>14.10941475826972</v>
      </c>
      <c r="G16" s="14">
        <v>4</v>
      </c>
      <c r="H16" s="14">
        <v>1</v>
      </c>
      <c r="I16" s="14">
        <v>1</v>
      </c>
      <c r="J16" s="14"/>
      <c r="K16" s="14"/>
      <c r="L16" s="14">
        <v>14</v>
      </c>
      <c r="M16" s="16"/>
    </row>
    <row r="17" spans="1:13" ht="18.75" x14ac:dyDescent="0.3">
      <c r="A17" s="3">
        <v>16</v>
      </c>
      <c r="B17" s="10" t="s">
        <v>43</v>
      </c>
      <c r="C17" s="4" t="s">
        <v>29</v>
      </c>
      <c r="D17" s="14">
        <f>SUM(984+1493+1090+1355)</f>
        <v>4922</v>
      </c>
      <c r="E17" s="14">
        <f>SUM(78+103+78+96)</f>
        <v>355</v>
      </c>
      <c r="F17" s="15">
        <f>SUM(D17/E17)</f>
        <v>13.864788732394366</v>
      </c>
      <c r="G17" s="14">
        <v>4</v>
      </c>
      <c r="H17" s="14">
        <v>1</v>
      </c>
      <c r="I17" s="14"/>
      <c r="J17" s="14"/>
      <c r="K17" s="14"/>
      <c r="L17" s="14">
        <v>7</v>
      </c>
      <c r="M17" s="16"/>
    </row>
    <row r="18" spans="1:13" ht="18.75" x14ac:dyDescent="0.3">
      <c r="A18" s="3">
        <v>17</v>
      </c>
      <c r="B18" s="4" t="s">
        <v>47</v>
      </c>
      <c r="C18" s="4" t="s">
        <v>12</v>
      </c>
      <c r="D18" s="14">
        <f>SUM(1197+1447+1355)</f>
        <v>3999</v>
      </c>
      <c r="E18" s="14">
        <f>SUM(99+96+96)</f>
        <v>291</v>
      </c>
      <c r="F18" s="15">
        <f>SUM(D18/E18)</f>
        <v>13.742268041237113</v>
      </c>
      <c r="G18" s="14">
        <v>3</v>
      </c>
      <c r="H18" s="14">
        <v>1</v>
      </c>
      <c r="I18" s="14"/>
      <c r="J18" s="14"/>
      <c r="K18" s="14"/>
      <c r="L18" s="14">
        <v>8</v>
      </c>
      <c r="M18" s="16"/>
    </row>
    <row r="19" spans="1:13" ht="18.75" x14ac:dyDescent="0.3">
      <c r="A19" s="3">
        <v>18</v>
      </c>
      <c r="B19" s="3" t="s">
        <v>32</v>
      </c>
      <c r="C19" s="4" t="s">
        <v>33</v>
      </c>
      <c r="D19" s="14">
        <f>SUM(1375+1349+1415+1479)</f>
        <v>5618</v>
      </c>
      <c r="E19" s="14">
        <f>SUM(97+95+104+117)</f>
        <v>413</v>
      </c>
      <c r="F19" s="15">
        <f>SUM(D19/E19)</f>
        <v>13.602905569007264</v>
      </c>
      <c r="G19" s="14">
        <v>4</v>
      </c>
      <c r="H19" s="14">
        <v>1</v>
      </c>
      <c r="I19" s="14"/>
      <c r="J19" s="14"/>
      <c r="K19" s="14"/>
      <c r="L19" s="14">
        <v>10</v>
      </c>
      <c r="M19" s="16"/>
    </row>
    <row r="20" spans="1:13" ht="18.75" x14ac:dyDescent="0.3">
      <c r="A20" s="3">
        <v>19</v>
      </c>
      <c r="B20" s="4" t="s">
        <v>115</v>
      </c>
      <c r="C20" s="4" t="s">
        <v>12</v>
      </c>
      <c r="D20" s="14">
        <f>SUM(1485+1493+1468)</f>
        <v>4446</v>
      </c>
      <c r="E20" s="14">
        <f>SUM(119+86+129)</f>
        <v>334</v>
      </c>
      <c r="F20" s="15">
        <f>SUM(D20/E20)</f>
        <v>13.311377245508982</v>
      </c>
      <c r="G20" s="14">
        <v>3</v>
      </c>
      <c r="H20" s="14">
        <v>1</v>
      </c>
      <c r="I20" s="14"/>
      <c r="J20" s="14"/>
      <c r="K20" s="14"/>
      <c r="L20" s="14">
        <v>8.5</v>
      </c>
      <c r="M20" s="16"/>
    </row>
    <row r="21" spans="1:13" ht="18.75" x14ac:dyDescent="0.3">
      <c r="A21" s="3">
        <v>20</v>
      </c>
      <c r="B21" s="4" t="s">
        <v>22</v>
      </c>
      <c r="C21" s="4" t="s">
        <v>23</v>
      </c>
      <c r="D21" s="14">
        <f>SUM(1503+1341+1499+1500)</f>
        <v>5843</v>
      </c>
      <c r="E21" s="14">
        <f>SUM(96+100+124+121)</f>
        <v>441</v>
      </c>
      <c r="F21" s="15">
        <f>SUM(D21/E21)</f>
        <v>13.249433106575964</v>
      </c>
      <c r="G21" s="14">
        <v>4</v>
      </c>
      <c r="H21" s="14">
        <v>3</v>
      </c>
      <c r="I21" s="14"/>
      <c r="J21" s="14"/>
      <c r="K21" s="14"/>
      <c r="L21" s="14">
        <v>15.5</v>
      </c>
      <c r="M21" s="16"/>
    </row>
    <row r="22" spans="1:13" ht="18.75" x14ac:dyDescent="0.3">
      <c r="A22" s="3">
        <v>21</v>
      </c>
      <c r="B22" s="26" t="s">
        <v>52</v>
      </c>
      <c r="C22" s="7" t="s">
        <v>53</v>
      </c>
      <c r="D22" s="14">
        <f>SUM(1503+1209+1369+1358)</f>
        <v>5439</v>
      </c>
      <c r="E22" s="14">
        <f>SUM(129+84+84+114)</f>
        <v>411</v>
      </c>
      <c r="F22" s="15">
        <f>SUM(D22/E22)</f>
        <v>13.233576642335766</v>
      </c>
      <c r="G22" s="14">
        <v>4</v>
      </c>
      <c r="H22" s="14">
        <v>1</v>
      </c>
      <c r="I22" s="14"/>
      <c r="J22" s="14"/>
      <c r="K22" s="14"/>
      <c r="L22" s="14">
        <v>14</v>
      </c>
      <c r="M22" s="16">
        <v>5</v>
      </c>
    </row>
    <row r="23" spans="1:13" ht="18.75" x14ac:dyDescent="0.3">
      <c r="A23" s="3">
        <v>22</v>
      </c>
      <c r="B23" s="4" t="s">
        <v>24</v>
      </c>
      <c r="C23" s="4" t="s">
        <v>23</v>
      </c>
      <c r="D23" s="14">
        <f>SUM(1408+1503+1475+1495)</f>
        <v>5881</v>
      </c>
      <c r="E23" s="14">
        <f>SUM(93+120+122+113)</f>
        <v>448</v>
      </c>
      <c r="F23" s="15">
        <f>SUM(D23/E23)</f>
        <v>13.127232142857142</v>
      </c>
      <c r="G23" s="14">
        <v>4</v>
      </c>
      <c r="H23" s="14">
        <v>2</v>
      </c>
      <c r="I23" s="14"/>
      <c r="J23" s="14"/>
      <c r="K23" s="14"/>
      <c r="L23" s="14">
        <v>14.5</v>
      </c>
      <c r="M23" s="16"/>
    </row>
    <row r="24" spans="1:13" ht="18.75" x14ac:dyDescent="0.3">
      <c r="A24" s="3">
        <v>23</v>
      </c>
      <c r="B24" s="4" t="s">
        <v>44</v>
      </c>
      <c r="C24" s="4" t="s">
        <v>19</v>
      </c>
      <c r="D24" s="14">
        <f>SUM(1499+1503+1495)</f>
        <v>4497</v>
      </c>
      <c r="E24" s="14">
        <f>SUM(120+113+112)</f>
        <v>345</v>
      </c>
      <c r="F24" s="15">
        <f>SUM(D24/E24)</f>
        <v>13.034782608695652</v>
      </c>
      <c r="G24" s="14">
        <v>3</v>
      </c>
      <c r="H24" s="14">
        <v>3</v>
      </c>
      <c r="I24" s="14"/>
      <c r="J24" s="14"/>
      <c r="K24" s="14"/>
      <c r="L24" s="14">
        <v>15.5</v>
      </c>
      <c r="M24" s="16"/>
    </row>
    <row r="25" spans="1:13" ht="18.75" x14ac:dyDescent="0.3">
      <c r="A25" s="3">
        <v>24</v>
      </c>
      <c r="B25" s="4" t="s">
        <v>31</v>
      </c>
      <c r="C25" s="4" t="s">
        <v>19</v>
      </c>
      <c r="D25" s="14">
        <f>SUM(1485+1497+1501)</f>
        <v>4483</v>
      </c>
      <c r="E25" s="14">
        <f>SUM(103+100+143)</f>
        <v>346</v>
      </c>
      <c r="F25" s="15">
        <f>SUM(D25/E25)</f>
        <v>12.956647398843931</v>
      </c>
      <c r="G25" s="14">
        <v>3</v>
      </c>
      <c r="H25" s="14">
        <v>1</v>
      </c>
      <c r="I25" s="14"/>
      <c r="J25" s="14"/>
      <c r="K25" s="14"/>
      <c r="L25" s="14">
        <v>11</v>
      </c>
      <c r="M25" s="16"/>
    </row>
    <row r="26" spans="1:13" ht="18.75" x14ac:dyDescent="0.3">
      <c r="A26" s="3">
        <v>25</v>
      </c>
      <c r="B26" s="26" t="s">
        <v>40</v>
      </c>
      <c r="C26" s="4" t="s">
        <v>23</v>
      </c>
      <c r="D26" s="14">
        <f>SUM(1446+1503+1491+1491)</f>
        <v>5931</v>
      </c>
      <c r="E26" s="14">
        <f>SUM(110+105+126+119)</f>
        <v>460</v>
      </c>
      <c r="F26" s="15">
        <f>SUM(D26/E26)</f>
        <v>12.893478260869566</v>
      </c>
      <c r="G26" s="14">
        <v>4</v>
      </c>
      <c r="H26" s="14">
        <v>2</v>
      </c>
      <c r="I26" s="14"/>
      <c r="J26" s="14"/>
      <c r="K26" s="14"/>
      <c r="L26" s="14">
        <v>14.5</v>
      </c>
      <c r="M26" s="16">
        <v>5</v>
      </c>
    </row>
    <row r="27" spans="1:13" ht="18.75" x14ac:dyDescent="0.3">
      <c r="A27" s="3">
        <v>26</v>
      </c>
      <c r="B27" s="4" t="s">
        <v>41</v>
      </c>
      <c r="C27" s="4" t="s">
        <v>21</v>
      </c>
      <c r="D27" s="14">
        <f>SUM(1179+1413+1443+1451)</f>
        <v>5486</v>
      </c>
      <c r="E27" s="14">
        <f>SUM(90+119+112+108)</f>
        <v>429</v>
      </c>
      <c r="F27" s="15">
        <f>SUM(D27/E27)</f>
        <v>12.787878787878787</v>
      </c>
      <c r="G27" s="14">
        <v>4</v>
      </c>
      <c r="H27" s="14">
        <v>1</v>
      </c>
      <c r="I27" s="14"/>
      <c r="J27" s="14"/>
      <c r="K27" s="14"/>
      <c r="L27" s="14">
        <v>10</v>
      </c>
      <c r="M27" s="16">
        <v>5</v>
      </c>
    </row>
    <row r="28" spans="1:13" ht="18.75" x14ac:dyDescent="0.3">
      <c r="A28" s="3">
        <v>27</v>
      </c>
      <c r="B28" s="4" t="s">
        <v>35</v>
      </c>
      <c r="C28" s="4" t="s">
        <v>33</v>
      </c>
      <c r="D28" s="14">
        <f>SUM(1453+1310+1456+1304)</f>
        <v>5523</v>
      </c>
      <c r="E28" s="14">
        <f>SUM(105+122+95+112)</f>
        <v>434</v>
      </c>
      <c r="F28" s="15">
        <f>SUM(D28/E28)</f>
        <v>12.725806451612904</v>
      </c>
      <c r="G28" s="14">
        <v>4</v>
      </c>
      <c r="H28" s="14">
        <v>2</v>
      </c>
      <c r="I28" s="14"/>
      <c r="J28" s="14"/>
      <c r="K28" s="14"/>
      <c r="L28" s="14">
        <v>11</v>
      </c>
      <c r="M28" s="16"/>
    </row>
    <row r="29" spans="1:13" ht="18.75" x14ac:dyDescent="0.3">
      <c r="A29" s="3">
        <v>28</v>
      </c>
      <c r="B29" s="4" t="s">
        <v>36</v>
      </c>
      <c r="C29" s="4" t="s">
        <v>16</v>
      </c>
      <c r="D29" s="14">
        <f>SUM(1472+1279+1463+1479)</f>
        <v>5693</v>
      </c>
      <c r="E29" s="14">
        <f>SUM(108+93+117+130)</f>
        <v>448</v>
      </c>
      <c r="F29" s="15">
        <f>SUM(D29/E29)</f>
        <v>12.707589285714286</v>
      </c>
      <c r="G29" s="14">
        <v>4</v>
      </c>
      <c r="H29" s="14">
        <v>2</v>
      </c>
      <c r="I29" s="14"/>
      <c r="J29" s="14"/>
      <c r="K29" s="14"/>
      <c r="L29" s="14">
        <v>12</v>
      </c>
      <c r="M29" s="16"/>
    </row>
    <row r="30" spans="1:13" ht="18.75" x14ac:dyDescent="0.3">
      <c r="A30" s="3">
        <v>29</v>
      </c>
      <c r="B30" s="26" t="s">
        <v>51</v>
      </c>
      <c r="C30" s="4" t="s">
        <v>33</v>
      </c>
      <c r="D30" s="14">
        <f>SUM(1125+1277+1380+1480)</f>
        <v>5262</v>
      </c>
      <c r="E30" s="14">
        <f>SUM(96+102+98+119)</f>
        <v>415</v>
      </c>
      <c r="F30" s="15">
        <f>SUM(D30/E30)</f>
        <v>12.679518072289156</v>
      </c>
      <c r="G30" s="14">
        <v>4</v>
      </c>
      <c r="H30" s="14">
        <v>2</v>
      </c>
      <c r="I30" s="14"/>
      <c r="J30" s="14"/>
      <c r="K30" s="14"/>
      <c r="L30" s="14">
        <v>10</v>
      </c>
      <c r="M30" s="16">
        <v>5</v>
      </c>
    </row>
    <row r="31" spans="1:13" ht="18.75" x14ac:dyDescent="0.3">
      <c r="A31" s="3">
        <v>30</v>
      </c>
      <c r="B31" s="26" t="s">
        <v>30</v>
      </c>
      <c r="C31" s="7" t="s">
        <v>23</v>
      </c>
      <c r="D31" s="14">
        <f>SUM(1302+1358+1471+1503)</f>
        <v>5634</v>
      </c>
      <c r="E31" s="14">
        <f>SUM(90+98+130+127)</f>
        <v>445</v>
      </c>
      <c r="F31" s="15">
        <f>SUM(D31/E31)</f>
        <v>12.660674157303371</v>
      </c>
      <c r="G31" s="14">
        <v>4</v>
      </c>
      <c r="H31" s="14">
        <v>2</v>
      </c>
      <c r="I31" s="14"/>
      <c r="J31" s="14"/>
      <c r="K31" s="14"/>
      <c r="L31" s="14">
        <v>13.5</v>
      </c>
      <c r="M31" s="16"/>
    </row>
    <row r="32" spans="1:13" ht="18.75" x14ac:dyDescent="0.3">
      <c r="A32" s="3">
        <v>31</v>
      </c>
      <c r="B32" s="26" t="s">
        <v>56</v>
      </c>
      <c r="C32" s="4" t="s">
        <v>29</v>
      </c>
      <c r="D32" s="14">
        <f>SUM(1501+1284+1142+1483)</f>
        <v>5410</v>
      </c>
      <c r="E32" s="14">
        <f>SUM(132+99+81+119)</f>
        <v>431</v>
      </c>
      <c r="F32" s="15">
        <f>SUM(D32/E32)</f>
        <v>12.552204176334106</v>
      </c>
      <c r="G32" s="14">
        <v>4</v>
      </c>
      <c r="H32" s="14">
        <v>2</v>
      </c>
      <c r="I32" s="14"/>
      <c r="J32" s="14"/>
      <c r="K32" s="14"/>
      <c r="L32" s="14">
        <v>9.5</v>
      </c>
      <c r="M32" s="16"/>
    </row>
    <row r="33" spans="1:13" ht="18.75" x14ac:dyDescent="0.3">
      <c r="A33" s="3">
        <v>32</v>
      </c>
      <c r="B33" s="26" t="s">
        <v>74</v>
      </c>
      <c r="C33" s="7" t="s">
        <v>60</v>
      </c>
      <c r="D33" s="14">
        <f>SUM(1491+1480+1457)</f>
        <v>4428</v>
      </c>
      <c r="E33" s="14">
        <f>SUM(100+103+151)</f>
        <v>354</v>
      </c>
      <c r="F33" s="15">
        <f>SUM(D33/E33)</f>
        <v>12.508474576271187</v>
      </c>
      <c r="G33" s="14">
        <v>3</v>
      </c>
      <c r="H33" s="14">
        <v>2</v>
      </c>
      <c r="I33" s="14"/>
      <c r="J33" s="14"/>
      <c r="K33" s="14"/>
      <c r="L33" s="14">
        <v>8.5</v>
      </c>
      <c r="M33" s="16"/>
    </row>
    <row r="34" spans="1:13" ht="18.75" x14ac:dyDescent="0.3">
      <c r="A34" s="3">
        <v>33</v>
      </c>
      <c r="B34" s="77" t="s">
        <v>45</v>
      </c>
      <c r="C34" s="4" t="s">
        <v>46</v>
      </c>
      <c r="D34" s="14">
        <f>SUM(1497)</f>
        <v>1497</v>
      </c>
      <c r="E34" s="14">
        <f>SUM(120)</f>
        <v>120</v>
      </c>
      <c r="F34" s="15">
        <f>SUM(D34/E34)</f>
        <v>12.475</v>
      </c>
      <c r="G34" s="14">
        <v>1</v>
      </c>
      <c r="H34" s="14"/>
      <c r="I34" s="14"/>
      <c r="J34" s="14"/>
      <c r="K34" s="14"/>
      <c r="L34" s="14">
        <v>1</v>
      </c>
      <c r="M34" s="16"/>
    </row>
    <row r="35" spans="1:13" ht="18.75" x14ac:dyDescent="0.3">
      <c r="A35" s="3">
        <v>34</v>
      </c>
      <c r="B35" s="9" t="s">
        <v>57</v>
      </c>
      <c r="C35" s="4" t="s">
        <v>46</v>
      </c>
      <c r="D35" s="17">
        <f>SUM(1416+1252+1334+1500)</f>
        <v>5502</v>
      </c>
      <c r="E35" s="14">
        <f>SUM(125+84+99+144)</f>
        <v>452</v>
      </c>
      <c r="F35" s="15">
        <f>SUM(D35/E35)</f>
        <v>12.172566371681416</v>
      </c>
      <c r="G35" s="14">
        <v>4</v>
      </c>
      <c r="H35" s="14">
        <v>1</v>
      </c>
      <c r="I35" s="14"/>
      <c r="J35" s="14"/>
      <c r="K35" s="14"/>
      <c r="L35" s="14">
        <v>6.5</v>
      </c>
      <c r="M35" s="16"/>
    </row>
    <row r="36" spans="1:13" ht="18.75" x14ac:dyDescent="0.3">
      <c r="A36" s="3">
        <v>35</v>
      </c>
      <c r="B36" s="7" t="s">
        <v>48</v>
      </c>
      <c r="C36" s="4" t="s">
        <v>49</v>
      </c>
      <c r="D36" s="17">
        <f>SUM(1498+1501+1411+1162)</f>
        <v>5572</v>
      </c>
      <c r="E36" s="14">
        <f>SUM(124+124+124+90)</f>
        <v>462</v>
      </c>
      <c r="F36" s="15">
        <f>SUM(D36/E36)</f>
        <v>12.060606060606061</v>
      </c>
      <c r="G36" s="14">
        <v>4</v>
      </c>
      <c r="H36" s="14">
        <v>2</v>
      </c>
      <c r="I36" s="14"/>
      <c r="J36" s="14"/>
      <c r="K36" s="14"/>
      <c r="L36" s="14">
        <v>12.5</v>
      </c>
      <c r="M36" s="16"/>
    </row>
    <row r="37" spans="1:13" ht="18.75" x14ac:dyDescent="0.3">
      <c r="A37" s="3">
        <v>36</v>
      </c>
      <c r="B37" s="7" t="s">
        <v>72</v>
      </c>
      <c r="C37" s="4" t="s">
        <v>19</v>
      </c>
      <c r="D37" s="17">
        <f>SUM(1495+1461)</f>
        <v>2956</v>
      </c>
      <c r="E37" s="14">
        <f>SUM(117+130)</f>
        <v>247</v>
      </c>
      <c r="F37" s="15">
        <f>SUM(D37/E37)</f>
        <v>11.967611336032389</v>
      </c>
      <c r="G37" s="14">
        <v>2</v>
      </c>
      <c r="H37" s="14">
        <v>1</v>
      </c>
      <c r="I37" s="14"/>
      <c r="J37" s="14"/>
      <c r="K37" s="14"/>
      <c r="L37" s="14">
        <v>5.5</v>
      </c>
      <c r="M37" s="16"/>
    </row>
    <row r="38" spans="1:13" ht="18.75" x14ac:dyDescent="0.3">
      <c r="A38" s="3">
        <v>37</v>
      </c>
      <c r="B38" s="9" t="s">
        <v>133</v>
      </c>
      <c r="C38" s="4" t="s">
        <v>46</v>
      </c>
      <c r="D38" s="17">
        <f>SUM(1380+1496)</f>
        <v>2876</v>
      </c>
      <c r="E38" s="14">
        <f>SUM(111+130)</f>
        <v>241</v>
      </c>
      <c r="F38" s="15">
        <f>SUM(D38/E38)</f>
        <v>11.933609958506224</v>
      </c>
      <c r="G38" s="14">
        <v>2</v>
      </c>
      <c r="H38" s="14">
        <v>1</v>
      </c>
      <c r="I38" s="14"/>
      <c r="J38" s="14"/>
      <c r="K38" s="14"/>
      <c r="L38" s="14">
        <v>3.5</v>
      </c>
      <c r="M38" s="16"/>
    </row>
    <row r="39" spans="1:13" ht="18.75" x14ac:dyDescent="0.3">
      <c r="A39" s="3">
        <v>38</v>
      </c>
      <c r="B39" s="7" t="s">
        <v>63</v>
      </c>
      <c r="C39" s="4" t="s">
        <v>53</v>
      </c>
      <c r="D39" s="17">
        <f>SUM(1498+1066+1491)</f>
        <v>4055</v>
      </c>
      <c r="E39" s="14">
        <f>SUM(158+78+104)</f>
        <v>340</v>
      </c>
      <c r="F39" s="15">
        <f>SUM(D39/E39)</f>
        <v>11.926470588235293</v>
      </c>
      <c r="G39" s="14">
        <v>3</v>
      </c>
      <c r="H39" s="14">
        <v>1</v>
      </c>
      <c r="I39" s="14"/>
      <c r="J39" s="14"/>
      <c r="K39" s="14"/>
      <c r="L39" s="14">
        <v>6</v>
      </c>
      <c r="M39" s="16"/>
    </row>
    <row r="40" spans="1:13" ht="18.75" x14ac:dyDescent="0.3">
      <c r="A40" s="3">
        <v>39</v>
      </c>
      <c r="B40" s="7" t="s">
        <v>26</v>
      </c>
      <c r="C40" s="4" t="s">
        <v>21</v>
      </c>
      <c r="D40" s="17">
        <f>SUM(1301+1470+1495)</f>
        <v>4266</v>
      </c>
      <c r="E40" s="14">
        <f>SUM(88+118+154)</f>
        <v>360</v>
      </c>
      <c r="F40" s="15">
        <f>SUM(D40/E40)</f>
        <v>11.85</v>
      </c>
      <c r="G40" s="14">
        <v>3</v>
      </c>
      <c r="H40" s="14">
        <v>2</v>
      </c>
      <c r="I40" s="14"/>
      <c r="J40" s="14"/>
      <c r="K40" s="14"/>
      <c r="L40" s="14">
        <v>9.5</v>
      </c>
      <c r="M40" s="16"/>
    </row>
    <row r="41" spans="1:13" ht="18.75" x14ac:dyDescent="0.3">
      <c r="A41" s="3">
        <v>40</v>
      </c>
      <c r="B41" s="7" t="s">
        <v>50</v>
      </c>
      <c r="C41" s="4" t="s">
        <v>12</v>
      </c>
      <c r="D41" s="17">
        <f>SUM(1235+1395)</f>
        <v>2630</v>
      </c>
      <c r="E41" s="14">
        <f>SUM(104+119)</f>
        <v>223</v>
      </c>
      <c r="F41" s="15">
        <f>SUM(D41/E41)</f>
        <v>11.79372197309417</v>
      </c>
      <c r="G41" s="14">
        <v>2</v>
      </c>
      <c r="H41" s="14"/>
      <c r="I41" s="14"/>
      <c r="J41" s="14"/>
      <c r="K41" s="14"/>
      <c r="L41" s="14">
        <v>6</v>
      </c>
      <c r="M41" s="16"/>
    </row>
    <row r="42" spans="1:13" ht="18.75" x14ac:dyDescent="0.3">
      <c r="A42" s="3">
        <v>41</v>
      </c>
      <c r="B42" s="78" t="s">
        <v>55</v>
      </c>
      <c r="C42" s="8" t="s">
        <v>33</v>
      </c>
      <c r="D42" s="17">
        <f>SUM(1418+1495+1361)</f>
        <v>4274</v>
      </c>
      <c r="E42" s="14">
        <f>SUM(122+118+123)</f>
        <v>363</v>
      </c>
      <c r="F42" s="15">
        <f>SUM(D42/E42)</f>
        <v>11.774104683195592</v>
      </c>
      <c r="G42" s="14">
        <v>3</v>
      </c>
      <c r="H42" s="14">
        <v>1</v>
      </c>
      <c r="I42" s="14"/>
      <c r="J42" s="14"/>
      <c r="K42" s="14"/>
      <c r="L42" s="14">
        <v>8.5</v>
      </c>
      <c r="M42" s="16"/>
    </row>
    <row r="43" spans="1:13" ht="18.75" x14ac:dyDescent="0.3">
      <c r="A43" s="3">
        <v>42</v>
      </c>
      <c r="B43" s="7" t="s">
        <v>67</v>
      </c>
      <c r="C43" s="7" t="s">
        <v>49</v>
      </c>
      <c r="D43" s="17">
        <f>SUM(1501+1454+1401+1499)</f>
        <v>5855</v>
      </c>
      <c r="E43" s="14">
        <f>SUM(162+98+128+112)</f>
        <v>500</v>
      </c>
      <c r="F43" s="15">
        <f>SUM(D43/E43)</f>
        <v>11.71</v>
      </c>
      <c r="G43" s="14">
        <v>4</v>
      </c>
      <c r="H43" s="14">
        <v>2</v>
      </c>
      <c r="I43" s="14"/>
      <c r="J43" s="14"/>
      <c r="K43" s="14"/>
      <c r="L43" s="14">
        <v>13.5</v>
      </c>
      <c r="M43" s="16">
        <v>10</v>
      </c>
    </row>
    <row r="44" spans="1:13" ht="18.75" x14ac:dyDescent="0.3">
      <c r="A44" s="3">
        <v>43</v>
      </c>
      <c r="B44" s="9" t="s">
        <v>39</v>
      </c>
      <c r="C44" s="7" t="s">
        <v>29</v>
      </c>
      <c r="D44" s="17">
        <f>SUM(1503+1335+1494+1501)</f>
        <v>5833</v>
      </c>
      <c r="E44" s="14">
        <f>SUM(114+123+120+142)</f>
        <v>499</v>
      </c>
      <c r="F44" s="15">
        <f>SUM(D44/E44)</f>
        <v>11.68937875751503</v>
      </c>
      <c r="G44" s="14">
        <v>4</v>
      </c>
      <c r="H44" s="14">
        <v>2</v>
      </c>
      <c r="I44" s="14"/>
      <c r="J44" s="14"/>
      <c r="K44" s="14"/>
      <c r="L44" s="14">
        <v>10</v>
      </c>
      <c r="M44" s="16"/>
    </row>
    <row r="45" spans="1:13" ht="18.75" x14ac:dyDescent="0.3">
      <c r="A45" s="3">
        <v>44</v>
      </c>
      <c r="B45" s="9" t="s">
        <v>116</v>
      </c>
      <c r="C45" s="7" t="s">
        <v>46</v>
      </c>
      <c r="D45" s="17">
        <f>SUM(1184+1495)</f>
        <v>2679</v>
      </c>
      <c r="E45" s="14">
        <f>SUM(78+154)</f>
        <v>232</v>
      </c>
      <c r="F45" s="15">
        <f>SUM(D45/E45)</f>
        <v>11.547413793103448</v>
      </c>
      <c r="G45" s="14">
        <v>2</v>
      </c>
      <c r="H45" s="14">
        <v>1</v>
      </c>
      <c r="I45" s="14"/>
      <c r="J45" s="14"/>
      <c r="K45" s="14"/>
      <c r="L45" s="14">
        <v>5</v>
      </c>
      <c r="M45" s="16"/>
    </row>
    <row r="46" spans="1:13" ht="18.75" x14ac:dyDescent="0.3">
      <c r="A46" s="3">
        <v>45</v>
      </c>
      <c r="B46" s="9" t="s">
        <v>129</v>
      </c>
      <c r="C46" s="7" t="s">
        <v>16</v>
      </c>
      <c r="D46" s="17">
        <f>SUM(1424)</f>
        <v>1424</v>
      </c>
      <c r="E46" s="14">
        <f>SUM(126)</f>
        <v>126</v>
      </c>
      <c r="F46" s="15">
        <f>SUM(D46/E46)</f>
        <v>11.301587301587302</v>
      </c>
      <c r="G46" s="14">
        <v>1</v>
      </c>
      <c r="H46" s="14"/>
      <c r="I46" s="14"/>
      <c r="J46" s="14"/>
      <c r="K46" s="14"/>
      <c r="L46" s="14">
        <v>2.5</v>
      </c>
      <c r="M46" s="16"/>
    </row>
    <row r="47" spans="1:13" ht="18.75" x14ac:dyDescent="0.3">
      <c r="A47" s="3">
        <v>46</v>
      </c>
      <c r="B47" s="9" t="s">
        <v>73</v>
      </c>
      <c r="C47" s="7" t="s">
        <v>21</v>
      </c>
      <c r="D47" s="17">
        <f>SUM(1472)</f>
        <v>1472</v>
      </c>
      <c r="E47" s="14">
        <f>SUM(133)</f>
        <v>133</v>
      </c>
      <c r="F47" s="15">
        <f>SUM(D47/E47)</f>
        <v>11.06766917293233</v>
      </c>
      <c r="G47" s="14">
        <v>1</v>
      </c>
      <c r="H47" s="14">
        <v>1</v>
      </c>
      <c r="I47" s="14"/>
      <c r="J47" s="14"/>
      <c r="K47" s="14"/>
      <c r="L47" s="14">
        <v>3</v>
      </c>
      <c r="M47" s="16"/>
    </row>
    <row r="48" spans="1:13" ht="18.75" x14ac:dyDescent="0.3">
      <c r="A48" s="3">
        <v>47</v>
      </c>
      <c r="B48" s="9" t="s">
        <v>76</v>
      </c>
      <c r="C48" s="7" t="s">
        <v>49</v>
      </c>
      <c r="D48" s="17">
        <f>SUM(1499+1501+1408)</f>
        <v>4408</v>
      </c>
      <c r="E48" s="14">
        <f>SUM(172+128+99)</f>
        <v>399</v>
      </c>
      <c r="F48" s="15">
        <f>SUM(D48/E48)</f>
        <v>11.047619047619047</v>
      </c>
      <c r="G48" s="14">
        <v>3</v>
      </c>
      <c r="H48" s="14">
        <v>2</v>
      </c>
      <c r="I48" s="14"/>
      <c r="J48" s="14"/>
      <c r="K48" s="14"/>
      <c r="L48" s="14">
        <v>11</v>
      </c>
      <c r="M48" s="16"/>
    </row>
    <row r="49" spans="1:13" ht="18.75" x14ac:dyDescent="0.3">
      <c r="A49" s="3">
        <v>48</v>
      </c>
      <c r="B49" s="7" t="s">
        <v>42</v>
      </c>
      <c r="C49" s="4" t="s">
        <v>14</v>
      </c>
      <c r="D49" s="17">
        <f>SUM(1482+1499+1503+1491)</f>
        <v>5975</v>
      </c>
      <c r="E49" s="14">
        <f>SUM(117+165+144+126)</f>
        <v>552</v>
      </c>
      <c r="F49" s="15">
        <f>SUM(D49/E49)</f>
        <v>10.82427536231884</v>
      </c>
      <c r="G49" s="14">
        <v>4</v>
      </c>
      <c r="H49" s="14">
        <v>2</v>
      </c>
      <c r="I49" s="14">
        <v>1</v>
      </c>
      <c r="J49" s="14"/>
      <c r="K49" s="14"/>
      <c r="L49" s="14">
        <v>15.5</v>
      </c>
      <c r="M49" s="16"/>
    </row>
    <row r="50" spans="1:13" ht="18.75" x14ac:dyDescent="0.3">
      <c r="A50" s="3">
        <v>49</v>
      </c>
      <c r="B50" s="7" t="s">
        <v>61</v>
      </c>
      <c r="C50" s="8" t="s">
        <v>53</v>
      </c>
      <c r="D50" s="17">
        <f>SUM(1483+1452)</f>
        <v>2935</v>
      </c>
      <c r="E50" s="14">
        <f>SUM(136+141)</f>
        <v>277</v>
      </c>
      <c r="F50" s="15">
        <f>SUM(D50/E50)</f>
        <v>10.595667870036101</v>
      </c>
      <c r="G50" s="14">
        <v>2</v>
      </c>
      <c r="H50" s="14">
        <v>1</v>
      </c>
      <c r="I50" s="14"/>
      <c r="J50" s="14"/>
      <c r="K50" s="14"/>
      <c r="L50" s="14">
        <v>6</v>
      </c>
      <c r="M50" s="16"/>
    </row>
    <row r="51" spans="1:13" ht="18.75" x14ac:dyDescent="0.3">
      <c r="A51" s="3">
        <v>50</v>
      </c>
      <c r="B51" s="11" t="s">
        <v>62</v>
      </c>
      <c r="C51" s="7" t="s">
        <v>60</v>
      </c>
      <c r="D51" s="17">
        <f>SUM(1264+920+1335)</f>
        <v>3519</v>
      </c>
      <c r="E51" s="14">
        <f>SUM(123+72+138)</f>
        <v>333</v>
      </c>
      <c r="F51" s="15">
        <f>SUM(D51/E51)</f>
        <v>10.567567567567568</v>
      </c>
      <c r="G51" s="14">
        <v>3</v>
      </c>
      <c r="H51" s="14"/>
      <c r="I51" s="14"/>
      <c r="J51" s="14"/>
      <c r="K51" s="14"/>
      <c r="L51" s="14">
        <v>1.5</v>
      </c>
      <c r="M51" s="16"/>
    </row>
    <row r="52" spans="1:13" ht="18.75" x14ac:dyDescent="0.3">
      <c r="A52" s="3">
        <v>51</v>
      </c>
      <c r="B52" s="27" t="s">
        <v>58</v>
      </c>
      <c r="C52" s="8" t="s">
        <v>14</v>
      </c>
      <c r="D52" s="17">
        <f>SUM(1431+1499+1493+1499)</f>
        <v>5922</v>
      </c>
      <c r="E52" s="14">
        <f>SUM(128+168+144+126)</f>
        <v>566</v>
      </c>
      <c r="F52" s="15">
        <f>SUM(D52/E52)</f>
        <v>10.462897526501767</v>
      </c>
      <c r="G52" s="14">
        <v>4</v>
      </c>
      <c r="H52" s="14">
        <v>3</v>
      </c>
      <c r="I52" s="14"/>
      <c r="J52" s="14"/>
      <c r="K52" s="14"/>
      <c r="L52" s="14">
        <v>17</v>
      </c>
      <c r="M52" s="16"/>
    </row>
    <row r="53" spans="1:13" ht="18.75" x14ac:dyDescent="0.3">
      <c r="A53" s="3">
        <v>52</v>
      </c>
      <c r="B53" s="11" t="s">
        <v>59</v>
      </c>
      <c r="C53" s="4" t="s">
        <v>60</v>
      </c>
      <c r="D53" s="17">
        <f>SUM(1495+1198)</f>
        <v>2693</v>
      </c>
      <c r="E53" s="14">
        <f>SUM(137+121)</f>
        <v>258</v>
      </c>
      <c r="F53" s="15">
        <f>SUM(D53/E53)</f>
        <v>10.437984496124031</v>
      </c>
      <c r="G53" s="14">
        <v>2</v>
      </c>
      <c r="H53" s="14"/>
      <c r="I53" s="14"/>
      <c r="J53" s="14"/>
      <c r="K53" s="14"/>
      <c r="L53" s="14">
        <v>2</v>
      </c>
      <c r="M53" s="16"/>
    </row>
    <row r="54" spans="1:13" ht="18.75" x14ac:dyDescent="0.3">
      <c r="A54" s="3">
        <v>53</v>
      </c>
      <c r="B54" s="27" t="s">
        <v>54</v>
      </c>
      <c r="C54" s="7" t="s">
        <v>49</v>
      </c>
      <c r="D54" s="17">
        <f>SUM(1408+1461)</f>
        <v>2869</v>
      </c>
      <c r="E54" s="14">
        <f>SUM(121+158)</f>
        <v>279</v>
      </c>
      <c r="F54" s="15">
        <f>SUM(D54/E54)</f>
        <v>10.283154121863799</v>
      </c>
      <c r="G54" s="14">
        <v>2</v>
      </c>
      <c r="H54" s="14">
        <v>1</v>
      </c>
      <c r="I54" s="14"/>
      <c r="J54" s="14"/>
      <c r="K54" s="14"/>
      <c r="L54" s="14">
        <v>8</v>
      </c>
      <c r="M54" s="16"/>
    </row>
    <row r="55" spans="1:13" ht="18.75" x14ac:dyDescent="0.3">
      <c r="A55" s="3">
        <v>54</v>
      </c>
      <c r="B55" s="11" t="s">
        <v>125</v>
      </c>
      <c r="C55" s="7" t="s">
        <v>12</v>
      </c>
      <c r="D55" s="17">
        <f>SUM(1385)</f>
        <v>1385</v>
      </c>
      <c r="E55" s="14">
        <f>SUM(138)</f>
        <v>138</v>
      </c>
      <c r="F55" s="15">
        <f>SUM(D55/E55)</f>
        <v>10.036231884057971</v>
      </c>
      <c r="G55" s="14">
        <v>1</v>
      </c>
      <c r="H55" s="14"/>
      <c r="I55" s="14"/>
      <c r="J55" s="14"/>
      <c r="K55" s="14"/>
      <c r="L55" s="14">
        <v>2.5</v>
      </c>
      <c r="M55" s="16"/>
    </row>
    <row r="56" spans="1:13" ht="18.75" x14ac:dyDescent="0.3">
      <c r="A56" s="3">
        <v>55</v>
      </c>
      <c r="B56" s="27" t="s">
        <v>66</v>
      </c>
      <c r="C56" s="7" t="s">
        <v>49</v>
      </c>
      <c r="D56" s="17">
        <f>SUM(1474+1189+1448)</f>
        <v>4111</v>
      </c>
      <c r="E56" s="14">
        <f>SUM(158+126+132)</f>
        <v>416</v>
      </c>
      <c r="F56" s="15">
        <f>SUM(D56/E56)</f>
        <v>9.8822115384615383</v>
      </c>
      <c r="G56" s="14">
        <v>3</v>
      </c>
      <c r="H56" s="14">
        <v>1</v>
      </c>
      <c r="I56" s="14"/>
      <c r="J56" s="14"/>
      <c r="K56" s="14"/>
      <c r="L56" s="14">
        <v>7</v>
      </c>
      <c r="M56" s="16"/>
    </row>
    <row r="57" spans="1:13" ht="18.75" x14ac:dyDescent="0.3">
      <c r="A57" s="3">
        <v>56</v>
      </c>
      <c r="B57" s="11" t="s">
        <v>64</v>
      </c>
      <c r="C57" s="7" t="s">
        <v>46</v>
      </c>
      <c r="D57" s="17">
        <f>SUM(1468+1466+912)</f>
        <v>3846</v>
      </c>
      <c r="E57" s="14">
        <f>SUM(156+165+75)</f>
        <v>396</v>
      </c>
      <c r="F57" s="15">
        <f>SUM(D57/E57)</f>
        <v>9.7121212121212128</v>
      </c>
      <c r="G57" s="14">
        <v>3</v>
      </c>
      <c r="H57" s="14"/>
      <c r="I57" s="14"/>
      <c r="J57" s="14"/>
      <c r="K57" s="14"/>
      <c r="L57" s="14">
        <v>2.5</v>
      </c>
      <c r="M57" s="16"/>
    </row>
    <row r="58" spans="1:13" ht="18.75" x14ac:dyDescent="0.3">
      <c r="A58" s="3">
        <v>57</v>
      </c>
      <c r="B58" s="11" t="s">
        <v>70</v>
      </c>
      <c r="C58" s="7" t="s">
        <v>53</v>
      </c>
      <c r="D58" s="17">
        <f>SUM(1480+1435+1503)</f>
        <v>4418</v>
      </c>
      <c r="E58" s="14">
        <f>SUM(180+141+139)</f>
        <v>460</v>
      </c>
      <c r="F58" s="15">
        <f>SUM(D58/E58)</f>
        <v>9.6043478260869559</v>
      </c>
      <c r="G58" s="14">
        <v>3</v>
      </c>
      <c r="H58" s="14">
        <v>1</v>
      </c>
      <c r="I58" s="14"/>
      <c r="J58" s="14"/>
      <c r="K58" s="14"/>
      <c r="L58" s="14">
        <v>5.5</v>
      </c>
      <c r="M58" s="16"/>
    </row>
    <row r="59" spans="1:13" ht="18.75" x14ac:dyDescent="0.3">
      <c r="A59" s="3">
        <v>58</v>
      </c>
      <c r="B59" s="11" t="s">
        <v>75</v>
      </c>
      <c r="C59" s="4" t="s">
        <v>60</v>
      </c>
      <c r="D59" s="17">
        <f>SUM(1459+1180)</f>
        <v>2639</v>
      </c>
      <c r="E59" s="14">
        <f>SUM(165+111)</f>
        <v>276</v>
      </c>
      <c r="F59" s="15">
        <f>SUM(D59/E59)</f>
        <v>9.5615942028985508</v>
      </c>
      <c r="G59" s="14">
        <v>2</v>
      </c>
      <c r="H59" s="14"/>
      <c r="I59" s="14"/>
      <c r="J59" s="14"/>
      <c r="K59" s="14"/>
      <c r="L59" s="14">
        <v>3.5</v>
      </c>
      <c r="M59" s="16"/>
    </row>
    <row r="60" spans="1:13" ht="18.75" x14ac:dyDescent="0.3">
      <c r="A60" s="3">
        <v>59</v>
      </c>
      <c r="B60" s="11" t="s">
        <v>69</v>
      </c>
      <c r="C60" s="8" t="s">
        <v>60</v>
      </c>
      <c r="D60" s="17">
        <f>SUM(1297+1501+1485+1355)</f>
        <v>5638</v>
      </c>
      <c r="E60" s="14">
        <f>SUM(156+158+152+127)</f>
        <v>593</v>
      </c>
      <c r="F60" s="15">
        <f>SUM(D60/E60)</f>
        <v>9.5075885328836431</v>
      </c>
      <c r="G60" s="14">
        <v>4</v>
      </c>
      <c r="H60" s="14">
        <v>2</v>
      </c>
      <c r="I60" s="14"/>
      <c r="J60" s="14"/>
      <c r="K60" s="14"/>
      <c r="L60" s="14">
        <v>7.5</v>
      </c>
      <c r="M60" s="16"/>
    </row>
    <row r="61" spans="1:13" ht="18.75" x14ac:dyDescent="0.3">
      <c r="A61" s="3">
        <v>60</v>
      </c>
      <c r="B61" s="11" t="s">
        <v>65</v>
      </c>
      <c r="C61" s="7" t="s">
        <v>46</v>
      </c>
      <c r="D61" s="17">
        <f>SUM(1493+1344)</f>
        <v>2837</v>
      </c>
      <c r="E61" s="14">
        <f>SUM(159+141)</f>
        <v>300</v>
      </c>
      <c r="F61" s="15">
        <f>SUM(D61/E61)</f>
        <v>9.456666666666667</v>
      </c>
      <c r="G61" s="14">
        <v>2</v>
      </c>
      <c r="H61" s="14"/>
      <c r="I61" s="14"/>
      <c r="J61" s="14"/>
      <c r="K61" s="14"/>
      <c r="L61" s="14">
        <v>1.5</v>
      </c>
      <c r="M61" s="16"/>
    </row>
    <row r="62" spans="1:13" ht="18.75" x14ac:dyDescent="0.3">
      <c r="A62" s="3">
        <v>61</v>
      </c>
      <c r="B62" s="11" t="s">
        <v>128</v>
      </c>
      <c r="C62" s="4" t="s">
        <v>46</v>
      </c>
      <c r="D62" s="17">
        <f>SUM(1498)</f>
        <v>1498</v>
      </c>
      <c r="E62" s="14">
        <f>SUM(161)</f>
        <v>161</v>
      </c>
      <c r="F62" s="15">
        <f>SUM(D62/E62)</f>
        <v>9.304347826086957</v>
      </c>
      <c r="G62" s="14">
        <v>1</v>
      </c>
      <c r="H62" s="14">
        <v>1</v>
      </c>
      <c r="I62" s="14"/>
      <c r="J62" s="14"/>
      <c r="K62" s="14"/>
      <c r="L62" s="14">
        <v>4.5</v>
      </c>
      <c r="M62" s="16"/>
    </row>
    <row r="63" spans="1:13" ht="18.75" x14ac:dyDescent="0.3">
      <c r="A63" s="3">
        <v>62</v>
      </c>
      <c r="B63" s="11" t="s">
        <v>124</v>
      </c>
      <c r="C63" s="4" t="s">
        <v>46</v>
      </c>
      <c r="D63" s="17">
        <f>SUM(1491)</f>
        <v>1491</v>
      </c>
      <c r="E63" s="14">
        <f>SUM(165)</f>
        <v>165</v>
      </c>
      <c r="F63" s="15">
        <f>SUM(D63/E63)</f>
        <v>9.036363636363637</v>
      </c>
      <c r="G63" s="14">
        <v>1</v>
      </c>
      <c r="H63" s="14"/>
      <c r="I63" s="14"/>
      <c r="J63" s="14"/>
      <c r="K63" s="14"/>
      <c r="L63" s="14">
        <v>0.5</v>
      </c>
      <c r="M63" s="16"/>
    </row>
    <row r="64" spans="1:13" ht="18.75" x14ac:dyDescent="0.3">
      <c r="A64" s="3">
        <v>63</v>
      </c>
      <c r="B64" s="11" t="s">
        <v>68</v>
      </c>
      <c r="C64" s="4" t="s">
        <v>60</v>
      </c>
      <c r="D64" s="17">
        <f>SUM(1493+1464)</f>
        <v>2957</v>
      </c>
      <c r="E64" s="14">
        <f>SUM(177+162)</f>
        <v>339</v>
      </c>
      <c r="F64" s="15">
        <f>SUM(D64/E64)</f>
        <v>8.722713864306785</v>
      </c>
      <c r="G64" s="14">
        <v>2</v>
      </c>
      <c r="H64" s="14">
        <v>1</v>
      </c>
      <c r="I64" s="14"/>
      <c r="J64" s="14"/>
      <c r="K64" s="14"/>
      <c r="L64" s="14">
        <v>5</v>
      </c>
      <c r="M64" s="16"/>
    </row>
    <row r="65" spans="1:18" ht="18.75" x14ac:dyDescent="0.3">
      <c r="A65" s="3">
        <v>64</v>
      </c>
      <c r="B65" s="11" t="s">
        <v>113</v>
      </c>
      <c r="C65" s="7" t="s">
        <v>46</v>
      </c>
      <c r="D65" s="17"/>
      <c r="E65" s="14"/>
      <c r="F65" s="15"/>
      <c r="G65" s="14"/>
      <c r="H65" s="14"/>
      <c r="I65" s="14"/>
      <c r="J65" s="14"/>
      <c r="K65" s="14"/>
      <c r="L65" s="14">
        <v>0</v>
      </c>
      <c r="M65" s="16"/>
    </row>
    <row r="66" spans="1:18" ht="17.25" customHeight="1" thickBot="1" x14ac:dyDescent="0.3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8" ht="19.5" customHeight="1" thickBot="1" x14ac:dyDescent="0.35">
      <c r="A67" s="5"/>
      <c r="B67" s="41" t="s">
        <v>143</v>
      </c>
      <c r="C67" s="60" t="s">
        <v>78</v>
      </c>
      <c r="D67" s="59" t="s">
        <v>79</v>
      </c>
      <c r="E67" s="70" t="s">
        <v>80</v>
      </c>
      <c r="F67" s="55" t="s">
        <v>108</v>
      </c>
      <c r="G67" s="69" t="s">
        <v>81</v>
      </c>
      <c r="I67" s="34" t="s">
        <v>82</v>
      </c>
      <c r="J67" s="35"/>
      <c r="K67" s="35"/>
      <c r="L67" s="35"/>
      <c r="M67" s="35"/>
      <c r="N67" s="35"/>
      <c r="O67" s="35"/>
      <c r="P67" s="35"/>
      <c r="Q67" s="35"/>
      <c r="R67" s="36"/>
    </row>
    <row r="68" spans="1:18" ht="18.75" x14ac:dyDescent="0.3">
      <c r="A68" s="5"/>
      <c r="B68" s="42"/>
      <c r="C68" s="29" t="s">
        <v>86</v>
      </c>
      <c r="D68" s="7">
        <v>4</v>
      </c>
      <c r="E68" s="27">
        <v>0</v>
      </c>
      <c r="F68" s="26">
        <v>0</v>
      </c>
      <c r="G68" s="29">
        <v>69</v>
      </c>
      <c r="I68" s="68" t="s">
        <v>84</v>
      </c>
      <c r="J68" s="67"/>
      <c r="K68" s="67"/>
      <c r="L68" s="67"/>
      <c r="M68" s="67"/>
      <c r="N68" s="37" t="s">
        <v>85</v>
      </c>
      <c r="O68" s="37"/>
      <c r="P68" s="37"/>
      <c r="Q68" s="37"/>
      <c r="R68" s="38"/>
    </row>
    <row r="69" spans="1:18" ht="18.75" x14ac:dyDescent="0.3">
      <c r="A69" s="5"/>
      <c r="B69" s="42"/>
      <c r="C69" s="30" t="s">
        <v>97</v>
      </c>
      <c r="D69" s="9">
        <v>4</v>
      </c>
      <c r="E69" s="11">
        <v>0</v>
      </c>
      <c r="F69" s="26">
        <v>0</v>
      </c>
      <c r="G69" s="30">
        <v>58</v>
      </c>
      <c r="I69" s="66" t="s">
        <v>87</v>
      </c>
      <c r="J69" s="65"/>
      <c r="K69" s="65"/>
      <c r="L69" s="65"/>
      <c r="M69" s="65"/>
      <c r="N69" s="39" t="s">
        <v>142</v>
      </c>
      <c r="O69" s="39"/>
      <c r="P69" s="39"/>
      <c r="Q69" s="39"/>
      <c r="R69" s="40"/>
    </row>
    <row r="70" spans="1:18" ht="18.75" x14ac:dyDescent="0.3">
      <c r="A70" s="5"/>
      <c r="B70" s="42"/>
      <c r="C70" s="29" t="s">
        <v>92</v>
      </c>
      <c r="D70" s="7">
        <v>3</v>
      </c>
      <c r="E70" s="62">
        <v>1</v>
      </c>
      <c r="F70" s="26">
        <v>0</v>
      </c>
      <c r="G70" s="61">
        <v>62</v>
      </c>
      <c r="I70" s="66" t="s">
        <v>90</v>
      </c>
      <c r="J70" s="65"/>
      <c r="K70" s="65"/>
      <c r="L70" s="65"/>
      <c r="M70" s="65"/>
      <c r="N70" s="39" t="s">
        <v>141</v>
      </c>
      <c r="O70" s="39"/>
      <c r="P70" s="39"/>
      <c r="Q70" s="39"/>
      <c r="R70" s="40"/>
    </row>
    <row r="71" spans="1:18" ht="18.75" x14ac:dyDescent="0.3">
      <c r="A71" s="6"/>
      <c r="B71" s="42"/>
      <c r="C71" s="29" t="s">
        <v>100</v>
      </c>
      <c r="D71" s="7">
        <v>3</v>
      </c>
      <c r="E71" s="62">
        <v>1</v>
      </c>
      <c r="F71" s="26">
        <v>0</v>
      </c>
      <c r="G71" s="61">
        <v>58</v>
      </c>
      <c r="I71" s="66" t="s">
        <v>93</v>
      </c>
      <c r="J71" s="65"/>
      <c r="K71" s="65"/>
      <c r="L71" s="65"/>
      <c r="M71" s="65"/>
      <c r="N71" s="39" t="s">
        <v>140</v>
      </c>
      <c r="O71" s="39"/>
      <c r="P71" s="39"/>
      <c r="Q71" s="39"/>
      <c r="R71" s="40"/>
    </row>
    <row r="72" spans="1:18" ht="18" customHeight="1" x14ac:dyDescent="0.3">
      <c r="A72" s="6"/>
      <c r="B72" s="42"/>
      <c r="C72" s="29" t="s">
        <v>95</v>
      </c>
      <c r="D72" s="7">
        <v>3</v>
      </c>
      <c r="E72" s="62">
        <v>1</v>
      </c>
      <c r="F72" s="26">
        <v>0</v>
      </c>
      <c r="G72" s="61">
        <v>48</v>
      </c>
      <c r="I72" s="66" t="s">
        <v>96</v>
      </c>
      <c r="J72" s="65"/>
      <c r="K72" s="65"/>
      <c r="L72" s="65"/>
      <c r="M72" s="65"/>
      <c r="N72" s="39" t="s">
        <v>91</v>
      </c>
      <c r="O72" s="39"/>
      <c r="P72" s="39"/>
      <c r="Q72" s="39"/>
      <c r="R72" s="40"/>
    </row>
    <row r="73" spans="1:18" ht="18" customHeight="1" thickBot="1" x14ac:dyDescent="0.35">
      <c r="A73" s="6"/>
      <c r="B73" s="42"/>
      <c r="C73" s="29" t="s">
        <v>99</v>
      </c>
      <c r="D73" s="7">
        <v>2</v>
      </c>
      <c r="E73" s="27">
        <v>2</v>
      </c>
      <c r="F73" s="26">
        <v>0</v>
      </c>
      <c r="G73" s="29">
        <v>52</v>
      </c>
      <c r="I73" s="64" t="s">
        <v>98</v>
      </c>
      <c r="J73" s="63"/>
      <c r="K73" s="63"/>
      <c r="L73" s="63"/>
      <c r="M73" s="63"/>
      <c r="N73" s="39" t="s">
        <v>109</v>
      </c>
      <c r="O73" s="39"/>
      <c r="P73" s="39"/>
      <c r="Q73" s="39"/>
      <c r="R73" s="40"/>
    </row>
    <row r="74" spans="1:18" ht="18.75" x14ac:dyDescent="0.3">
      <c r="A74" s="6"/>
      <c r="B74" s="42"/>
      <c r="C74" s="31" t="s">
        <v>83</v>
      </c>
      <c r="D74" s="20">
        <v>2</v>
      </c>
      <c r="E74" s="53">
        <v>2</v>
      </c>
      <c r="F74" s="52">
        <v>0</v>
      </c>
      <c r="G74" s="31">
        <v>52</v>
      </c>
      <c r="H74" s="6"/>
      <c r="I74" s="6"/>
      <c r="J74" s="6"/>
      <c r="K74" s="6"/>
      <c r="L74" s="6"/>
      <c r="M74" s="6"/>
    </row>
    <row r="75" spans="1:18" ht="18.75" x14ac:dyDescent="0.3">
      <c r="A75" s="6"/>
      <c r="B75" s="42"/>
      <c r="C75" s="29" t="s">
        <v>89</v>
      </c>
      <c r="D75" s="7">
        <v>2</v>
      </c>
      <c r="E75" s="62">
        <v>2</v>
      </c>
      <c r="F75" s="26">
        <v>0</v>
      </c>
      <c r="G75" s="61">
        <v>45</v>
      </c>
      <c r="H75" s="6"/>
    </row>
    <row r="76" spans="1:18" ht="18.75" x14ac:dyDescent="0.3">
      <c r="B76" s="42"/>
      <c r="C76" s="30" t="s">
        <v>104</v>
      </c>
      <c r="D76" s="9">
        <v>1</v>
      </c>
      <c r="E76" s="11">
        <v>3</v>
      </c>
      <c r="F76" s="26">
        <v>0</v>
      </c>
      <c r="G76" s="30">
        <v>25</v>
      </c>
    </row>
    <row r="77" spans="1:18" ht="18.75" x14ac:dyDescent="0.3">
      <c r="B77" s="42"/>
      <c r="C77" s="29" t="s">
        <v>103</v>
      </c>
      <c r="D77" s="7">
        <v>0</v>
      </c>
      <c r="E77" s="62">
        <v>4</v>
      </c>
      <c r="F77" s="26">
        <v>0</v>
      </c>
      <c r="G77" s="61">
        <v>41</v>
      </c>
    </row>
    <row r="78" spans="1:18" ht="18.75" x14ac:dyDescent="0.3">
      <c r="B78" s="42"/>
      <c r="C78" s="30" t="s">
        <v>101</v>
      </c>
      <c r="D78" s="9">
        <v>0</v>
      </c>
      <c r="E78" s="11">
        <v>4</v>
      </c>
      <c r="F78" s="26">
        <v>0</v>
      </c>
      <c r="G78" s="30">
        <v>38</v>
      </c>
    </row>
    <row r="79" spans="1:18" ht="19.5" thickBot="1" x14ac:dyDescent="0.35">
      <c r="B79" s="43"/>
      <c r="C79" s="30" t="s">
        <v>102</v>
      </c>
      <c r="D79" s="9">
        <v>0</v>
      </c>
      <c r="E79" s="11">
        <v>4</v>
      </c>
      <c r="F79" s="26">
        <v>0</v>
      </c>
      <c r="G79" s="30">
        <v>28</v>
      </c>
    </row>
    <row r="80" spans="1:18" ht="15.75" thickBot="1" x14ac:dyDescent="0.3"/>
    <row r="81" spans="3:7" ht="19.5" thickBot="1" x14ac:dyDescent="0.35">
      <c r="C81" s="60" t="s">
        <v>105</v>
      </c>
      <c r="D81" s="59" t="s">
        <v>79</v>
      </c>
      <c r="E81" s="59" t="s">
        <v>80</v>
      </c>
      <c r="F81" s="55" t="s">
        <v>108</v>
      </c>
      <c r="G81" s="58" t="s">
        <v>81</v>
      </c>
    </row>
    <row r="82" spans="3:7" ht="18.75" x14ac:dyDescent="0.3">
      <c r="C82" s="20" t="s">
        <v>86</v>
      </c>
      <c r="D82" s="20">
        <v>4</v>
      </c>
      <c r="E82" s="53">
        <v>0</v>
      </c>
      <c r="F82" s="52">
        <v>0</v>
      </c>
      <c r="G82" s="31">
        <v>69</v>
      </c>
    </row>
    <row r="83" spans="3:7" ht="18.75" x14ac:dyDescent="0.3">
      <c r="C83" s="20" t="s">
        <v>100</v>
      </c>
      <c r="D83" s="20">
        <v>3</v>
      </c>
      <c r="E83" s="51">
        <v>1</v>
      </c>
      <c r="F83" s="26">
        <v>0</v>
      </c>
      <c r="G83" s="50">
        <v>58</v>
      </c>
    </row>
    <row r="84" spans="3:7" ht="18.75" x14ac:dyDescent="0.3">
      <c r="C84" s="7" t="s">
        <v>95</v>
      </c>
      <c r="D84" s="7">
        <v>3</v>
      </c>
      <c r="E84" s="62">
        <v>1</v>
      </c>
      <c r="F84" s="26">
        <v>0</v>
      </c>
      <c r="G84" s="61">
        <v>48</v>
      </c>
    </row>
    <row r="85" spans="3:7" ht="18.75" x14ac:dyDescent="0.3">
      <c r="C85" s="7" t="s">
        <v>103</v>
      </c>
      <c r="D85" s="7">
        <v>0</v>
      </c>
      <c r="E85" s="62">
        <v>4</v>
      </c>
      <c r="F85" s="26">
        <v>0</v>
      </c>
      <c r="G85" s="61">
        <v>41</v>
      </c>
    </row>
    <row r="86" spans="3:7" ht="15.75" thickBot="1" x14ac:dyDescent="0.3"/>
    <row r="87" spans="3:7" ht="19.5" thickBot="1" x14ac:dyDescent="0.35">
      <c r="C87" s="60" t="s">
        <v>106</v>
      </c>
      <c r="D87" s="59" t="s">
        <v>79</v>
      </c>
      <c r="E87" s="59" t="s">
        <v>80</v>
      </c>
      <c r="F87" s="55" t="s">
        <v>108</v>
      </c>
      <c r="G87" s="58" t="s">
        <v>81</v>
      </c>
    </row>
    <row r="88" spans="3:7" ht="18.75" x14ac:dyDescent="0.3">
      <c r="C88" s="9" t="s">
        <v>97</v>
      </c>
      <c r="D88" s="9">
        <v>4</v>
      </c>
      <c r="E88" s="11">
        <v>0</v>
      </c>
      <c r="F88" s="26">
        <v>0</v>
      </c>
      <c r="G88" s="30">
        <v>58</v>
      </c>
    </row>
    <row r="89" spans="3:7" ht="18.75" x14ac:dyDescent="0.3">
      <c r="C89" s="20" t="s">
        <v>92</v>
      </c>
      <c r="D89" s="20">
        <v>3</v>
      </c>
      <c r="E89" s="51">
        <v>1</v>
      </c>
      <c r="F89" s="52">
        <v>0</v>
      </c>
      <c r="G89" s="50">
        <v>62</v>
      </c>
    </row>
    <row r="90" spans="3:7" ht="18.75" x14ac:dyDescent="0.3">
      <c r="C90" s="7" t="s">
        <v>99</v>
      </c>
      <c r="D90" s="7">
        <v>2</v>
      </c>
      <c r="E90" s="27">
        <v>2</v>
      </c>
      <c r="F90" s="26">
        <v>0</v>
      </c>
      <c r="G90" s="29">
        <v>52</v>
      </c>
    </row>
    <row r="91" spans="3:7" ht="18.75" x14ac:dyDescent="0.3">
      <c r="C91" s="9" t="s">
        <v>101</v>
      </c>
      <c r="D91" s="9">
        <v>0</v>
      </c>
      <c r="E91" s="11">
        <v>4</v>
      </c>
      <c r="F91" s="26">
        <v>0</v>
      </c>
      <c r="G91" s="30">
        <v>38</v>
      </c>
    </row>
    <row r="92" spans="3:7" ht="15.75" thickBot="1" x14ac:dyDescent="0.3"/>
    <row r="93" spans="3:7" ht="19.5" thickBot="1" x14ac:dyDescent="0.35">
      <c r="C93" s="57" t="s">
        <v>107</v>
      </c>
      <c r="D93" s="56" t="s">
        <v>79</v>
      </c>
      <c r="E93" s="56" t="s">
        <v>80</v>
      </c>
      <c r="F93" s="55" t="s">
        <v>108</v>
      </c>
      <c r="G93" s="54" t="s">
        <v>81</v>
      </c>
    </row>
    <row r="94" spans="3:7" ht="18.75" x14ac:dyDescent="0.3">
      <c r="C94" s="20" t="s">
        <v>83</v>
      </c>
      <c r="D94" s="20">
        <v>2</v>
      </c>
      <c r="E94" s="53">
        <v>2</v>
      </c>
      <c r="F94" s="52">
        <v>0</v>
      </c>
      <c r="G94" s="31">
        <v>52</v>
      </c>
    </row>
    <row r="95" spans="3:7" ht="18.75" x14ac:dyDescent="0.3">
      <c r="C95" s="20" t="s">
        <v>89</v>
      </c>
      <c r="D95" s="20">
        <v>2</v>
      </c>
      <c r="E95" s="51">
        <v>2</v>
      </c>
      <c r="F95" s="26">
        <v>0</v>
      </c>
      <c r="G95" s="50">
        <v>45</v>
      </c>
    </row>
    <row r="96" spans="3:7" ht="18.75" x14ac:dyDescent="0.3">
      <c r="C96" s="9" t="s">
        <v>104</v>
      </c>
      <c r="D96" s="9">
        <v>1</v>
      </c>
      <c r="E96" s="11">
        <v>3</v>
      </c>
      <c r="F96" s="26">
        <v>0</v>
      </c>
      <c r="G96" s="30">
        <v>25</v>
      </c>
    </row>
    <row r="97" spans="3:7" ht="18.75" x14ac:dyDescent="0.3">
      <c r="C97" s="9" t="s">
        <v>102</v>
      </c>
      <c r="D97" s="9">
        <v>0</v>
      </c>
      <c r="E97" s="11">
        <v>4</v>
      </c>
      <c r="F97" s="26">
        <v>0</v>
      </c>
      <c r="G97" s="30">
        <v>28</v>
      </c>
    </row>
  </sheetData>
  <mergeCells count="14">
    <mergeCell ref="N73:R73"/>
    <mergeCell ref="I67:R67"/>
    <mergeCell ref="N68:R68"/>
    <mergeCell ref="N69:R69"/>
    <mergeCell ref="N70:R70"/>
    <mergeCell ref="N71:R71"/>
    <mergeCell ref="N72:R72"/>
    <mergeCell ref="B67:B79"/>
    <mergeCell ref="I68:M68"/>
    <mergeCell ref="I69:M69"/>
    <mergeCell ref="I70:M70"/>
    <mergeCell ref="I71:M71"/>
    <mergeCell ref="I72:M72"/>
    <mergeCell ref="I73:M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pane ySplit="1" topLeftCell="A2" activePane="bottomLeft" state="frozen"/>
      <selection pane="bottomLeft" activeCell="E10" sqref="E10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15</v>
      </c>
      <c r="C2" s="4" t="s">
        <v>16</v>
      </c>
      <c r="D2" s="14">
        <f>SUM(1350+1487+1463)</f>
        <v>4300</v>
      </c>
      <c r="E2" s="14">
        <f>SUM(80+82+83)</f>
        <v>245</v>
      </c>
      <c r="F2" s="15">
        <f>SUM(D2/E2)</f>
        <v>17.551020408163264</v>
      </c>
      <c r="G2" s="14">
        <v>3</v>
      </c>
      <c r="H2" s="14">
        <v>2</v>
      </c>
      <c r="I2" s="14"/>
      <c r="J2" s="14"/>
      <c r="K2" s="14"/>
      <c r="L2" s="14">
        <v>9.5</v>
      </c>
      <c r="M2" s="16">
        <v>5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SUM(1497+1503+1503+1503+1503)</f>
        <v>7509</v>
      </c>
      <c r="E3" s="14">
        <f>SUM(100+85+83+92+83)</f>
        <v>443</v>
      </c>
      <c r="F3" s="15">
        <f>SUM(D3/E3)</f>
        <v>16.950338600451467</v>
      </c>
      <c r="G3" s="14">
        <v>5</v>
      </c>
      <c r="H3" s="14">
        <v>5</v>
      </c>
      <c r="I3" s="14">
        <v>1</v>
      </c>
      <c r="J3" s="14"/>
      <c r="K3" s="14"/>
      <c r="L3" s="14">
        <v>23</v>
      </c>
      <c r="M3" s="16">
        <v>10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SUM(1475+1503+1379+1273+1389)</f>
        <v>7019</v>
      </c>
      <c r="E4" s="14">
        <f>SUM(91+92+81+81+71)</f>
        <v>416</v>
      </c>
      <c r="F4" s="15">
        <f>SUM(D4/E4)</f>
        <v>16.872596153846153</v>
      </c>
      <c r="G4" s="14">
        <v>5</v>
      </c>
      <c r="H4" s="14">
        <v>3</v>
      </c>
      <c r="I4" s="14"/>
      <c r="J4" s="14"/>
      <c r="K4" s="14"/>
      <c r="L4" s="76">
        <v>17</v>
      </c>
      <c r="M4" s="16">
        <v>5</v>
      </c>
    </row>
    <row r="5" spans="1:13" ht="18.75" x14ac:dyDescent="0.3">
      <c r="A5" s="3">
        <v>4</v>
      </c>
      <c r="B5" s="4" t="s">
        <v>13</v>
      </c>
      <c r="C5" s="4" t="s">
        <v>14</v>
      </c>
      <c r="D5" s="14">
        <f>SUM(1493+1503+1499+1371+1478)</f>
        <v>7344</v>
      </c>
      <c r="E5" s="14">
        <f>SUM(82+81+101+87+100)</f>
        <v>451</v>
      </c>
      <c r="F5" s="15">
        <f>SUM(D5/E5)</f>
        <v>16.283813747228383</v>
      </c>
      <c r="G5" s="14">
        <v>5</v>
      </c>
      <c r="H5" s="14">
        <v>4</v>
      </c>
      <c r="I5" s="14">
        <v>1</v>
      </c>
      <c r="J5" s="14"/>
      <c r="K5" s="14"/>
      <c r="L5" s="14">
        <v>18</v>
      </c>
      <c r="M5" s="16">
        <v>10</v>
      </c>
    </row>
    <row r="6" spans="1:13" ht="18.75" x14ac:dyDescent="0.3">
      <c r="A6" s="3">
        <v>5</v>
      </c>
      <c r="B6" s="4" t="s">
        <v>34</v>
      </c>
      <c r="C6" s="4" t="s">
        <v>16</v>
      </c>
      <c r="D6" s="14">
        <f>SUM(1483+1471+1501+1503+1495)</f>
        <v>7453</v>
      </c>
      <c r="E6" s="14">
        <f>SUM(107+83+84+79+105)</f>
        <v>458</v>
      </c>
      <c r="F6" s="15">
        <f>SUM(D6/E6)</f>
        <v>16.272925764192141</v>
      </c>
      <c r="G6" s="14">
        <v>5</v>
      </c>
      <c r="H6" s="14">
        <v>4</v>
      </c>
      <c r="I6" s="14"/>
      <c r="J6" s="14"/>
      <c r="K6" s="14"/>
      <c r="L6" s="14">
        <v>18</v>
      </c>
      <c r="M6" s="16">
        <v>5</v>
      </c>
    </row>
    <row r="7" spans="1:13" ht="18.75" x14ac:dyDescent="0.3">
      <c r="A7" s="3">
        <v>6</v>
      </c>
      <c r="B7" s="26" t="s">
        <v>135</v>
      </c>
      <c r="C7" s="4" t="s">
        <v>33</v>
      </c>
      <c r="D7" s="14">
        <f>SUM(1306)</f>
        <v>1306</v>
      </c>
      <c r="E7" s="14">
        <f>SUM(81)</f>
        <v>81</v>
      </c>
      <c r="F7" s="15">
        <f>SUM(D7/E7)</f>
        <v>16.123456790123456</v>
      </c>
      <c r="G7" s="14">
        <v>1</v>
      </c>
      <c r="H7" s="14"/>
      <c r="I7" s="14"/>
      <c r="J7" s="14"/>
      <c r="K7" s="14"/>
      <c r="L7" s="14">
        <v>1.5</v>
      </c>
      <c r="M7" s="16"/>
    </row>
    <row r="8" spans="1:13" ht="18.75" x14ac:dyDescent="0.3">
      <c r="A8" s="3">
        <v>7</v>
      </c>
      <c r="B8" s="4" t="s">
        <v>27</v>
      </c>
      <c r="C8" s="4" t="s">
        <v>19</v>
      </c>
      <c r="D8" s="14">
        <f>SUM(1491+1430+1503+1498+1306)</f>
        <v>7228</v>
      </c>
      <c r="E8" s="14">
        <f>SUM(102+105+81+93+72)</f>
        <v>453</v>
      </c>
      <c r="F8" s="15">
        <f>SUM(D8/E8)</f>
        <v>15.955849889624725</v>
      </c>
      <c r="G8" s="14">
        <v>5</v>
      </c>
      <c r="H8" s="14">
        <v>4</v>
      </c>
      <c r="I8" s="14"/>
      <c r="J8" s="14"/>
      <c r="K8" s="14"/>
      <c r="L8" s="14">
        <v>20.5</v>
      </c>
      <c r="M8" s="16"/>
    </row>
    <row r="9" spans="1:13" ht="18.75" x14ac:dyDescent="0.3">
      <c r="A9" s="3">
        <v>8</v>
      </c>
      <c r="B9" s="4" t="s">
        <v>18</v>
      </c>
      <c r="C9" s="4" t="s">
        <v>19</v>
      </c>
      <c r="D9" s="14">
        <f>SUM(1503+1488+1503+1430+1468)</f>
        <v>7392</v>
      </c>
      <c r="E9" s="14">
        <f>SUM(93+90+102+88+102)</f>
        <v>475</v>
      </c>
      <c r="F9" s="15">
        <f>SUM(D9/E9)</f>
        <v>15.562105263157894</v>
      </c>
      <c r="G9" s="14">
        <v>5</v>
      </c>
      <c r="H9" s="14">
        <v>3</v>
      </c>
      <c r="I9" s="14"/>
      <c r="J9" s="14"/>
      <c r="K9" s="14"/>
      <c r="L9" s="14">
        <v>21</v>
      </c>
      <c r="M9" s="16"/>
    </row>
    <row r="10" spans="1:13" ht="18.75" x14ac:dyDescent="0.3">
      <c r="A10" s="3">
        <v>9</v>
      </c>
      <c r="B10" s="4" t="s">
        <v>117</v>
      </c>
      <c r="C10" s="4" t="s">
        <v>53</v>
      </c>
      <c r="D10" s="14">
        <f>SUM(1503)</f>
        <v>1503</v>
      </c>
      <c r="E10" s="14">
        <f>SUM(97)</f>
        <v>97</v>
      </c>
      <c r="F10" s="15">
        <f>SUM(D10/E10)</f>
        <v>15.494845360824742</v>
      </c>
      <c r="G10" s="14">
        <v>1</v>
      </c>
      <c r="H10" s="14">
        <v>1</v>
      </c>
      <c r="I10" s="14"/>
      <c r="J10" s="14"/>
      <c r="K10" s="14"/>
      <c r="L10" s="14">
        <v>3.5</v>
      </c>
      <c r="M10" s="16"/>
    </row>
    <row r="11" spans="1:13" ht="18.75" x14ac:dyDescent="0.3">
      <c r="A11" s="3">
        <v>10</v>
      </c>
      <c r="B11" s="4" t="s">
        <v>11</v>
      </c>
      <c r="C11" s="4" t="s">
        <v>12</v>
      </c>
      <c r="D11" s="14">
        <f>SUM(1471+1503+1366+1503)</f>
        <v>5843</v>
      </c>
      <c r="E11" s="14">
        <f>SUM(76+92+101+115)</f>
        <v>384</v>
      </c>
      <c r="F11" s="15">
        <f>SUM(D11/E11)</f>
        <v>15.216145833333334</v>
      </c>
      <c r="G11" s="14">
        <v>4</v>
      </c>
      <c r="H11" s="14">
        <v>4</v>
      </c>
      <c r="I11" s="14">
        <v>1</v>
      </c>
      <c r="J11" s="14"/>
      <c r="K11" s="14"/>
      <c r="L11" s="14">
        <v>17.5</v>
      </c>
      <c r="M11" s="16">
        <v>5</v>
      </c>
    </row>
    <row r="12" spans="1:13" ht="18.75" x14ac:dyDescent="0.3">
      <c r="A12" s="3">
        <v>11</v>
      </c>
      <c r="B12" s="4" t="s">
        <v>71</v>
      </c>
      <c r="C12" s="7" t="s">
        <v>53</v>
      </c>
      <c r="D12" s="14">
        <f>SUM(1343+1449+1503+1477)</f>
        <v>5772</v>
      </c>
      <c r="E12" s="14">
        <f>SUM(82+98+96+114)</f>
        <v>390</v>
      </c>
      <c r="F12" s="15">
        <f>SUM(D12/E12)</f>
        <v>14.8</v>
      </c>
      <c r="G12" s="14">
        <v>4</v>
      </c>
      <c r="H12" s="14">
        <v>1</v>
      </c>
      <c r="I12" s="14"/>
      <c r="J12" s="14"/>
      <c r="K12" s="14"/>
      <c r="L12" s="14">
        <v>11</v>
      </c>
      <c r="M12" s="16"/>
    </row>
    <row r="13" spans="1:13" ht="18.75" x14ac:dyDescent="0.3">
      <c r="A13" s="3">
        <v>12</v>
      </c>
      <c r="B13" s="4" t="s">
        <v>38</v>
      </c>
      <c r="C13" s="4" t="s">
        <v>21</v>
      </c>
      <c r="D13" s="14">
        <f>SUM(1487+1503+1503+1386+1501)</f>
        <v>7380</v>
      </c>
      <c r="E13" s="14">
        <f>SUM(111+101+74+85+132)</f>
        <v>503</v>
      </c>
      <c r="F13" s="15">
        <f>SUM(D13/E13)</f>
        <v>14.671968190854871</v>
      </c>
      <c r="G13" s="14">
        <v>5</v>
      </c>
      <c r="H13" s="14">
        <v>4</v>
      </c>
      <c r="I13" s="14"/>
      <c r="J13" s="14"/>
      <c r="K13" s="14"/>
      <c r="L13" s="14">
        <v>19</v>
      </c>
      <c r="M13" s="16">
        <v>5</v>
      </c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SUM(1489+1454+1482+1503+1393)</f>
        <v>7321</v>
      </c>
      <c r="E14" s="14">
        <f>SUM(111+105+94+95+97)</f>
        <v>502</v>
      </c>
      <c r="F14" s="15">
        <f>SUM(D14/E14)</f>
        <v>14.583665338645419</v>
      </c>
      <c r="G14" s="14">
        <v>5</v>
      </c>
      <c r="H14" s="14">
        <v>2</v>
      </c>
      <c r="I14" s="14"/>
      <c r="J14" s="14"/>
      <c r="K14" s="14"/>
      <c r="L14" s="14">
        <v>14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SUM(1400+1499+1422+1493+1503)</f>
        <v>7317</v>
      </c>
      <c r="E15" s="14">
        <f>SUM(96+101+81+130+107)</f>
        <v>515</v>
      </c>
      <c r="F15" s="15">
        <f>SUM(D15/E15)</f>
        <v>14.207766990291262</v>
      </c>
      <c r="G15" s="14">
        <v>5</v>
      </c>
      <c r="H15" s="14">
        <v>4</v>
      </c>
      <c r="I15" s="14"/>
      <c r="J15" s="14"/>
      <c r="K15" s="14"/>
      <c r="L15" s="14">
        <v>18</v>
      </c>
      <c r="M15" s="16"/>
    </row>
    <row r="16" spans="1:13" ht="18.75" x14ac:dyDescent="0.3">
      <c r="A16" s="3">
        <v>15</v>
      </c>
      <c r="B16" s="4" t="s">
        <v>43</v>
      </c>
      <c r="C16" s="4" t="s">
        <v>29</v>
      </c>
      <c r="D16" s="14">
        <f>SUM(984+1493+1090+1355+1485)</f>
        <v>6407</v>
      </c>
      <c r="E16" s="14">
        <f>SUM(78+103+78+96+99)</f>
        <v>454</v>
      </c>
      <c r="F16" s="15">
        <f>SUM(D16/E16)</f>
        <v>14.112334801762115</v>
      </c>
      <c r="G16" s="14">
        <v>5</v>
      </c>
      <c r="H16" s="14">
        <v>2</v>
      </c>
      <c r="I16" s="14"/>
      <c r="J16" s="14"/>
      <c r="K16" s="14"/>
      <c r="L16" s="14">
        <v>11.5</v>
      </c>
      <c r="M16" s="16"/>
    </row>
    <row r="17" spans="1:13" ht="18.75" x14ac:dyDescent="0.3">
      <c r="A17" s="3">
        <v>16</v>
      </c>
      <c r="B17" s="6" t="s">
        <v>20</v>
      </c>
      <c r="C17" s="4" t="s">
        <v>21</v>
      </c>
      <c r="D17" s="14">
        <f>SUM(1503+1459+1401+1182+1442)</f>
        <v>6987</v>
      </c>
      <c r="E17" s="14">
        <f>SUM(96+99+104+94+108)</f>
        <v>501</v>
      </c>
      <c r="F17" s="15">
        <f>SUM(D17/E17)</f>
        <v>13.946107784431138</v>
      </c>
      <c r="G17" s="14">
        <v>5</v>
      </c>
      <c r="H17" s="14">
        <v>1</v>
      </c>
      <c r="I17" s="14">
        <v>1</v>
      </c>
      <c r="J17" s="14"/>
      <c r="K17" s="14"/>
      <c r="L17" s="14">
        <v>16.5</v>
      </c>
      <c r="M17" s="16"/>
    </row>
    <row r="18" spans="1:13" ht="18.75" x14ac:dyDescent="0.3">
      <c r="A18" s="3">
        <v>17</v>
      </c>
      <c r="B18" s="3" t="s">
        <v>32</v>
      </c>
      <c r="C18" s="4" t="s">
        <v>33</v>
      </c>
      <c r="D18" s="14">
        <f>SUM(1375+1349+1415+1479+1469)</f>
        <v>7087</v>
      </c>
      <c r="E18" s="14">
        <f>SUM(97+95+104+117+106)</f>
        <v>519</v>
      </c>
      <c r="F18" s="15">
        <f>SUM(D18/E18)</f>
        <v>13.655105973025048</v>
      </c>
      <c r="G18" s="14">
        <v>5</v>
      </c>
      <c r="H18" s="14">
        <v>2</v>
      </c>
      <c r="I18" s="14"/>
      <c r="J18" s="14"/>
      <c r="K18" s="14"/>
      <c r="L18" s="14">
        <v>13</v>
      </c>
      <c r="M18" s="16"/>
    </row>
    <row r="19" spans="1:13" ht="18.75" x14ac:dyDescent="0.3">
      <c r="A19" s="3">
        <v>18</v>
      </c>
      <c r="B19" s="26" t="s">
        <v>52</v>
      </c>
      <c r="C19" s="4" t="s">
        <v>53</v>
      </c>
      <c r="D19" s="14">
        <f>SUM(1503+1209+1369+1358+1425)</f>
        <v>6864</v>
      </c>
      <c r="E19" s="14">
        <f>SUM(129+84+84+114+99)</f>
        <v>510</v>
      </c>
      <c r="F19" s="15">
        <f>SUM(D19/E19)</f>
        <v>13.458823529411765</v>
      </c>
      <c r="G19" s="14">
        <v>5</v>
      </c>
      <c r="H19" s="14">
        <v>2</v>
      </c>
      <c r="I19" s="14"/>
      <c r="J19" s="14"/>
      <c r="K19" s="14"/>
      <c r="L19" s="14">
        <v>17.5</v>
      </c>
      <c r="M19" s="16">
        <v>5</v>
      </c>
    </row>
    <row r="20" spans="1:13" ht="18.75" x14ac:dyDescent="0.3">
      <c r="A20" s="3">
        <v>19</v>
      </c>
      <c r="B20" s="4" t="s">
        <v>24</v>
      </c>
      <c r="C20" s="4" t="s">
        <v>23</v>
      </c>
      <c r="D20" s="14">
        <f>SUM(1408+1503+1475+1495+1503)</f>
        <v>7384</v>
      </c>
      <c r="E20" s="14">
        <f>SUM(93+120+122+113+103)</f>
        <v>551</v>
      </c>
      <c r="F20" s="15">
        <f>SUM(D20/E20)</f>
        <v>13.4010889292196</v>
      </c>
      <c r="G20" s="14">
        <v>5</v>
      </c>
      <c r="H20" s="14">
        <v>3</v>
      </c>
      <c r="I20" s="14"/>
      <c r="J20" s="14"/>
      <c r="K20" s="14"/>
      <c r="L20" s="14">
        <v>18.5</v>
      </c>
      <c r="M20" s="16"/>
    </row>
    <row r="21" spans="1:13" ht="18.75" x14ac:dyDescent="0.3">
      <c r="A21" s="3">
        <v>20</v>
      </c>
      <c r="B21" s="4" t="s">
        <v>115</v>
      </c>
      <c r="C21" s="4" t="s">
        <v>12</v>
      </c>
      <c r="D21" s="14">
        <f>SUM(1485+1493+1468+1503)</f>
        <v>5949</v>
      </c>
      <c r="E21" s="14">
        <f>SUM(119+86+129+112)</f>
        <v>446</v>
      </c>
      <c r="F21" s="15">
        <f>SUM(D21/E21)</f>
        <v>13.338565022421525</v>
      </c>
      <c r="G21" s="14">
        <v>4</v>
      </c>
      <c r="H21" s="14">
        <v>2</v>
      </c>
      <c r="I21" s="14"/>
      <c r="J21" s="14"/>
      <c r="K21" s="14"/>
      <c r="L21" s="14">
        <v>14</v>
      </c>
      <c r="M21" s="16"/>
    </row>
    <row r="22" spans="1:13" ht="18.75" x14ac:dyDescent="0.3">
      <c r="A22" s="3">
        <v>21</v>
      </c>
      <c r="B22" s="4" t="s">
        <v>31</v>
      </c>
      <c r="C22" s="7" t="s">
        <v>19</v>
      </c>
      <c r="D22" s="14">
        <f>SUM(1485+1497+1501+1503)</f>
        <v>5986</v>
      </c>
      <c r="E22" s="14">
        <f>SUM(103+100+143+103)</f>
        <v>449</v>
      </c>
      <c r="F22" s="15">
        <f>SUM(D22/E22)</f>
        <v>13.33184855233853</v>
      </c>
      <c r="G22" s="14">
        <v>4</v>
      </c>
      <c r="H22" s="14">
        <v>2</v>
      </c>
      <c r="I22" s="14"/>
      <c r="J22" s="14"/>
      <c r="K22" s="14"/>
      <c r="L22" s="14">
        <v>15</v>
      </c>
      <c r="M22" s="16"/>
    </row>
    <row r="23" spans="1:13" ht="18.75" x14ac:dyDescent="0.3">
      <c r="A23" s="3">
        <v>22</v>
      </c>
      <c r="B23" s="4" t="s">
        <v>47</v>
      </c>
      <c r="C23" s="4" t="s">
        <v>12</v>
      </c>
      <c r="D23" s="14">
        <f>SUM(1197+1447+1355+1487)</f>
        <v>5486</v>
      </c>
      <c r="E23" s="14">
        <f>SUM(99+96+96+122)</f>
        <v>413</v>
      </c>
      <c r="F23" s="15">
        <f>SUM(D23/E23)</f>
        <v>13.283292978208232</v>
      </c>
      <c r="G23" s="14">
        <v>4</v>
      </c>
      <c r="H23" s="14">
        <v>1</v>
      </c>
      <c r="I23" s="14"/>
      <c r="J23" s="14"/>
      <c r="K23" s="14"/>
      <c r="L23" s="14">
        <v>11</v>
      </c>
      <c r="M23" s="16"/>
    </row>
    <row r="24" spans="1:13" ht="18.75" x14ac:dyDescent="0.3">
      <c r="A24" s="3">
        <v>23</v>
      </c>
      <c r="B24" s="4" t="s">
        <v>22</v>
      </c>
      <c r="C24" s="4" t="s">
        <v>23</v>
      </c>
      <c r="D24" s="14">
        <f>SUM(1503+1341+1499+1500+1503)</f>
        <v>7346</v>
      </c>
      <c r="E24" s="14">
        <f>SUM(96+100+124+121+117)</f>
        <v>558</v>
      </c>
      <c r="F24" s="15">
        <f>SUM(D24/E24)</f>
        <v>13.164874551971327</v>
      </c>
      <c r="G24" s="14">
        <v>5</v>
      </c>
      <c r="H24" s="14">
        <v>4</v>
      </c>
      <c r="I24" s="14"/>
      <c r="J24" s="14"/>
      <c r="K24" s="14"/>
      <c r="L24" s="14">
        <v>21</v>
      </c>
      <c r="M24" s="16"/>
    </row>
    <row r="25" spans="1:13" ht="18.75" x14ac:dyDescent="0.3">
      <c r="A25" s="3">
        <v>24</v>
      </c>
      <c r="B25" s="26" t="s">
        <v>40</v>
      </c>
      <c r="C25" s="4" t="s">
        <v>23</v>
      </c>
      <c r="D25" s="14">
        <f>SUM(1446+1503+1491+1491+1503)</f>
        <v>7434</v>
      </c>
      <c r="E25" s="14">
        <f>SUM(110+105+126+119+112)</f>
        <v>572</v>
      </c>
      <c r="F25" s="15">
        <f>SUM(D25/E25)</f>
        <v>12.996503496503497</v>
      </c>
      <c r="G25" s="14">
        <v>5</v>
      </c>
      <c r="H25" s="14">
        <v>3</v>
      </c>
      <c r="I25" s="14"/>
      <c r="J25" s="14"/>
      <c r="K25" s="14"/>
      <c r="L25" s="14">
        <v>20</v>
      </c>
      <c r="M25" s="16">
        <v>5</v>
      </c>
    </row>
    <row r="26" spans="1:13" ht="18.75" x14ac:dyDescent="0.3">
      <c r="A26" s="3">
        <v>25</v>
      </c>
      <c r="B26" s="26" t="s">
        <v>51</v>
      </c>
      <c r="C26" s="4" t="s">
        <v>33</v>
      </c>
      <c r="D26" s="14">
        <f>SUM(1125+1277+1380+1480+1455)</f>
        <v>6717</v>
      </c>
      <c r="E26" s="14">
        <f>SUM(96+102+98+119+103)</f>
        <v>518</v>
      </c>
      <c r="F26" s="15">
        <f>SUM(D26/E26)</f>
        <v>12.967181467181467</v>
      </c>
      <c r="G26" s="14">
        <v>5</v>
      </c>
      <c r="H26" s="14">
        <v>2</v>
      </c>
      <c r="I26" s="14"/>
      <c r="J26" s="14"/>
      <c r="K26" s="14"/>
      <c r="L26" s="14">
        <v>13</v>
      </c>
      <c r="M26" s="16">
        <v>5</v>
      </c>
    </row>
    <row r="27" spans="1:13" ht="18.75" x14ac:dyDescent="0.3">
      <c r="A27" s="3">
        <v>26</v>
      </c>
      <c r="B27" s="4" t="s">
        <v>36</v>
      </c>
      <c r="C27" s="4" t="s">
        <v>16</v>
      </c>
      <c r="D27" s="14">
        <f>SUM(1472+1279+1463+1479+1401)</f>
        <v>7094</v>
      </c>
      <c r="E27" s="14">
        <f>SUM(108+93+117+130+103)</f>
        <v>551</v>
      </c>
      <c r="F27" s="15">
        <f>SUM(D27/E27)</f>
        <v>12.874773139745917</v>
      </c>
      <c r="G27" s="14">
        <v>5</v>
      </c>
      <c r="H27" s="14">
        <v>3</v>
      </c>
      <c r="I27" s="14"/>
      <c r="J27" s="14"/>
      <c r="K27" s="14"/>
      <c r="L27" s="14">
        <v>16</v>
      </c>
      <c r="M27" s="16"/>
    </row>
    <row r="28" spans="1:13" ht="18.75" x14ac:dyDescent="0.3">
      <c r="A28" s="3">
        <v>27</v>
      </c>
      <c r="B28" s="26" t="s">
        <v>56</v>
      </c>
      <c r="C28" s="4" t="s">
        <v>29</v>
      </c>
      <c r="D28" s="14">
        <f>SUM(1501+1284+1142+1483+1269)</f>
        <v>6679</v>
      </c>
      <c r="E28" s="14">
        <f>SUM(132+99+81+119+90)</f>
        <v>521</v>
      </c>
      <c r="F28" s="15">
        <f>SUM(D28/E28)</f>
        <v>12.81957773512476</v>
      </c>
      <c r="G28" s="14">
        <v>5</v>
      </c>
      <c r="H28" s="14">
        <v>2</v>
      </c>
      <c r="I28" s="14"/>
      <c r="J28" s="14"/>
      <c r="K28" s="14"/>
      <c r="L28" s="14">
        <v>10.5</v>
      </c>
      <c r="M28" s="16"/>
    </row>
    <row r="29" spans="1:13" ht="18.75" x14ac:dyDescent="0.3">
      <c r="A29" s="3">
        <v>28</v>
      </c>
      <c r="B29" s="4" t="s">
        <v>35</v>
      </c>
      <c r="C29" s="4" t="s">
        <v>33</v>
      </c>
      <c r="D29" s="14">
        <f>SUM(1453+1310+1456+1304+949)</f>
        <v>6472</v>
      </c>
      <c r="E29" s="14">
        <f>SUM(105+122+95+112+75)</f>
        <v>509</v>
      </c>
      <c r="F29" s="15">
        <f>SUM(D29/E29)</f>
        <v>12.715127701375245</v>
      </c>
      <c r="G29" s="14">
        <v>5</v>
      </c>
      <c r="H29" s="14">
        <v>2</v>
      </c>
      <c r="I29" s="14"/>
      <c r="J29" s="14"/>
      <c r="K29" s="14"/>
      <c r="L29" s="14">
        <v>13</v>
      </c>
      <c r="M29" s="16"/>
    </row>
    <row r="30" spans="1:13" ht="18.75" x14ac:dyDescent="0.3">
      <c r="A30" s="3">
        <v>29</v>
      </c>
      <c r="B30" s="4" t="s">
        <v>44</v>
      </c>
      <c r="C30" s="4" t="s">
        <v>19</v>
      </c>
      <c r="D30" s="14">
        <f>SUM(1499+1503+1495+1500)</f>
        <v>5997</v>
      </c>
      <c r="E30" s="14">
        <f>SUM(120+113+112+127)</f>
        <v>472</v>
      </c>
      <c r="F30" s="15">
        <f>SUM(D30/E30)</f>
        <v>12.705508474576272</v>
      </c>
      <c r="G30" s="14">
        <v>4</v>
      </c>
      <c r="H30" s="14">
        <v>4</v>
      </c>
      <c r="I30" s="14"/>
      <c r="J30" s="14"/>
      <c r="K30" s="14"/>
      <c r="L30" s="14">
        <v>20</v>
      </c>
      <c r="M30" s="16"/>
    </row>
    <row r="31" spans="1:13" ht="18.75" x14ac:dyDescent="0.3">
      <c r="A31" s="3">
        <v>30</v>
      </c>
      <c r="B31" s="26" t="s">
        <v>116</v>
      </c>
      <c r="C31" s="7" t="s">
        <v>46</v>
      </c>
      <c r="D31" s="14">
        <f>SUM(1184+1495+1503)</f>
        <v>4182</v>
      </c>
      <c r="E31" s="14">
        <f>SUM(78+154+98)</f>
        <v>330</v>
      </c>
      <c r="F31" s="15">
        <f>SUM(D31/E31)</f>
        <v>12.672727272727272</v>
      </c>
      <c r="G31" s="14">
        <v>3</v>
      </c>
      <c r="H31" s="14">
        <v>2</v>
      </c>
      <c r="I31" s="14"/>
      <c r="J31" s="14"/>
      <c r="K31" s="14"/>
      <c r="L31" s="14">
        <v>10</v>
      </c>
      <c r="M31" s="16"/>
    </row>
    <row r="32" spans="1:13" ht="18.75" x14ac:dyDescent="0.3">
      <c r="A32" s="3">
        <v>31</v>
      </c>
      <c r="B32" s="26" t="s">
        <v>133</v>
      </c>
      <c r="C32" s="4" t="s">
        <v>46</v>
      </c>
      <c r="D32" s="14">
        <f>SUM(1380+1496+1443)</f>
        <v>4319</v>
      </c>
      <c r="E32" s="14">
        <f>SUM(111+130+100)</f>
        <v>341</v>
      </c>
      <c r="F32" s="15">
        <f>SUM(D32/E32)</f>
        <v>12.665689149560118</v>
      </c>
      <c r="G32" s="14">
        <v>3</v>
      </c>
      <c r="H32" s="14">
        <v>1</v>
      </c>
      <c r="I32" s="14"/>
      <c r="J32" s="14"/>
      <c r="K32" s="14"/>
      <c r="L32" s="14">
        <v>5</v>
      </c>
      <c r="M32" s="16"/>
    </row>
    <row r="33" spans="1:13" ht="18.75" x14ac:dyDescent="0.3">
      <c r="A33" s="3">
        <v>32</v>
      </c>
      <c r="B33" s="4" t="s">
        <v>41</v>
      </c>
      <c r="C33" s="7" t="s">
        <v>21</v>
      </c>
      <c r="D33" s="14">
        <f>SUM(1179+1413+1443+1451+1367)</f>
        <v>6853</v>
      </c>
      <c r="E33" s="14">
        <f>SUM(90+119+112+108+114)</f>
        <v>543</v>
      </c>
      <c r="F33" s="15">
        <f>SUM(D33/E33)</f>
        <v>12.620626151012891</v>
      </c>
      <c r="G33" s="14">
        <v>5</v>
      </c>
      <c r="H33" s="14">
        <v>1</v>
      </c>
      <c r="I33" s="14"/>
      <c r="J33" s="14"/>
      <c r="K33" s="14"/>
      <c r="L33" s="14">
        <v>11</v>
      </c>
      <c r="M33" s="16">
        <v>5</v>
      </c>
    </row>
    <row r="34" spans="1:13" ht="18.75" x14ac:dyDescent="0.3">
      <c r="A34" s="3">
        <v>33</v>
      </c>
      <c r="B34" s="77" t="s">
        <v>45</v>
      </c>
      <c r="C34" s="4" t="s">
        <v>46</v>
      </c>
      <c r="D34" s="14">
        <f>SUM(1497)</f>
        <v>1497</v>
      </c>
      <c r="E34" s="14">
        <f>SUM(120)</f>
        <v>120</v>
      </c>
      <c r="F34" s="15">
        <f>SUM(D34/E34)</f>
        <v>12.475</v>
      </c>
      <c r="G34" s="14">
        <v>1</v>
      </c>
      <c r="H34" s="14"/>
      <c r="I34" s="14"/>
      <c r="J34" s="14"/>
      <c r="K34" s="14"/>
      <c r="L34" s="14">
        <v>1</v>
      </c>
      <c r="M34" s="16"/>
    </row>
    <row r="35" spans="1:13" ht="18.75" x14ac:dyDescent="0.3">
      <c r="A35" s="3">
        <v>34</v>
      </c>
      <c r="B35" s="9" t="s">
        <v>57</v>
      </c>
      <c r="C35" s="4" t="s">
        <v>46</v>
      </c>
      <c r="D35" s="17">
        <f>SUM(1416+1252+1334+1500+1345)</f>
        <v>6847</v>
      </c>
      <c r="E35" s="14">
        <f>SUM(125+84+99+144+105)</f>
        <v>557</v>
      </c>
      <c r="F35" s="15">
        <f>SUM(D35/E35)</f>
        <v>12.292639138240574</v>
      </c>
      <c r="G35" s="14">
        <v>5</v>
      </c>
      <c r="H35" s="14">
        <v>1</v>
      </c>
      <c r="I35" s="14"/>
      <c r="J35" s="14"/>
      <c r="K35" s="14"/>
      <c r="L35" s="14">
        <v>7</v>
      </c>
      <c r="M35" s="16"/>
    </row>
    <row r="36" spans="1:13" ht="18.75" x14ac:dyDescent="0.3">
      <c r="A36" s="3">
        <v>35</v>
      </c>
      <c r="B36" s="7" t="s">
        <v>26</v>
      </c>
      <c r="C36" s="4" t="s">
        <v>21</v>
      </c>
      <c r="D36" s="17">
        <f>SUM(1301+1470+1495+1501)</f>
        <v>5767</v>
      </c>
      <c r="E36" s="14">
        <f>SUM(88+118+154+110)</f>
        <v>470</v>
      </c>
      <c r="F36" s="15">
        <f>SUM(D36/E36)</f>
        <v>12.270212765957448</v>
      </c>
      <c r="G36" s="14">
        <v>4</v>
      </c>
      <c r="H36" s="14">
        <v>3</v>
      </c>
      <c r="I36" s="14"/>
      <c r="J36" s="14"/>
      <c r="K36" s="14"/>
      <c r="L36" s="14">
        <v>13.5</v>
      </c>
      <c r="M36" s="16"/>
    </row>
    <row r="37" spans="1:13" ht="18.75" x14ac:dyDescent="0.3">
      <c r="A37" s="3">
        <v>36</v>
      </c>
      <c r="B37" s="9" t="s">
        <v>74</v>
      </c>
      <c r="C37" s="4" t="s">
        <v>60</v>
      </c>
      <c r="D37" s="17">
        <f>SUM(1491+1480+1457+1253)</f>
        <v>5681</v>
      </c>
      <c r="E37" s="14">
        <f>SUM(100+103+151+111)</f>
        <v>465</v>
      </c>
      <c r="F37" s="15">
        <f>SUM(D37/E37)</f>
        <v>12.217204301075268</v>
      </c>
      <c r="G37" s="14">
        <v>4</v>
      </c>
      <c r="H37" s="14">
        <v>2</v>
      </c>
      <c r="I37" s="14"/>
      <c r="J37" s="14"/>
      <c r="K37" s="14"/>
      <c r="L37" s="14">
        <v>9</v>
      </c>
      <c r="M37" s="16"/>
    </row>
    <row r="38" spans="1:13" ht="18.75" x14ac:dyDescent="0.3">
      <c r="A38" s="3">
        <v>37</v>
      </c>
      <c r="B38" s="7" t="s">
        <v>67</v>
      </c>
      <c r="C38" s="4" t="s">
        <v>49</v>
      </c>
      <c r="D38" s="17">
        <f>SUM(1501+1454+1401+1499+1498)</f>
        <v>7353</v>
      </c>
      <c r="E38" s="14">
        <f>SUM(162+98+128+112+110)</f>
        <v>610</v>
      </c>
      <c r="F38" s="15">
        <f>SUM(D38/E38)</f>
        <v>12.054098360655738</v>
      </c>
      <c r="G38" s="14">
        <v>5</v>
      </c>
      <c r="H38" s="14">
        <v>3</v>
      </c>
      <c r="I38" s="14"/>
      <c r="J38" s="14"/>
      <c r="K38" s="14"/>
      <c r="L38" s="14">
        <v>16.5</v>
      </c>
      <c r="M38" s="16">
        <v>10</v>
      </c>
    </row>
    <row r="39" spans="1:13" ht="18.75" x14ac:dyDescent="0.3">
      <c r="A39" s="3">
        <v>38</v>
      </c>
      <c r="B39" s="9" t="s">
        <v>30</v>
      </c>
      <c r="C39" s="4" t="s">
        <v>23</v>
      </c>
      <c r="D39" s="17">
        <f>SUM(1302+1358+1471+1503+1495)</f>
        <v>7129</v>
      </c>
      <c r="E39" s="14">
        <f>SUM(90+98+130+127+149)</f>
        <v>594</v>
      </c>
      <c r="F39" s="15">
        <f>SUM(D39/E39)</f>
        <v>12.001683501683502</v>
      </c>
      <c r="G39" s="14">
        <v>5</v>
      </c>
      <c r="H39" s="14">
        <v>3</v>
      </c>
      <c r="I39" s="14"/>
      <c r="J39" s="14"/>
      <c r="K39" s="14"/>
      <c r="L39" s="14">
        <v>16.5</v>
      </c>
      <c r="M39" s="16"/>
    </row>
    <row r="40" spans="1:13" ht="18.75" x14ac:dyDescent="0.3">
      <c r="A40" s="3">
        <v>39</v>
      </c>
      <c r="B40" s="7" t="s">
        <v>72</v>
      </c>
      <c r="C40" s="4" t="s">
        <v>19</v>
      </c>
      <c r="D40" s="17">
        <f>SUM(1495+1461)</f>
        <v>2956</v>
      </c>
      <c r="E40" s="14">
        <f>SUM(117+130)</f>
        <v>247</v>
      </c>
      <c r="F40" s="15">
        <f>SUM(D40/E40)</f>
        <v>11.967611336032389</v>
      </c>
      <c r="G40" s="14">
        <v>2</v>
      </c>
      <c r="H40" s="14">
        <v>1</v>
      </c>
      <c r="I40" s="14"/>
      <c r="J40" s="14"/>
      <c r="K40" s="14"/>
      <c r="L40" s="14">
        <v>7</v>
      </c>
      <c r="M40" s="16"/>
    </row>
    <row r="41" spans="1:13" ht="18.75" x14ac:dyDescent="0.3">
      <c r="A41" s="3">
        <v>40</v>
      </c>
      <c r="B41" s="7" t="s">
        <v>63</v>
      </c>
      <c r="C41" s="4" t="s">
        <v>53</v>
      </c>
      <c r="D41" s="17">
        <f>SUM(1498+1066+1491+1501)</f>
        <v>5556</v>
      </c>
      <c r="E41" s="14">
        <f>SUM(158+78+104+125)</f>
        <v>465</v>
      </c>
      <c r="F41" s="15">
        <f>SUM(D41/E41)</f>
        <v>11.948387096774194</v>
      </c>
      <c r="G41" s="14">
        <v>4</v>
      </c>
      <c r="H41" s="14">
        <v>2</v>
      </c>
      <c r="I41" s="14"/>
      <c r="J41" s="14"/>
      <c r="K41" s="14"/>
      <c r="L41" s="14">
        <v>8.5</v>
      </c>
      <c r="M41" s="16"/>
    </row>
    <row r="42" spans="1:13" ht="18.75" x14ac:dyDescent="0.3">
      <c r="A42" s="3">
        <v>41</v>
      </c>
      <c r="B42" s="28" t="s">
        <v>48</v>
      </c>
      <c r="C42" s="8" t="s">
        <v>49</v>
      </c>
      <c r="D42" s="17">
        <f>SUM(1498+1501+1411+1162+1480)</f>
        <v>7052</v>
      </c>
      <c r="E42" s="14">
        <f>SUM(124+124+124+90+129)</f>
        <v>591</v>
      </c>
      <c r="F42" s="15">
        <f>SUM(D42/E42)</f>
        <v>11.932318104906937</v>
      </c>
      <c r="G42" s="14">
        <v>5</v>
      </c>
      <c r="H42" s="14">
        <v>2</v>
      </c>
      <c r="I42" s="14"/>
      <c r="J42" s="14"/>
      <c r="K42" s="14"/>
      <c r="L42" s="14">
        <v>15</v>
      </c>
      <c r="M42" s="16">
        <v>5</v>
      </c>
    </row>
    <row r="43" spans="1:13" ht="18.75" x14ac:dyDescent="0.3">
      <c r="A43" s="3">
        <v>42</v>
      </c>
      <c r="B43" s="7" t="s">
        <v>50</v>
      </c>
      <c r="C43" s="7" t="s">
        <v>12</v>
      </c>
      <c r="D43" s="17">
        <f>SUM(1235+1395)</f>
        <v>2630</v>
      </c>
      <c r="E43" s="14">
        <f>SUM(104+119)</f>
        <v>223</v>
      </c>
      <c r="F43" s="15">
        <f>SUM(D43/E43)</f>
        <v>11.79372197309417</v>
      </c>
      <c r="G43" s="14">
        <v>2</v>
      </c>
      <c r="H43" s="14"/>
      <c r="I43" s="14"/>
      <c r="J43" s="14"/>
      <c r="K43" s="14"/>
      <c r="L43" s="14">
        <v>6</v>
      </c>
      <c r="M43" s="16"/>
    </row>
    <row r="44" spans="1:13" ht="18.75" x14ac:dyDescent="0.3">
      <c r="A44" s="3">
        <v>43</v>
      </c>
      <c r="B44" s="9" t="s">
        <v>39</v>
      </c>
      <c r="C44" s="7" t="s">
        <v>29</v>
      </c>
      <c r="D44" s="17">
        <f>SUM(1503+1335+1494+1501+1503)</f>
        <v>7336</v>
      </c>
      <c r="E44" s="14">
        <f>SUM(114+123+120+142+132)</f>
        <v>631</v>
      </c>
      <c r="F44" s="15">
        <f>SUM(D44/E44)</f>
        <v>11.625990491283677</v>
      </c>
      <c r="G44" s="14">
        <v>5</v>
      </c>
      <c r="H44" s="14">
        <v>3</v>
      </c>
      <c r="I44" s="14"/>
      <c r="J44" s="14"/>
      <c r="K44" s="14"/>
      <c r="L44" s="14">
        <v>14</v>
      </c>
      <c r="M44" s="16"/>
    </row>
    <row r="45" spans="1:13" ht="18.75" x14ac:dyDescent="0.3">
      <c r="A45" s="3">
        <v>44</v>
      </c>
      <c r="B45" s="9" t="s">
        <v>76</v>
      </c>
      <c r="C45" s="7" t="s">
        <v>49</v>
      </c>
      <c r="D45" s="17">
        <f>SUM(1499+1501+1408+1503)</f>
        <v>5911</v>
      </c>
      <c r="E45" s="14">
        <f>SUM(172+128+99+114)</f>
        <v>513</v>
      </c>
      <c r="F45" s="15">
        <f>SUM(D45/E45)</f>
        <v>11.522417153996102</v>
      </c>
      <c r="G45" s="14">
        <v>4</v>
      </c>
      <c r="H45" s="14">
        <v>3</v>
      </c>
      <c r="I45" s="14"/>
      <c r="J45" s="14"/>
      <c r="K45" s="14"/>
      <c r="L45" s="14">
        <v>15.5</v>
      </c>
      <c r="M45" s="16"/>
    </row>
    <row r="46" spans="1:13" ht="18.75" x14ac:dyDescent="0.3">
      <c r="A46" s="3">
        <v>45</v>
      </c>
      <c r="B46" s="18" t="s">
        <v>55</v>
      </c>
      <c r="C46" s="7" t="s">
        <v>33</v>
      </c>
      <c r="D46" s="17">
        <f>SUM(1418+1495+1361+1446)</f>
        <v>5720</v>
      </c>
      <c r="E46" s="14">
        <f>SUM(122+118+123+150)</f>
        <v>513</v>
      </c>
      <c r="F46" s="15">
        <f>SUM(D46/E46)</f>
        <v>11.15009746588694</v>
      </c>
      <c r="G46" s="14">
        <v>4</v>
      </c>
      <c r="H46" s="14">
        <v>2</v>
      </c>
      <c r="I46" s="14"/>
      <c r="J46" s="14"/>
      <c r="K46" s="14"/>
      <c r="L46" s="14">
        <v>11.5</v>
      </c>
      <c r="M46" s="16"/>
    </row>
    <row r="47" spans="1:13" ht="18.75" x14ac:dyDescent="0.3">
      <c r="A47" s="3">
        <v>46</v>
      </c>
      <c r="B47" s="9" t="s">
        <v>73</v>
      </c>
      <c r="C47" s="7" t="s">
        <v>21</v>
      </c>
      <c r="D47" s="17">
        <f>SUM(1472)</f>
        <v>1472</v>
      </c>
      <c r="E47" s="14">
        <f>SUM(133)</f>
        <v>133</v>
      </c>
      <c r="F47" s="15">
        <f>SUM(D47/E47)</f>
        <v>11.06766917293233</v>
      </c>
      <c r="G47" s="14">
        <v>1</v>
      </c>
      <c r="H47" s="14">
        <v>1</v>
      </c>
      <c r="I47" s="14"/>
      <c r="J47" s="14"/>
      <c r="K47" s="14"/>
      <c r="L47" s="14">
        <v>4</v>
      </c>
      <c r="M47" s="16"/>
    </row>
    <row r="48" spans="1:13" ht="18.75" x14ac:dyDescent="0.3">
      <c r="A48" s="3">
        <v>47</v>
      </c>
      <c r="B48" s="7" t="s">
        <v>61</v>
      </c>
      <c r="C48" s="7" t="s">
        <v>53</v>
      </c>
      <c r="D48" s="17">
        <f>SUM(1483+1452+1373)</f>
        <v>4308</v>
      </c>
      <c r="E48" s="14">
        <f>SUM(136+141+114)</f>
        <v>391</v>
      </c>
      <c r="F48" s="15">
        <f>SUM(D48/E48)</f>
        <v>11.017902813299234</v>
      </c>
      <c r="G48" s="14">
        <v>3</v>
      </c>
      <c r="H48" s="14">
        <v>1</v>
      </c>
      <c r="I48" s="14"/>
      <c r="J48" s="14"/>
      <c r="K48" s="14"/>
      <c r="L48" s="14">
        <v>6</v>
      </c>
      <c r="M48" s="16"/>
    </row>
    <row r="49" spans="1:13" ht="18.75" x14ac:dyDescent="0.3">
      <c r="A49" s="3">
        <v>48</v>
      </c>
      <c r="B49" s="7" t="s">
        <v>58</v>
      </c>
      <c r="C49" s="4" t="s">
        <v>14</v>
      </c>
      <c r="D49" s="17">
        <f>SUM(1431+1499+1493+1499+1374)</f>
        <v>7296</v>
      </c>
      <c r="E49" s="14">
        <f>SUM(128+168+144+126+105)</f>
        <v>671</v>
      </c>
      <c r="F49" s="15">
        <f>SUM(D49/E49)</f>
        <v>10.873323397913563</v>
      </c>
      <c r="G49" s="14">
        <v>5</v>
      </c>
      <c r="H49" s="14">
        <v>3</v>
      </c>
      <c r="I49" s="14"/>
      <c r="J49" s="14"/>
      <c r="K49" s="14"/>
      <c r="L49" s="14">
        <v>18</v>
      </c>
      <c r="M49" s="16"/>
    </row>
    <row r="50" spans="1:13" ht="18.75" x14ac:dyDescent="0.3">
      <c r="A50" s="3">
        <v>49</v>
      </c>
      <c r="B50" s="9" t="s">
        <v>129</v>
      </c>
      <c r="C50" s="8" t="s">
        <v>16</v>
      </c>
      <c r="D50" s="17">
        <f>SUM(1424+1496)</f>
        <v>2920</v>
      </c>
      <c r="E50" s="14">
        <f>SUM(126+145)</f>
        <v>271</v>
      </c>
      <c r="F50" s="15">
        <f>SUM(D50/E50)</f>
        <v>10.77490774907749</v>
      </c>
      <c r="G50" s="14">
        <v>2</v>
      </c>
      <c r="H50" s="14"/>
      <c r="I50" s="14"/>
      <c r="J50" s="14"/>
      <c r="K50" s="14"/>
      <c r="L50" s="14">
        <v>4.5</v>
      </c>
      <c r="M50" s="16"/>
    </row>
    <row r="51" spans="1:13" ht="18.75" x14ac:dyDescent="0.3">
      <c r="A51" s="3">
        <v>50</v>
      </c>
      <c r="B51" s="27" t="s">
        <v>42</v>
      </c>
      <c r="C51" s="7" t="s">
        <v>14</v>
      </c>
      <c r="D51" s="17">
        <f>SUM(1482+1499+1503+1491+1294)</f>
        <v>7269</v>
      </c>
      <c r="E51" s="14">
        <f>SUM(117+165+144+126+126)</f>
        <v>678</v>
      </c>
      <c r="F51" s="15">
        <f>SUM(D51/E51)</f>
        <v>10.721238938053098</v>
      </c>
      <c r="G51" s="14">
        <v>5</v>
      </c>
      <c r="H51" s="14">
        <v>2</v>
      </c>
      <c r="I51" s="14">
        <v>1</v>
      </c>
      <c r="J51" s="14"/>
      <c r="K51" s="14"/>
      <c r="L51" s="14">
        <v>16</v>
      </c>
      <c r="M51" s="16"/>
    </row>
    <row r="52" spans="1:13" ht="18.75" x14ac:dyDescent="0.3">
      <c r="A52" s="3">
        <v>51</v>
      </c>
      <c r="B52" s="11" t="s">
        <v>62</v>
      </c>
      <c r="C52" s="8" t="s">
        <v>60</v>
      </c>
      <c r="D52" s="17">
        <f>SUM(1264+920+1335)</f>
        <v>3519</v>
      </c>
      <c r="E52" s="14">
        <f>SUM(123+72+138)</f>
        <v>333</v>
      </c>
      <c r="F52" s="15">
        <f>SUM(D52/E52)</f>
        <v>10.567567567567568</v>
      </c>
      <c r="G52" s="14">
        <v>3</v>
      </c>
      <c r="H52" s="14"/>
      <c r="I52" s="14"/>
      <c r="J52" s="14"/>
      <c r="K52" s="14"/>
      <c r="L52" s="14">
        <v>1.5</v>
      </c>
      <c r="M52" s="16"/>
    </row>
    <row r="53" spans="1:13" ht="18.75" x14ac:dyDescent="0.3">
      <c r="A53" s="3">
        <v>52</v>
      </c>
      <c r="B53" s="11" t="s">
        <v>59</v>
      </c>
      <c r="C53" s="4" t="s">
        <v>60</v>
      </c>
      <c r="D53" s="17">
        <f>SUM(1495+1198)</f>
        <v>2693</v>
      </c>
      <c r="E53" s="14">
        <f>SUM(137+121)</f>
        <v>258</v>
      </c>
      <c r="F53" s="15">
        <f>SUM(D53/E53)</f>
        <v>10.437984496124031</v>
      </c>
      <c r="G53" s="14">
        <v>2</v>
      </c>
      <c r="H53" s="14"/>
      <c r="I53" s="14"/>
      <c r="J53" s="14"/>
      <c r="K53" s="14"/>
      <c r="L53" s="14">
        <v>2</v>
      </c>
      <c r="M53" s="16"/>
    </row>
    <row r="54" spans="1:13" ht="18.75" x14ac:dyDescent="0.3">
      <c r="A54" s="3">
        <v>53</v>
      </c>
      <c r="B54" s="27" t="s">
        <v>54</v>
      </c>
      <c r="C54" s="7" t="s">
        <v>49</v>
      </c>
      <c r="D54" s="17">
        <f>SUM(1408+1461)</f>
        <v>2869</v>
      </c>
      <c r="E54" s="14">
        <f>SUM(121+158)</f>
        <v>279</v>
      </c>
      <c r="F54" s="15">
        <f>SUM(D54/E54)</f>
        <v>10.283154121863799</v>
      </c>
      <c r="G54" s="14">
        <v>2</v>
      </c>
      <c r="H54" s="14">
        <v>1</v>
      </c>
      <c r="I54" s="14"/>
      <c r="J54" s="14"/>
      <c r="K54" s="14"/>
      <c r="L54" s="14">
        <v>8</v>
      </c>
      <c r="M54" s="16"/>
    </row>
    <row r="55" spans="1:13" ht="18.75" x14ac:dyDescent="0.3">
      <c r="A55" s="3">
        <v>54</v>
      </c>
      <c r="B55" s="11" t="s">
        <v>65</v>
      </c>
      <c r="C55" s="7" t="s">
        <v>46</v>
      </c>
      <c r="D55" s="17">
        <f>SUM(1493+1344+1345)</f>
        <v>4182</v>
      </c>
      <c r="E55" s="14">
        <f>SUM(159+141+111)</f>
        <v>411</v>
      </c>
      <c r="F55" s="15">
        <f>SUM(D55/E55)</f>
        <v>10.175182481751825</v>
      </c>
      <c r="G55" s="14">
        <v>3</v>
      </c>
      <c r="H55" s="14"/>
      <c r="I55" s="14"/>
      <c r="J55" s="14"/>
      <c r="K55" s="14"/>
      <c r="L55" s="14">
        <v>1.5</v>
      </c>
      <c r="M55" s="16"/>
    </row>
    <row r="56" spans="1:13" ht="18.75" x14ac:dyDescent="0.3">
      <c r="A56" s="3">
        <v>55</v>
      </c>
      <c r="B56" s="27" t="s">
        <v>66</v>
      </c>
      <c r="C56" s="7" t="s">
        <v>49</v>
      </c>
      <c r="D56" s="17">
        <f>SUM(1474+1189+1448+1191)</f>
        <v>5302</v>
      </c>
      <c r="E56" s="14">
        <f>SUM(158+126+132+107)</f>
        <v>523</v>
      </c>
      <c r="F56" s="15">
        <f>SUM(D56/E56)</f>
        <v>10.137667304015297</v>
      </c>
      <c r="G56" s="14">
        <v>4</v>
      </c>
      <c r="H56" s="14">
        <v>1</v>
      </c>
      <c r="I56" s="14"/>
      <c r="J56" s="14"/>
      <c r="K56" s="14"/>
      <c r="L56" s="14">
        <v>9</v>
      </c>
      <c r="M56" s="16"/>
    </row>
    <row r="57" spans="1:13" ht="18.75" x14ac:dyDescent="0.3">
      <c r="A57" s="3">
        <v>56</v>
      </c>
      <c r="B57" s="11" t="s">
        <v>69</v>
      </c>
      <c r="C57" s="7" t="s">
        <v>60</v>
      </c>
      <c r="D57" s="17">
        <f>SUM(1297+1501+1485+1355+1413)</f>
        <v>7051</v>
      </c>
      <c r="E57" s="14">
        <f>SUM(156+158+152+127+108)</f>
        <v>701</v>
      </c>
      <c r="F57" s="15">
        <f>SUM(D57/E57)</f>
        <v>10.058487874465049</v>
      </c>
      <c r="G57" s="14">
        <v>5</v>
      </c>
      <c r="H57" s="14">
        <v>2</v>
      </c>
      <c r="I57" s="14"/>
      <c r="J57" s="14"/>
      <c r="K57" s="14"/>
      <c r="L57" s="14">
        <v>9.5</v>
      </c>
      <c r="M57" s="16"/>
    </row>
    <row r="58" spans="1:13" ht="18.75" x14ac:dyDescent="0.3">
      <c r="A58" s="3">
        <v>57</v>
      </c>
      <c r="B58" s="11" t="s">
        <v>125</v>
      </c>
      <c r="C58" s="7" t="s">
        <v>12</v>
      </c>
      <c r="D58" s="17">
        <f>SUM(1385)</f>
        <v>1385</v>
      </c>
      <c r="E58" s="14">
        <f>SUM(138)</f>
        <v>138</v>
      </c>
      <c r="F58" s="15">
        <f>SUM(D58/E58)</f>
        <v>10.036231884057971</v>
      </c>
      <c r="G58" s="14">
        <v>1</v>
      </c>
      <c r="H58" s="14"/>
      <c r="I58" s="14"/>
      <c r="J58" s="14"/>
      <c r="K58" s="14"/>
      <c r="L58" s="14">
        <v>2.5</v>
      </c>
      <c r="M58" s="16"/>
    </row>
    <row r="59" spans="1:13" ht="18.75" x14ac:dyDescent="0.3">
      <c r="A59" s="3">
        <v>58</v>
      </c>
      <c r="B59" s="11" t="s">
        <v>75</v>
      </c>
      <c r="C59" s="4" t="s">
        <v>60</v>
      </c>
      <c r="D59" s="17">
        <f>SUM(1459+1180+1070)</f>
        <v>3709</v>
      </c>
      <c r="E59" s="14">
        <f>SUM(165+111+96)</f>
        <v>372</v>
      </c>
      <c r="F59" s="15">
        <f>SUM(D59/E59)</f>
        <v>9.970430107526882</v>
      </c>
      <c r="G59" s="14">
        <v>3</v>
      </c>
      <c r="H59" s="14"/>
      <c r="I59" s="14"/>
      <c r="J59" s="14"/>
      <c r="K59" s="14"/>
      <c r="L59" s="14">
        <v>4.5</v>
      </c>
      <c r="M59" s="16"/>
    </row>
    <row r="60" spans="1:13" ht="18.75" x14ac:dyDescent="0.3">
      <c r="A60" s="3">
        <v>59</v>
      </c>
      <c r="B60" s="11" t="s">
        <v>64</v>
      </c>
      <c r="C60" s="8" t="s">
        <v>46</v>
      </c>
      <c r="D60" s="17">
        <f>SUM(1468+1466+912)</f>
        <v>3846</v>
      </c>
      <c r="E60" s="14">
        <f>SUM(156+165+75)</f>
        <v>396</v>
      </c>
      <c r="F60" s="15">
        <f>SUM(D60/E60)</f>
        <v>9.7121212121212128</v>
      </c>
      <c r="G60" s="14">
        <v>3</v>
      </c>
      <c r="H60" s="14"/>
      <c r="I60" s="14"/>
      <c r="J60" s="14"/>
      <c r="K60" s="14"/>
      <c r="L60" s="14">
        <v>2.5</v>
      </c>
      <c r="M60" s="16"/>
    </row>
    <row r="61" spans="1:13" ht="18.75" x14ac:dyDescent="0.3">
      <c r="A61" s="3">
        <v>60</v>
      </c>
      <c r="B61" s="11" t="s">
        <v>70</v>
      </c>
      <c r="C61" s="7" t="s">
        <v>53</v>
      </c>
      <c r="D61" s="17">
        <f>SUM(1480+1435+1503)</f>
        <v>4418</v>
      </c>
      <c r="E61" s="14">
        <f>SUM(180+141+139)</f>
        <v>460</v>
      </c>
      <c r="F61" s="15">
        <f>SUM(D61/E61)</f>
        <v>9.6043478260869559</v>
      </c>
      <c r="G61" s="14">
        <v>3</v>
      </c>
      <c r="H61" s="14">
        <v>1</v>
      </c>
      <c r="I61" s="14"/>
      <c r="J61" s="14"/>
      <c r="K61" s="14"/>
      <c r="L61" s="14">
        <v>5.5</v>
      </c>
      <c r="M61" s="16"/>
    </row>
    <row r="62" spans="1:13" ht="18.75" x14ac:dyDescent="0.3">
      <c r="A62" s="3">
        <v>61</v>
      </c>
      <c r="B62" s="11" t="s">
        <v>128</v>
      </c>
      <c r="C62" s="4" t="s">
        <v>46</v>
      </c>
      <c r="D62" s="17">
        <f>SUM(1498)</f>
        <v>1498</v>
      </c>
      <c r="E62" s="14">
        <f>SUM(161)</f>
        <v>161</v>
      </c>
      <c r="F62" s="15">
        <f>SUM(D62/E62)</f>
        <v>9.304347826086957</v>
      </c>
      <c r="G62" s="14">
        <v>1</v>
      </c>
      <c r="H62" s="14">
        <v>1</v>
      </c>
      <c r="I62" s="14"/>
      <c r="J62" s="14"/>
      <c r="K62" s="14"/>
      <c r="L62" s="14">
        <v>6.5</v>
      </c>
      <c r="M62" s="16"/>
    </row>
    <row r="63" spans="1:13" ht="18.75" x14ac:dyDescent="0.3">
      <c r="A63" s="3">
        <v>62</v>
      </c>
      <c r="B63" s="11" t="s">
        <v>68</v>
      </c>
      <c r="C63" s="4" t="s">
        <v>60</v>
      </c>
      <c r="D63" s="17">
        <f>SUM(1493+1464+1445)</f>
        <v>4402</v>
      </c>
      <c r="E63" s="14">
        <f>SUM(177+162+141)</f>
        <v>480</v>
      </c>
      <c r="F63" s="15">
        <f>SUM(D63/E63)</f>
        <v>9.1708333333333325</v>
      </c>
      <c r="G63" s="14">
        <v>3</v>
      </c>
      <c r="H63" s="14">
        <v>1</v>
      </c>
      <c r="I63" s="14"/>
      <c r="J63" s="14"/>
      <c r="K63" s="14"/>
      <c r="L63" s="14">
        <v>6.5</v>
      </c>
      <c r="M63" s="16"/>
    </row>
    <row r="64" spans="1:13" ht="18.75" x14ac:dyDescent="0.3">
      <c r="A64" s="3">
        <v>63</v>
      </c>
      <c r="B64" s="11" t="s">
        <v>124</v>
      </c>
      <c r="C64" s="4" t="s">
        <v>46</v>
      </c>
      <c r="D64" s="17">
        <f>SUM(1491)</f>
        <v>1491</v>
      </c>
      <c r="E64" s="14">
        <f>SUM(165)</f>
        <v>165</v>
      </c>
      <c r="F64" s="15">
        <f>SUM(D64/E64)</f>
        <v>9.036363636363637</v>
      </c>
      <c r="G64" s="14">
        <v>1</v>
      </c>
      <c r="H64" s="14"/>
      <c r="I64" s="14"/>
      <c r="J64" s="14"/>
      <c r="K64" s="14"/>
      <c r="L64" s="14">
        <v>0.5</v>
      </c>
      <c r="M64" s="16"/>
    </row>
    <row r="65" spans="1:18" ht="18.75" x14ac:dyDescent="0.3">
      <c r="A65" s="3">
        <v>64</v>
      </c>
      <c r="B65" s="11" t="s">
        <v>127</v>
      </c>
      <c r="C65" s="4" t="s">
        <v>60</v>
      </c>
      <c r="D65" s="17"/>
      <c r="E65" s="14"/>
      <c r="F65" s="15"/>
      <c r="G65" s="14"/>
      <c r="H65" s="14"/>
      <c r="I65" s="14"/>
      <c r="J65" s="14"/>
      <c r="K65" s="14"/>
      <c r="L65" s="14">
        <v>1</v>
      </c>
      <c r="M65" s="16"/>
    </row>
    <row r="66" spans="1:18" ht="18.75" x14ac:dyDescent="0.3">
      <c r="A66" s="3">
        <v>65</v>
      </c>
      <c r="B66" s="11" t="s">
        <v>113</v>
      </c>
      <c r="C66" s="7" t="s">
        <v>46</v>
      </c>
      <c r="D66" s="17"/>
      <c r="E66" s="14"/>
      <c r="F66" s="15"/>
      <c r="G66" s="14"/>
      <c r="H66" s="14"/>
      <c r="I66" s="14"/>
      <c r="J66" s="14"/>
      <c r="K66" s="14"/>
      <c r="L66" s="14">
        <v>0</v>
      </c>
      <c r="M66" s="16"/>
    </row>
    <row r="67" spans="1:18" ht="17.25" customHeight="1" thickBo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8" ht="19.5" customHeight="1" thickBot="1" x14ac:dyDescent="0.35">
      <c r="A68" s="5"/>
      <c r="B68" s="41" t="s">
        <v>139</v>
      </c>
      <c r="C68" s="60" t="s">
        <v>78</v>
      </c>
      <c r="D68" s="59" t="s">
        <v>79</v>
      </c>
      <c r="E68" s="70" t="s">
        <v>80</v>
      </c>
      <c r="F68" s="55" t="s">
        <v>108</v>
      </c>
      <c r="G68" s="69" t="s">
        <v>81</v>
      </c>
      <c r="I68" s="34" t="s">
        <v>82</v>
      </c>
      <c r="J68" s="35"/>
      <c r="K68" s="35"/>
      <c r="L68" s="35"/>
      <c r="M68" s="35"/>
      <c r="N68" s="35"/>
      <c r="O68" s="35"/>
      <c r="P68" s="35"/>
      <c r="Q68" s="35"/>
      <c r="R68" s="36"/>
    </row>
    <row r="69" spans="1:18" ht="18.75" x14ac:dyDescent="0.3">
      <c r="A69" s="5"/>
      <c r="B69" s="42"/>
      <c r="C69" s="29" t="s">
        <v>86</v>
      </c>
      <c r="D69" s="7">
        <v>5</v>
      </c>
      <c r="E69" s="27">
        <v>0</v>
      </c>
      <c r="F69" s="26">
        <v>0</v>
      </c>
      <c r="G69" s="29">
        <v>86</v>
      </c>
      <c r="I69" s="68" t="s">
        <v>84</v>
      </c>
      <c r="J69" s="67"/>
      <c r="K69" s="67"/>
      <c r="L69" s="67"/>
      <c r="M69" s="67"/>
      <c r="N69" s="37" t="s">
        <v>85</v>
      </c>
      <c r="O69" s="37"/>
      <c r="P69" s="37"/>
      <c r="Q69" s="37"/>
      <c r="R69" s="38"/>
    </row>
    <row r="70" spans="1:18" ht="18.75" x14ac:dyDescent="0.3">
      <c r="A70" s="5"/>
      <c r="B70" s="42"/>
      <c r="C70" s="30" t="s">
        <v>97</v>
      </c>
      <c r="D70" s="9">
        <v>5</v>
      </c>
      <c r="E70" s="11">
        <v>0</v>
      </c>
      <c r="F70" s="26">
        <v>0</v>
      </c>
      <c r="G70" s="30">
        <v>76</v>
      </c>
      <c r="I70" s="66" t="s">
        <v>87</v>
      </c>
      <c r="J70" s="65"/>
      <c r="K70" s="65"/>
      <c r="L70" s="65"/>
      <c r="M70" s="65"/>
      <c r="N70" s="39" t="s">
        <v>138</v>
      </c>
      <c r="O70" s="39"/>
      <c r="P70" s="39"/>
      <c r="Q70" s="39"/>
      <c r="R70" s="40"/>
    </row>
    <row r="71" spans="1:18" ht="18.75" x14ac:dyDescent="0.3">
      <c r="A71" s="5"/>
      <c r="B71" s="42"/>
      <c r="C71" s="29" t="s">
        <v>100</v>
      </c>
      <c r="D71" s="7">
        <v>4</v>
      </c>
      <c r="E71" s="62">
        <v>1</v>
      </c>
      <c r="F71" s="26">
        <v>0</v>
      </c>
      <c r="G71" s="61">
        <v>71</v>
      </c>
      <c r="I71" s="66" t="s">
        <v>90</v>
      </c>
      <c r="J71" s="65"/>
      <c r="K71" s="65"/>
      <c r="L71" s="65"/>
      <c r="M71" s="65"/>
      <c r="N71" s="39" t="s">
        <v>137</v>
      </c>
      <c r="O71" s="39"/>
      <c r="P71" s="39"/>
      <c r="Q71" s="39"/>
      <c r="R71" s="40"/>
    </row>
    <row r="72" spans="1:18" ht="18.75" x14ac:dyDescent="0.3">
      <c r="A72" s="6"/>
      <c r="B72" s="42"/>
      <c r="C72" s="29" t="s">
        <v>95</v>
      </c>
      <c r="D72" s="7">
        <v>4</v>
      </c>
      <c r="E72" s="62">
        <v>1</v>
      </c>
      <c r="F72" s="26">
        <v>0</v>
      </c>
      <c r="G72" s="61">
        <v>65</v>
      </c>
      <c r="I72" s="66" t="s">
        <v>93</v>
      </c>
      <c r="J72" s="65"/>
      <c r="K72" s="65"/>
      <c r="L72" s="65"/>
      <c r="M72" s="65"/>
      <c r="N72" s="39" t="s">
        <v>136</v>
      </c>
      <c r="O72" s="39"/>
      <c r="P72" s="39"/>
      <c r="Q72" s="39"/>
      <c r="R72" s="40"/>
    </row>
    <row r="73" spans="1:18" ht="18" customHeight="1" x14ac:dyDescent="0.3">
      <c r="A73" s="6"/>
      <c r="B73" s="42"/>
      <c r="C73" s="29" t="s">
        <v>92</v>
      </c>
      <c r="D73" s="7">
        <v>3</v>
      </c>
      <c r="E73" s="62">
        <v>2</v>
      </c>
      <c r="F73" s="26">
        <v>0</v>
      </c>
      <c r="G73" s="61">
        <v>69</v>
      </c>
      <c r="I73" s="66" t="s">
        <v>96</v>
      </c>
      <c r="J73" s="65"/>
      <c r="K73" s="65"/>
      <c r="L73" s="65"/>
      <c r="M73" s="65"/>
      <c r="N73" s="39" t="s">
        <v>91</v>
      </c>
      <c r="O73" s="39"/>
      <c r="P73" s="39"/>
      <c r="Q73" s="39"/>
      <c r="R73" s="40"/>
    </row>
    <row r="74" spans="1:18" ht="18" customHeight="1" thickBot="1" x14ac:dyDescent="0.35">
      <c r="A74" s="6"/>
      <c r="B74" s="42"/>
      <c r="C74" s="31" t="s">
        <v>83</v>
      </c>
      <c r="D74" s="20">
        <v>3</v>
      </c>
      <c r="E74" s="53">
        <v>2</v>
      </c>
      <c r="F74" s="52">
        <v>0</v>
      </c>
      <c r="G74" s="31">
        <v>64</v>
      </c>
      <c r="I74" s="64" t="s">
        <v>98</v>
      </c>
      <c r="J74" s="63"/>
      <c r="K74" s="63"/>
      <c r="L74" s="63"/>
      <c r="M74" s="63"/>
      <c r="N74" s="39" t="s">
        <v>109</v>
      </c>
      <c r="O74" s="39"/>
      <c r="P74" s="39"/>
      <c r="Q74" s="39"/>
      <c r="R74" s="40"/>
    </row>
    <row r="75" spans="1:18" ht="18.75" x14ac:dyDescent="0.3">
      <c r="A75" s="6"/>
      <c r="B75" s="42"/>
      <c r="C75" s="29" t="s">
        <v>99</v>
      </c>
      <c r="D75" s="7">
        <v>2</v>
      </c>
      <c r="E75" s="27">
        <v>3</v>
      </c>
      <c r="F75" s="26">
        <v>0</v>
      </c>
      <c r="G75" s="29">
        <v>64</v>
      </c>
      <c r="H75" s="6"/>
      <c r="I75" s="6"/>
      <c r="J75" s="6"/>
      <c r="K75" s="6"/>
      <c r="L75" s="6"/>
      <c r="M75" s="6"/>
    </row>
    <row r="76" spans="1:18" ht="18.75" x14ac:dyDescent="0.3">
      <c r="A76" s="6"/>
      <c r="B76" s="42"/>
      <c r="C76" s="29" t="s">
        <v>89</v>
      </c>
      <c r="D76" s="7">
        <v>2</v>
      </c>
      <c r="E76" s="62">
        <v>3</v>
      </c>
      <c r="F76" s="26">
        <v>0</v>
      </c>
      <c r="G76" s="61">
        <v>52</v>
      </c>
      <c r="H76" s="6"/>
    </row>
    <row r="77" spans="1:18" ht="18.75" x14ac:dyDescent="0.3">
      <c r="B77" s="42"/>
      <c r="C77" s="30" t="s">
        <v>101</v>
      </c>
      <c r="D77" s="9">
        <v>1</v>
      </c>
      <c r="E77" s="11">
        <v>4</v>
      </c>
      <c r="F77" s="26">
        <v>0</v>
      </c>
      <c r="G77" s="30">
        <v>53</v>
      </c>
    </row>
    <row r="78" spans="1:18" ht="18.75" x14ac:dyDescent="0.3">
      <c r="B78" s="42"/>
      <c r="C78" s="30" t="s">
        <v>104</v>
      </c>
      <c r="D78" s="9">
        <v>1</v>
      </c>
      <c r="E78" s="11">
        <v>4</v>
      </c>
      <c r="F78" s="26">
        <v>0</v>
      </c>
      <c r="G78" s="30">
        <v>34</v>
      </c>
    </row>
    <row r="79" spans="1:18" ht="18.75" x14ac:dyDescent="0.3">
      <c r="B79" s="42"/>
      <c r="C79" s="29" t="s">
        <v>103</v>
      </c>
      <c r="D79" s="7">
        <v>0</v>
      </c>
      <c r="E79" s="62">
        <v>5</v>
      </c>
      <c r="F79" s="26">
        <v>0</v>
      </c>
      <c r="G79" s="61">
        <v>52</v>
      </c>
    </row>
    <row r="80" spans="1:18" ht="19.5" thickBot="1" x14ac:dyDescent="0.35">
      <c r="B80" s="43"/>
      <c r="C80" s="30" t="s">
        <v>102</v>
      </c>
      <c r="D80" s="9">
        <v>0</v>
      </c>
      <c r="E80" s="11">
        <v>5</v>
      </c>
      <c r="F80" s="26">
        <v>0</v>
      </c>
      <c r="G80" s="30">
        <v>34</v>
      </c>
    </row>
    <row r="81" spans="3:7" ht="15.75" thickBot="1" x14ac:dyDescent="0.3"/>
    <row r="82" spans="3:7" ht="19.5" thickBot="1" x14ac:dyDescent="0.35">
      <c r="C82" s="60" t="s">
        <v>105</v>
      </c>
      <c r="D82" s="59" t="s">
        <v>79</v>
      </c>
      <c r="E82" s="59" t="s">
        <v>80</v>
      </c>
      <c r="F82" s="55" t="s">
        <v>108</v>
      </c>
      <c r="G82" s="58" t="s">
        <v>81</v>
      </c>
    </row>
    <row r="83" spans="3:7" ht="18.75" x14ac:dyDescent="0.3">
      <c r="C83" s="20" t="s">
        <v>86</v>
      </c>
      <c r="D83" s="20">
        <v>5</v>
      </c>
      <c r="E83" s="53">
        <v>0</v>
      </c>
      <c r="F83" s="52">
        <v>0</v>
      </c>
      <c r="G83" s="31">
        <v>86</v>
      </c>
    </row>
    <row r="84" spans="3:7" ht="18.75" x14ac:dyDescent="0.3">
      <c r="C84" s="20" t="s">
        <v>100</v>
      </c>
      <c r="D84" s="20">
        <v>4</v>
      </c>
      <c r="E84" s="51">
        <v>1</v>
      </c>
      <c r="F84" s="26">
        <v>0</v>
      </c>
      <c r="G84" s="50">
        <v>71</v>
      </c>
    </row>
    <row r="85" spans="3:7" ht="18.75" x14ac:dyDescent="0.3">
      <c r="C85" s="7" t="s">
        <v>95</v>
      </c>
      <c r="D85" s="7">
        <v>4</v>
      </c>
      <c r="E85" s="62">
        <v>1</v>
      </c>
      <c r="F85" s="26">
        <v>0</v>
      </c>
      <c r="G85" s="61">
        <v>65</v>
      </c>
    </row>
    <row r="86" spans="3:7" ht="18.75" x14ac:dyDescent="0.3">
      <c r="C86" s="7" t="s">
        <v>103</v>
      </c>
      <c r="D86" s="7">
        <v>0</v>
      </c>
      <c r="E86" s="62">
        <v>5</v>
      </c>
      <c r="F86" s="26">
        <v>0</v>
      </c>
      <c r="G86" s="61">
        <v>52</v>
      </c>
    </row>
    <row r="87" spans="3:7" ht="15.75" thickBot="1" x14ac:dyDescent="0.3"/>
    <row r="88" spans="3:7" ht="19.5" thickBot="1" x14ac:dyDescent="0.35">
      <c r="C88" s="60" t="s">
        <v>106</v>
      </c>
      <c r="D88" s="59" t="s">
        <v>79</v>
      </c>
      <c r="E88" s="59" t="s">
        <v>80</v>
      </c>
      <c r="F88" s="55" t="s">
        <v>108</v>
      </c>
      <c r="G88" s="58" t="s">
        <v>81</v>
      </c>
    </row>
    <row r="89" spans="3:7" ht="18.75" x14ac:dyDescent="0.3">
      <c r="C89" s="9" t="s">
        <v>97</v>
      </c>
      <c r="D89" s="9">
        <v>5</v>
      </c>
      <c r="E89" s="11">
        <v>0</v>
      </c>
      <c r="F89" s="26">
        <v>0</v>
      </c>
      <c r="G89" s="30">
        <v>76</v>
      </c>
    </row>
    <row r="90" spans="3:7" ht="18.75" x14ac:dyDescent="0.3">
      <c r="C90" s="20" t="s">
        <v>92</v>
      </c>
      <c r="D90" s="20">
        <v>3</v>
      </c>
      <c r="E90" s="51">
        <v>2</v>
      </c>
      <c r="F90" s="52">
        <v>0</v>
      </c>
      <c r="G90" s="50">
        <v>69</v>
      </c>
    </row>
    <row r="91" spans="3:7" ht="18.75" x14ac:dyDescent="0.3">
      <c r="C91" s="7" t="s">
        <v>99</v>
      </c>
      <c r="D91" s="7">
        <v>2</v>
      </c>
      <c r="E91" s="27">
        <v>3</v>
      </c>
      <c r="F91" s="26">
        <v>0</v>
      </c>
      <c r="G91" s="29">
        <v>64</v>
      </c>
    </row>
    <row r="92" spans="3:7" ht="18.75" x14ac:dyDescent="0.3">
      <c r="C92" s="9" t="s">
        <v>101</v>
      </c>
      <c r="D92" s="9">
        <v>1</v>
      </c>
      <c r="E92" s="11">
        <v>4</v>
      </c>
      <c r="F92" s="26">
        <v>0</v>
      </c>
      <c r="G92" s="30">
        <v>53</v>
      </c>
    </row>
    <row r="93" spans="3:7" ht="15.75" thickBot="1" x14ac:dyDescent="0.3"/>
    <row r="94" spans="3:7" ht="19.5" thickBot="1" x14ac:dyDescent="0.35">
      <c r="C94" s="57" t="s">
        <v>107</v>
      </c>
      <c r="D94" s="56" t="s">
        <v>79</v>
      </c>
      <c r="E94" s="56" t="s">
        <v>80</v>
      </c>
      <c r="F94" s="55" t="s">
        <v>108</v>
      </c>
      <c r="G94" s="54" t="s">
        <v>81</v>
      </c>
    </row>
    <row r="95" spans="3:7" ht="18.75" x14ac:dyDescent="0.3">
      <c r="C95" s="20" t="s">
        <v>83</v>
      </c>
      <c r="D95" s="20">
        <v>3</v>
      </c>
      <c r="E95" s="53">
        <v>2</v>
      </c>
      <c r="F95" s="52">
        <v>0</v>
      </c>
      <c r="G95" s="31">
        <v>64</v>
      </c>
    </row>
    <row r="96" spans="3:7" ht="18.75" x14ac:dyDescent="0.3">
      <c r="C96" s="20" t="s">
        <v>89</v>
      </c>
      <c r="D96" s="20">
        <v>2</v>
      </c>
      <c r="E96" s="51">
        <v>3</v>
      </c>
      <c r="F96" s="26">
        <v>0</v>
      </c>
      <c r="G96" s="50">
        <v>52</v>
      </c>
    </row>
    <row r="97" spans="3:7" ht="18.75" x14ac:dyDescent="0.3">
      <c r="C97" s="9" t="s">
        <v>104</v>
      </c>
      <c r="D97" s="9">
        <v>1</v>
      </c>
      <c r="E97" s="11">
        <v>4</v>
      </c>
      <c r="F97" s="26">
        <v>0</v>
      </c>
      <c r="G97" s="30">
        <v>34</v>
      </c>
    </row>
    <row r="98" spans="3:7" ht="18.75" x14ac:dyDescent="0.3">
      <c r="C98" s="9" t="s">
        <v>102</v>
      </c>
      <c r="D98" s="9">
        <v>0</v>
      </c>
      <c r="E98" s="11">
        <v>5</v>
      </c>
      <c r="F98" s="26">
        <v>0</v>
      </c>
      <c r="G98" s="30">
        <v>34</v>
      </c>
    </row>
  </sheetData>
  <mergeCells count="14">
    <mergeCell ref="N74:R74"/>
    <mergeCell ref="I68:R68"/>
    <mergeCell ref="N69:R69"/>
    <mergeCell ref="N70:R70"/>
    <mergeCell ref="N71:R71"/>
    <mergeCell ref="N72:R72"/>
    <mergeCell ref="N73:R73"/>
    <mergeCell ref="B68:B80"/>
    <mergeCell ref="I69:M69"/>
    <mergeCell ref="I70:M70"/>
    <mergeCell ref="I71:M71"/>
    <mergeCell ref="I72:M72"/>
    <mergeCell ref="I73:M73"/>
    <mergeCell ref="I74:M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>
      <pane ySplit="1" topLeftCell="A2" activePane="bottomLeft" state="frozen"/>
      <selection pane="bottomLeft" activeCell="N5" sqref="N5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7.710937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17</v>
      </c>
      <c r="C2" s="4" t="s">
        <v>14</v>
      </c>
      <c r="D2" s="14">
        <f>SUM(1475+1503+1379+1273+1389+1467)</f>
        <v>8486</v>
      </c>
      <c r="E2" s="14">
        <f>SUM(91+92+81+81+71+83)</f>
        <v>499</v>
      </c>
      <c r="F2" s="15">
        <f>SUM(D2/E2)</f>
        <v>17.006012024048097</v>
      </c>
      <c r="G2" s="14">
        <v>6</v>
      </c>
      <c r="H2" s="14">
        <v>4</v>
      </c>
      <c r="I2" s="14"/>
      <c r="J2" s="14"/>
      <c r="K2" s="14"/>
      <c r="L2" s="76">
        <v>19.5</v>
      </c>
      <c r="M2" s="16">
        <v>10</v>
      </c>
    </row>
    <row r="3" spans="1:13" ht="18.75" x14ac:dyDescent="0.3">
      <c r="A3" s="3">
        <v>2</v>
      </c>
      <c r="B3" s="4" t="s">
        <v>25</v>
      </c>
      <c r="C3" s="4" t="s">
        <v>16</v>
      </c>
      <c r="D3" s="14">
        <f>SUM(1497+1503+1503+1503+1503)</f>
        <v>7509</v>
      </c>
      <c r="E3" s="14">
        <f>SUM(100+85+83+92+83)</f>
        <v>443</v>
      </c>
      <c r="F3" s="15">
        <f>SUM(D3/E3)</f>
        <v>16.950338600451467</v>
      </c>
      <c r="G3" s="14">
        <v>5</v>
      </c>
      <c r="H3" s="14">
        <v>5</v>
      </c>
      <c r="I3" s="14">
        <v>1</v>
      </c>
      <c r="J3" s="14"/>
      <c r="K3" s="14"/>
      <c r="L3" s="14">
        <v>23</v>
      </c>
      <c r="M3" s="16">
        <v>10</v>
      </c>
    </row>
    <row r="4" spans="1:13" ht="18.75" x14ac:dyDescent="0.3">
      <c r="A4" s="3">
        <v>3</v>
      </c>
      <c r="B4" s="4" t="s">
        <v>15</v>
      </c>
      <c r="C4" s="4" t="s">
        <v>16</v>
      </c>
      <c r="D4" s="14">
        <f>SUM(1350+1487+1463+1503)</f>
        <v>5803</v>
      </c>
      <c r="E4" s="14">
        <f>SUM(80+82+83+99)</f>
        <v>344</v>
      </c>
      <c r="F4" s="15">
        <f>SUM(D4/E4)</f>
        <v>16.869186046511629</v>
      </c>
      <c r="G4" s="14">
        <v>4</v>
      </c>
      <c r="H4" s="14">
        <v>3</v>
      </c>
      <c r="I4" s="14"/>
      <c r="J4" s="14"/>
      <c r="K4" s="14"/>
      <c r="L4" s="14">
        <v>15</v>
      </c>
      <c r="M4" s="16">
        <v>10</v>
      </c>
    </row>
    <row r="5" spans="1:13" ht="18.75" x14ac:dyDescent="0.3">
      <c r="A5" s="3">
        <v>4</v>
      </c>
      <c r="B5" s="4" t="s">
        <v>13</v>
      </c>
      <c r="C5" s="4" t="s">
        <v>14</v>
      </c>
      <c r="D5" s="14">
        <f>SUM(1493+1503+1499+1371+1478+1493)</f>
        <v>8837</v>
      </c>
      <c r="E5" s="14">
        <f>SUM(82+81+101+87+100+89)</f>
        <v>540</v>
      </c>
      <c r="F5" s="15">
        <f>SUM(D5/E5)</f>
        <v>16.364814814814814</v>
      </c>
      <c r="G5" s="14">
        <v>6</v>
      </c>
      <c r="H5" s="14">
        <v>5</v>
      </c>
      <c r="I5" s="14">
        <v>1</v>
      </c>
      <c r="J5" s="14"/>
      <c r="K5" s="14"/>
      <c r="L5" s="14">
        <v>22.5</v>
      </c>
      <c r="M5" s="16">
        <v>15</v>
      </c>
    </row>
    <row r="6" spans="1:13" ht="18.75" x14ac:dyDescent="0.3">
      <c r="A6" s="3">
        <v>5</v>
      </c>
      <c r="B6" s="26" t="s">
        <v>135</v>
      </c>
      <c r="C6" s="4" t="s">
        <v>147</v>
      </c>
      <c r="D6" s="14">
        <f>SUM(1306+1503)</f>
        <v>2809</v>
      </c>
      <c r="E6" s="14">
        <f>SUM(81+98)</f>
        <v>179</v>
      </c>
      <c r="F6" s="15">
        <f>SUM(D6/E6)</f>
        <v>15.692737430167599</v>
      </c>
      <c r="G6" s="14">
        <v>2</v>
      </c>
      <c r="H6" s="14">
        <v>1</v>
      </c>
      <c r="I6" s="14"/>
      <c r="J6" s="14"/>
      <c r="K6" s="14"/>
      <c r="L6" s="14">
        <v>7.5</v>
      </c>
      <c r="M6" s="16"/>
    </row>
    <row r="7" spans="1:13" ht="18.75" x14ac:dyDescent="0.3">
      <c r="A7" s="3">
        <v>6</v>
      </c>
      <c r="B7" s="4" t="s">
        <v>27</v>
      </c>
      <c r="C7" s="4" t="s">
        <v>19</v>
      </c>
      <c r="D7" s="14">
        <f>SUM(1491+1430+1503+1498+1306+1503)</f>
        <v>8731</v>
      </c>
      <c r="E7" s="14">
        <f>SUM(102+105+81+93+72+105)</f>
        <v>558</v>
      </c>
      <c r="F7" s="15">
        <f>SUM(D7/E7)</f>
        <v>15.646953405017921</v>
      </c>
      <c r="G7" s="14">
        <v>6</v>
      </c>
      <c r="H7" s="14">
        <v>5</v>
      </c>
      <c r="I7" s="14"/>
      <c r="J7" s="14"/>
      <c r="K7" s="14"/>
      <c r="L7" s="14">
        <v>26.5</v>
      </c>
      <c r="M7" s="16"/>
    </row>
    <row r="8" spans="1:13" ht="18.75" x14ac:dyDescent="0.3">
      <c r="A8" s="3">
        <v>7</v>
      </c>
      <c r="B8" s="4" t="s">
        <v>11</v>
      </c>
      <c r="C8" s="4" t="s">
        <v>12</v>
      </c>
      <c r="D8" s="14">
        <f>SUM(1471+1503+1366+1503+1427)</f>
        <v>7270</v>
      </c>
      <c r="E8" s="14">
        <f>SUM(76+92+101+115+84)</f>
        <v>468</v>
      </c>
      <c r="F8" s="15">
        <f>SUM(D8/E8)</f>
        <v>15.534188034188034</v>
      </c>
      <c r="G8" s="14">
        <v>5</v>
      </c>
      <c r="H8" s="14">
        <v>4</v>
      </c>
      <c r="I8" s="14">
        <v>1</v>
      </c>
      <c r="J8" s="14"/>
      <c r="K8" s="14"/>
      <c r="L8" s="14">
        <v>20.5</v>
      </c>
      <c r="M8" s="16">
        <v>5</v>
      </c>
    </row>
    <row r="9" spans="1:13" ht="18.75" x14ac:dyDescent="0.3">
      <c r="A9" s="3">
        <v>8</v>
      </c>
      <c r="B9" s="4" t="s">
        <v>117</v>
      </c>
      <c r="C9" s="4" t="s">
        <v>53</v>
      </c>
      <c r="D9" s="14">
        <f>SUM(1503)</f>
        <v>1503</v>
      </c>
      <c r="E9" s="14">
        <f>SUM(97)</f>
        <v>97</v>
      </c>
      <c r="F9" s="15">
        <f>SUM(D9/E9)</f>
        <v>15.494845360824742</v>
      </c>
      <c r="G9" s="14">
        <v>1</v>
      </c>
      <c r="H9" s="14">
        <v>1</v>
      </c>
      <c r="I9" s="14"/>
      <c r="J9" s="14"/>
      <c r="K9" s="14"/>
      <c r="L9" s="14">
        <v>3.5</v>
      </c>
      <c r="M9" s="16"/>
    </row>
    <row r="10" spans="1:13" ht="18.75" x14ac:dyDescent="0.3">
      <c r="A10" s="3">
        <v>9</v>
      </c>
      <c r="B10" s="4" t="s">
        <v>34</v>
      </c>
      <c r="C10" s="4" t="s">
        <v>16</v>
      </c>
      <c r="D10" s="14">
        <f>SUM(1483+1471+1501+1503+1495+1501)</f>
        <v>8954</v>
      </c>
      <c r="E10" s="14">
        <f>SUM(107+83+84+79+105+120)</f>
        <v>578</v>
      </c>
      <c r="F10" s="15">
        <f>SUM(D10/E10)</f>
        <v>15.491349480968859</v>
      </c>
      <c r="G10" s="14">
        <v>6</v>
      </c>
      <c r="H10" s="14">
        <v>5</v>
      </c>
      <c r="I10" s="14"/>
      <c r="J10" s="14"/>
      <c r="K10" s="14"/>
      <c r="L10" s="14">
        <v>23</v>
      </c>
      <c r="M10" s="16">
        <v>5</v>
      </c>
    </row>
    <row r="11" spans="1:13" ht="18.75" x14ac:dyDescent="0.3">
      <c r="A11" s="3">
        <v>10</v>
      </c>
      <c r="B11" s="4" t="s">
        <v>18</v>
      </c>
      <c r="C11" s="4" t="s">
        <v>19</v>
      </c>
      <c r="D11" s="14">
        <f>SUM(1503+1488+1503+1430+1468+1461)</f>
        <v>8853</v>
      </c>
      <c r="E11" s="14">
        <f>SUM(93+90+102+88+102+99)</f>
        <v>574</v>
      </c>
      <c r="F11" s="15">
        <f>SUM(D11/E11)</f>
        <v>15.423344947735192</v>
      </c>
      <c r="G11" s="14">
        <v>6</v>
      </c>
      <c r="H11" s="14">
        <v>3</v>
      </c>
      <c r="I11" s="14"/>
      <c r="J11" s="14"/>
      <c r="K11" s="14"/>
      <c r="L11" s="14">
        <v>24.5</v>
      </c>
      <c r="M11" s="16"/>
    </row>
    <row r="12" spans="1:13" ht="18.75" x14ac:dyDescent="0.3">
      <c r="A12" s="3">
        <v>11</v>
      </c>
      <c r="B12" s="4" t="s">
        <v>38</v>
      </c>
      <c r="C12" s="7" t="s">
        <v>21</v>
      </c>
      <c r="D12" s="14">
        <f>SUM(1487+1503+1503+1386+1501+1503)</f>
        <v>8883</v>
      </c>
      <c r="E12" s="14">
        <f>SUM(111+101+74+85+132+87)</f>
        <v>590</v>
      </c>
      <c r="F12" s="15">
        <f>SUM(D12/E12)</f>
        <v>15.05593220338983</v>
      </c>
      <c r="G12" s="14">
        <v>6</v>
      </c>
      <c r="H12" s="14">
        <v>5</v>
      </c>
      <c r="I12" s="14"/>
      <c r="J12" s="14"/>
      <c r="K12" s="14"/>
      <c r="L12" s="14">
        <v>25</v>
      </c>
      <c r="M12" s="16">
        <v>5</v>
      </c>
    </row>
    <row r="13" spans="1:13" ht="18.75" x14ac:dyDescent="0.3">
      <c r="A13" s="3">
        <v>12</v>
      </c>
      <c r="B13" s="4" t="s">
        <v>71</v>
      </c>
      <c r="C13" s="4" t="s">
        <v>53</v>
      </c>
      <c r="D13" s="14">
        <f>SUM(1343+1449+1503+1477+1348)</f>
        <v>7120</v>
      </c>
      <c r="E13" s="14">
        <f>SUM(82+98+96+114+102)</f>
        <v>492</v>
      </c>
      <c r="F13" s="15">
        <f>SUM(D13/E13)</f>
        <v>14.471544715447154</v>
      </c>
      <c r="G13" s="14">
        <v>4</v>
      </c>
      <c r="H13" s="14">
        <v>1</v>
      </c>
      <c r="I13" s="14"/>
      <c r="J13" s="14"/>
      <c r="K13" s="14"/>
      <c r="L13" s="14">
        <v>11</v>
      </c>
      <c r="M13" s="16"/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SUM(1489+1454+1482+1503+1393+1503)</f>
        <v>8824</v>
      </c>
      <c r="E14" s="14">
        <f>SUM(111+105+94+95+97+115)</f>
        <v>617</v>
      </c>
      <c r="F14" s="15">
        <f>SUM(D14/E14)</f>
        <v>14.301458670988655</v>
      </c>
      <c r="G14" s="14">
        <v>6</v>
      </c>
      <c r="H14" s="14">
        <v>3</v>
      </c>
      <c r="I14" s="14"/>
      <c r="J14" s="14"/>
      <c r="K14" s="14"/>
      <c r="L14" s="14">
        <v>18.5</v>
      </c>
      <c r="M14" s="16"/>
    </row>
    <row r="15" spans="1:13" ht="18.75" x14ac:dyDescent="0.3">
      <c r="A15" s="3">
        <v>14</v>
      </c>
      <c r="B15" s="3" t="s">
        <v>20</v>
      </c>
      <c r="C15" s="4" t="s">
        <v>21</v>
      </c>
      <c r="D15" s="14">
        <f>SUM(1503+1459+1401+1182+1442+1421)</f>
        <v>8408</v>
      </c>
      <c r="E15" s="14">
        <f>SUM(96+99+104+94+108+90)</f>
        <v>591</v>
      </c>
      <c r="F15" s="15">
        <f>SUM(D15/E15)</f>
        <v>14.226734348561759</v>
      </c>
      <c r="G15" s="14">
        <v>6</v>
      </c>
      <c r="H15" s="14">
        <v>1</v>
      </c>
      <c r="I15" s="14">
        <v>1</v>
      </c>
      <c r="J15" s="14"/>
      <c r="K15" s="14"/>
      <c r="L15" s="14">
        <v>20.5</v>
      </c>
      <c r="M15" s="16"/>
    </row>
    <row r="16" spans="1:13" ht="18.75" x14ac:dyDescent="0.3">
      <c r="A16" s="3">
        <v>15</v>
      </c>
      <c r="B16" s="4" t="s">
        <v>43</v>
      </c>
      <c r="C16" s="4" t="s">
        <v>29</v>
      </c>
      <c r="D16" s="14">
        <f>SUM(984+1493+1090+1355+1485+1453)</f>
        <v>7860</v>
      </c>
      <c r="E16" s="14">
        <f>SUM(78+103+78+96+99+108)</f>
        <v>562</v>
      </c>
      <c r="F16" s="15">
        <f>SUM(D16/E16)</f>
        <v>13.98576512455516</v>
      </c>
      <c r="G16" s="14">
        <v>6</v>
      </c>
      <c r="H16" s="14">
        <v>2</v>
      </c>
      <c r="I16" s="14"/>
      <c r="J16" s="14"/>
      <c r="K16" s="14"/>
      <c r="L16" s="14">
        <v>13</v>
      </c>
      <c r="M16" s="16"/>
    </row>
    <row r="17" spans="1:13" ht="18.75" x14ac:dyDescent="0.3">
      <c r="A17" s="3">
        <v>16</v>
      </c>
      <c r="B17" s="10" t="s">
        <v>28</v>
      </c>
      <c r="C17" s="4" t="s">
        <v>29</v>
      </c>
      <c r="D17" s="14">
        <f>SUM(1400+1499+1422+1493+1503+1477)</f>
        <v>8794</v>
      </c>
      <c r="E17" s="14">
        <f>SUM(96+101+81+130+107+114)</f>
        <v>629</v>
      </c>
      <c r="F17" s="15">
        <f>SUM(D17/E17)</f>
        <v>13.980922098569158</v>
      </c>
      <c r="G17" s="14">
        <v>6</v>
      </c>
      <c r="H17" s="14">
        <v>4</v>
      </c>
      <c r="I17" s="14"/>
      <c r="J17" s="14"/>
      <c r="K17" s="14"/>
      <c r="L17" s="14">
        <v>21</v>
      </c>
      <c r="M17" s="16"/>
    </row>
    <row r="18" spans="1:13" ht="18.75" x14ac:dyDescent="0.3">
      <c r="A18" s="3">
        <v>17</v>
      </c>
      <c r="B18" s="4" t="s">
        <v>24</v>
      </c>
      <c r="C18" s="4" t="s">
        <v>23</v>
      </c>
      <c r="D18" s="14">
        <f>SUM(1408+1503+1475+1495+1503+1485)</f>
        <v>8869</v>
      </c>
      <c r="E18" s="14">
        <f>SUM(93+120+122+113+103+85)</f>
        <v>636</v>
      </c>
      <c r="F18" s="15">
        <f>SUM(D18/E18)</f>
        <v>13.94496855345912</v>
      </c>
      <c r="G18" s="14">
        <v>6</v>
      </c>
      <c r="H18" s="14">
        <v>4</v>
      </c>
      <c r="I18" s="14"/>
      <c r="J18" s="14"/>
      <c r="K18" s="14"/>
      <c r="L18" s="14">
        <v>22</v>
      </c>
      <c r="M18" s="16"/>
    </row>
    <row r="19" spans="1:13" ht="18.75" x14ac:dyDescent="0.3">
      <c r="A19" s="3">
        <v>18</v>
      </c>
      <c r="B19" s="26" t="s">
        <v>52</v>
      </c>
      <c r="C19" s="4" t="s">
        <v>53</v>
      </c>
      <c r="D19" s="14">
        <f>SUM(1503+1209+1369+1358+1425+1485)</f>
        <v>8349</v>
      </c>
      <c r="E19" s="14">
        <f>SUM(129+84+84+114+99+97)</f>
        <v>607</v>
      </c>
      <c r="F19" s="15">
        <f>SUM(D19/E19)</f>
        <v>13.754530477759474</v>
      </c>
      <c r="G19" s="14">
        <v>6</v>
      </c>
      <c r="H19" s="14">
        <v>3</v>
      </c>
      <c r="I19" s="14"/>
      <c r="J19" s="14"/>
      <c r="K19" s="14"/>
      <c r="L19" s="14">
        <v>20</v>
      </c>
      <c r="M19" s="16">
        <v>5</v>
      </c>
    </row>
    <row r="20" spans="1:13" ht="18.75" x14ac:dyDescent="0.3">
      <c r="A20" s="3">
        <v>19</v>
      </c>
      <c r="B20" s="3" t="s">
        <v>32</v>
      </c>
      <c r="C20" s="4" t="s">
        <v>33</v>
      </c>
      <c r="D20" s="14">
        <f>SUM(1375+1349+1415+1479+1469+1503)</f>
        <v>8590</v>
      </c>
      <c r="E20" s="14">
        <f>SUM(97+95+104+117+106+116)</f>
        <v>635</v>
      </c>
      <c r="F20" s="15">
        <f>SUM(D20/E20)</f>
        <v>13.527559055118111</v>
      </c>
      <c r="G20" s="14">
        <v>6</v>
      </c>
      <c r="H20" s="14">
        <v>3</v>
      </c>
      <c r="I20" s="14"/>
      <c r="J20" s="14"/>
      <c r="K20" s="14"/>
      <c r="L20" s="14">
        <v>16.5</v>
      </c>
      <c r="M20" s="16"/>
    </row>
    <row r="21" spans="1:13" ht="18.75" x14ac:dyDescent="0.3">
      <c r="A21" s="3">
        <v>20</v>
      </c>
      <c r="B21" s="4" t="s">
        <v>115</v>
      </c>
      <c r="C21" s="4" t="s">
        <v>12</v>
      </c>
      <c r="D21" s="14">
        <f>SUM(1485+1493+1468+1503+1359)</f>
        <v>7308</v>
      </c>
      <c r="E21" s="14">
        <f>SUM(119+86+129+112+98)</f>
        <v>544</v>
      </c>
      <c r="F21" s="15">
        <f>SUM(D21/E21)</f>
        <v>13.433823529411764</v>
      </c>
      <c r="G21" s="14">
        <v>5</v>
      </c>
      <c r="H21" s="14">
        <v>2</v>
      </c>
      <c r="I21" s="14"/>
      <c r="J21" s="14"/>
      <c r="K21" s="14"/>
      <c r="L21" s="14">
        <v>16.5</v>
      </c>
      <c r="M21" s="16"/>
    </row>
    <row r="22" spans="1:13" ht="18.75" x14ac:dyDescent="0.3">
      <c r="A22" s="3">
        <v>21</v>
      </c>
      <c r="B22" s="26" t="s">
        <v>56</v>
      </c>
      <c r="C22" s="7" t="s">
        <v>29</v>
      </c>
      <c r="D22" s="14">
        <f>SUM(1501+1284+1142+1483+1269+1441)</f>
        <v>8120</v>
      </c>
      <c r="E22" s="14">
        <f>SUM(132+99+81+119+90+91)</f>
        <v>612</v>
      </c>
      <c r="F22" s="15">
        <f>SUM(D22/E22)</f>
        <v>13.267973856209151</v>
      </c>
      <c r="G22" s="14">
        <v>5</v>
      </c>
      <c r="H22" s="14">
        <v>3</v>
      </c>
      <c r="I22" s="14"/>
      <c r="J22" s="14"/>
      <c r="K22" s="14"/>
      <c r="L22" s="14">
        <v>15.5</v>
      </c>
      <c r="M22" s="16"/>
    </row>
    <row r="23" spans="1:13" ht="18.75" x14ac:dyDescent="0.3">
      <c r="A23" s="3">
        <v>22</v>
      </c>
      <c r="B23" s="4" t="s">
        <v>47</v>
      </c>
      <c r="C23" s="4" t="s">
        <v>12</v>
      </c>
      <c r="D23" s="14">
        <f>SUM(1197+1447+1355+1487+1477)</f>
        <v>6963</v>
      </c>
      <c r="E23" s="14">
        <f>SUM(99+96+96+122+112)</f>
        <v>525</v>
      </c>
      <c r="F23" s="15">
        <f>SUM(D23/E23)</f>
        <v>13.262857142857143</v>
      </c>
      <c r="G23" s="14">
        <v>5</v>
      </c>
      <c r="H23" s="14">
        <v>1</v>
      </c>
      <c r="I23" s="14">
        <v>1</v>
      </c>
      <c r="J23" s="14"/>
      <c r="K23" s="14"/>
      <c r="L23" s="14">
        <v>14</v>
      </c>
      <c r="M23" s="16"/>
    </row>
    <row r="24" spans="1:13" ht="18.75" x14ac:dyDescent="0.3">
      <c r="A24" s="3">
        <v>23</v>
      </c>
      <c r="B24" s="26" t="s">
        <v>40</v>
      </c>
      <c r="C24" s="4" t="s">
        <v>23</v>
      </c>
      <c r="D24" s="14">
        <f>SUM(1446+1503+1491+1491+1503+1501)</f>
        <v>8935</v>
      </c>
      <c r="E24" s="14">
        <f>SUM(110+105+126+119+112+102)</f>
        <v>674</v>
      </c>
      <c r="F24" s="15">
        <f>SUM(D24/E24)</f>
        <v>13.256676557863502</v>
      </c>
      <c r="G24" s="14">
        <v>6</v>
      </c>
      <c r="H24" s="14">
        <v>4</v>
      </c>
      <c r="I24" s="14"/>
      <c r="J24" s="14"/>
      <c r="K24" s="14"/>
      <c r="L24" s="14">
        <v>23</v>
      </c>
      <c r="M24" s="16">
        <v>5</v>
      </c>
    </row>
    <row r="25" spans="1:13" ht="18.75" x14ac:dyDescent="0.3">
      <c r="A25" s="3">
        <v>24</v>
      </c>
      <c r="B25" s="4" t="s">
        <v>35</v>
      </c>
      <c r="C25" s="4" t="s">
        <v>33</v>
      </c>
      <c r="D25" s="14">
        <f>SUM(1453+1310+1456+1304+949+1406)</f>
        <v>7878</v>
      </c>
      <c r="E25" s="14">
        <f>SUM(105+122+95+112+75+90)</f>
        <v>599</v>
      </c>
      <c r="F25" s="15">
        <f>SUM(D25/E25)</f>
        <v>13.151919866444073</v>
      </c>
      <c r="G25" s="14">
        <v>6</v>
      </c>
      <c r="H25" s="14">
        <v>2</v>
      </c>
      <c r="I25" s="14"/>
      <c r="J25" s="14"/>
      <c r="K25" s="14"/>
      <c r="L25" s="14">
        <v>15.5</v>
      </c>
      <c r="M25" s="16"/>
    </row>
    <row r="26" spans="1:13" ht="18.75" x14ac:dyDescent="0.3">
      <c r="A26" s="3">
        <v>25</v>
      </c>
      <c r="B26" s="26" t="s">
        <v>116</v>
      </c>
      <c r="C26" s="4" t="s">
        <v>46</v>
      </c>
      <c r="D26" s="14">
        <f>SUM(1184+1495+1503+1260)</f>
        <v>5442</v>
      </c>
      <c r="E26" s="14">
        <f>SUM(78+154+98+84)</f>
        <v>414</v>
      </c>
      <c r="F26" s="15">
        <f>SUM(D26/E26)</f>
        <v>13.144927536231885</v>
      </c>
      <c r="G26" s="14">
        <v>3</v>
      </c>
      <c r="H26" s="14">
        <v>2</v>
      </c>
      <c r="I26" s="14"/>
      <c r="J26" s="14"/>
      <c r="K26" s="14"/>
      <c r="L26" s="14">
        <v>10</v>
      </c>
      <c r="M26" s="16"/>
    </row>
    <row r="27" spans="1:13" ht="18.75" x14ac:dyDescent="0.3">
      <c r="A27" s="3">
        <v>26</v>
      </c>
      <c r="B27" s="4" t="s">
        <v>22</v>
      </c>
      <c r="C27" s="4" t="s">
        <v>23</v>
      </c>
      <c r="D27" s="14">
        <f>SUM(1503+1341+1499+1500+1503+1438)</f>
        <v>8784</v>
      </c>
      <c r="E27" s="14">
        <f>SUM(96+100+124+121+117+114)</f>
        <v>672</v>
      </c>
      <c r="F27" s="15">
        <f>SUM(D27/E27)</f>
        <v>13.071428571428571</v>
      </c>
      <c r="G27" s="14">
        <v>6</v>
      </c>
      <c r="H27" s="14">
        <v>4</v>
      </c>
      <c r="I27" s="14"/>
      <c r="J27" s="14"/>
      <c r="K27" s="14"/>
      <c r="L27" s="14">
        <v>22</v>
      </c>
      <c r="M27" s="16"/>
    </row>
    <row r="28" spans="1:13" ht="18.75" x14ac:dyDescent="0.3">
      <c r="A28" s="3">
        <v>27</v>
      </c>
      <c r="B28" s="26" t="s">
        <v>51</v>
      </c>
      <c r="C28" s="4" t="s">
        <v>33</v>
      </c>
      <c r="D28" s="14">
        <f>SUM(1125+1277+1380+1480+1455+1503)</f>
        <v>8220</v>
      </c>
      <c r="E28" s="14">
        <f>SUM(96+102+98+119+103+112)</f>
        <v>630</v>
      </c>
      <c r="F28" s="15">
        <f>SUM(D28/E28)</f>
        <v>13.047619047619047</v>
      </c>
      <c r="G28" s="14">
        <v>6</v>
      </c>
      <c r="H28" s="14">
        <v>3</v>
      </c>
      <c r="I28" s="14"/>
      <c r="J28" s="14"/>
      <c r="K28" s="14"/>
      <c r="L28" s="14">
        <v>17</v>
      </c>
      <c r="M28" s="16">
        <v>5</v>
      </c>
    </row>
    <row r="29" spans="1:13" ht="18.75" x14ac:dyDescent="0.3">
      <c r="A29" s="3">
        <v>28</v>
      </c>
      <c r="B29" s="4" t="s">
        <v>31</v>
      </c>
      <c r="C29" s="4" t="s">
        <v>19</v>
      </c>
      <c r="D29" s="14">
        <f>SUM(1485+1497+1501+1503+1503)</f>
        <v>7489</v>
      </c>
      <c r="E29" s="14">
        <f>SUM(103+100+143+103+132)</f>
        <v>581</v>
      </c>
      <c r="F29" s="15">
        <f>SUM(D29/E29)</f>
        <v>12.889845094664372</v>
      </c>
      <c r="G29" s="14">
        <v>5</v>
      </c>
      <c r="H29" s="14">
        <v>3</v>
      </c>
      <c r="I29" s="14"/>
      <c r="J29" s="14"/>
      <c r="K29" s="14"/>
      <c r="L29" s="14">
        <v>20</v>
      </c>
      <c r="M29" s="16"/>
    </row>
    <row r="30" spans="1:13" ht="18.75" x14ac:dyDescent="0.3">
      <c r="A30" s="3">
        <v>29</v>
      </c>
      <c r="B30" s="4" t="s">
        <v>36</v>
      </c>
      <c r="C30" s="4" t="s">
        <v>16</v>
      </c>
      <c r="D30" s="14">
        <f>SUM(1472+1279+1463+1479+1401+1487)</f>
        <v>8581</v>
      </c>
      <c r="E30" s="14">
        <f>SUM(108+93+117+130+103+115)</f>
        <v>666</v>
      </c>
      <c r="F30" s="15">
        <f>SUM(D30/E30)</f>
        <v>12.884384384384385</v>
      </c>
      <c r="G30" s="14">
        <v>6</v>
      </c>
      <c r="H30" s="14">
        <v>3</v>
      </c>
      <c r="I30" s="14"/>
      <c r="J30" s="14"/>
      <c r="K30" s="14"/>
      <c r="L30" s="14">
        <v>19.5</v>
      </c>
      <c r="M30" s="16"/>
    </row>
    <row r="31" spans="1:13" ht="18.75" x14ac:dyDescent="0.3">
      <c r="A31" s="3">
        <v>30</v>
      </c>
      <c r="B31" s="26" t="s">
        <v>133</v>
      </c>
      <c r="C31" s="7" t="s">
        <v>46</v>
      </c>
      <c r="D31" s="14">
        <f>SUM(1380+1496+1443+1214)</f>
        <v>5533</v>
      </c>
      <c r="E31" s="14">
        <f>SUM(111+130+100+89)</f>
        <v>430</v>
      </c>
      <c r="F31" s="15">
        <f>SUM(D31/E31)</f>
        <v>12.867441860465116</v>
      </c>
      <c r="G31" s="14">
        <v>4</v>
      </c>
      <c r="H31" s="14">
        <v>2</v>
      </c>
      <c r="I31" s="14"/>
      <c r="J31" s="14"/>
      <c r="K31" s="14"/>
      <c r="L31" s="14">
        <v>7</v>
      </c>
      <c r="M31" s="16"/>
    </row>
    <row r="32" spans="1:13" ht="18.75" x14ac:dyDescent="0.3">
      <c r="A32" s="3">
        <v>31</v>
      </c>
      <c r="B32" s="26" t="s">
        <v>74</v>
      </c>
      <c r="C32" s="4" t="s">
        <v>60</v>
      </c>
      <c r="D32" s="14">
        <f>SUM(1491+1480+1457+1253+1439)</f>
        <v>7120</v>
      </c>
      <c r="E32" s="14">
        <f>SUM(100+103+151+111+93)</f>
        <v>558</v>
      </c>
      <c r="F32" s="15">
        <f>SUM(D32/E32)</f>
        <v>12.759856630824373</v>
      </c>
      <c r="G32" s="14">
        <v>5</v>
      </c>
      <c r="H32" s="14">
        <v>2</v>
      </c>
      <c r="I32" s="14"/>
      <c r="J32" s="14"/>
      <c r="K32" s="14"/>
      <c r="L32" s="14">
        <v>9</v>
      </c>
      <c r="M32" s="16"/>
    </row>
    <row r="33" spans="1:13" ht="18.75" x14ac:dyDescent="0.3">
      <c r="A33" s="3">
        <v>32</v>
      </c>
      <c r="B33" s="4" t="s">
        <v>41</v>
      </c>
      <c r="C33" s="7" t="s">
        <v>21</v>
      </c>
      <c r="D33" s="14">
        <f>SUM(1179+1413+1443+1451+1367+1503)</f>
        <v>8356</v>
      </c>
      <c r="E33" s="14">
        <f>SUM(90+119+112+108+114+113)</f>
        <v>656</v>
      </c>
      <c r="F33" s="15">
        <f>SUM(D33/E33)</f>
        <v>12.737804878048781</v>
      </c>
      <c r="G33" s="14">
        <v>6</v>
      </c>
      <c r="H33" s="14">
        <v>2</v>
      </c>
      <c r="I33" s="14"/>
      <c r="J33" s="14"/>
      <c r="K33" s="14"/>
      <c r="L33" s="14">
        <v>16</v>
      </c>
      <c r="M33" s="16">
        <v>5</v>
      </c>
    </row>
    <row r="34" spans="1:13" ht="18.75" x14ac:dyDescent="0.3">
      <c r="A34" s="3">
        <v>33</v>
      </c>
      <c r="B34" s="77" t="s">
        <v>57</v>
      </c>
      <c r="C34" s="4" t="s">
        <v>46</v>
      </c>
      <c r="D34" s="14">
        <f>SUM(1416+1252+1334+1500+1345+1490)</f>
        <v>8337</v>
      </c>
      <c r="E34" s="14">
        <f>SUM(125+84+99+144+105+98)</f>
        <v>655</v>
      </c>
      <c r="F34" s="15">
        <f>SUM(D34/E34)</f>
        <v>12.72824427480916</v>
      </c>
      <c r="G34" s="14">
        <v>6</v>
      </c>
      <c r="H34" s="14">
        <v>2</v>
      </c>
      <c r="I34" s="14"/>
      <c r="J34" s="14"/>
      <c r="K34" s="14"/>
      <c r="L34" s="14">
        <v>10</v>
      </c>
      <c r="M34" s="16"/>
    </row>
    <row r="35" spans="1:13" ht="18.75" x14ac:dyDescent="0.3">
      <c r="A35" s="3">
        <v>34</v>
      </c>
      <c r="B35" s="7" t="s">
        <v>44</v>
      </c>
      <c r="C35" s="4" t="s">
        <v>19</v>
      </c>
      <c r="D35" s="17">
        <f>SUM(1499+1503+1495+1500)</f>
        <v>5997</v>
      </c>
      <c r="E35" s="14">
        <f>SUM(120+113+112+127)</f>
        <v>472</v>
      </c>
      <c r="F35" s="15">
        <f>SUM(D35/E35)</f>
        <v>12.705508474576272</v>
      </c>
      <c r="G35" s="14">
        <v>4</v>
      </c>
      <c r="H35" s="14">
        <v>4</v>
      </c>
      <c r="I35" s="14"/>
      <c r="J35" s="14"/>
      <c r="K35" s="14"/>
      <c r="L35" s="14">
        <v>20</v>
      </c>
      <c r="M35" s="16"/>
    </row>
    <row r="36" spans="1:13" ht="18.75" x14ac:dyDescent="0.3">
      <c r="A36" s="3">
        <v>35</v>
      </c>
      <c r="B36" s="7" t="s">
        <v>67</v>
      </c>
      <c r="C36" s="4" t="s">
        <v>49</v>
      </c>
      <c r="D36" s="17">
        <f>SUM(1501+1454+1401+1499+1498+1316)</f>
        <v>8669</v>
      </c>
      <c r="E36" s="14">
        <f>SUM(162+98+128+112+110+80)</f>
        <v>690</v>
      </c>
      <c r="F36" s="15">
        <f>SUM(D36/E36)</f>
        <v>12.563768115942029</v>
      </c>
      <c r="G36" s="14">
        <v>6</v>
      </c>
      <c r="H36" s="14">
        <v>3</v>
      </c>
      <c r="I36" s="14"/>
      <c r="J36" s="14"/>
      <c r="K36" s="14"/>
      <c r="L36" s="14">
        <v>18</v>
      </c>
      <c r="M36" s="16">
        <v>10</v>
      </c>
    </row>
    <row r="37" spans="1:13" ht="18.75" x14ac:dyDescent="0.3">
      <c r="A37" s="3">
        <v>36</v>
      </c>
      <c r="B37" s="7" t="s">
        <v>26</v>
      </c>
      <c r="C37" s="4" t="s">
        <v>21</v>
      </c>
      <c r="D37" s="17">
        <f>SUM(1301+1470+1495+1501+1264)</f>
        <v>7031</v>
      </c>
      <c r="E37" s="14">
        <f>SUM(88+118+154+110+98)</f>
        <v>568</v>
      </c>
      <c r="F37" s="15">
        <f>SUM(D37/E37)</f>
        <v>12.378521126760564</v>
      </c>
      <c r="G37" s="14">
        <v>5</v>
      </c>
      <c r="H37" s="14">
        <v>3</v>
      </c>
      <c r="I37" s="14"/>
      <c r="J37" s="14"/>
      <c r="K37" s="14"/>
      <c r="L37" s="14">
        <v>16.5</v>
      </c>
      <c r="M37" s="16"/>
    </row>
    <row r="38" spans="1:13" ht="18.75" x14ac:dyDescent="0.3">
      <c r="A38" s="3">
        <v>37</v>
      </c>
      <c r="B38" s="9" t="s">
        <v>45</v>
      </c>
      <c r="C38" s="4" t="s">
        <v>46</v>
      </c>
      <c r="D38" s="17">
        <f>SUM(1497+1394)</f>
        <v>2891</v>
      </c>
      <c r="E38" s="14">
        <f>SUM(120+114)</f>
        <v>234</v>
      </c>
      <c r="F38" s="15">
        <f>SUM(D38/E38)</f>
        <v>12.354700854700855</v>
      </c>
      <c r="G38" s="14">
        <v>2</v>
      </c>
      <c r="H38" s="14"/>
      <c r="I38" s="14"/>
      <c r="J38" s="14"/>
      <c r="K38" s="14"/>
      <c r="L38" s="14">
        <v>1</v>
      </c>
      <c r="M38" s="16"/>
    </row>
    <row r="39" spans="1:13" ht="18.75" x14ac:dyDescent="0.3">
      <c r="A39" s="3">
        <v>38</v>
      </c>
      <c r="B39" s="7" t="s">
        <v>48</v>
      </c>
      <c r="C39" s="4" t="s">
        <v>49</v>
      </c>
      <c r="D39" s="17">
        <f>SUM(1498+1501+1411+1162+1480+1223)</f>
        <v>8275</v>
      </c>
      <c r="E39" s="14">
        <f>SUM(124+124+124+90+129+85)</f>
        <v>676</v>
      </c>
      <c r="F39" s="15">
        <f>SUM(D39/E39)</f>
        <v>12.241124260355029</v>
      </c>
      <c r="G39" s="14">
        <v>6</v>
      </c>
      <c r="H39" s="14">
        <v>2</v>
      </c>
      <c r="I39" s="14"/>
      <c r="J39" s="14"/>
      <c r="K39" s="14"/>
      <c r="L39" s="14">
        <v>18.5</v>
      </c>
      <c r="M39" s="16">
        <v>5</v>
      </c>
    </row>
    <row r="40" spans="1:13" ht="18.75" x14ac:dyDescent="0.3">
      <c r="A40" s="3">
        <v>39</v>
      </c>
      <c r="B40" s="9" t="s">
        <v>39</v>
      </c>
      <c r="C40" s="4" t="s">
        <v>29</v>
      </c>
      <c r="D40" s="17">
        <f>SUM(1503+1335+1494+1501+1503+1447)</f>
        <v>8783</v>
      </c>
      <c r="E40" s="14">
        <f>SUM(114+123+120+142+132+98)</f>
        <v>729</v>
      </c>
      <c r="F40" s="15">
        <f>SUM(D40/E40)</f>
        <v>12.048010973936901</v>
      </c>
      <c r="G40" s="14">
        <v>6</v>
      </c>
      <c r="H40" s="14">
        <v>3</v>
      </c>
      <c r="I40" s="14"/>
      <c r="J40" s="14"/>
      <c r="K40" s="14"/>
      <c r="L40" s="14">
        <v>16.5</v>
      </c>
      <c r="M40" s="16"/>
    </row>
    <row r="41" spans="1:13" ht="18.75" x14ac:dyDescent="0.3">
      <c r="A41" s="3">
        <v>40</v>
      </c>
      <c r="B41" s="7" t="s">
        <v>63</v>
      </c>
      <c r="C41" s="4" t="s">
        <v>53</v>
      </c>
      <c r="D41" s="17">
        <f>SUM(1498+1066+1491+1501+1497)</f>
        <v>7053</v>
      </c>
      <c r="E41" s="14">
        <f>SUM(158+78+104+125+126)</f>
        <v>591</v>
      </c>
      <c r="F41" s="15">
        <f>SUM(D41/E41)</f>
        <v>11.934010152284264</v>
      </c>
      <c r="G41" s="14">
        <v>5</v>
      </c>
      <c r="H41" s="14">
        <v>2</v>
      </c>
      <c r="I41" s="14"/>
      <c r="J41" s="14"/>
      <c r="K41" s="14"/>
      <c r="L41" s="14">
        <v>9</v>
      </c>
      <c r="M41" s="16"/>
    </row>
    <row r="42" spans="1:13" ht="18.75" x14ac:dyDescent="0.3">
      <c r="A42" s="3">
        <v>41</v>
      </c>
      <c r="B42" s="79" t="s">
        <v>30</v>
      </c>
      <c r="C42" s="8" t="s">
        <v>23</v>
      </c>
      <c r="D42" s="17">
        <f>SUM(1302+1358+1471+1503+1495+1235)</f>
        <v>8364</v>
      </c>
      <c r="E42" s="14">
        <f>SUM(90+98+130+127+149+111)</f>
        <v>705</v>
      </c>
      <c r="F42" s="15">
        <f>SUM(D42/E42)</f>
        <v>11.863829787234042</v>
      </c>
      <c r="G42" s="14">
        <v>6</v>
      </c>
      <c r="H42" s="14">
        <v>4</v>
      </c>
      <c r="I42" s="14"/>
      <c r="J42" s="14"/>
      <c r="K42" s="14"/>
      <c r="L42" s="14">
        <v>20</v>
      </c>
      <c r="M42" s="16"/>
    </row>
    <row r="43" spans="1:13" ht="18.75" x14ac:dyDescent="0.3">
      <c r="A43" s="3">
        <v>42</v>
      </c>
      <c r="B43" s="7" t="s">
        <v>72</v>
      </c>
      <c r="C43" s="7" t="s">
        <v>19</v>
      </c>
      <c r="D43" s="17">
        <f>SUM(1495+1461+1481)</f>
        <v>4437</v>
      </c>
      <c r="E43" s="14">
        <f>SUM(117+130+128)</f>
        <v>375</v>
      </c>
      <c r="F43" s="15">
        <f>SUM(D43/E43)</f>
        <v>11.832000000000001</v>
      </c>
      <c r="G43" s="14">
        <v>3</v>
      </c>
      <c r="H43" s="14">
        <v>2</v>
      </c>
      <c r="I43" s="14"/>
      <c r="J43" s="14"/>
      <c r="K43" s="14"/>
      <c r="L43" s="14">
        <v>11.5</v>
      </c>
      <c r="M43" s="16"/>
    </row>
    <row r="44" spans="1:13" ht="18.75" x14ac:dyDescent="0.3">
      <c r="A44" s="3">
        <v>43</v>
      </c>
      <c r="B44" s="18" t="s">
        <v>55</v>
      </c>
      <c r="C44" s="7" t="s">
        <v>33</v>
      </c>
      <c r="D44" s="17">
        <f>SUM(1418+1495+1361+1446+1491)</f>
        <v>7211</v>
      </c>
      <c r="E44" s="14">
        <f>SUM(122+118+123+150+97)</f>
        <v>610</v>
      </c>
      <c r="F44" s="15">
        <f>SUM(D44/E44)</f>
        <v>11.821311475409836</v>
      </c>
      <c r="G44" s="14">
        <v>5</v>
      </c>
      <c r="H44" s="14">
        <v>3</v>
      </c>
      <c r="I44" s="14"/>
      <c r="J44" s="14"/>
      <c r="K44" s="14"/>
      <c r="L44" s="14">
        <v>13.5</v>
      </c>
      <c r="M44" s="16"/>
    </row>
    <row r="45" spans="1:13" ht="18.75" x14ac:dyDescent="0.3">
      <c r="A45" s="3">
        <v>44</v>
      </c>
      <c r="B45" s="7" t="s">
        <v>50</v>
      </c>
      <c r="C45" s="7" t="s">
        <v>12</v>
      </c>
      <c r="D45" s="17">
        <f>SUM(1235+1395)</f>
        <v>2630</v>
      </c>
      <c r="E45" s="14">
        <f>SUM(104+119)</f>
        <v>223</v>
      </c>
      <c r="F45" s="15">
        <f>SUM(D45/E45)</f>
        <v>11.79372197309417</v>
      </c>
      <c r="G45" s="14">
        <v>2</v>
      </c>
      <c r="H45" s="14"/>
      <c r="I45" s="14"/>
      <c r="J45" s="14"/>
      <c r="K45" s="14"/>
      <c r="L45" s="14">
        <v>6</v>
      </c>
      <c r="M45" s="16"/>
    </row>
    <row r="46" spans="1:13" ht="18.75" x14ac:dyDescent="0.3">
      <c r="A46" s="3">
        <v>45</v>
      </c>
      <c r="B46" s="9" t="s">
        <v>131</v>
      </c>
      <c r="C46" s="7" t="s">
        <v>60</v>
      </c>
      <c r="D46" s="17">
        <f>SUM(1359)</f>
        <v>1359</v>
      </c>
      <c r="E46" s="14">
        <f>SUM(116)</f>
        <v>116</v>
      </c>
      <c r="F46" s="15">
        <f>SUM(D46/E46)</f>
        <v>11.71551724137931</v>
      </c>
      <c r="G46" s="14">
        <v>1</v>
      </c>
      <c r="H46" s="14">
        <v>1</v>
      </c>
      <c r="I46" s="14"/>
      <c r="J46" s="14"/>
      <c r="K46" s="14"/>
      <c r="L46" s="14">
        <v>2</v>
      </c>
      <c r="M46" s="16"/>
    </row>
    <row r="47" spans="1:13" ht="18.75" x14ac:dyDescent="0.3">
      <c r="A47" s="3">
        <v>46</v>
      </c>
      <c r="B47" s="9" t="s">
        <v>76</v>
      </c>
      <c r="C47" s="7" t="s">
        <v>49</v>
      </c>
      <c r="D47" s="17">
        <f>SUM(1499+1501+1408+1503+1495)</f>
        <v>7406</v>
      </c>
      <c r="E47" s="14">
        <f>SUM(172+128+99+114+138)</f>
        <v>651</v>
      </c>
      <c r="F47" s="15">
        <f>SUM(D47/E47)</f>
        <v>11.376344086021506</v>
      </c>
      <c r="G47" s="14">
        <v>5</v>
      </c>
      <c r="H47" s="14">
        <v>3</v>
      </c>
      <c r="I47" s="14"/>
      <c r="J47" s="14"/>
      <c r="K47" s="14"/>
      <c r="L47" s="14">
        <v>19</v>
      </c>
      <c r="M47" s="16"/>
    </row>
    <row r="48" spans="1:13" ht="18.75" x14ac:dyDescent="0.3">
      <c r="A48" s="3">
        <v>47</v>
      </c>
      <c r="B48" s="9" t="s">
        <v>73</v>
      </c>
      <c r="C48" s="7" t="s">
        <v>21</v>
      </c>
      <c r="D48" s="17">
        <f>SUM(1472)</f>
        <v>1472</v>
      </c>
      <c r="E48" s="14">
        <f>SUM(133)</f>
        <v>133</v>
      </c>
      <c r="F48" s="15">
        <f>SUM(D48/E48)</f>
        <v>11.06766917293233</v>
      </c>
      <c r="G48" s="14">
        <v>1</v>
      </c>
      <c r="H48" s="14">
        <v>1</v>
      </c>
      <c r="I48" s="14"/>
      <c r="J48" s="14"/>
      <c r="K48" s="14"/>
      <c r="L48" s="14">
        <v>4</v>
      </c>
      <c r="M48" s="16"/>
    </row>
    <row r="49" spans="1:13" ht="18.75" x14ac:dyDescent="0.3">
      <c r="A49" s="3">
        <v>48</v>
      </c>
      <c r="B49" s="7" t="s">
        <v>61</v>
      </c>
      <c r="C49" s="4" t="s">
        <v>53</v>
      </c>
      <c r="D49" s="17">
        <f>SUM(1483+1452+1373)</f>
        <v>4308</v>
      </c>
      <c r="E49" s="14">
        <f>SUM(136+141+114)</f>
        <v>391</v>
      </c>
      <c r="F49" s="15">
        <f>SUM(D49/E49)</f>
        <v>11.017902813299234</v>
      </c>
      <c r="G49" s="14">
        <v>3</v>
      </c>
      <c r="H49" s="14">
        <v>1</v>
      </c>
      <c r="I49" s="14"/>
      <c r="J49" s="14"/>
      <c r="K49" s="14"/>
      <c r="L49" s="14">
        <v>6.5</v>
      </c>
      <c r="M49" s="16"/>
    </row>
    <row r="50" spans="1:13" ht="18.75" x14ac:dyDescent="0.3">
      <c r="A50" s="3">
        <v>49</v>
      </c>
      <c r="B50" s="7" t="s">
        <v>58</v>
      </c>
      <c r="C50" s="8" t="s">
        <v>14</v>
      </c>
      <c r="D50" s="17">
        <f>SUM(1431+1499+1493+1499+1374+1491)</f>
        <v>8787</v>
      </c>
      <c r="E50" s="14">
        <f>SUM(128+168+144+126+105+139)</f>
        <v>810</v>
      </c>
      <c r="F50" s="15">
        <f>SUM(D50/E50)</f>
        <v>10.848148148148148</v>
      </c>
      <c r="G50" s="14">
        <v>6</v>
      </c>
      <c r="H50" s="14">
        <v>4</v>
      </c>
      <c r="I50" s="14"/>
      <c r="J50" s="14"/>
      <c r="K50" s="14"/>
      <c r="L50" s="14">
        <v>22.5</v>
      </c>
      <c r="M50" s="16"/>
    </row>
    <row r="51" spans="1:13" ht="18.75" x14ac:dyDescent="0.3">
      <c r="A51" s="3">
        <v>50</v>
      </c>
      <c r="B51" s="11" t="s">
        <v>129</v>
      </c>
      <c r="C51" s="7" t="s">
        <v>16</v>
      </c>
      <c r="D51" s="17">
        <f>SUM(1424+1496)</f>
        <v>2920</v>
      </c>
      <c r="E51" s="14">
        <f>SUM(126+145)</f>
        <v>271</v>
      </c>
      <c r="F51" s="15">
        <f>SUM(D51/E51)</f>
        <v>10.77490774907749</v>
      </c>
      <c r="G51" s="14">
        <v>2</v>
      </c>
      <c r="H51" s="14"/>
      <c r="I51" s="14"/>
      <c r="J51" s="14"/>
      <c r="K51" s="14"/>
      <c r="L51" s="14">
        <v>4.5</v>
      </c>
      <c r="M51" s="16"/>
    </row>
    <row r="52" spans="1:13" ht="18.75" x14ac:dyDescent="0.3">
      <c r="A52" s="3">
        <v>51</v>
      </c>
      <c r="B52" s="11" t="s">
        <v>62</v>
      </c>
      <c r="C52" s="8" t="s">
        <v>60</v>
      </c>
      <c r="D52" s="17">
        <f>SUM(1264+920+1335)</f>
        <v>3519</v>
      </c>
      <c r="E52" s="14">
        <f>SUM(123+72+138)</f>
        <v>333</v>
      </c>
      <c r="F52" s="15">
        <f>SUM(D52/E52)</f>
        <v>10.567567567567568</v>
      </c>
      <c r="G52" s="14">
        <v>3</v>
      </c>
      <c r="H52" s="14"/>
      <c r="I52" s="14"/>
      <c r="J52" s="14"/>
      <c r="K52" s="14"/>
      <c r="L52" s="14">
        <v>2</v>
      </c>
      <c r="M52" s="16"/>
    </row>
    <row r="53" spans="1:13" ht="18.75" x14ac:dyDescent="0.3">
      <c r="A53" s="3">
        <v>52</v>
      </c>
      <c r="B53" s="11" t="s">
        <v>59</v>
      </c>
      <c r="C53" s="4" t="s">
        <v>60</v>
      </c>
      <c r="D53" s="17">
        <f>SUM(1495+1198)</f>
        <v>2693</v>
      </c>
      <c r="E53" s="14">
        <f>SUM(137+121)</f>
        <v>258</v>
      </c>
      <c r="F53" s="15">
        <f>SUM(D53/E53)</f>
        <v>10.437984496124031</v>
      </c>
      <c r="G53" s="14">
        <v>2</v>
      </c>
      <c r="H53" s="14"/>
      <c r="I53" s="14"/>
      <c r="J53" s="14"/>
      <c r="K53" s="14"/>
      <c r="L53" s="14">
        <v>2</v>
      </c>
      <c r="M53" s="16"/>
    </row>
    <row r="54" spans="1:13" ht="18.75" x14ac:dyDescent="0.3">
      <c r="A54" s="3">
        <v>53</v>
      </c>
      <c r="B54" s="27" t="s">
        <v>42</v>
      </c>
      <c r="C54" s="7" t="s">
        <v>14</v>
      </c>
      <c r="D54" s="17">
        <f>SUM(1482+1499+1503+1491+1294+1465)</f>
        <v>8734</v>
      </c>
      <c r="E54" s="14">
        <f>SUM(117+165+144+126+126+162)</f>
        <v>840</v>
      </c>
      <c r="F54" s="15">
        <f>SUM(D54/E54)</f>
        <v>10.397619047619047</v>
      </c>
      <c r="G54" s="14">
        <v>6</v>
      </c>
      <c r="H54" s="14">
        <v>2</v>
      </c>
      <c r="I54" s="14">
        <v>1</v>
      </c>
      <c r="J54" s="14"/>
      <c r="K54" s="14"/>
      <c r="L54" s="14">
        <v>17.5</v>
      </c>
      <c r="M54" s="16"/>
    </row>
    <row r="55" spans="1:13" ht="18.75" x14ac:dyDescent="0.3">
      <c r="A55" s="3">
        <v>54</v>
      </c>
      <c r="B55" s="27" t="s">
        <v>54</v>
      </c>
      <c r="C55" s="7" t="s">
        <v>49</v>
      </c>
      <c r="D55" s="17">
        <f>SUM(1408+1461)</f>
        <v>2869</v>
      </c>
      <c r="E55" s="14">
        <f>SUM(121+158)</f>
        <v>279</v>
      </c>
      <c r="F55" s="15">
        <f>SUM(D55/E55)</f>
        <v>10.283154121863799</v>
      </c>
      <c r="G55" s="14">
        <v>2</v>
      </c>
      <c r="H55" s="14">
        <v>1</v>
      </c>
      <c r="I55" s="14"/>
      <c r="J55" s="14"/>
      <c r="K55" s="14"/>
      <c r="L55" s="14">
        <v>8</v>
      </c>
      <c r="M55" s="16"/>
    </row>
    <row r="56" spans="1:13" ht="18.75" x14ac:dyDescent="0.3">
      <c r="A56" s="3">
        <v>55</v>
      </c>
      <c r="B56" s="11" t="s">
        <v>69</v>
      </c>
      <c r="C56" s="7" t="s">
        <v>60</v>
      </c>
      <c r="D56" s="17">
        <f>SUM(1297+1501+1485+1355+1413+1350)</f>
        <v>8401</v>
      </c>
      <c r="E56" s="14">
        <f>SUM(156+158+152+127+108+117)</f>
        <v>818</v>
      </c>
      <c r="F56" s="15">
        <f>SUM(D56/E56)</f>
        <v>10.270171149144254</v>
      </c>
      <c r="G56" s="14">
        <v>6</v>
      </c>
      <c r="H56" s="14">
        <v>2</v>
      </c>
      <c r="I56" s="14"/>
      <c r="J56" s="14"/>
      <c r="K56" s="14"/>
      <c r="L56" s="14">
        <v>11</v>
      </c>
      <c r="M56" s="16"/>
    </row>
    <row r="57" spans="1:13" ht="18.75" x14ac:dyDescent="0.3">
      <c r="A57" s="3">
        <v>56</v>
      </c>
      <c r="B57" s="11" t="s">
        <v>65</v>
      </c>
      <c r="C57" s="7" t="s">
        <v>46</v>
      </c>
      <c r="D57" s="17">
        <f>SUM(1493+1344+1345)</f>
        <v>4182</v>
      </c>
      <c r="E57" s="14">
        <f>SUM(159+141+111)</f>
        <v>411</v>
      </c>
      <c r="F57" s="15">
        <f>SUM(D57/E57)</f>
        <v>10.175182481751825</v>
      </c>
      <c r="G57" s="14">
        <v>3</v>
      </c>
      <c r="H57" s="14"/>
      <c r="I57" s="14"/>
      <c r="J57" s="14"/>
      <c r="K57" s="14"/>
      <c r="L57" s="14">
        <v>1.5</v>
      </c>
      <c r="M57" s="16"/>
    </row>
    <row r="58" spans="1:13" ht="18.75" x14ac:dyDescent="0.3">
      <c r="A58" s="3">
        <v>57</v>
      </c>
      <c r="B58" s="11" t="s">
        <v>70</v>
      </c>
      <c r="C58" s="7" t="s">
        <v>53</v>
      </c>
      <c r="D58" s="17">
        <f>SUM(1480+1435+1503+1491)</f>
        <v>5909</v>
      </c>
      <c r="E58" s="14">
        <f>SUM(180+141+139+125)</f>
        <v>585</v>
      </c>
      <c r="F58" s="15">
        <f>SUM(D58/E58)</f>
        <v>10.1008547008547</v>
      </c>
      <c r="G58" s="14">
        <v>4</v>
      </c>
      <c r="H58" s="14">
        <v>1</v>
      </c>
      <c r="I58" s="14"/>
      <c r="J58" s="14"/>
      <c r="K58" s="14"/>
      <c r="L58" s="14">
        <v>7</v>
      </c>
      <c r="M58" s="16"/>
    </row>
    <row r="59" spans="1:13" ht="18.75" x14ac:dyDescent="0.3">
      <c r="A59" s="3">
        <v>58</v>
      </c>
      <c r="B59" s="11" t="s">
        <v>125</v>
      </c>
      <c r="C59" s="4" t="s">
        <v>12</v>
      </c>
      <c r="D59" s="17">
        <f>SUM(1385)</f>
        <v>1385</v>
      </c>
      <c r="E59" s="14">
        <f>SUM(138)</f>
        <v>138</v>
      </c>
      <c r="F59" s="15">
        <f>SUM(D59/E59)</f>
        <v>10.036231884057971</v>
      </c>
      <c r="G59" s="14">
        <v>1</v>
      </c>
      <c r="H59" s="14"/>
      <c r="I59" s="14"/>
      <c r="J59" s="14"/>
      <c r="K59" s="14"/>
      <c r="L59" s="14">
        <v>2.5</v>
      </c>
      <c r="M59" s="16"/>
    </row>
    <row r="60" spans="1:13" ht="18.75" x14ac:dyDescent="0.3">
      <c r="A60" s="3">
        <v>59</v>
      </c>
      <c r="B60" s="11" t="s">
        <v>75</v>
      </c>
      <c r="C60" s="8" t="s">
        <v>60</v>
      </c>
      <c r="D60" s="17">
        <f>SUM(1459+1180+1070)</f>
        <v>3709</v>
      </c>
      <c r="E60" s="14">
        <f>SUM(165+111+96)</f>
        <v>372</v>
      </c>
      <c r="F60" s="15">
        <f>SUM(D60/E60)</f>
        <v>9.970430107526882</v>
      </c>
      <c r="G60" s="14">
        <v>3</v>
      </c>
      <c r="H60" s="14"/>
      <c r="I60" s="14"/>
      <c r="J60" s="14"/>
      <c r="K60" s="14"/>
      <c r="L60" s="14">
        <v>4.5</v>
      </c>
      <c r="M60" s="16"/>
    </row>
    <row r="61" spans="1:13" ht="18.75" x14ac:dyDescent="0.3">
      <c r="A61" s="3">
        <v>60</v>
      </c>
      <c r="B61" s="27" t="s">
        <v>66</v>
      </c>
      <c r="C61" s="7" t="s">
        <v>49</v>
      </c>
      <c r="D61" s="17">
        <f>SUM(1474+1189+1448+1191+1495)</f>
        <v>6797</v>
      </c>
      <c r="E61" s="14">
        <f>SUM(158+126+132+107+162)</f>
        <v>685</v>
      </c>
      <c r="F61" s="15">
        <f>SUM(D61/E61)</f>
        <v>9.9226277372262768</v>
      </c>
      <c r="G61" s="14">
        <v>5</v>
      </c>
      <c r="H61" s="14">
        <v>2</v>
      </c>
      <c r="I61" s="14"/>
      <c r="J61" s="14"/>
      <c r="K61" s="14"/>
      <c r="L61" s="14">
        <v>11.5</v>
      </c>
      <c r="M61" s="16"/>
    </row>
    <row r="62" spans="1:13" ht="18.75" x14ac:dyDescent="0.3">
      <c r="A62" s="3">
        <v>61</v>
      </c>
      <c r="B62" s="11" t="s">
        <v>64</v>
      </c>
      <c r="C62" s="4" t="s">
        <v>46</v>
      </c>
      <c r="D62" s="17">
        <f>SUM(1468+1466+912)</f>
        <v>3846</v>
      </c>
      <c r="E62" s="14">
        <f>SUM(156+165+75)</f>
        <v>396</v>
      </c>
      <c r="F62" s="15">
        <f>SUM(D62/E62)</f>
        <v>9.7121212121212128</v>
      </c>
      <c r="G62" s="14">
        <v>3</v>
      </c>
      <c r="H62" s="14"/>
      <c r="I62" s="14"/>
      <c r="J62" s="14"/>
      <c r="K62" s="14"/>
      <c r="L62" s="14">
        <v>2.5</v>
      </c>
      <c r="M62" s="16"/>
    </row>
    <row r="63" spans="1:13" ht="18.75" x14ac:dyDescent="0.3">
      <c r="A63" s="3">
        <v>62</v>
      </c>
      <c r="B63" s="11" t="s">
        <v>68</v>
      </c>
      <c r="C63" s="4" t="s">
        <v>60</v>
      </c>
      <c r="D63" s="17">
        <f>SUM(1493+1464+1445+1017)</f>
        <v>5419</v>
      </c>
      <c r="E63" s="14">
        <f>SUM(177+162+141+93)</f>
        <v>573</v>
      </c>
      <c r="F63" s="15">
        <f>SUM(D63/E63)</f>
        <v>9.4572425828970328</v>
      </c>
      <c r="G63" s="14">
        <v>4</v>
      </c>
      <c r="H63" s="14">
        <v>1</v>
      </c>
      <c r="I63" s="14"/>
      <c r="J63" s="14"/>
      <c r="K63" s="14"/>
      <c r="L63" s="14">
        <v>6.5</v>
      </c>
      <c r="M63" s="16"/>
    </row>
    <row r="64" spans="1:13" ht="18.75" x14ac:dyDescent="0.3">
      <c r="A64" s="3">
        <v>63</v>
      </c>
      <c r="B64" s="11" t="s">
        <v>128</v>
      </c>
      <c r="C64" s="4" t="s">
        <v>46</v>
      </c>
      <c r="D64" s="17">
        <f>SUM(1498)</f>
        <v>1498</v>
      </c>
      <c r="E64" s="14">
        <f>SUM(161)</f>
        <v>161</v>
      </c>
      <c r="F64" s="15">
        <f>SUM(D64/E64)</f>
        <v>9.304347826086957</v>
      </c>
      <c r="G64" s="14">
        <v>1</v>
      </c>
      <c r="H64" s="14">
        <v>1</v>
      </c>
      <c r="I64" s="14"/>
      <c r="J64" s="14"/>
      <c r="K64" s="14"/>
      <c r="L64" s="14">
        <v>7.5</v>
      </c>
      <c r="M64" s="16"/>
    </row>
    <row r="65" spans="1:18" ht="18.75" x14ac:dyDescent="0.3">
      <c r="A65" s="3">
        <v>64</v>
      </c>
      <c r="B65" s="11" t="s">
        <v>124</v>
      </c>
      <c r="C65" s="4" t="s">
        <v>46</v>
      </c>
      <c r="D65" s="17">
        <f>SUM(1491)</f>
        <v>1491</v>
      </c>
      <c r="E65" s="14">
        <f>SUM(165)</f>
        <v>165</v>
      </c>
      <c r="F65" s="15">
        <f>SUM(D65/E65)</f>
        <v>9.036363636363637</v>
      </c>
      <c r="G65" s="14">
        <v>1</v>
      </c>
      <c r="H65" s="14"/>
      <c r="I65" s="14"/>
      <c r="J65" s="14"/>
      <c r="K65" s="14"/>
      <c r="L65" s="14">
        <v>0.5</v>
      </c>
      <c r="M65" s="16"/>
    </row>
    <row r="66" spans="1:18" ht="18.75" x14ac:dyDescent="0.3">
      <c r="A66" s="3">
        <v>65</v>
      </c>
      <c r="B66" s="11" t="s">
        <v>127</v>
      </c>
      <c r="C66" s="4" t="s">
        <v>60</v>
      </c>
      <c r="D66" s="17"/>
      <c r="E66" s="14"/>
      <c r="F66" s="15"/>
      <c r="G66" s="14"/>
      <c r="H66" s="14"/>
      <c r="I66" s="14"/>
      <c r="J66" s="14"/>
      <c r="K66" s="14"/>
      <c r="L66" s="14">
        <v>1</v>
      </c>
      <c r="M66" s="16"/>
    </row>
    <row r="67" spans="1:18" ht="18.75" x14ac:dyDescent="0.3">
      <c r="A67" s="3">
        <v>66</v>
      </c>
      <c r="B67" s="11" t="s">
        <v>113</v>
      </c>
      <c r="C67" s="7" t="s">
        <v>46</v>
      </c>
      <c r="D67" s="17"/>
      <c r="E67" s="14"/>
      <c r="F67" s="15"/>
      <c r="G67" s="14"/>
      <c r="H67" s="14"/>
      <c r="I67" s="14"/>
      <c r="J67" s="14"/>
      <c r="K67" s="14"/>
      <c r="L67" s="14">
        <v>0</v>
      </c>
      <c r="M67" s="16"/>
    </row>
    <row r="68" spans="1:18" ht="17.25" customHeight="1" thickBot="1" x14ac:dyDescent="0.3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8" ht="19.5" customHeight="1" thickBot="1" x14ac:dyDescent="0.35">
      <c r="A69" s="5"/>
      <c r="B69" s="41" t="s">
        <v>146</v>
      </c>
      <c r="C69" s="60" t="s">
        <v>78</v>
      </c>
      <c r="D69" s="59" t="s">
        <v>79</v>
      </c>
      <c r="E69" s="70" t="s">
        <v>80</v>
      </c>
      <c r="F69" s="55" t="s">
        <v>108</v>
      </c>
      <c r="G69" s="69" t="s">
        <v>81</v>
      </c>
      <c r="I69" s="34" t="s">
        <v>82</v>
      </c>
      <c r="J69" s="35"/>
      <c r="K69" s="35"/>
      <c r="L69" s="35"/>
      <c r="M69" s="35"/>
      <c r="N69" s="35"/>
      <c r="O69" s="35"/>
      <c r="P69" s="35"/>
      <c r="Q69" s="35"/>
      <c r="R69" s="36"/>
    </row>
    <row r="70" spans="1:18" ht="18.75" x14ac:dyDescent="0.3">
      <c r="A70" s="5"/>
      <c r="B70" s="42"/>
      <c r="C70" s="29" t="s">
        <v>86</v>
      </c>
      <c r="D70" s="7">
        <v>6</v>
      </c>
      <c r="E70" s="27">
        <v>0</v>
      </c>
      <c r="F70" s="26">
        <v>0</v>
      </c>
      <c r="G70" s="29">
        <v>105</v>
      </c>
      <c r="I70" s="68" t="s">
        <v>84</v>
      </c>
      <c r="J70" s="67"/>
      <c r="K70" s="67"/>
      <c r="L70" s="67"/>
      <c r="M70" s="67"/>
      <c r="N70" s="37" t="s">
        <v>85</v>
      </c>
      <c r="O70" s="37"/>
      <c r="P70" s="37"/>
      <c r="Q70" s="37"/>
      <c r="R70" s="38"/>
    </row>
    <row r="71" spans="1:18" ht="18.75" x14ac:dyDescent="0.3">
      <c r="A71" s="5"/>
      <c r="B71" s="42"/>
      <c r="C71" s="29" t="s">
        <v>100</v>
      </c>
      <c r="D71" s="7">
        <v>5</v>
      </c>
      <c r="E71" s="62">
        <v>1</v>
      </c>
      <c r="F71" s="26">
        <v>0</v>
      </c>
      <c r="G71" s="61">
        <v>91</v>
      </c>
      <c r="I71" s="66" t="s">
        <v>87</v>
      </c>
      <c r="J71" s="65"/>
      <c r="K71" s="65"/>
      <c r="L71" s="65"/>
      <c r="M71" s="65"/>
      <c r="N71" s="39" t="s">
        <v>145</v>
      </c>
      <c r="O71" s="39"/>
      <c r="P71" s="39"/>
      <c r="Q71" s="39"/>
      <c r="R71" s="40"/>
    </row>
    <row r="72" spans="1:18" ht="18.75" x14ac:dyDescent="0.3">
      <c r="A72" s="5"/>
      <c r="B72" s="42"/>
      <c r="C72" s="30" t="s">
        <v>97</v>
      </c>
      <c r="D72" s="9">
        <v>5</v>
      </c>
      <c r="E72" s="11">
        <v>1</v>
      </c>
      <c r="F72" s="26">
        <v>0</v>
      </c>
      <c r="G72" s="30">
        <v>87</v>
      </c>
      <c r="I72" s="66" t="s">
        <v>90</v>
      </c>
      <c r="J72" s="65"/>
      <c r="K72" s="65"/>
      <c r="L72" s="65"/>
      <c r="M72" s="65"/>
      <c r="N72" s="39" t="s">
        <v>119</v>
      </c>
      <c r="O72" s="39"/>
      <c r="P72" s="39"/>
      <c r="Q72" s="39"/>
      <c r="R72" s="40"/>
    </row>
    <row r="73" spans="1:18" ht="18.75" x14ac:dyDescent="0.3">
      <c r="A73" s="6"/>
      <c r="B73" s="42"/>
      <c r="C73" s="29" t="s">
        <v>95</v>
      </c>
      <c r="D73" s="7">
        <v>5</v>
      </c>
      <c r="E73" s="62">
        <v>1</v>
      </c>
      <c r="F73" s="26">
        <v>0</v>
      </c>
      <c r="G73" s="61">
        <v>78</v>
      </c>
      <c r="I73" s="66" t="s">
        <v>93</v>
      </c>
      <c r="J73" s="65"/>
      <c r="K73" s="65"/>
      <c r="L73" s="65"/>
      <c r="M73" s="65"/>
      <c r="N73" s="39" t="s">
        <v>144</v>
      </c>
      <c r="O73" s="39"/>
      <c r="P73" s="39"/>
      <c r="Q73" s="39"/>
      <c r="R73" s="40"/>
    </row>
    <row r="74" spans="1:18" ht="18" customHeight="1" x14ac:dyDescent="0.3">
      <c r="A74" s="6"/>
      <c r="B74" s="42"/>
      <c r="C74" s="29" t="s">
        <v>92</v>
      </c>
      <c r="D74" s="7">
        <v>4</v>
      </c>
      <c r="E74" s="62">
        <v>2</v>
      </c>
      <c r="F74" s="26">
        <v>0</v>
      </c>
      <c r="G74" s="61">
        <v>82</v>
      </c>
      <c r="I74" s="66" t="s">
        <v>96</v>
      </c>
      <c r="J74" s="65"/>
      <c r="K74" s="65"/>
      <c r="L74" s="65"/>
      <c r="M74" s="65"/>
      <c r="N74" s="39" t="s">
        <v>91</v>
      </c>
      <c r="O74" s="39"/>
      <c r="P74" s="39"/>
      <c r="Q74" s="39"/>
      <c r="R74" s="40"/>
    </row>
    <row r="75" spans="1:18" ht="18" customHeight="1" thickBot="1" x14ac:dyDescent="0.35">
      <c r="A75" s="6"/>
      <c r="B75" s="42"/>
      <c r="C75" s="29" t="s">
        <v>99</v>
      </c>
      <c r="D75" s="7">
        <v>3</v>
      </c>
      <c r="E75" s="27">
        <v>3</v>
      </c>
      <c r="F75" s="26">
        <v>0</v>
      </c>
      <c r="G75" s="29">
        <v>82</v>
      </c>
      <c r="I75" s="64" t="s">
        <v>98</v>
      </c>
      <c r="J75" s="63"/>
      <c r="K75" s="63"/>
      <c r="L75" s="63"/>
      <c r="M75" s="63"/>
      <c r="N75" s="39" t="s">
        <v>109</v>
      </c>
      <c r="O75" s="39"/>
      <c r="P75" s="39"/>
      <c r="Q75" s="39"/>
      <c r="R75" s="40"/>
    </row>
    <row r="76" spans="1:18" ht="18.75" x14ac:dyDescent="0.3">
      <c r="A76" s="6"/>
      <c r="B76" s="42"/>
      <c r="C76" s="31" t="s">
        <v>83</v>
      </c>
      <c r="D76" s="20">
        <v>3</v>
      </c>
      <c r="E76" s="53">
        <v>3</v>
      </c>
      <c r="F76" s="52">
        <v>0</v>
      </c>
      <c r="G76" s="31">
        <v>75</v>
      </c>
      <c r="H76" s="6"/>
      <c r="I76" s="6"/>
      <c r="J76" s="6"/>
      <c r="K76" s="6"/>
      <c r="L76" s="6"/>
      <c r="M76" s="6"/>
    </row>
    <row r="77" spans="1:18" ht="18.75" x14ac:dyDescent="0.3">
      <c r="A77" s="6"/>
      <c r="B77" s="42"/>
      <c r="C77" s="29" t="s">
        <v>89</v>
      </c>
      <c r="D77" s="7">
        <v>2</v>
      </c>
      <c r="E77" s="62">
        <v>4</v>
      </c>
      <c r="F77" s="26">
        <v>0</v>
      </c>
      <c r="G77" s="61">
        <v>57</v>
      </c>
      <c r="H77" s="6"/>
    </row>
    <row r="78" spans="1:18" ht="18.75" x14ac:dyDescent="0.3">
      <c r="B78" s="42"/>
      <c r="C78" s="30" t="s">
        <v>101</v>
      </c>
      <c r="D78" s="9">
        <v>1</v>
      </c>
      <c r="E78" s="11">
        <v>5</v>
      </c>
      <c r="F78" s="26">
        <v>0</v>
      </c>
      <c r="G78" s="30">
        <v>65</v>
      </c>
    </row>
    <row r="79" spans="1:18" ht="18.75" x14ac:dyDescent="0.3">
      <c r="B79" s="42"/>
      <c r="C79" s="29" t="s">
        <v>103</v>
      </c>
      <c r="D79" s="7">
        <v>1</v>
      </c>
      <c r="E79" s="62">
        <v>5</v>
      </c>
      <c r="F79" s="26">
        <v>0</v>
      </c>
      <c r="G79" s="61">
        <v>64</v>
      </c>
    </row>
    <row r="80" spans="1:18" ht="18.75" x14ac:dyDescent="0.3">
      <c r="B80" s="42"/>
      <c r="C80" s="30" t="s">
        <v>104</v>
      </c>
      <c r="D80" s="9">
        <v>1</v>
      </c>
      <c r="E80" s="11">
        <v>5</v>
      </c>
      <c r="F80" s="26">
        <v>0</v>
      </c>
      <c r="G80" s="30">
        <v>40</v>
      </c>
    </row>
    <row r="81" spans="2:7" ht="19.5" thickBot="1" x14ac:dyDescent="0.35">
      <c r="B81" s="43"/>
      <c r="C81" s="30" t="s">
        <v>102</v>
      </c>
      <c r="D81" s="9">
        <v>0</v>
      </c>
      <c r="E81" s="11">
        <v>6</v>
      </c>
      <c r="F81" s="26">
        <v>0</v>
      </c>
      <c r="G81" s="30">
        <v>38</v>
      </c>
    </row>
    <row r="82" spans="2:7" ht="15.75" thickBot="1" x14ac:dyDescent="0.3"/>
    <row r="83" spans="2:7" ht="19.5" thickBot="1" x14ac:dyDescent="0.35">
      <c r="C83" s="60" t="s">
        <v>105</v>
      </c>
      <c r="D83" s="59" t="s">
        <v>79</v>
      </c>
      <c r="E83" s="59" t="s">
        <v>80</v>
      </c>
      <c r="F83" s="55" t="s">
        <v>108</v>
      </c>
      <c r="G83" s="58" t="s">
        <v>81</v>
      </c>
    </row>
    <row r="84" spans="2:7" ht="18.75" x14ac:dyDescent="0.3">
      <c r="C84" s="20" t="s">
        <v>86</v>
      </c>
      <c r="D84" s="20">
        <v>6</v>
      </c>
      <c r="E84" s="53">
        <v>0</v>
      </c>
      <c r="F84" s="52">
        <v>0</v>
      </c>
      <c r="G84" s="31">
        <v>105</v>
      </c>
    </row>
    <row r="85" spans="2:7" ht="18.75" x14ac:dyDescent="0.3">
      <c r="C85" s="20" t="s">
        <v>100</v>
      </c>
      <c r="D85" s="20">
        <v>5</v>
      </c>
      <c r="E85" s="51">
        <v>1</v>
      </c>
      <c r="F85" s="26">
        <v>0</v>
      </c>
      <c r="G85" s="50">
        <v>91</v>
      </c>
    </row>
    <row r="86" spans="2:7" ht="18.75" x14ac:dyDescent="0.3">
      <c r="C86" s="7" t="s">
        <v>95</v>
      </c>
      <c r="D86" s="7">
        <v>5</v>
      </c>
      <c r="E86" s="62">
        <v>1</v>
      </c>
      <c r="F86" s="26">
        <v>0</v>
      </c>
      <c r="G86" s="61">
        <v>78</v>
      </c>
    </row>
    <row r="87" spans="2:7" ht="18.75" x14ac:dyDescent="0.3">
      <c r="C87" s="7" t="s">
        <v>103</v>
      </c>
      <c r="D87" s="7">
        <v>1</v>
      </c>
      <c r="E87" s="62">
        <v>5</v>
      </c>
      <c r="F87" s="26">
        <v>0</v>
      </c>
      <c r="G87" s="61">
        <v>64</v>
      </c>
    </row>
    <row r="88" spans="2:7" ht="15.75" thickBot="1" x14ac:dyDescent="0.3"/>
    <row r="89" spans="2:7" ht="19.5" thickBot="1" x14ac:dyDescent="0.35">
      <c r="C89" s="60" t="s">
        <v>106</v>
      </c>
      <c r="D89" s="59" t="s">
        <v>79</v>
      </c>
      <c r="E89" s="59" t="s">
        <v>80</v>
      </c>
      <c r="F89" s="55" t="s">
        <v>108</v>
      </c>
      <c r="G89" s="58" t="s">
        <v>81</v>
      </c>
    </row>
    <row r="90" spans="2:7" ht="18.75" x14ac:dyDescent="0.3">
      <c r="C90" s="9" t="s">
        <v>97</v>
      </c>
      <c r="D90" s="9">
        <v>5</v>
      </c>
      <c r="E90" s="11">
        <v>1</v>
      </c>
      <c r="F90" s="26">
        <v>0</v>
      </c>
      <c r="G90" s="30">
        <v>87</v>
      </c>
    </row>
    <row r="91" spans="2:7" ht="18.75" x14ac:dyDescent="0.3">
      <c r="C91" s="20" t="s">
        <v>92</v>
      </c>
      <c r="D91" s="20">
        <v>4</v>
      </c>
      <c r="E91" s="51">
        <v>2</v>
      </c>
      <c r="F91" s="52">
        <v>0</v>
      </c>
      <c r="G91" s="50">
        <v>82</v>
      </c>
    </row>
    <row r="92" spans="2:7" ht="18.75" x14ac:dyDescent="0.3">
      <c r="C92" s="7" t="s">
        <v>99</v>
      </c>
      <c r="D92" s="7">
        <v>3</v>
      </c>
      <c r="E92" s="27">
        <v>3</v>
      </c>
      <c r="F92" s="26">
        <v>0</v>
      </c>
      <c r="G92" s="29">
        <v>82</v>
      </c>
    </row>
    <row r="93" spans="2:7" ht="18.75" x14ac:dyDescent="0.3">
      <c r="C93" s="9" t="s">
        <v>101</v>
      </c>
      <c r="D93" s="9">
        <v>1</v>
      </c>
      <c r="E93" s="11">
        <v>5</v>
      </c>
      <c r="F93" s="26">
        <v>0</v>
      </c>
      <c r="G93" s="30">
        <v>65</v>
      </c>
    </row>
    <row r="94" spans="2:7" ht="15.75" thickBot="1" x14ac:dyDescent="0.3"/>
    <row r="95" spans="2:7" ht="19.5" thickBot="1" x14ac:dyDescent="0.35">
      <c r="C95" s="57" t="s">
        <v>107</v>
      </c>
      <c r="D95" s="56" t="s">
        <v>79</v>
      </c>
      <c r="E95" s="56" t="s">
        <v>80</v>
      </c>
      <c r="F95" s="55" t="s">
        <v>108</v>
      </c>
      <c r="G95" s="54" t="s">
        <v>81</v>
      </c>
    </row>
    <row r="96" spans="2:7" ht="18.75" x14ac:dyDescent="0.3">
      <c r="C96" s="20" t="s">
        <v>83</v>
      </c>
      <c r="D96" s="20">
        <v>3</v>
      </c>
      <c r="E96" s="53">
        <v>3</v>
      </c>
      <c r="F96" s="52">
        <v>0</v>
      </c>
      <c r="G96" s="31">
        <v>75</v>
      </c>
    </row>
    <row r="97" spans="3:7" ht="18.75" x14ac:dyDescent="0.3">
      <c r="C97" s="20" t="s">
        <v>89</v>
      </c>
      <c r="D97" s="20">
        <v>2</v>
      </c>
      <c r="E97" s="51">
        <v>4</v>
      </c>
      <c r="F97" s="26">
        <v>0</v>
      </c>
      <c r="G97" s="50">
        <v>57</v>
      </c>
    </row>
    <row r="98" spans="3:7" ht="18.75" x14ac:dyDescent="0.3">
      <c r="C98" s="9" t="s">
        <v>104</v>
      </c>
      <c r="D98" s="9">
        <v>1</v>
      </c>
      <c r="E98" s="11">
        <v>5</v>
      </c>
      <c r="F98" s="26">
        <v>0</v>
      </c>
      <c r="G98" s="30">
        <v>40</v>
      </c>
    </row>
    <row r="99" spans="3:7" ht="18.75" x14ac:dyDescent="0.3">
      <c r="C99" s="9" t="s">
        <v>102</v>
      </c>
      <c r="D99" s="9">
        <v>0</v>
      </c>
      <c r="E99" s="11">
        <v>6</v>
      </c>
      <c r="F99" s="26">
        <v>0</v>
      </c>
      <c r="G99" s="30">
        <v>38</v>
      </c>
    </row>
  </sheetData>
  <mergeCells count="14">
    <mergeCell ref="B69:B81"/>
    <mergeCell ref="I70:M70"/>
    <mergeCell ref="I71:M71"/>
    <mergeCell ref="I72:M72"/>
    <mergeCell ref="I73:M73"/>
    <mergeCell ref="I74:M74"/>
    <mergeCell ref="I75:M75"/>
    <mergeCell ref="N75:R75"/>
    <mergeCell ref="I69:R69"/>
    <mergeCell ref="N70:R70"/>
    <mergeCell ref="N71:R71"/>
    <mergeCell ref="N72:R72"/>
    <mergeCell ref="N73:R73"/>
    <mergeCell ref="N74:R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pane ySplit="1" topLeftCell="A2" activePane="bottomLeft" state="frozen"/>
      <selection pane="bottomLeft" activeCell="P5" sqref="P5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3.7109375" bestFit="1" customWidth="1"/>
    <col min="4" max="4" width="8.42578125" bestFit="1" customWidth="1"/>
    <col min="5" max="5" width="6.28515625" bestFit="1" customWidth="1"/>
    <col min="6" max="6" width="7.7109375" bestFit="1" customWidth="1"/>
    <col min="7" max="7" width="8.140625" bestFit="1" customWidth="1"/>
    <col min="8" max="11" width="5" bestFit="1" customWidth="1"/>
    <col min="12" max="12" width="7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4">
        <f>SUM(1497+1503+1503+1503+1503+1343)</f>
        <v>8852</v>
      </c>
      <c r="E2" s="14">
        <f>SUM(100+85+83+92+83+81)</f>
        <v>524</v>
      </c>
      <c r="F2" s="15">
        <f>SUM(D2/E2)</f>
        <v>16.893129770992367</v>
      </c>
      <c r="G2" s="14">
        <v>6</v>
      </c>
      <c r="H2" s="14">
        <v>5</v>
      </c>
      <c r="I2" s="14">
        <v>1</v>
      </c>
      <c r="J2" s="14"/>
      <c r="K2" s="14"/>
      <c r="L2" s="14">
        <v>26.5</v>
      </c>
      <c r="M2" s="16">
        <v>10</v>
      </c>
    </row>
    <row r="3" spans="1:13" ht="18.75" x14ac:dyDescent="0.3">
      <c r="A3" s="3">
        <v>2</v>
      </c>
      <c r="B3" s="4" t="s">
        <v>13</v>
      </c>
      <c r="C3" s="4" t="s">
        <v>14</v>
      </c>
      <c r="D3" s="14">
        <f>SUM(1493+1503+1499+1371+1478+1493+1503)</f>
        <v>10340</v>
      </c>
      <c r="E3" s="14">
        <f>SUM(82+81+101+87+100+89+93)</f>
        <v>633</v>
      </c>
      <c r="F3" s="15">
        <f>SUM(D3/E3)</f>
        <v>16.334913112164298</v>
      </c>
      <c r="G3" s="14">
        <v>7</v>
      </c>
      <c r="H3" s="14">
        <v>6</v>
      </c>
      <c r="I3" s="14">
        <v>1</v>
      </c>
      <c r="J3" s="14"/>
      <c r="K3" s="14"/>
      <c r="L3" s="14">
        <v>28.5</v>
      </c>
      <c r="M3" s="16">
        <v>20</v>
      </c>
    </row>
    <row r="4" spans="1:13" ht="18.75" x14ac:dyDescent="0.3">
      <c r="A4" s="3">
        <v>3</v>
      </c>
      <c r="B4" s="4" t="s">
        <v>17</v>
      </c>
      <c r="C4" s="4" t="s">
        <v>14</v>
      </c>
      <c r="D4" s="14">
        <f>SUM(1475+1503+1379+1273+1389+1467+1447)</f>
        <v>9933</v>
      </c>
      <c r="E4" s="14">
        <f>SUM(91+92+81+81+71+83+111)</f>
        <v>610</v>
      </c>
      <c r="F4" s="15">
        <f>SUM(D4/E4)</f>
        <v>16.283606557377048</v>
      </c>
      <c r="G4" s="14">
        <v>7</v>
      </c>
      <c r="H4" s="14">
        <v>4</v>
      </c>
      <c r="I4" s="14"/>
      <c r="J4" s="14"/>
      <c r="K4" s="14"/>
      <c r="L4" s="76">
        <v>23</v>
      </c>
      <c r="M4" s="16">
        <v>10</v>
      </c>
    </row>
    <row r="5" spans="1:13" ht="18.75" x14ac:dyDescent="0.3">
      <c r="A5" s="3">
        <v>4</v>
      </c>
      <c r="B5" s="4" t="s">
        <v>27</v>
      </c>
      <c r="C5" s="4" t="s">
        <v>19</v>
      </c>
      <c r="D5" s="14">
        <f>SUM(1491+1430+1503+1498+1306+1503+1443)</f>
        <v>10174</v>
      </c>
      <c r="E5" s="14">
        <f>SUM(102+105+81+93+72+105+84)</f>
        <v>642</v>
      </c>
      <c r="F5" s="15">
        <f>SUM(D5/E5)</f>
        <v>15.847352024922118</v>
      </c>
      <c r="G5" s="14">
        <v>7</v>
      </c>
      <c r="H5" s="14">
        <v>6</v>
      </c>
      <c r="I5" s="14"/>
      <c r="J5" s="14"/>
      <c r="K5" s="14"/>
      <c r="L5" s="14">
        <v>29.5</v>
      </c>
      <c r="M5" s="16"/>
    </row>
    <row r="6" spans="1:13" ht="18.75" x14ac:dyDescent="0.3">
      <c r="A6" s="3">
        <v>5</v>
      </c>
      <c r="B6" s="26" t="s">
        <v>135</v>
      </c>
      <c r="C6" s="4" t="s">
        <v>151</v>
      </c>
      <c r="D6" s="14">
        <f>SUM(1306+1503+1416)</f>
        <v>4225</v>
      </c>
      <c r="E6" s="14">
        <f>SUM(81+98+89)</f>
        <v>268</v>
      </c>
      <c r="F6" s="15">
        <f>SUM(D6/E6)</f>
        <v>15.764925373134329</v>
      </c>
      <c r="G6" s="14">
        <v>3</v>
      </c>
      <c r="H6" s="14">
        <v>2</v>
      </c>
      <c r="I6" s="14"/>
      <c r="J6" s="14"/>
      <c r="K6" s="14"/>
      <c r="L6" s="14">
        <v>12.5</v>
      </c>
      <c r="M6" s="16"/>
    </row>
    <row r="7" spans="1:13" ht="18.75" x14ac:dyDescent="0.3">
      <c r="A7" s="3">
        <v>6</v>
      </c>
      <c r="B7" s="4" t="s">
        <v>15</v>
      </c>
      <c r="C7" s="4" t="s">
        <v>16</v>
      </c>
      <c r="D7" s="14">
        <f>SUM(1350+1487+1463+1503+1503)</f>
        <v>7306</v>
      </c>
      <c r="E7" s="14">
        <f>SUM(80+82+83+99+122)</f>
        <v>466</v>
      </c>
      <c r="F7" s="15">
        <f>SUM(D7/E7)</f>
        <v>15.678111587982833</v>
      </c>
      <c r="G7" s="14">
        <v>5</v>
      </c>
      <c r="H7" s="14">
        <v>4</v>
      </c>
      <c r="I7" s="14"/>
      <c r="J7" s="14"/>
      <c r="K7" s="14"/>
      <c r="L7" s="14">
        <v>19.5</v>
      </c>
      <c r="M7" s="16">
        <v>10</v>
      </c>
    </row>
    <row r="8" spans="1:13" ht="18.75" x14ac:dyDescent="0.3">
      <c r="A8" s="3">
        <v>7</v>
      </c>
      <c r="B8" s="4" t="s">
        <v>117</v>
      </c>
      <c r="C8" s="4" t="s">
        <v>53</v>
      </c>
      <c r="D8" s="14">
        <f>SUM(1503)</f>
        <v>1503</v>
      </c>
      <c r="E8" s="14">
        <f>SUM(97)</f>
        <v>97</v>
      </c>
      <c r="F8" s="15">
        <f>SUM(D8/E8)</f>
        <v>15.494845360824742</v>
      </c>
      <c r="G8" s="14">
        <v>1</v>
      </c>
      <c r="H8" s="14">
        <v>1</v>
      </c>
      <c r="I8" s="14"/>
      <c r="J8" s="14"/>
      <c r="K8" s="14"/>
      <c r="L8" s="14">
        <v>3.5</v>
      </c>
      <c r="M8" s="16"/>
    </row>
    <row r="9" spans="1:13" ht="18.75" x14ac:dyDescent="0.3">
      <c r="A9" s="3">
        <v>8</v>
      </c>
      <c r="B9" s="4" t="s">
        <v>11</v>
      </c>
      <c r="C9" s="4" t="s">
        <v>12</v>
      </c>
      <c r="D9" s="14">
        <f>SUM(1471+1503+1366+1503+1427+1501)</f>
        <v>8771</v>
      </c>
      <c r="E9" s="14">
        <f>SUM(76+92+101+115+84+100)</f>
        <v>568</v>
      </c>
      <c r="F9" s="15">
        <f>SUM(D9/E9)</f>
        <v>15.441901408450704</v>
      </c>
      <c r="G9" s="14">
        <v>6</v>
      </c>
      <c r="H9" s="14">
        <v>5</v>
      </c>
      <c r="I9" s="14">
        <v>1</v>
      </c>
      <c r="J9" s="14"/>
      <c r="K9" s="14"/>
      <c r="L9" s="14">
        <v>24.5</v>
      </c>
      <c r="M9" s="16">
        <v>5</v>
      </c>
    </row>
    <row r="10" spans="1:13" ht="18.75" x14ac:dyDescent="0.3">
      <c r="A10" s="3">
        <v>9</v>
      </c>
      <c r="B10" s="4" t="s">
        <v>18</v>
      </c>
      <c r="C10" s="4" t="s">
        <v>19</v>
      </c>
      <c r="D10" s="14">
        <f>SUM(1503+1488+1503+1430+1468+1461+1444)</f>
        <v>10297</v>
      </c>
      <c r="E10" s="14">
        <f>SUM(93+90+102+88+102+99+93)</f>
        <v>667</v>
      </c>
      <c r="F10" s="15">
        <f>SUM(D10/E10)</f>
        <v>15.437781109445277</v>
      </c>
      <c r="G10" s="14">
        <v>7</v>
      </c>
      <c r="H10" s="14">
        <v>3</v>
      </c>
      <c r="I10" s="14"/>
      <c r="J10" s="14"/>
      <c r="K10" s="14"/>
      <c r="L10" s="14">
        <v>27.5</v>
      </c>
      <c r="M10" s="16"/>
    </row>
    <row r="11" spans="1:13" ht="18.75" x14ac:dyDescent="0.3">
      <c r="A11" s="3">
        <v>10</v>
      </c>
      <c r="B11" s="4" t="s">
        <v>38</v>
      </c>
      <c r="C11" s="4" t="s">
        <v>21</v>
      </c>
      <c r="D11" s="14">
        <f>SUM(1487+1503+1503+1386+1501+1503+1415)</f>
        <v>10298</v>
      </c>
      <c r="E11" s="14">
        <f>SUM(111+101+74+85+132+87+82)</f>
        <v>672</v>
      </c>
      <c r="F11" s="15">
        <f>SUM(D11/E11)</f>
        <v>15.324404761904763</v>
      </c>
      <c r="G11" s="14">
        <v>7</v>
      </c>
      <c r="H11" s="14">
        <v>6</v>
      </c>
      <c r="I11" s="14"/>
      <c r="J11" s="14"/>
      <c r="K11" s="14"/>
      <c r="L11" s="14">
        <v>28.5</v>
      </c>
      <c r="M11" s="16">
        <v>5</v>
      </c>
    </row>
    <row r="12" spans="1:13" ht="18.75" x14ac:dyDescent="0.3">
      <c r="A12" s="3">
        <v>11</v>
      </c>
      <c r="B12" s="4" t="s">
        <v>34</v>
      </c>
      <c r="C12" s="7" t="s">
        <v>16</v>
      </c>
      <c r="D12" s="14">
        <f>SUM(1483+1471+1501+1503+1495+1501+1486)</f>
        <v>10440</v>
      </c>
      <c r="E12" s="14">
        <f>SUM(107+83+84+79+105+120+108)</f>
        <v>686</v>
      </c>
      <c r="F12" s="15">
        <f>SUM(D12/E12)</f>
        <v>15.21865889212828</v>
      </c>
      <c r="G12" s="14">
        <v>7</v>
      </c>
      <c r="H12" s="14">
        <v>5</v>
      </c>
      <c r="I12" s="14"/>
      <c r="J12" s="14"/>
      <c r="K12" s="14"/>
      <c r="L12" s="14">
        <v>26.5</v>
      </c>
      <c r="M12" s="16">
        <v>5</v>
      </c>
    </row>
    <row r="13" spans="1:13" ht="18.75" x14ac:dyDescent="0.3">
      <c r="A13" s="3">
        <v>12</v>
      </c>
      <c r="B13" s="4" t="s">
        <v>71</v>
      </c>
      <c r="C13" s="4" t="s">
        <v>53</v>
      </c>
      <c r="D13" s="14">
        <f>SUM(1343+1449+1503+1477+1348+1444)</f>
        <v>8564</v>
      </c>
      <c r="E13" s="14">
        <f>SUM(82+98+96+114+102+85)</f>
        <v>577</v>
      </c>
      <c r="F13" s="15">
        <f>SUM(D13/E13)</f>
        <v>14.842287694974004</v>
      </c>
      <c r="G13" s="14">
        <v>5</v>
      </c>
      <c r="H13" s="14">
        <v>2</v>
      </c>
      <c r="I13" s="14"/>
      <c r="J13" s="14"/>
      <c r="K13" s="14"/>
      <c r="L13" s="14">
        <v>15</v>
      </c>
      <c r="M13" s="16"/>
    </row>
    <row r="14" spans="1:13" ht="18.75" x14ac:dyDescent="0.3">
      <c r="A14" s="3">
        <v>13</v>
      </c>
      <c r="B14" s="4" t="s">
        <v>37</v>
      </c>
      <c r="C14" s="4" t="s">
        <v>12</v>
      </c>
      <c r="D14" s="14">
        <f>SUM(1489+1454+1482+1503+1393+1503+1503)</f>
        <v>10327</v>
      </c>
      <c r="E14" s="14">
        <f>SUM(111+105+94+95+97+115+88)</f>
        <v>705</v>
      </c>
      <c r="F14" s="15">
        <f>SUM(D14/E14)</f>
        <v>14.64822695035461</v>
      </c>
      <c r="G14" s="14">
        <v>7</v>
      </c>
      <c r="H14" s="14">
        <v>4</v>
      </c>
      <c r="I14" s="14"/>
      <c r="J14" s="14"/>
      <c r="K14" s="14"/>
      <c r="L14" s="14">
        <v>23.5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SUM(1400+1499+1422+1493+1503+1477+1499)</f>
        <v>10293</v>
      </c>
      <c r="E15" s="14">
        <f>SUM(96+101+81+130+107+114+92)</f>
        <v>721</v>
      </c>
      <c r="F15" s="15">
        <f>SUM(D15/E15)</f>
        <v>14.276005547850207</v>
      </c>
      <c r="G15" s="14">
        <v>7</v>
      </c>
      <c r="H15" s="14">
        <v>5</v>
      </c>
      <c r="I15" s="14"/>
      <c r="J15" s="14"/>
      <c r="K15" s="14"/>
      <c r="L15" s="14">
        <v>23.5</v>
      </c>
      <c r="M15" s="16"/>
    </row>
    <row r="16" spans="1:13" ht="18.75" x14ac:dyDescent="0.3">
      <c r="A16" s="3">
        <v>15</v>
      </c>
      <c r="B16" s="3" t="s">
        <v>20</v>
      </c>
      <c r="C16" s="4" t="s">
        <v>21</v>
      </c>
      <c r="D16" s="14">
        <f>SUM(1503+1459+1401+1182+1442+1421)</f>
        <v>8408</v>
      </c>
      <c r="E16" s="14">
        <f>SUM(96+99+104+94+108+90)</f>
        <v>591</v>
      </c>
      <c r="F16" s="15">
        <f>SUM(D16/E16)</f>
        <v>14.226734348561759</v>
      </c>
      <c r="G16" s="14">
        <v>6</v>
      </c>
      <c r="H16" s="14">
        <v>1</v>
      </c>
      <c r="I16" s="14">
        <v>1</v>
      </c>
      <c r="J16" s="14"/>
      <c r="K16" s="14"/>
      <c r="L16" s="14">
        <v>20.5</v>
      </c>
      <c r="M16" s="16"/>
    </row>
    <row r="17" spans="1:13" ht="18.75" x14ac:dyDescent="0.3">
      <c r="A17" s="3">
        <v>16</v>
      </c>
      <c r="B17" s="10" t="s">
        <v>43</v>
      </c>
      <c r="C17" s="4" t="s">
        <v>29</v>
      </c>
      <c r="D17" s="14">
        <f>SUM(984+1493+1090+1355+1485+1453+1343)</f>
        <v>9203</v>
      </c>
      <c r="E17" s="14">
        <f>SUM(78+103+78+96+99+108+86)</f>
        <v>648</v>
      </c>
      <c r="F17" s="15">
        <f>SUM(D17/E17)</f>
        <v>14.20216049382716</v>
      </c>
      <c r="G17" s="14">
        <v>7</v>
      </c>
      <c r="H17" s="14">
        <v>2</v>
      </c>
      <c r="I17" s="14"/>
      <c r="J17" s="14"/>
      <c r="K17" s="14"/>
      <c r="L17" s="14">
        <v>16.5</v>
      </c>
      <c r="M17" s="16"/>
    </row>
    <row r="18" spans="1:13" ht="18.75" x14ac:dyDescent="0.3">
      <c r="A18" s="3">
        <v>17</v>
      </c>
      <c r="B18" s="4" t="s">
        <v>24</v>
      </c>
      <c r="C18" s="4" t="s">
        <v>23</v>
      </c>
      <c r="D18" s="14">
        <f>SUM(1408+1503+1475+1495+1503+1485+1204)</f>
        <v>10073</v>
      </c>
      <c r="E18" s="14">
        <f>SUM(93+120+122+113+103+85+82)</f>
        <v>718</v>
      </c>
      <c r="F18" s="15">
        <f>SUM(D18/E18)</f>
        <v>14.029247910863509</v>
      </c>
      <c r="G18" s="14">
        <v>7</v>
      </c>
      <c r="H18" s="14">
        <v>4</v>
      </c>
      <c r="I18" s="14"/>
      <c r="J18" s="14"/>
      <c r="K18" s="14"/>
      <c r="L18" s="14">
        <v>25</v>
      </c>
      <c r="M18" s="16"/>
    </row>
    <row r="19" spans="1:13" ht="18.75" x14ac:dyDescent="0.3">
      <c r="A19" s="3">
        <v>18</v>
      </c>
      <c r="B19" s="4" t="s">
        <v>47</v>
      </c>
      <c r="C19" s="4" t="s">
        <v>12</v>
      </c>
      <c r="D19" s="14">
        <f>SUM(1197+1447+1355+1487+1477+1503)</f>
        <v>8466</v>
      </c>
      <c r="E19" s="14">
        <f>SUM(99+96+96+122+112+92)</f>
        <v>617</v>
      </c>
      <c r="F19" s="15">
        <f>SUM(D19/E19)</f>
        <v>13.721231766612641</v>
      </c>
      <c r="G19" s="14">
        <v>6</v>
      </c>
      <c r="H19" s="14">
        <v>2</v>
      </c>
      <c r="I19" s="14">
        <v>1</v>
      </c>
      <c r="J19" s="14"/>
      <c r="K19" s="14"/>
      <c r="L19" s="14">
        <v>19</v>
      </c>
      <c r="M19" s="16"/>
    </row>
    <row r="20" spans="1:13" ht="18.75" x14ac:dyDescent="0.3">
      <c r="A20" s="3">
        <v>19</v>
      </c>
      <c r="B20" s="26" t="s">
        <v>52</v>
      </c>
      <c r="C20" s="4" t="s">
        <v>53</v>
      </c>
      <c r="D20" s="14">
        <f>SUM(1503+1209+1369+1358+1425+1485+1441)</f>
        <v>9790</v>
      </c>
      <c r="E20" s="14">
        <f>SUM(129+84+84+114+99+97+112)</f>
        <v>719</v>
      </c>
      <c r="F20" s="15">
        <f>SUM(D20/E20)</f>
        <v>13.616133518776078</v>
      </c>
      <c r="G20" s="14">
        <v>7</v>
      </c>
      <c r="H20" s="14">
        <v>4</v>
      </c>
      <c r="I20" s="14"/>
      <c r="J20" s="14"/>
      <c r="K20" s="14"/>
      <c r="L20" s="14">
        <v>23</v>
      </c>
      <c r="M20" s="16">
        <v>5</v>
      </c>
    </row>
    <row r="21" spans="1:13" ht="18.75" x14ac:dyDescent="0.3">
      <c r="A21" s="3">
        <v>20</v>
      </c>
      <c r="B21" s="26" t="s">
        <v>116</v>
      </c>
      <c r="C21" s="4" t="s">
        <v>46</v>
      </c>
      <c r="D21" s="14">
        <f>SUM(1184+1495+1503+1260+1369)</f>
        <v>6811</v>
      </c>
      <c r="E21" s="14">
        <f>SUM(78+154+98+84+87)</f>
        <v>501</v>
      </c>
      <c r="F21" s="15">
        <f>SUM(D21/E21)</f>
        <v>13.594810379241517</v>
      </c>
      <c r="G21" s="14">
        <v>4</v>
      </c>
      <c r="H21" s="14">
        <v>2</v>
      </c>
      <c r="I21" s="14"/>
      <c r="J21" s="14"/>
      <c r="K21" s="14"/>
      <c r="L21" s="14">
        <v>11.5</v>
      </c>
      <c r="M21" s="16"/>
    </row>
    <row r="22" spans="1:13" ht="18.75" x14ac:dyDescent="0.3">
      <c r="A22" s="3">
        <v>21</v>
      </c>
      <c r="B22" s="4" t="s">
        <v>44</v>
      </c>
      <c r="C22" s="7" t="s">
        <v>19</v>
      </c>
      <c r="D22" s="14">
        <f>SUM(1499+1503+1495+1500+1498)</f>
        <v>7495</v>
      </c>
      <c r="E22" s="14">
        <f>SUM(120+113+112+127+83)</f>
        <v>555</v>
      </c>
      <c r="F22" s="15">
        <f>SUM(D22/E22)</f>
        <v>13.504504504504505</v>
      </c>
      <c r="G22" s="14">
        <v>5</v>
      </c>
      <c r="H22" s="14">
        <v>5</v>
      </c>
      <c r="I22" s="14"/>
      <c r="J22" s="14"/>
      <c r="K22" s="14"/>
      <c r="L22" s="14">
        <v>22.5</v>
      </c>
      <c r="M22" s="16">
        <v>5</v>
      </c>
    </row>
    <row r="23" spans="1:13" ht="18.75" x14ac:dyDescent="0.3">
      <c r="A23" s="3">
        <v>22</v>
      </c>
      <c r="B23" s="26" t="s">
        <v>56</v>
      </c>
      <c r="C23" s="4" t="s">
        <v>29</v>
      </c>
      <c r="D23" s="14">
        <f>SUM(1501+1284+1142+1483+1269+1441+1481)</f>
        <v>9601</v>
      </c>
      <c r="E23" s="14">
        <f>SUM(132+99+81+119+90+91+99)</f>
        <v>711</v>
      </c>
      <c r="F23" s="15">
        <f>SUM(D23/E23)</f>
        <v>13.50351617440225</v>
      </c>
      <c r="G23" s="14">
        <v>6</v>
      </c>
      <c r="H23" s="14">
        <v>4</v>
      </c>
      <c r="I23" s="14"/>
      <c r="J23" s="14"/>
      <c r="K23" s="14"/>
      <c r="L23" s="14">
        <v>20</v>
      </c>
      <c r="M23" s="16"/>
    </row>
    <row r="24" spans="1:13" ht="18.75" x14ac:dyDescent="0.3">
      <c r="A24" s="3">
        <v>23</v>
      </c>
      <c r="B24" s="3" t="s">
        <v>32</v>
      </c>
      <c r="C24" s="4" t="s">
        <v>33</v>
      </c>
      <c r="D24" s="14">
        <f>SUM(1375+1349+1415+1479+1469+1503+1453)</f>
        <v>10043</v>
      </c>
      <c r="E24" s="14">
        <f>SUM(97+95+104+117+106+116+111)</f>
        <v>746</v>
      </c>
      <c r="F24" s="15">
        <f>SUM(D24/E24)</f>
        <v>13.462466487935657</v>
      </c>
      <c r="G24" s="14">
        <v>7</v>
      </c>
      <c r="H24" s="14">
        <v>3</v>
      </c>
      <c r="I24" s="14"/>
      <c r="J24" s="14"/>
      <c r="K24" s="14"/>
      <c r="L24" s="14">
        <v>19</v>
      </c>
      <c r="M24" s="16"/>
    </row>
    <row r="25" spans="1:13" ht="18.75" x14ac:dyDescent="0.3">
      <c r="A25" s="3">
        <v>24</v>
      </c>
      <c r="B25" s="26" t="s">
        <v>40</v>
      </c>
      <c r="C25" s="4" t="s">
        <v>23</v>
      </c>
      <c r="D25" s="14">
        <f>SUM(1446+1503+1491+1491+1503+1501+1441)</f>
        <v>10376</v>
      </c>
      <c r="E25" s="14">
        <f>SUM(110+105+126+119+112+102+113)</f>
        <v>787</v>
      </c>
      <c r="F25" s="15">
        <f>SUM(D25/E25)</f>
        <v>13.184243964421855</v>
      </c>
      <c r="G25" s="14">
        <v>7</v>
      </c>
      <c r="H25" s="14">
        <v>4</v>
      </c>
      <c r="I25" s="14"/>
      <c r="J25" s="14"/>
      <c r="K25" s="14"/>
      <c r="L25" s="14">
        <v>26</v>
      </c>
      <c r="M25" s="16">
        <v>5</v>
      </c>
    </row>
    <row r="26" spans="1:13" ht="18.75" x14ac:dyDescent="0.3">
      <c r="A26" s="3">
        <v>25</v>
      </c>
      <c r="B26" s="4" t="s">
        <v>22</v>
      </c>
      <c r="C26" s="4" t="s">
        <v>23</v>
      </c>
      <c r="D26" s="14">
        <f>SUM(1503+1341+1499+1500+1503+1438+1495)</f>
        <v>10279</v>
      </c>
      <c r="E26" s="14">
        <f>SUM(96+100+124+121+117+114+112)</f>
        <v>784</v>
      </c>
      <c r="F26" s="15">
        <f>SUM(D26/E26)</f>
        <v>13.110969387755102</v>
      </c>
      <c r="G26" s="14">
        <v>7</v>
      </c>
      <c r="H26" s="14">
        <v>5</v>
      </c>
      <c r="I26" s="14"/>
      <c r="J26" s="14"/>
      <c r="K26" s="14"/>
      <c r="L26" s="14">
        <v>26</v>
      </c>
      <c r="M26" s="16"/>
    </row>
    <row r="27" spans="1:13" ht="18.75" x14ac:dyDescent="0.3">
      <c r="A27" s="3">
        <v>26</v>
      </c>
      <c r="B27" s="4" t="s">
        <v>31</v>
      </c>
      <c r="C27" s="4" t="s">
        <v>19</v>
      </c>
      <c r="D27" s="14">
        <f>SUM(1485+1497+1501+1503+1503+1372)</f>
        <v>8861</v>
      </c>
      <c r="E27" s="14">
        <f>SUM(103+100+143+103+132+96)</f>
        <v>677</v>
      </c>
      <c r="F27" s="15">
        <f>SUM(D27/E27)</f>
        <v>13.088626292466765</v>
      </c>
      <c r="G27" s="14">
        <v>6</v>
      </c>
      <c r="H27" s="14">
        <v>3</v>
      </c>
      <c r="I27" s="14"/>
      <c r="J27" s="14"/>
      <c r="K27" s="14"/>
      <c r="L27" s="14">
        <v>22.5</v>
      </c>
      <c r="M27" s="16"/>
    </row>
    <row r="28" spans="1:13" ht="18.75" x14ac:dyDescent="0.3">
      <c r="A28" s="3">
        <v>27</v>
      </c>
      <c r="B28" s="4" t="s">
        <v>115</v>
      </c>
      <c r="C28" s="4" t="s">
        <v>12</v>
      </c>
      <c r="D28" s="14">
        <f>SUM(1485+1493+1468+1503+1359+1483)</f>
        <v>8791</v>
      </c>
      <c r="E28" s="14">
        <f>SUM(119+86+129+112+98+129)</f>
        <v>673</v>
      </c>
      <c r="F28" s="15">
        <f>SUM(D28/E28)</f>
        <v>13.062407132243685</v>
      </c>
      <c r="G28" s="14">
        <v>6</v>
      </c>
      <c r="H28" s="14">
        <v>2</v>
      </c>
      <c r="I28" s="14"/>
      <c r="J28" s="14"/>
      <c r="K28" s="14"/>
      <c r="L28" s="14">
        <v>19.5</v>
      </c>
      <c r="M28" s="16">
        <v>5</v>
      </c>
    </row>
    <row r="29" spans="1:13" ht="18.75" x14ac:dyDescent="0.3">
      <c r="A29" s="3">
        <v>28</v>
      </c>
      <c r="B29" s="26" t="s">
        <v>51</v>
      </c>
      <c r="C29" s="4" t="s">
        <v>33</v>
      </c>
      <c r="D29" s="14">
        <f>SUM(1125+1277+1380+1480+1455+1503)</f>
        <v>8220</v>
      </c>
      <c r="E29" s="14">
        <f>SUM(96+102+98+119+103+112)</f>
        <v>630</v>
      </c>
      <c r="F29" s="15">
        <f>SUM(D29/E29)</f>
        <v>13.047619047619047</v>
      </c>
      <c r="G29" s="14">
        <v>6</v>
      </c>
      <c r="H29" s="14">
        <v>3</v>
      </c>
      <c r="I29" s="14"/>
      <c r="J29" s="14"/>
      <c r="K29" s="14"/>
      <c r="L29" s="14">
        <v>17</v>
      </c>
      <c r="M29" s="16">
        <v>5</v>
      </c>
    </row>
    <row r="30" spans="1:13" ht="18.75" x14ac:dyDescent="0.3">
      <c r="A30" s="3">
        <v>29</v>
      </c>
      <c r="B30" s="26" t="s">
        <v>133</v>
      </c>
      <c r="C30" s="4" t="s">
        <v>46</v>
      </c>
      <c r="D30" s="14">
        <f>SUM(1380+1496+1443+1214+1489)</f>
        <v>7022</v>
      </c>
      <c r="E30" s="14">
        <f>SUM(111+130+100+89+114)</f>
        <v>544</v>
      </c>
      <c r="F30" s="15">
        <f>SUM(D30/E30)</f>
        <v>12.908088235294118</v>
      </c>
      <c r="G30" s="14">
        <v>5</v>
      </c>
      <c r="H30" s="14">
        <v>3</v>
      </c>
      <c r="I30" s="14"/>
      <c r="J30" s="14"/>
      <c r="K30" s="14"/>
      <c r="L30" s="14">
        <v>10.5</v>
      </c>
      <c r="M30" s="16"/>
    </row>
    <row r="31" spans="1:13" ht="18.75" x14ac:dyDescent="0.3">
      <c r="A31" s="3">
        <v>30</v>
      </c>
      <c r="B31" s="26" t="s">
        <v>74</v>
      </c>
      <c r="C31" s="7" t="s">
        <v>60</v>
      </c>
      <c r="D31" s="14">
        <f>SUM(1491+1480+1457+1253+1439+1475)</f>
        <v>8595</v>
      </c>
      <c r="E31" s="14">
        <f>SUM(100+103+151+111+93+113)</f>
        <v>671</v>
      </c>
      <c r="F31" s="15">
        <f>SUM(D31/E31)</f>
        <v>12.809239940387481</v>
      </c>
      <c r="G31" s="14">
        <v>6</v>
      </c>
      <c r="H31" s="14">
        <v>3</v>
      </c>
      <c r="I31" s="14"/>
      <c r="J31" s="14"/>
      <c r="K31" s="14"/>
      <c r="L31" s="14">
        <v>11.5</v>
      </c>
      <c r="M31" s="16"/>
    </row>
    <row r="32" spans="1:13" ht="18.75" x14ac:dyDescent="0.3">
      <c r="A32" s="3">
        <v>31</v>
      </c>
      <c r="B32" s="4" t="s">
        <v>67</v>
      </c>
      <c r="C32" s="4" t="s">
        <v>49</v>
      </c>
      <c r="D32" s="14">
        <f>SUM(1501+1454+1401+1499+1498+1316+1320)</f>
        <v>9989</v>
      </c>
      <c r="E32" s="14">
        <f>SUM(162+98+128+112+110+80+97)</f>
        <v>787</v>
      </c>
      <c r="F32" s="15">
        <f>SUM(D32/E32)</f>
        <v>12.692503176620077</v>
      </c>
      <c r="G32" s="14">
        <v>7</v>
      </c>
      <c r="H32" s="14">
        <v>3</v>
      </c>
      <c r="I32" s="14"/>
      <c r="J32" s="14"/>
      <c r="K32" s="14"/>
      <c r="L32" s="14">
        <v>20</v>
      </c>
      <c r="M32" s="16">
        <v>10</v>
      </c>
    </row>
    <row r="33" spans="1:13" ht="18.75" x14ac:dyDescent="0.3">
      <c r="A33" s="3">
        <v>32</v>
      </c>
      <c r="B33" s="4" t="s">
        <v>36</v>
      </c>
      <c r="C33" s="7" t="s">
        <v>16</v>
      </c>
      <c r="D33" s="14">
        <f>SUM(1472+1279+1463+1479+1401+1487+1503)</f>
        <v>10084</v>
      </c>
      <c r="E33" s="14">
        <f>SUM(108+93+117+130+103+115+130)</f>
        <v>796</v>
      </c>
      <c r="F33" s="15">
        <f>SUM(D33/E33)</f>
        <v>12.668341708542714</v>
      </c>
      <c r="G33" s="14">
        <v>7</v>
      </c>
      <c r="H33" s="14">
        <v>4</v>
      </c>
      <c r="I33" s="14"/>
      <c r="J33" s="14"/>
      <c r="K33" s="14"/>
      <c r="L33" s="14">
        <v>24</v>
      </c>
      <c r="M33" s="16"/>
    </row>
    <row r="34" spans="1:13" ht="18.75" x14ac:dyDescent="0.3">
      <c r="A34" s="3">
        <v>33</v>
      </c>
      <c r="B34" s="8" t="s">
        <v>41</v>
      </c>
      <c r="C34" s="4" t="s">
        <v>21</v>
      </c>
      <c r="D34" s="14">
        <f>SUM(1179+1413+1443+1451+1367+1503+1448)</f>
        <v>9804</v>
      </c>
      <c r="E34" s="14">
        <f>SUM(90+119+112+108+114+113+120)</f>
        <v>776</v>
      </c>
      <c r="F34" s="15">
        <f>SUM(D34/E34)</f>
        <v>12.634020618556701</v>
      </c>
      <c r="G34" s="14">
        <v>7</v>
      </c>
      <c r="H34" s="14">
        <v>2</v>
      </c>
      <c r="I34" s="14"/>
      <c r="J34" s="14"/>
      <c r="K34" s="14"/>
      <c r="L34" s="14">
        <v>16.5</v>
      </c>
      <c r="M34" s="16">
        <v>5</v>
      </c>
    </row>
    <row r="35" spans="1:13" ht="18.75" x14ac:dyDescent="0.3">
      <c r="A35" s="3">
        <v>34</v>
      </c>
      <c r="B35" s="7" t="s">
        <v>35</v>
      </c>
      <c r="C35" s="4" t="s">
        <v>33</v>
      </c>
      <c r="D35" s="17">
        <f>SUM(1453+1310+1456+1304+949+1406+1450)</f>
        <v>9328</v>
      </c>
      <c r="E35" s="14">
        <f>SUM(105+122+95+112+75+90+148)</f>
        <v>747</v>
      </c>
      <c r="F35" s="15">
        <f>SUM(D35/E35)</f>
        <v>12.487282463186078</v>
      </c>
      <c r="G35" s="14">
        <v>7</v>
      </c>
      <c r="H35" s="14">
        <v>3</v>
      </c>
      <c r="I35" s="14"/>
      <c r="J35" s="14"/>
      <c r="K35" s="14"/>
      <c r="L35" s="14">
        <v>20.5</v>
      </c>
      <c r="M35" s="16"/>
    </row>
    <row r="36" spans="1:13" ht="18.75" x14ac:dyDescent="0.3">
      <c r="A36" s="3">
        <v>35</v>
      </c>
      <c r="B36" s="7" t="s">
        <v>48</v>
      </c>
      <c r="C36" s="4" t="s">
        <v>49</v>
      </c>
      <c r="D36" s="17">
        <f>SUM(1498+1501+1411+1162+1480+1223+1193)</f>
        <v>9468</v>
      </c>
      <c r="E36" s="14">
        <f>SUM(124+124+124+90+129+85+84)</f>
        <v>760</v>
      </c>
      <c r="F36" s="15">
        <f>SUM(D36/E36)</f>
        <v>12.457894736842105</v>
      </c>
      <c r="G36" s="14">
        <v>7</v>
      </c>
      <c r="H36" s="14">
        <v>2</v>
      </c>
      <c r="I36" s="14"/>
      <c r="J36" s="14"/>
      <c r="K36" s="14"/>
      <c r="L36" s="14">
        <v>19.5</v>
      </c>
      <c r="M36" s="16">
        <v>5</v>
      </c>
    </row>
    <row r="37" spans="1:13" ht="18.75" x14ac:dyDescent="0.3">
      <c r="A37" s="3">
        <v>36</v>
      </c>
      <c r="B37" s="9" t="s">
        <v>73</v>
      </c>
      <c r="C37" s="4" t="s">
        <v>21</v>
      </c>
      <c r="D37" s="17">
        <f>SUM(1472+1490)</f>
        <v>2962</v>
      </c>
      <c r="E37" s="14">
        <f>SUM(133+105)</f>
        <v>238</v>
      </c>
      <c r="F37" s="15">
        <f>SUM(D37/E37)</f>
        <v>12.445378151260504</v>
      </c>
      <c r="G37" s="14">
        <v>2</v>
      </c>
      <c r="H37" s="14">
        <v>2</v>
      </c>
      <c r="I37" s="14"/>
      <c r="J37" s="14"/>
      <c r="K37" s="14"/>
      <c r="L37" s="14">
        <v>6.5</v>
      </c>
      <c r="M37" s="16"/>
    </row>
    <row r="38" spans="1:13" ht="18.75" x14ac:dyDescent="0.3">
      <c r="A38" s="3">
        <v>37</v>
      </c>
      <c r="B38" s="7" t="s">
        <v>26</v>
      </c>
      <c r="C38" s="4" t="s">
        <v>21</v>
      </c>
      <c r="D38" s="17">
        <f>SUM(1301+1470+1495+1501+1264)</f>
        <v>7031</v>
      </c>
      <c r="E38" s="14">
        <f>SUM(88+118+154+110+98)</f>
        <v>568</v>
      </c>
      <c r="F38" s="15">
        <f>SUM(D38/E38)</f>
        <v>12.378521126760564</v>
      </c>
      <c r="G38" s="14">
        <v>5</v>
      </c>
      <c r="H38" s="14">
        <v>3</v>
      </c>
      <c r="I38" s="14"/>
      <c r="J38" s="14"/>
      <c r="K38" s="14"/>
      <c r="L38" s="14">
        <v>16.5</v>
      </c>
      <c r="M38" s="16"/>
    </row>
    <row r="39" spans="1:13" ht="18.75" x14ac:dyDescent="0.3">
      <c r="A39" s="3">
        <v>38</v>
      </c>
      <c r="B39" s="9" t="s">
        <v>45</v>
      </c>
      <c r="C39" s="4" t="s">
        <v>46</v>
      </c>
      <c r="D39" s="17">
        <f>SUM(1497+1394)</f>
        <v>2891</v>
      </c>
      <c r="E39" s="14">
        <f>SUM(120+114)</f>
        <v>234</v>
      </c>
      <c r="F39" s="15">
        <f>SUM(D39/E39)</f>
        <v>12.354700854700855</v>
      </c>
      <c r="G39" s="14">
        <v>2</v>
      </c>
      <c r="H39" s="14"/>
      <c r="I39" s="14"/>
      <c r="J39" s="14"/>
      <c r="K39" s="14"/>
      <c r="L39" s="14">
        <v>1</v>
      </c>
      <c r="M39" s="16"/>
    </row>
    <row r="40" spans="1:13" ht="18.75" x14ac:dyDescent="0.3">
      <c r="A40" s="3">
        <v>39</v>
      </c>
      <c r="B40" s="9" t="s">
        <v>39</v>
      </c>
      <c r="C40" s="4" t="s">
        <v>29</v>
      </c>
      <c r="D40" s="17">
        <f>SUM(1503+1335+1494+1501+1503+1447+1312)</f>
        <v>10095</v>
      </c>
      <c r="E40" s="14">
        <f>SUM(114+123+120+142+132+98+89)</f>
        <v>818</v>
      </c>
      <c r="F40" s="15">
        <f>SUM(D40/E40)</f>
        <v>12.341075794621027</v>
      </c>
      <c r="G40" s="14">
        <v>7</v>
      </c>
      <c r="H40" s="14">
        <v>3</v>
      </c>
      <c r="I40" s="14"/>
      <c r="J40" s="14"/>
      <c r="K40" s="14"/>
      <c r="L40" s="14">
        <v>18</v>
      </c>
      <c r="M40" s="16"/>
    </row>
    <row r="41" spans="1:13" ht="18.75" x14ac:dyDescent="0.3">
      <c r="A41" s="3">
        <v>40</v>
      </c>
      <c r="B41" s="9" t="s">
        <v>57</v>
      </c>
      <c r="C41" s="4" t="s">
        <v>46</v>
      </c>
      <c r="D41" s="17">
        <f>SUM(1416+1252+1334+1500+1345+1490+1487)</f>
        <v>9824</v>
      </c>
      <c r="E41" s="14">
        <f>SUM(125+84+99+144+105+98+147)</f>
        <v>802</v>
      </c>
      <c r="F41" s="15">
        <f>SUM(D41/E41)</f>
        <v>12.24937655860349</v>
      </c>
      <c r="G41" s="14">
        <v>7</v>
      </c>
      <c r="H41" s="14">
        <v>2</v>
      </c>
      <c r="I41" s="14"/>
      <c r="J41" s="14"/>
      <c r="K41" s="14"/>
      <c r="L41" s="14">
        <v>12</v>
      </c>
      <c r="M41" s="16"/>
    </row>
    <row r="42" spans="1:13" ht="18.75" x14ac:dyDescent="0.3">
      <c r="A42" s="3">
        <v>41</v>
      </c>
      <c r="B42" s="28" t="s">
        <v>63</v>
      </c>
      <c r="C42" s="8" t="s">
        <v>53</v>
      </c>
      <c r="D42" s="17">
        <f>SUM(1498+1066+1491+1501+1497+1393)</f>
        <v>8446</v>
      </c>
      <c r="E42" s="14">
        <f>SUM(158+78+104+125+126+112)</f>
        <v>703</v>
      </c>
      <c r="F42" s="15">
        <f>SUM(D42/E42)</f>
        <v>12.014224751066857</v>
      </c>
      <c r="G42" s="14">
        <v>6</v>
      </c>
      <c r="H42" s="14">
        <v>2</v>
      </c>
      <c r="I42" s="14"/>
      <c r="J42" s="14"/>
      <c r="K42" s="14"/>
      <c r="L42" s="14">
        <v>11</v>
      </c>
      <c r="M42" s="16"/>
    </row>
    <row r="43" spans="1:13" ht="18.75" x14ac:dyDescent="0.3">
      <c r="A43" s="3">
        <v>42</v>
      </c>
      <c r="B43" s="18" t="s">
        <v>55</v>
      </c>
      <c r="C43" s="7" t="s">
        <v>33</v>
      </c>
      <c r="D43" s="17">
        <f>SUM(1418+1495+1361+1446+1491+1483)</f>
        <v>8694</v>
      </c>
      <c r="E43" s="14">
        <f>SUM(122+118+123+150+97+115)</f>
        <v>725</v>
      </c>
      <c r="F43" s="15">
        <f>SUM(D43/E43)</f>
        <v>11.991724137931035</v>
      </c>
      <c r="G43" s="14">
        <v>6</v>
      </c>
      <c r="H43" s="14">
        <v>3</v>
      </c>
      <c r="I43" s="14"/>
      <c r="J43" s="14"/>
      <c r="K43" s="14"/>
      <c r="L43" s="14">
        <v>16</v>
      </c>
      <c r="M43" s="16"/>
    </row>
    <row r="44" spans="1:13" ht="18.75" x14ac:dyDescent="0.3">
      <c r="A44" s="3">
        <v>43</v>
      </c>
      <c r="B44" s="7" t="s">
        <v>72</v>
      </c>
      <c r="C44" s="7" t="s">
        <v>19</v>
      </c>
      <c r="D44" s="17">
        <f>SUM(1495+1461+1481)</f>
        <v>4437</v>
      </c>
      <c r="E44" s="14">
        <f>SUM(117+130+128)</f>
        <v>375</v>
      </c>
      <c r="F44" s="15">
        <f>SUM(D44/E44)</f>
        <v>11.832000000000001</v>
      </c>
      <c r="G44" s="14">
        <v>3</v>
      </c>
      <c r="H44" s="14">
        <v>2</v>
      </c>
      <c r="I44" s="14"/>
      <c r="J44" s="14"/>
      <c r="K44" s="14"/>
      <c r="L44" s="14">
        <v>12.5</v>
      </c>
      <c r="M44" s="16"/>
    </row>
    <row r="45" spans="1:13" ht="18.75" x14ac:dyDescent="0.3">
      <c r="A45" s="3">
        <v>44</v>
      </c>
      <c r="B45" s="7" t="s">
        <v>50</v>
      </c>
      <c r="C45" s="7" t="s">
        <v>12</v>
      </c>
      <c r="D45" s="17">
        <f>SUM(1235+1395)</f>
        <v>2630</v>
      </c>
      <c r="E45" s="14">
        <f>SUM(104+119)</f>
        <v>223</v>
      </c>
      <c r="F45" s="15">
        <f>SUM(D45/E45)</f>
        <v>11.79372197309417</v>
      </c>
      <c r="G45" s="14">
        <v>2</v>
      </c>
      <c r="H45" s="14"/>
      <c r="I45" s="14"/>
      <c r="J45" s="14"/>
      <c r="K45" s="14"/>
      <c r="L45" s="14">
        <v>6</v>
      </c>
      <c r="M45" s="16"/>
    </row>
    <row r="46" spans="1:13" ht="18.75" x14ac:dyDescent="0.3">
      <c r="A46" s="3">
        <v>45</v>
      </c>
      <c r="B46" s="9" t="s">
        <v>131</v>
      </c>
      <c r="C46" s="7" t="s">
        <v>60</v>
      </c>
      <c r="D46" s="17">
        <f>SUM(1359)</f>
        <v>1359</v>
      </c>
      <c r="E46" s="14">
        <f>SUM(116)</f>
        <v>116</v>
      </c>
      <c r="F46" s="15">
        <f>SUM(D46/E46)</f>
        <v>11.71551724137931</v>
      </c>
      <c r="G46" s="14">
        <v>1</v>
      </c>
      <c r="H46" s="14">
        <v>1</v>
      </c>
      <c r="I46" s="14"/>
      <c r="J46" s="14"/>
      <c r="K46" s="14"/>
      <c r="L46" s="14">
        <v>2</v>
      </c>
      <c r="M46" s="16"/>
    </row>
    <row r="47" spans="1:13" ht="18.75" x14ac:dyDescent="0.3">
      <c r="A47" s="3">
        <v>46</v>
      </c>
      <c r="B47" s="9" t="s">
        <v>132</v>
      </c>
      <c r="C47" s="7" t="s">
        <v>14</v>
      </c>
      <c r="D47" s="17">
        <f>SUM(1485)</f>
        <v>1485</v>
      </c>
      <c r="E47" s="14">
        <f>SUM(129)</f>
        <v>129</v>
      </c>
      <c r="F47" s="15">
        <f>SUM(D47/E47)</f>
        <v>11.511627906976743</v>
      </c>
      <c r="G47" s="14">
        <v>1</v>
      </c>
      <c r="H47" s="14">
        <v>1</v>
      </c>
      <c r="I47" s="14"/>
      <c r="J47" s="14"/>
      <c r="K47" s="14"/>
      <c r="L47" s="14">
        <v>4.5</v>
      </c>
      <c r="M47" s="16"/>
    </row>
    <row r="48" spans="1:13" ht="18.75" x14ac:dyDescent="0.3">
      <c r="A48" s="3">
        <v>47</v>
      </c>
      <c r="B48" s="9" t="s">
        <v>30</v>
      </c>
      <c r="C48" s="7" t="s">
        <v>23</v>
      </c>
      <c r="D48" s="17">
        <f>SUM(1302+1358+1471+1503+1495+1235+1457)</f>
        <v>9821</v>
      </c>
      <c r="E48" s="14">
        <f>SUM(90+98+130+127+149+111+149)</f>
        <v>854</v>
      </c>
      <c r="F48" s="15">
        <f>SUM(D48/E48)</f>
        <v>11.5</v>
      </c>
      <c r="G48" s="14">
        <v>7</v>
      </c>
      <c r="H48" s="14">
        <v>5</v>
      </c>
      <c r="I48" s="14"/>
      <c r="J48" s="14"/>
      <c r="K48" s="14"/>
      <c r="L48" s="14">
        <v>24</v>
      </c>
      <c r="M48" s="16"/>
    </row>
    <row r="49" spans="1:13" ht="18.75" x14ac:dyDescent="0.3">
      <c r="A49" s="3">
        <v>48</v>
      </c>
      <c r="B49" s="9" t="s">
        <v>76</v>
      </c>
      <c r="C49" s="4" t="s">
        <v>49</v>
      </c>
      <c r="D49" s="17">
        <f>SUM(1499+1501+1408+1503+1495+1495)</f>
        <v>8901</v>
      </c>
      <c r="E49" s="14">
        <f>SUM(172+128+99+114+138+126)</f>
        <v>777</v>
      </c>
      <c r="F49" s="15">
        <f>SUM(D49/E49)</f>
        <v>11.455598455598455</v>
      </c>
      <c r="G49" s="14">
        <v>6</v>
      </c>
      <c r="H49" s="14">
        <v>4</v>
      </c>
      <c r="I49" s="14"/>
      <c r="J49" s="14"/>
      <c r="K49" s="14"/>
      <c r="L49" s="14">
        <v>21.5</v>
      </c>
      <c r="M49" s="16"/>
    </row>
    <row r="50" spans="1:13" ht="18.75" x14ac:dyDescent="0.3">
      <c r="A50" s="3">
        <v>49</v>
      </c>
      <c r="B50" s="7" t="s">
        <v>54</v>
      </c>
      <c r="C50" s="8" t="s">
        <v>49</v>
      </c>
      <c r="D50" s="17">
        <f>SUM(1408+1461+1300)</f>
        <v>4169</v>
      </c>
      <c r="E50" s="14">
        <f>SUM(121+158+86)</f>
        <v>365</v>
      </c>
      <c r="F50" s="15">
        <f>SUM(D50/E50)</f>
        <v>11.421917808219177</v>
      </c>
      <c r="G50" s="14">
        <v>3</v>
      </c>
      <c r="H50" s="14">
        <v>1</v>
      </c>
      <c r="I50" s="14"/>
      <c r="J50" s="14"/>
      <c r="K50" s="14"/>
      <c r="L50" s="14">
        <v>8.5</v>
      </c>
      <c r="M50" s="16"/>
    </row>
    <row r="51" spans="1:13" ht="18.75" x14ac:dyDescent="0.3">
      <c r="A51" s="3">
        <v>50</v>
      </c>
      <c r="B51" s="11" t="s">
        <v>59</v>
      </c>
      <c r="C51" s="7" t="s">
        <v>60</v>
      </c>
      <c r="D51" s="17">
        <f>SUM(1495+1198+1171)</f>
        <v>3864</v>
      </c>
      <c r="E51" s="14">
        <f>SUM(137+121+90)</f>
        <v>348</v>
      </c>
      <c r="F51" s="15">
        <f>SUM(D51/E51)</f>
        <v>11.103448275862069</v>
      </c>
      <c r="G51" s="14">
        <v>3</v>
      </c>
      <c r="H51" s="14"/>
      <c r="I51" s="14"/>
      <c r="J51" s="14"/>
      <c r="K51" s="14"/>
      <c r="L51" s="14">
        <v>2</v>
      </c>
      <c r="M51" s="16"/>
    </row>
    <row r="52" spans="1:13" ht="18.75" x14ac:dyDescent="0.3">
      <c r="A52" s="3">
        <v>51</v>
      </c>
      <c r="B52" s="27" t="s">
        <v>61</v>
      </c>
      <c r="C52" s="8" t="s">
        <v>53</v>
      </c>
      <c r="D52" s="17">
        <f>SUM(1483+1452+1373)</f>
        <v>4308</v>
      </c>
      <c r="E52" s="14">
        <f>SUM(136+141+114)</f>
        <v>391</v>
      </c>
      <c r="F52" s="15">
        <f>SUM(D52/E52)</f>
        <v>11.017902813299234</v>
      </c>
      <c r="G52" s="14">
        <v>3</v>
      </c>
      <c r="H52" s="14">
        <v>1</v>
      </c>
      <c r="I52" s="14"/>
      <c r="J52" s="14"/>
      <c r="K52" s="14"/>
      <c r="L52" s="14">
        <v>6.5</v>
      </c>
      <c r="M52" s="16"/>
    </row>
    <row r="53" spans="1:13" ht="18.75" x14ac:dyDescent="0.3">
      <c r="A53" s="3">
        <v>52</v>
      </c>
      <c r="B53" s="11" t="s">
        <v>126</v>
      </c>
      <c r="C53" s="4" t="s">
        <v>21</v>
      </c>
      <c r="D53" s="17">
        <f>SUM(1350)</f>
        <v>1350</v>
      </c>
      <c r="E53" s="14">
        <f>SUM(123)</f>
        <v>123</v>
      </c>
      <c r="F53" s="15">
        <f>SUM(D53/E53)</f>
        <v>10.975609756097562</v>
      </c>
      <c r="G53" s="14">
        <v>1</v>
      </c>
      <c r="H53" s="14"/>
      <c r="I53" s="14"/>
      <c r="J53" s="14"/>
      <c r="K53" s="14"/>
      <c r="L53" s="14">
        <v>1.5</v>
      </c>
      <c r="M53" s="16"/>
    </row>
    <row r="54" spans="1:13" ht="18.75" x14ac:dyDescent="0.3">
      <c r="A54" s="3">
        <v>53</v>
      </c>
      <c r="B54" s="11" t="s">
        <v>128</v>
      </c>
      <c r="C54" s="7" t="s">
        <v>46</v>
      </c>
      <c r="D54" s="17">
        <f>SUM(1498+1487)</f>
        <v>2985</v>
      </c>
      <c r="E54" s="14">
        <f>SUM(161+114)</f>
        <v>275</v>
      </c>
      <c r="F54" s="15">
        <f>SUM(D54/E54)</f>
        <v>10.854545454545455</v>
      </c>
      <c r="G54" s="14">
        <v>2</v>
      </c>
      <c r="H54" s="14">
        <v>2</v>
      </c>
      <c r="I54" s="14"/>
      <c r="J54" s="14"/>
      <c r="K54" s="14"/>
      <c r="L54" s="14">
        <v>9.5</v>
      </c>
      <c r="M54" s="16"/>
    </row>
    <row r="55" spans="1:13" ht="18.75" x14ac:dyDescent="0.3">
      <c r="A55" s="3">
        <v>54</v>
      </c>
      <c r="B55" s="27" t="s">
        <v>58</v>
      </c>
      <c r="C55" s="7" t="s">
        <v>14</v>
      </c>
      <c r="D55" s="17">
        <f>SUM(1431+1499+1493+1499+1374+1491)</f>
        <v>8787</v>
      </c>
      <c r="E55" s="14">
        <f>SUM(128+168+144+126+105+139)</f>
        <v>810</v>
      </c>
      <c r="F55" s="15">
        <f>SUM(D55/E55)</f>
        <v>10.848148148148148</v>
      </c>
      <c r="G55" s="14">
        <v>6</v>
      </c>
      <c r="H55" s="14">
        <v>4</v>
      </c>
      <c r="I55" s="14"/>
      <c r="J55" s="14"/>
      <c r="K55" s="14"/>
      <c r="L55" s="14">
        <v>22.5</v>
      </c>
      <c r="M55" s="16"/>
    </row>
    <row r="56" spans="1:13" ht="18.75" x14ac:dyDescent="0.3">
      <c r="A56" s="3">
        <v>55</v>
      </c>
      <c r="B56" s="11" t="s">
        <v>129</v>
      </c>
      <c r="C56" s="7" t="s">
        <v>16</v>
      </c>
      <c r="D56" s="17">
        <f>SUM(1424+1496)</f>
        <v>2920</v>
      </c>
      <c r="E56" s="14">
        <f>SUM(126+145)</f>
        <v>271</v>
      </c>
      <c r="F56" s="15">
        <f>SUM(D56/E56)</f>
        <v>10.77490774907749</v>
      </c>
      <c r="G56" s="14">
        <v>2</v>
      </c>
      <c r="H56" s="14"/>
      <c r="I56" s="14"/>
      <c r="J56" s="14"/>
      <c r="K56" s="14"/>
      <c r="L56" s="14">
        <v>4.5</v>
      </c>
      <c r="M56" s="16"/>
    </row>
    <row r="57" spans="1:13" ht="18.75" x14ac:dyDescent="0.3">
      <c r="A57" s="3">
        <v>56</v>
      </c>
      <c r="B57" s="27" t="s">
        <v>42</v>
      </c>
      <c r="C57" s="7" t="s">
        <v>14</v>
      </c>
      <c r="D57" s="17">
        <f>SUM(1482+1499+1503+1491+1294+1465+1439)</f>
        <v>10173</v>
      </c>
      <c r="E57" s="14">
        <f>SUM(117+165+144+126+126+162+121)</f>
        <v>961</v>
      </c>
      <c r="F57" s="15">
        <f>SUM(D57/E57)</f>
        <v>10.585848074921957</v>
      </c>
      <c r="G57" s="14">
        <v>7</v>
      </c>
      <c r="H57" s="14">
        <v>2</v>
      </c>
      <c r="I57" s="14">
        <v>1</v>
      </c>
      <c r="J57" s="14"/>
      <c r="K57" s="14"/>
      <c r="L57" s="14">
        <v>21.5</v>
      </c>
      <c r="M57" s="16"/>
    </row>
    <row r="58" spans="1:13" ht="18.75" x14ac:dyDescent="0.3">
      <c r="A58" s="3">
        <v>57</v>
      </c>
      <c r="B58" s="11" t="s">
        <v>62</v>
      </c>
      <c r="C58" s="7" t="s">
        <v>60</v>
      </c>
      <c r="D58" s="17">
        <f>SUM(1264+920+1335)</f>
        <v>3519</v>
      </c>
      <c r="E58" s="14">
        <f>SUM(123+72+138)</f>
        <v>333</v>
      </c>
      <c r="F58" s="15">
        <f>SUM(D58/E58)</f>
        <v>10.567567567567568</v>
      </c>
      <c r="G58" s="14">
        <v>3</v>
      </c>
      <c r="H58" s="14"/>
      <c r="I58" s="14"/>
      <c r="J58" s="14"/>
      <c r="K58" s="14"/>
      <c r="L58" s="14">
        <v>2</v>
      </c>
      <c r="M58" s="16"/>
    </row>
    <row r="59" spans="1:13" ht="18.75" x14ac:dyDescent="0.3">
      <c r="A59" s="3">
        <v>58</v>
      </c>
      <c r="B59" s="11" t="s">
        <v>69</v>
      </c>
      <c r="C59" s="4" t="s">
        <v>60</v>
      </c>
      <c r="D59" s="17">
        <f>SUM(1297+1501+1485+1355+1413+1350+1379)</f>
        <v>9780</v>
      </c>
      <c r="E59" s="14">
        <f>SUM(156+158+152+127+108+117+122)</f>
        <v>940</v>
      </c>
      <c r="F59" s="15">
        <f>SUM(D59/E59)</f>
        <v>10.404255319148936</v>
      </c>
      <c r="G59" s="14">
        <v>7</v>
      </c>
      <c r="H59" s="14">
        <v>3</v>
      </c>
      <c r="I59" s="14"/>
      <c r="J59" s="14"/>
      <c r="K59" s="14"/>
      <c r="L59" s="14">
        <v>13.5</v>
      </c>
      <c r="M59" s="16"/>
    </row>
    <row r="60" spans="1:13" ht="18.75" x14ac:dyDescent="0.3">
      <c r="A60" s="3">
        <v>59</v>
      </c>
      <c r="B60" s="11" t="s">
        <v>65</v>
      </c>
      <c r="C60" s="8" t="s">
        <v>46</v>
      </c>
      <c r="D60" s="17">
        <f>SUM(1493+1344+1345)</f>
        <v>4182</v>
      </c>
      <c r="E60" s="14">
        <f>SUM(159+141+111)</f>
        <v>411</v>
      </c>
      <c r="F60" s="15">
        <f>SUM(D60/E60)</f>
        <v>10.175182481751825</v>
      </c>
      <c r="G60" s="14">
        <v>3</v>
      </c>
      <c r="H60" s="14"/>
      <c r="I60" s="14"/>
      <c r="J60" s="14"/>
      <c r="K60" s="14"/>
      <c r="L60" s="14">
        <v>1.5</v>
      </c>
      <c r="M60" s="16"/>
    </row>
    <row r="61" spans="1:13" ht="18.75" x14ac:dyDescent="0.3">
      <c r="A61" s="3">
        <v>60</v>
      </c>
      <c r="B61" s="11" t="s">
        <v>70</v>
      </c>
      <c r="C61" s="7" t="s">
        <v>53</v>
      </c>
      <c r="D61" s="17">
        <f>SUM(1480+1435+1503+1491+1497)</f>
        <v>7406</v>
      </c>
      <c r="E61" s="14">
        <f>SUM(180+141+139+125+151)</f>
        <v>736</v>
      </c>
      <c r="F61" s="15">
        <f>SUM(D61/E61)</f>
        <v>10.0625</v>
      </c>
      <c r="G61" s="14">
        <v>5</v>
      </c>
      <c r="H61" s="14">
        <v>1</v>
      </c>
      <c r="I61" s="14"/>
      <c r="J61" s="14"/>
      <c r="K61" s="14"/>
      <c r="L61" s="14">
        <v>8</v>
      </c>
      <c r="M61" s="16"/>
    </row>
    <row r="62" spans="1:13" ht="18.75" x14ac:dyDescent="0.3">
      <c r="A62" s="3">
        <v>61</v>
      </c>
      <c r="B62" s="11" t="s">
        <v>125</v>
      </c>
      <c r="C62" s="4" t="s">
        <v>12</v>
      </c>
      <c r="D62" s="17">
        <f>SUM(1385)</f>
        <v>1385</v>
      </c>
      <c r="E62" s="14">
        <f>SUM(138)</f>
        <v>138</v>
      </c>
      <c r="F62" s="15">
        <f>SUM(D62/E62)</f>
        <v>10.036231884057971</v>
      </c>
      <c r="G62" s="14">
        <v>1</v>
      </c>
      <c r="H62" s="14"/>
      <c r="I62" s="14"/>
      <c r="J62" s="14"/>
      <c r="K62" s="14"/>
      <c r="L62" s="14">
        <v>2.5</v>
      </c>
      <c r="M62" s="16"/>
    </row>
    <row r="63" spans="1:13" ht="18.75" x14ac:dyDescent="0.3">
      <c r="A63" s="3">
        <v>62</v>
      </c>
      <c r="B63" s="11" t="s">
        <v>75</v>
      </c>
      <c r="C63" s="4" t="s">
        <v>60</v>
      </c>
      <c r="D63" s="17">
        <f>SUM(1459+1180+1070)</f>
        <v>3709</v>
      </c>
      <c r="E63" s="14">
        <f>SUM(165+111+96)</f>
        <v>372</v>
      </c>
      <c r="F63" s="15">
        <f>SUM(D63/E63)</f>
        <v>9.970430107526882</v>
      </c>
      <c r="G63" s="14">
        <v>3</v>
      </c>
      <c r="H63" s="14"/>
      <c r="I63" s="14"/>
      <c r="J63" s="14"/>
      <c r="K63" s="14"/>
      <c r="L63" s="14">
        <v>4.5</v>
      </c>
      <c r="M63" s="16"/>
    </row>
    <row r="64" spans="1:13" ht="18.75" x14ac:dyDescent="0.3">
      <c r="A64" s="3">
        <v>63</v>
      </c>
      <c r="B64" s="27" t="s">
        <v>66</v>
      </c>
      <c r="C64" s="4" t="s">
        <v>49</v>
      </c>
      <c r="D64" s="17">
        <f>SUM(1474+1189+1448+1191+1495)</f>
        <v>6797</v>
      </c>
      <c r="E64" s="14">
        <f>SUM(158+126+132+107+162)</f>
        <v>685</v>
      </c>
      <c r="F64" s="15">
        <f>SUM(D64/E64)</f>
        <v>9.9226277372262768</v>
      </c>
      <c r="G64" s="14">
        <v>5</v>
      </c>
      <c r="H64" s="14">
        <v>2</v>
      </c>
      <c r="I64" s="14"/>
      <c r="J64" s="14"/>
      <c r="K64" s="14"/>
      <c r="L64" s="14">
        <v>12.5</v>
      </c>
      <c r="M64" s="16"/>
    </row>
    <row r="65" spans="1:18" ht="18.75" x14ac:dyDescent="0.3">
      <c r="A65" s="3">
        <v>64</v>
      </c>
      <c r="B65" s="11" t="s">
        <v>64</v>
      </c>
      <c r="C65" s="4" t="s">
        <v>46</v>
      </c>
      <c r="D65" s="17">
        <f>SUM(1468+1466+912)</f>
        <v>3846</v>
      </c>
      <c r="E65" s="14">
        <f>SUM(156+165+75)</f>
        <v>396</v>
      </c>
      <c r="F65" s="15">
        <f>SUM(D65/E65)</f>
        <v>9.7121212121212128</v>
      </c>
      <c r="G65" s="14">
        <v>3</v>
      </c>
      <c r="H65" s="14"/>
      <c r="I65" s="14"/>
      <c r="J65" s="14"/>
      <c r="K65" s="14"/>
      <c r="L65" s="14">
        <v>2.5</v>
      </c>
      <c r="M65" s="16"/>
    </row>
    <row r="66" spans="1:18" ht="18.75" x14ac:dyDescent="0.3">
      <c r="A66" s="3">
        <v>65</v>
      </c>
      <c r="B66" s="11" t="s">
        <v>68</v>
      </c>
      <c r="C66" s="7" t="s">
        <v>60</v>
      </c>
      <c r="D66" s="17">
        <f>SUM(1493+1464+1445+1017+1395)</f>
        <v>6814</v>
      </c>
      <c r="E66" s="14">
        <f>SUM(177+162+141+93+130)</f>
        <v>703</v>
      </c>
      <c r="F66" s="15">
        <f>SUM(D66/E66)</f>
        <v>9.6927453769559033</v>
      </c>
      <c r="G66" s="14">
        <v>5</v>
      </c>
      <c r="H66" s="14">
        <v>1</v>
      </c>
      <c r="I66" s="14"/>
      <c r="J66" s="14"/>
      <c r="K66" s="14"/>
      <c r="L66" s="14">
        <v>7.5</v>
      </c>
      <c r="M66" s="16"/>
    </row>
    <row r="67" spans="1:18" ht="18.75" x14ac:dyDescent="0.3">
      <c r="A67" s="3">
        <v>66</v>
      </c>
      <c r="B67" s="11" t="s">
        <v>124</v>
      </c>
      <c r="C67" s="7" t="s">
        <v>46</v>
      </c>
      <c r="D67" s="17">
        <f>SUM(1491)</f>
        <v>1491</v>
      </c>
      <c r="E67" s="14">
        <f>SUM(165)</f>
        <v>165</v>
      </c>
      <c r="F67" s="15">
        <f>SUM(D67/E67)</f>
        <v>9.036363636363637</v>
      </c>
      <c r="G67" s="14">
        <v>1</v>
      </c>
      <c r="H67" s="14"/>
      <c r="I67" s="14"/>
      <c r="J67" s="14"/>
      <c r="K67" s="14"/>
      <c r="L67" s="14">
        <v>0.5</v>
      </c>
      <c r="M67" s="16"/>
    </row>
    <row r="68" spans="1:18" ht="18.75" x14ac:dyDescent="0.3">
      <c r="A68" s="3">
        <v>67</v>
      </c>
      <c r="B68" s="11" t="s">
        <v>127</v>
      </c>
      <c r="C68" s="4" t="s">
        <v>60</v>
      </c>
      <c r="D68" s="17"/>
      <c r="E68" s="14"/>
      <c r="F68" s="15"/>
      <c r="G68" s="14"/>
      <c r="H68" s="14"/>
      <c r="I68" s="14"/>
      <c r="J68" s="14"/>
      <c r="K68" s="14"/>
      <c r="L68" s="14">
        <v>1</v>
      </c>
      <c r="M68" s="16"/>
    </row>
    <row r="69" spans="1:18" ht="18.75" x14ac:dyDescent="0.3">
      <c r="A69" s="3">
        <v>68</v>
      </c>
      <c r="B69" s="11" t="s">
        <v>113</v>
      </c>
      <c r="C69" s="7" t="s">
        <v>46</v>
      </c>
      <c r="D69" s="17"/>
      <c r="E69" s="14"/>
      <c r="F69" s="15"/>
      <c r="G69" s="14"/>
      <c r="H69" s="14"/>
      <c r="I69" s="14"/>
      <c r="J69" s="14"/>
      <c r="K69" s="14"/>
      <c r="L69" s="14">
        <v>0</v>
      </c>
      <c r="M69" s="16"/>
    </row>
    <row r="70" spans="1:18" ht="17.25" customHeight="1" thickBot="1" x14ac:dyDescent="0.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8" ht="19.5" customHeight="1" thickBot="1" x14ac:dyDescent="0.35">
      <c r="A71" s="5"/>
      <c r="B71" s="41" t="s">
        <v>146</v>
      </c>
      <c r="C71" s="60" t="s">
        <v>78</v>
      </c>
      <c r="D71" s="59" t="s">
        <v>79</v>
      </c>
      <c r="E71" s="70" t="s">
        <v>80</v>
      </c>
      <c r="F71" s="55" t="s">
        <v>108</v>
      </c>
      <c r="G71" s="69" t="s">
        <v>81</v>
      </c>
      <c r="I71" s="34" t="s">
        <v>82</v>
      </c>
      <c r="J71" s="35"/>
      <c r="K71" s="35"/>
      <c r="L71" s="35"/>
      <c r="M71" s="35"/>
      <c r="N71" s="35"/>
      <c r="O71" s="35"/>
      <c r="P71" s="35"/>
      <c r="Q71" s="35"/>
      <c r="R71" s="36"/>
    </row>
    <row r="72" spans="1:18" ht="18.75" x14ac:dyDescent="0.3">
      <c r="A72" s="5"/>
      <c r="B72" s="42"/>
      <c r="C72" s="29" t="s">
        <v>86</v>
      </c>
      <c r="D72" s="7">
        <v>7</v>
      </c>
      <c r="E72" s="27">
        <v>0</v>
      </c>
      <c r="F72" s="26">
        <v>0</v>
      </c>
      <c r="G72" s="29">
        <v>117</v>
      </c>
      <c r="I72" s="68" t="s">
        <v>84</v>
      </c>
      <c r="J72" s="67"/>
      <c r="K72" s="67"/>
      <c r="L72" s="67"/>
      <c r="M72" s="67"/>
      <c r="N72" s="37" t="s">
        <v>85</v>
      </c>
      <c r="O72" s="37"/>
      <c r="P72" s="37"/>
      <c r="Q72" s="37"/>
      <c r="R72" s="38"/>
    </row>
    <row r="73" spans="1:18" ht="18.75" x14ac:dyDescent="0.3">
      <c r="A73" s="5"/>
      <c r="B73" s="42"/>
      <c r="C73" s="29" t="s">
        <v>100</v>
      </c>
      <c r="D73" s="7">
        <v>6</v>
      </c>
      <c r="E73" s="62">
        <v>1</v>
      </c>
      <c r="F73" s="26">
        <v>0</v>
      </c>
      <c r="G73" s="61">
        <v>107</v>
      </c>
      <c r="I73" s="66" t="s">
        <v>87</v>
      </c>
      <c r="J73" s="65"/>
      <c r="K73" s="65"/>
      <c r="L73" s="65"/>
      <c r="M73" s="65"/>
      <c r="N73" s="39" t="s">
        <v>150</v>
      </c>
      <c r="O73" s="39"/>
      <c r="P73" s="39"/>
      <c r="Q73" s="39"/>
      <c r="R73" s="40"/>
    </row>
    <row r="74" spans="1:18" ht="18.75" x14ac:dyDescent="0.3">
      <c r="A74" s="5"/>
      <c r="B74" s="42"/>
      <c r="C74" s="30" t="s">
        <v>97</v>
      </c>
      <c r="D74" s="9">
        <v>6</v>
      </c>
      <c r="E74" s="11">
        <v>1</v>
      </c>
      <c r="F74" s="26">
        <v>0</v>
      </c>
      <c r="G74" s="30">
        <v>101</v>
      </c>
      <c r="I74" s="66" t="s">
        <v>90</v>
      </c>
      <c r="J74" s="65"/>
      <c r="K74" s="65"/>
      <c r="L74" s="65"/>
      <c r="M74" s="65"/>
      <c r="N74" s="39" t="s">
        <v>149</v>
      </c>
      <c r="O74" s="39"/>
      <c r="P74" s="39"/>
      <c r="Q74" s="39"/>
      <c r="R74" s="40"/>
    </row>
    <row r="75" spans="1:18" ht="18.75" x14ac:dyDescent="0.3">
      <c r="A75" s="6"/>
      <c r="B75" s="42"/>
      <c r="C75" s="29" t="s">
        <v>95</v>
      </c>
      <c r="D75" s="7">
        <v>6</v>
      </c>
      <c r="E75" s="62">
        <v>1</v>
      </c>
      <c r="F75" s="26">
        <v>0</v>
      </c>
      <c r="G75" s="61">
        <v>95</v>
      </c>
      <c r="I75" s="66" t="s">
        <v>93</v>
      </c>
      <c r="J75" s="65"/>
      <c r="K75" s="65"/>
      <c r="L75" s="65"/>
      <c r="M75" s="65"/>
      <c r="N75" s="39" t="s">
        <v>148</v>
      </c>
      <c r="O75" s="39"/>
      <c r="P75" s="39"/>
      <c r="Q75" s="39"/>
      <c r="R75" s="40"/>
    </row>
    <row r="76" spans="1:18" ht="18" customHeight="1" x14ac:dyDescent="0.3">
      <c r="A76" s="6"/>
      <c r="B76" s="42"/>
      <c r="C76" s="29" t="s">
        <v>92</v>
      </c>
      <c r="D76" s="7">
        <v>5</v>
      </c>
      <c r="E76" s="62">
        <v>2</v>
      </c>
      <c r="F76" s="26">
        <v>0</v>
      </c>
      <c r="G76" s="61">
        <v>100</v>
      </c>
      <c r="I76" s="66" t="s">
        <v>96</v>
      </c>
      <c r="J76" s="65"/>
      <c r="K76" s="65"/>
      <c r="L76" s="65"/>
      <c r="M76" s="65"/>
      <c r="N76" s="39" t="s">
        <v>119</v>
      </c>
      <c r="O76" s="39"/>
      <c r="P76" s="39"/>
      <c r="Q76" s="39"/>
      <c r="R76" s="40"/>
    </row>
    <row r="77" spans="1:18" ht="18" customHeight="1" thickBot="1" x14ac:dyDescent="0.35">
      <c r="A77" s="6"/>
      <c r="B77" s="42"/>
      <c r="C77" s="29" t="s">
        <v>99</v>
      </c>
      <c r="D77" s="7">
        <v>3</v>
      </c>
      <c r="E77" s="27">
        <v>4</v>
      </c>
      <c r="F77" s="26">
        <v>0</v>
      </c>
      <c r="G77" s="29">
        <v>90</v>
      </c>
      <c r="I77" s="64" t="s">
        <v>98</v>
      </c>
      <c r="J77" s="63"/>
      <c r="K77" s="63"/>
      <c r="L77" s="63"/>
      <c r="M77" s="63"/>
      <c r="N77" s="39" t="s">
        <v>109</v>
      </c>
      <c r="O77" s="39"/>
      <c r="P77" s="39"/>
      <c r="Q77" s="39"/>
      <c r="R77" s="40"/>
    </row>
    <row r="78" spans="1:18" ht="18.75" x14ac:dyDescent="0.3">
      <c r="A78" s="6"/>
      <c r="B78" s="42"/>
      <c r="C78" s="31" t="s">
        <v>83</v>
      </c>
      <c r="D78" s="20">
        <v>3</v>
      </c>
      <c r="E78" s="53">
        <v>4</v>
      </c>
      <c r="F78" s="52">
        <v>0</v>
      </c>
      <c r="G78" s="31">
        <v>82</v>
      </c>
      <c r="H78" s="6"/>
      <c r="I78" s="6"/>
      <c r="J78" s="6"/>
      <c r="K78" s="6"/>
      <c r="L78" s="6"/>
      <c r="M78" s="6"/>
    </row>
    <row r="79" spans="1:18" ht="18.75" x14ac:dyDescent="0.3">
      <c r="A79" s="6"/>
      <c r="B79" s="42"/>
      <c r="C79" s="29" t="s">
        <v>103</v>
      </c>
      <c r="D79" s="7">
        <v>2</v>
      </c>
      <c r="E79" s="62">
        <v>5</v>
      </c>
      <c r="F79" s="26">
        <v>0</v>
      </c>
      <c r="G79" s="61">
        <v>79</v>
      </c>
      <c r="H79" s="6"/>
    </row>
    <row r="80" spans="1:18" ht="18.75" x14ac:dyDescent="0.3">
      <c r="B80" s="42"/>
      <c r="C80" s="29" t="s">
        <v>89</v>
      </c>
      <c r="D80" s="7">
        <v>2</v>
      </c>
      <c r="E80" s="62">
        <v>5</v>
      </c>
      <c r="F80" s="26">
        <v>0</v>
      </c>
      <c r="G80" s="61">
        <v>67</v>
      </c>
    </row>
    <row r="81" spans="2:7" ht="18.75" x14ac:dyDescent="0.3">
      <c r="B81" s="42"/>
      <c r="C81" s="30" t="s">
        <v>101</v>
      </c>
      <c r="D81" s="9">
        <v>1</v>
      </c>
      <c r="E81" s="11">
        <v>6</v>
      </c>
      <c r="F81" s="26">
        <v>0</v>
      </c>
      <c r="G81" s="30">
        <v>77</v>
      </c>
    </row>
    <row r="82" spans="2:7" ht="18.75" x14ac:dyDescent="0.3">
      <c r="B82" s="42"/>
      <c r="C82" s="30" t="s">
        <v>104</v>
      </c>
      <c r="D82" s="9">
        <v>1</v>
      </c>
      <c r="E82" s="11">
        <v>6</v>
      </c>
      <c r="F82" s="26">
        <v>0</v>
      </c>
      <c r="G82" s="30">
        <v>49</v>
      </c>
    </row>
    <row r="83" spans="2:7" ht="19.5" thickBot="1" x14ac:dyDescent="0.35">
      <c r="B83" s="43"/>
      <c r="C83" s="30" t="s">
        <v>102</v>
      </c>
      <c r="D83" s="9">
        <v>0</v>
      </c>
      <c r="E83" s="11">
        <v>7</v>
      </c>
      <c r="F83" s="26">
        <v>0</v>
      </c>
      <c r="G83" s="30">
        <v>44</v>
      </c>
    </row>
    <row r="84" spans="2:7" ht="15.75" thickBot="1" x14ac:dyDescent="0.3"/>
    <row r="85" spans="2:7" ht="19.5" thickBot="1" x14ac:dyDescent="0.35">
      <c r="C85" s="60" t="s">
        <v>105</v>
      </c>
      <c r="D85" s="59" t="s">
        <v>79</v>
      </c>
      <c r="E85" s="59" t="s">
        <v>80</v>
      </c>
      <c r="F85" s="55" t="s">
        <v>108</v>
      </c>
      <c r="G85" s="58" t="s">
        <v>81</v>
      </c>
    </row>
    <row r="86" spans="2:7" ht="18.75" x14ac:dyDescent="0.3">
      <c r="C86" s="20" t="s">
        <v>86</v>
      </c>
      <c r="D86" s="20">
        <v>7</v>
      </c>
      <c r="E86" s="53">
        <v>0</v>
      </c>
      <c r="F86" s="52">
        <v>0</v>
      </c>
      <c r="G86" s="31">
        <v>117</v>
      </c>
    </row>
    <row r="87" spans="2:7" ht="18.75" x14ac:dyDescent="0.3">
      <c r="C87" s="20" t="s">
        <v>100</v>
      </c>
      <c r="D87" s="20">
        <v>6</v>
      </c>
      <c r="E87" s="51">
        <v>1</v>
      </c>
      <c r="F87" s="26">
        <v>0</v>
      </c>
      <c r="G87" s="50">
        <v>107</v>
      </c>
    </row>
    <row r="88" spans="2:7" ht="18.75" x14ac:dyDescent="0.3">
      <c r="C88" s="7" t="s">
        <v>95</v>
      </c>
      <c r="D88" s="7">
        <v>6</v>
      </c>
      <c r="E88" s="62">
        <v>1</v>
      </c>
      <c r="F88" s="26">
        <v>0</v>
      </c>
      <c r="G88" s="61">
        <v>95</v>
      </c>
    </row>
    <row r="89" spans="2:7" ht="18.75" x14ac:dyDescent="0.3">
      <c r="C89" s="7" t="s">
        <v>103</v>
      </c>
      <c r="D89" s="7">
        <v>2</v>
      </c>
      <c r="E89" s="62">
        <v>5</v>
      </c>
      <c r="F89" s="26">
        <v>0</v>
      </c>
      <c r="G89" s="61">
        <v>79</v>
      </c>
    </row>
    <row r="90" spans="2:7" ht="15.75" thickBot="1" x14ac:dyDescent="0.3"/>
    <row r="91" spans="2:7" ht="19.5" thickBot="1" x14ac:dyDescent="0.35">
      <c r="C91" s="60" t="s">
        <v>106</v>
      </c>
      <c r="D91" s="59" t="s">
        <v>79</v>
      </c>
      <c r="E91" s="59" t="s">
        <v>80</v>
      </c>
      <c r="F91" s="55" t="s">
        <v>108</v>
      </c>
      <c r="G91" s="58" t="s">
        <v>81</v>
      </c>
    </row>
    <row r="92" spans="2:7" ht="18.75" x14ac:dyDescent="0.3">
      <c r="C92" s="9" t="s">
        <v>97</v>
      </c>
      <c r="D92" s="9">
        <v>6</v>
      </c>
      <c r="E92" s="11">
        <v>1</v>
      </c>
      <c r="F92" s="26">
        <v>0</v>
      </c>
      <c r="G92" s="30">
        <v>101</v>
      </c>
    </row>
    <row r="93" spans="2:7" ht="18.75" x14ac:dyDescent="0.3">
      <c r="C93" s="20" t="s">
        <v>92</v>
      </c>
      <c r="D93" s="20">
        <v>5</v>
      </c>
      <c r="E93" s="51">
        <v>2</v>
      </c>
      <c r="F93" s="52">
        <v>0</v>
      </c>
      <c r="G93" s="50">
        <v>100</v>
      </c>
    </row>
    <row r="94" spans="2:7" ht="18.75" x14ac:dyDescent="0.3">
      <c r="C94" s="7" t="s">
        <v>99</v>
      </c>
      <c r="D94" s="7">
        <v>3</v>
      </c>
      <c r="E94" s="27">
        <v>4</v>
      </c>
      <c r="F94" s="26">
        <v>0</v>
      </c>
      <c r="G94" s="29">
        <v>90</v>
      </c>
    </row>
    <row r="95" spans="2:7" ht="18.75" x14ac:dyDescent="0.3">
      <c r="C95" s="9" t="s">
        <v>101</v>
      </c>
      <c r="D95" s="9">
        <v>1</v>
      </c>
      <c r="E95" s="11">
        <v>6</v>
      </c>
      <c r="F95" s="26">
        <v>0</v>
      </c>
      <c r="G95" s="30">
        <v>77</v>
      </c>
    </row>
    <row r="96" spans="2:7" ht="15.75" thickBot="1" x14ac:dyDescent="0.3"/>
    <row r="97" spans="3:7" ht="19.5" thickBot="1" x14ac:dyDescent="0.35">
      <c r="C97" s="57" t="s">
        <v>107</v>
      </c>
      <c r="D97" s="56" t="s">
        <v>79</v>
      </c>
      <c r="E97" s="56" t="s">
        <v>80</v>
      </c>
      <c r="F97" s="55" t="s">
        <v>108</v>
      </c>
      <c r="G97" s="54" t="s">
        <v>81</v>
      </c>
    </row>
    <row r="98" spans="3:7" ht="18.75" x14ac:dyDescent="0.3">
      <c r="C98" s="20" t="s">
        <v>83</v>
      </c>
      <c r="D98" s="20">
        <v>3</v>
      </c>
      <c r="E98" s="53">
        <v>4</v>
      </c>
      <c r="F98" s="52">
        <v>0</v>
      </c>
      <c r="G98" s="31">
        <v>82</v>
      </c>
    </row>
    <row r="99" spans="3:7" ht="18.75" x14ac:dyDescent="0.3">
      <c r="C99" s="20" t="s">
        <v>89</v>
      </c>
      <c r="D99" s="20">
        <v>2</v>
      </c>
      <c r="E99" s="51">
        <v>5</v>
      </c>
      <c r="F99" s="26">
        <v>0</v>
      </c>
      <c r="G99" s="50">
        <v>67</v>
      </c>
    </row>
    <row r="100" spans="3:7" ht="18.75" x14ac:dyDescent="0.3">
      <c r="C100" s="9" t="s">
        <v>104</v>
      </c>
      <c r="D100" s="9">
        <v>1</v>
      </c>
      <c r="E100" s="11">
        <v>6</v>
      </c>
      <c r="F100" s="26">
        <v>0</v>
      </c>
      <c r="G100" s="30">
        <v>49</v>
      </c>
    </row>
    <row r="101" spans="3:7" ht="18.75" x14ac:dyDescent="0.3">
      <c r="C101" s="9" t="s">
        <v>102</v>
      </c>
      <c r="D101" s="9">
        <v>0</v>
      </c>
      <c r="E101" s="11">
        <v>7</v>
      </c>
      <c r="F101" s="26">
        <v>0</v>
      </c>
      <c r="G101" s="30">
        <v>44</v>
      </c>
    </row>
  </sheetData>
  <mergeCells count="14">
    <mergeCell ref="N77:R77"/>
    <mergeCell ref="I71:R71"/>
    <mergeCell ref="N72:R72"/>
    <mergeCell ref="N73:R73"/>
    <mergeCell ref="N74:R74"/>
    <mergeCell ref="N75:R75"/>
    <mergeCell ref="N76:R76"/>
    <mergeCell ref="B71:B83"/>
    <mergeCell ref="I72:M72"/>
    <mergeCell ref="I73:M73"/>
    <mergeCell ref="I74:M74"/>
    <mergeCell ref="I75:M75"/>
    <mergeCell ref="I76:M76"/>
    <mergeCell ref="I77:M7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pane ySplit="1" topLeftCell="A2" activePane="bottomLeft" state="frozen"/>
      <selection pane="bottomLeft" activeCell="B84" sqref="B84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4">
        <f>SUM(1497+1503+1503+1503+1503+1343+1374)</f>
        <v>10226</v>
      </c>
      <c r="E2" s="14">
        <f>SUM(100+85+83+92+83+81+85)</f>
        <v>609</v>
      </c>
      <c r="F2" s="15">
        <f>SUM(D2/E2)</f>
        <v>16.791461412151069</v>
      </c>
      <c r="G2" s="14">
        <v>7</v>
      </c>
      <c r="H2" s="14">
        <v>5</v>
      </c>
      <c r="I2" s="14">
        <v>1</v>
      </c>
      <c r="J2" s="14"/>
      <c r="K2" s="14"/>
      <c r="L2" s="14">
        <v>28</v>
      </c>
      <c r="M2" s="16">
        <v>10</v>
      </c>
    </row>
    <row r="3" spans="1:13" ht="18.75" x14ac:dyDescent="0.3">
      <c r="A3" s="3">
        <v>2</v>
      </c>
      <c r="B3" s="4" t="s">
        <v>17</v>
      </c>
      <c r="C3" s="4" t="s">
        <v>14</v>
      </c>
      <c r="D3" s="14">
        <f>SUM(1475+1503+1379+1273+1389+1467+1447+1471)</f>
        <v>11404</v>
      </c>
      <c r="E3" s="14">
        <f>SUM(91+92+81+81+71+83+111+86)</f>
        <v>696</v>
      </c>
      <c r="F3" s="15">
        <f>SUM(D3/E3)</f>
        <v>16.385057471264368</v>
      </c>
      <c r="G3" s="14">
        <v>8</v>
      </c>
      <c r="H3" s="14">
        <v>5</v>
      </c>
      <c r="I3" s="14"/>
      <c r="J3" s="14"/>
      <c r="K3" s="14"/>
      <c r="L3" s="76">
        <v>26</v>
      </c>
      <c r="M3" s="16">
        <v>10</v>
      </c>
    </row>
    <row r="4" spans="1:13" ht="18.75" x14ac:dyDescent="0.3">
      <c r="A4" s="3">
        <v>3</v>
      </c>
      <c r="B4" s="4" t="s">
        <v>27</v>
      </c>
      <c r="C4" s="4" t="s">
        <v>19</v>
      </c>
      <c r="D4" s="14">
        <f>SUM(1491+1430+1503+1498+1306+1503+1443+1496)</f>
        <v>11670</v>
      </c>
      <c r="E4" s="14">
        <f>SUM(102+105+81+93+72+105+84+83)</f>
        <v>725</v>
      </c>
      <c r="F4" s="15">
        <f>SUM(D4/E4)</f>
        <v>16.096551724137932</v>
      </c>
      <c r="G4" s="14">
        <v>8</v>
      </c>
      <c r="H4" s="14">
        <v>7</v>
      </c>
      <c r="I4" s="14"/>
      <c r="J4" s="14"/>
      <c r="K4" s="14"/>
      <c r="L4" s="14">
        <v>33</v>
      </c>
      <c r="M4" s="16">
        <v>5</v>
      </c>
    </row>
    <row r="5" spans="1:13" ht="18.75" x14ac:dyDescent="0.3">
      <c r="A5" s="3">
        <v>4</v>
      </c>
      <c r="B5" s="4" t="s">
        <v>13</v>
      </c>
      <c r="C5" s="4" t="s">
        <v>14</v>
      </c>
      <c r="D5" s="14">
        <f>SUM(1493+1503+1499+1371+1478+1493+1503+1503)</f>
        <v>11843</v>
      </c>
      <c r="E5" s="14">
        <f>SUM(82+81+101+87+100+89+93+104)</f>
        <v>737</v>
      </c>
      <c r="F5" s="15">
        <f>SUM(D5/E5)</f>
        <v>16.06919945725916</v>
      </c>
      <c r="G5" s="14">
        <v>8</v>
      </c>
      <c r="H5" s="14">
        <v>7</v>
      </c>
      <c r="I5" s="14">
        <v>1</v>
      </c>
      <c r="J5" s="14"/>
      <c r="K5" s="14"/>
      <c r="L5" s="14">
        <v>32</v>
      </c>
      <c r="M5" s="16">
        <v>20</v>
      </c>
    </row>
    <row r="6" spans="1:13" ht="18.75" x14ac:dyDescent="0.3">
      <c r="A6" s="3">
        <v>5</v>
      </c>
      <c r="B6" s="4" t="s">
        <v>15</v>
      </c>
      <c r="C6" s="4" t="s">
        <v>16</v>
      </c>
      <c r="D6" s="14">
        <f>SUM(1350+1487+1463+1503+1503+1483)</f>
        <v>8789</v>
      </c>
      <c r="E6" s="14">
        <f>SUM(80+82+83+99+122+85)</f>
        <v>551</v>
      </c>
      <c r="F6" s="15">
        <f>SUM(D6/E6)</f>
        <v>15.950998185117967</v>
      </c>
      <c r="G6" s="14">
        <v>6</v>
      </c>
      <c r="H6" s="14">
        <v>5</v>
      </c>
      <c r="I6" s="14"/>
      <c r="J6" s="14"/>
      <c r="K6" s="14"/>
      <c r="L6" s="14">
        <v>22</v>
      </c>
      <c r="M6" s="16">
        <v>10</v>
      </c>
    </row>
    <row r="7" spans="1:13" ht="18.75" x14ac:dyDescent="0.3">
      <c r="A7" s="3">
        <v>6</v>
      </c>
      <c r="B7" s="26" t="s">
        <v>135</v>
      </c>
      <c r="C7" s="4" t="s">
        <v>151</v>
      </c>
      <c r="D7" s="14">
        <f>SUM(1306+1503+1416)</f>
        <v>4225</v>
      </c>
      <c r="E7" s="14">
        <f>SUM(81+98+89)</f>
        <v>268</v>
      </c>
      <c r="F7" s="15">
        <f>SUM(D7/E7)</f>
        <v>15.764925373134329</v>
      </c>
      <c r="G7" s="14">
        <v>3</v>
      </c>
      <c r="H7" s="14">
        <v>2</v>
      </c>
      <c r="I7" s="14"/>
      <c r="J7" s="14"/>
      <c r="K7" s="14"/>
      <c r="L7" s="14">
        <v>12.5</v>
      </c>
      <c r="M7" s="16"/>
    </row>
    <row r="8" spans="1:13" ht="18.75" x14ac:dyDescent="0.3">
      <c r="A8" s="3">
        <v>7</v>
      </c>
      <c r="B8" s="4" t="s">
        <v>18</v>
      </c>
      <c r="C8" s="4" t="s">
        <v>19</v>
      </c>
      <c r="D8" s="14">
        <f>SUM(1503+1488+1503+1430+1468+1461+1444+1411)</f>
        <v>11708</v>
      </c>
      <c r="E8" s="14">
        <f>SUM(93+90+102+88+102+99+93+85)</f>
        <v>752</v>
      </c>
      <c r="F8" s="15">
        <f>SUM(D8/E8)</f>
        <v>15.569148936170214</v>
      </c>
      <c r="G8" s="14">
        <v>8</v>
      </c>
      <c r="H8" s="14">
        <v>3</v>
      </c>
      <c r="I8" s="14"/>
      <c r="J8" s="14"/>
      <c r="K8" s="14"/>
      <c r="L8" s="14">
        <v>31</v>
      </c>
      <c r="M8" s="16"/>
    </row>
    <row r="9" spans="1:13" ht="18.75" x14ac:dyDescent="0.3">
      <c r="A9" s="3">
        <v>8</v>
      </c>
      <c r="B9" s="4" t="s">
        <v>117</v>
      </c>
      <c r="C9" s="4" t="s">
        <v>53</v>
      </c>
      <c r="D9" s="14">
        <f>SUM(1503)</f>
        <v>1503</v>
      </c>
      <c r="E9" s="14">
        <f>SUM(97)</f>
        <v>97</v>
      </c>
      <c r="F9" s="15">
        <f>SUM(D9/E9)</f>
        <v>15.494845360824742</v>
      </c>
      <c r="G9" s="14">
        <v>1</v>
      </c>
      <c r="H9" s="14">
        <v>1</v>
      </c>
      <c r="I9" s="14"/>
      <c r="J9" s="14"/>
      <c r="K9" s="14"/>
      <c r="L9" s="14">
        <v>3.5</v>
      </c>
      <c r="M9" s="16"/>
    </row>
    <row r="10" spans="1:13" ht="18.75" x14ac:dyDescent="0.3">
      <c r="A10" s="3">
        <v>9</v>
      </c>
      <c r="B10" s="4" t="s">
        <v>34</v>
      </c>
      <c r="C10" s="4" t="s">
        <v>16</v>
      </c>
      <c r="D10" s="14">
        <f>SUM(1483+1471+1501+1503+1495+1501+1486+1458)</f>
        <v>11898</v>
      </c>
      <c r="E10" s="14">
        <f>SUM(107+83+84+79+105+120+108+87)</f>
        <v>773</v>
      </c>
      <c r="F10" s="15">
        <f>SUM(D10/E10)</f>
        <v>15.391979301423028</v>
      </c>
      <c r="G10" s="14">
        <v>8</v>
      </c>
      <c r="H10" s="14">
        <v>5</v>
      </c>
      <c r="I10" s="14"/>
      <c r="J10" s="14"/>
      <c r="K10" s="14"/>
      <c r="L10" s="14">
        <v>28</v>
      </c>
      <c r="M10" s="16">
        <v>5</v>
      </c>
    </row>
    <row r="11" spans="1:13" ht="18.75" x14ac:dyDescent="0.3">
      <c r="A11" s="3">
        <v>10</v>
      </c>
      <c r="B11" s="4" t="s">
        <v>38</v>
      </c>
      <c r="C11" s="4" t="s">
        <v>21</v>
      </c>
      <c r="D11" s="14">
        <f>SUM(1487+1503+1503+1386+1501+1503+1415+1495)</f>
        <v>11793</v>
      </c>
      <c r="E11" s="14">
        <f>SUM(111+101+74+85+132+87+82+95)</f>
        <v>767</v>
      </c>
      <c r="F11" s="15">
        <f>SUM(D11/E11)</f>
        <v>15.3754889178618</v>
      </c>
      <c r="G11" s="14">
        <v>8</v>
      </c>
      <c r="H11" s="14">
        <v>7</v>
      </c>
      <c r="I11" s="14"/>
      <c r="J11" s="14"/>
      <c r="K11" s="14">
        <v>1</v>
      </c>
      <c r="L11" s="14">
        <v>33</v>
      </c>
      <c r="M11" s="16">
        <v>5</v>
      </c>
    </row>
    <row r="12" spans="1:13" ht="18.75" x14ac:dyDescent="0.3">
      <c r="A12" s="3">
        <v>11</v>
      </c>
      <c r="B12" s="4" t="s">
        <v>11</v>
      </c>
      <c r="C12" s="7" t="s">
        <v>12</v>
      </c>
      <c r="D12" s="14">
        <f>SUM(1471+1503+1366+1503+1427+1501+1493)</f>
        <v>10264</v>
      </c>
      <c r="E12" s="14">
        <f>SUM(76+92+101+115+84+100+114)</f>
        <v>682</v>
      </c>
      <c r="F12" s="15">
        <f>SUM(D12/E12)</f>
        <v>15.049853372434018</v>
      </c>
      <c r="G12" s="14">
        <v>7</v>
      </c>
      <c r="H12" s="14">
        <v>6</v>
      </c>
      <c r="I12" s="14">
        <v>1</v>
      </c>
      <c r="J12" s="14"/>
      <c r="K12" s="14"/>
      <c r="L12" s="14">
        <v>29</v>
      </c>
      <c r="M12" s="16">
        <v>10</v>
      </c>
    </row>
    <row r="13" spans="1:13" ht="18.75" x14ac:dyDescent="0.3">
      <c r="A13" s="3">
        <v>12</v>
      </c>
      <c r="B13" s="4" t="s">
        <v>37</v>
      </c>
      <c r="C13" s="4" t="s">
        <v>12</v>
      </c>
      <c r="D13" s="14">
        <f>SUM(1489+1454+1482+1503+1393+1503+1503+1503)</f>
        <v>11830</v>
      </c>
      <c r="E13" s="14">
        <f>SUM(111+105+94+95+97+115+88+96)</f>
        <v>801</v>
      </c>
      <c r="F13" s="15">
        <f>SUM(D13/E13)</f>
        <v>14.769038701622971</v>
      </c>
      <c r="G13" s="14">
        <v>8</v>
      </c>
      <c r="H13" s="14">
        <v>5</v>
      </c>
      <c r="I13" s="14"/>
      <c r="J13" s="14"/>
      <c r="K13" s="14"/>
      <c r="L13" s="14">
        <v>29</v>
      </c>
      <c r="M13" s="16"/>
    </row>
    <row r="14" spans="1:13" ht="18.75" x14ac:dyDescent="0.3">
      <c r="A14" s="3">
        <v>13</v>
      </c>
      <c r="B14" s="4" t="s">
        <v>71</v>
      </c>
      <c r="C14" s="4" t="s">
        <v>53</v>
      </c>
      <c r="D14" s="14">
        <f>SUM(1343+1449+1503+1477+1348+1444+1219)</f>
        <v>9783</v>
      </c>
      <c r="E14" s="14">
        <f>SUM(82+98+96+114+102+85+94)</f>
        <v>671</v>
      </c>
      <c r="F14" s="15">
        <f>SUM(D14/E14)</f>
        <v>14.579731743666169</v>
      </c>
      <c r="G14" s="14">
        <v>6</v>
      </c>
      <c r="H14" s="14">
        <v>2</v>
      </c>
      <c r="I14" s="14"/>
      <c r="J14" s="14"/>
      <c r="K14" s="14"/>
      <c r="L14" s="14">
        <v>16.5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SUM(1400+1499+1422+1493+1503+1477+1499+1499)</f>
        <v>11792</v>
      </c>
      <c r="E15" s="14">
        <f>SUM(96+101+81+130+107+114+92+101)</f>
        <v>822</v>
      </c>
      <c r="F15" s="15">
        <f>SUM(D15/E15)</f>
        <v>14.345498783454987</v>
      </c>
      <c r="G15" s="14">
        <v>8</v>
      </c>
      <c r="H15" s="14">
        <v>6</v>
      </c>
      <c r="I15" s="14"/>
      <c r="J15" s="14"/>
      <c r="K15" s="14"/>
      <c r="L15" s="14">
        <v>27</v>
      </c>
      <c r="M15" s="16"/>
    </row>
    <row r="16" spans="1:13" ht="18.75" x14ac:dyDescent="0.3">
      <c r="A16" s="3">
        <v>15</v>
      </c>
      <c r="B16" s="4" t="s">
        <v>43</v>
      </c>
      <c r="C16" s="4" t="s">
        <v>29</v>
      </c>
      <c r="D16" s="14">
        <f>SUM(984+1493+1090+1355+1485+1453+1343+1461)</f>
        <v>10664</v>
      </c>
      <c r="E16" s="14">
        <f>SUM(78+103+78+96+99+108+86+109)</f>
        <v>757</v>
      </c>
      <c r="F16" s="15">
        <f>SUM(D16/E16)</f>
        <v>14.087186261558784</v>
      </c>
      <c r="G16" s="14">
        <v>8</v>
      </c>
      <c r="H16" s="14">
        <v>3</v>
      </c>
      <c r="I16" s="14"/>
      <c r="J16" s="14"/>
      <c r="K16" s="14"/>
      <c r="L16" s="14">
        <v>20</v>
      </c>
      <c r="M16" s="16"/>
    </row>
    <row r="17" spans="1:13" ht="18.75" x14ac:dyDescent="0.3">
      <c r="A17" s="3">
        <v>16</v>
      </c>
      <c r="B17" s="5" t="s">
        <v>24</v>
      </c>
      <c r="C17" s="4" t="s">
        <v>23</v>
      </c>
      <c r="D17" s="14">
        <f>SUM(1408+1503+1475+1495+1503+1485+1204+1389)</f>
        <v>11462</v>
      </c>
      <c r="E17" s="14">
        <f>SUM(93+120+122+113+103+85+82+98)</f>
        <v>816</v>
      </c>
      <c r="F17" s="15">
        <f>SUM(D17/E17)</f>
        <v>14.046568627450981</v>
      </c>
      <c r="G17" s="14">
        <v>8</v>
      </c>
      <c r="H17" s="14">
        <v>4</v>
      </c>
      <c r="I17" s="14"/>
      <c r="J17" s="14"/>
      <c r="K17" s="14"/>
      <c r="L17" s="14">
        <v>27.5</v>
      </c>
      <c r="M17" s="16"/>
    </row>
    <row r="18" spans="1:13" ht="18.75" x14ac:dyDescent="0.3">
      <c r="A18" s="3">
        <v>17</v>
      </c>
      <c r="B18" s="26" t="s">
        <v>116</v>
      </c>
      <c r="C18" s="4" t="s">
        <v>46</v>
      </c>
      <c r="D18" s="14">
        <f>SUM(1184+1495+1503+1260+1369+1493)</f>
        <v>8304</v>
      </c>
      <c r="E18" s="14">
        <f>SUM(78+154+98+84+87+93)</f>
        <v>594</v>
      </c>
      <c r="F18" s="15">
        <f>SUM(D18/E18)</f>
        <v>13.979797979797979</v>
      </c>
      <c r="G18" s="14">
        <v>5</v>
      </c>
      <c r="H18" s="14">
        <v>3</v>
      </c>
      <c r="I18" s="14"/>
      <c r="J18" s="14"/>
      <c r="K18" s="14"/>
      <c r="L18" s="14">
        <v>14.5</v>
      </c>
      <c r="M18" s="16"/>
    </row>
    <row r="19" spans="1:13" ht="18.75" x14ac:dyDescent="0.3">
      <c r="A19" s="3">
        <v>18</v>
      </c>
      <c r="B19" s="4" t="s">
        <v>44</v>
      </c>
      <c r="C19" s="4" t="s">
        <v>19</v>
      </c>
      <c r="D19" s="14">
        <f>SUM(1499+1503+1495+1500+1498+1471)</f>
        <v>8966</v>
      </c>
      <c r="E19" s="14">
        <f>SUM(120+113+112+127+83+89)</f>
        <v>644</v>
      </c>
      <c r="F19" s="15">
        <f>SUM(D19/E19)</f>
        <v>13.922360248447205</v>
      </c>
      <c r="G19" s="14">
        <v>6</v>
      </c>
      <c r="H19" s="14">
        <v>6</v>
      </c>
      <c r="I19" s="14"/>
      <c r="J19" s="14"/>
      <c r="K19" s="14"/>
      <c r="L19" s="14">
        <v>27</v>
      </c>
      <c r="M19" s="16">
        <v>5</v>
      </c>
    </row>
    <row r="20" spans="1:13" ht="18.75" x14ac:dyDescent="0.3">
      <c r="A20" s="3">
        <v>19</v>
      </c>
      <c r="B20" s="3" t="s">
        <v>20</v>
      </c>
      <c r="C20" s="4" t="s">
        <v>21</v>
      </c>
      <c r="D20" s="14">
        <f>SUM(1503+1459+1401+1182+1442+1421+1237)</f>
        <v>9645</v>
      </c>
      <c r="E20" s="14">
        <f>SUM(96+99+104+94+108+90+102)</f>
        <v>693</v>
      </c>
      <c r="F20" s="15">
        <f>SUM(D20/E20)</f>
        <v>13.917748917748918</v>
      </c>
      <c r="G20" s="14">
        <v>7</v>
      </c>
      <c r="H20" s="14">
        <v>1</v>
      </c>
      <c r="I20" s="14">
        <v>1</v>
      </c>
      <c r="J20" s="14"/>
      <c r="K20" s="14"/>
      <c r="L20" s="14">
        <v>23.5</v>
      </c>
      <c r="M20" s="16"/>
    </row>
    <row r="21" spans="1:13" ht="18.75" x14ac:dyDescent="0.3">
      <c r="A21" s="3">
        <v>20</v>
      </c>
      <c r="B21" s="26" t="s">
        <v>52</v>
      </c>
      <c r="C21" s="4" t="s">
        <v>53</v>
      </c>
      <c r="D21" s="14">
        <f>SUM(1503+1209+1369+1358+1425+1485+1441+1503)</f>
        <v>11293</v>
      </c>
      <c r="E21" s="14">
        <f>SUM(129+84+84+114+99+97+112+101)</f>
        <v>820</v>
      </c>
      <c r="F21" s="15">
        <f>SUM(D21/E21)</f>
        <v>13.771951219512195</v>
      </c>
      <c r="G21" s="14">
        <v>8</v>
      </c>
      <c r="H21" s="14">
        <v>5</v>
      </c>
      <c r="I21" s="14"/>
      <c r="J21" s="14"/>
      <c r="K21" s="14"/>
      <c r="L21" s="14">
        <v>28</v>
      </c>
      <c r="M21" s="16">
        <v>10</v>
      </c>
    </row>
    <row r="22" spans="1:13" ht="18.75" x14ac:dyDescent="0.3">
      <c r="A22" s="3">
        <v>21</v>
      </c>
      <c r="B22" s="4" t="s">
        <v>47</v>
      </c>
      <c r="C22" s="7" t="s">
        <v>12</v>
      </c>
      <c r="D22" s="14">
        <f>SUM(1197+1447+1355+1487+1477+1503+1496)</f>
        <v>9962</v>
      </c>
      <c r="E22" s="14">
        <f>SUM(99+96+96+122+112+92+111)</f>
        <v>728</v>
      </c>
      <c r="F22" s="15">
        <f>SUM(D22/E22)</f>
        <v>13.684065934065934</v>
      </c>
      <c r="G22" s="14">
        <v>7</v>
      </c>
      <c r="H22" s="14">
        <v>3</v>
      </c>
      <c r="I22" s="14">
        <v>1</v>
      </c>
      <c r="J22" s="14"/>
      <c r="K22" s="14"/>
      <c r="L22" s="14">
        <v>23.5</v>
      </c>
      <c r="M22" s="16"/>
    </row>
    <row r="23" spans="1:13" ht="18.75" x14ac:dyDescent="0.3">
      <c r="A23" s="3">
        <v>22</v>
      </c>
      <c r="B23" s="4" t="s">
        <v>31</v>
      </c>
      <c r="C23" s="4" t="s">
        <v>19</v>
      </c>
      <c r="D23" s="14">
        <f>SUM(1485+1497+1501+1503+1503+1372+1409)</f>
        <v>10270</v>
      </c>
      <c r="E23" s="14">
        <f>SUM(103+100+143+103+132+96+79)</f>
        <v>756</v>
      </c>
      <c r="F23" s="15">
        <f>SUM(D23/E23)</f>
        <v>13.584656084656086</v>
      </c>
      <c r="G23" s="14">
        <v>7</v>
      </c>
      <c r="H23" s="14">
        <v>4</v>
      </c>
      <c r="I23" s="14"/>
      <c r="J23" s="14"/>
      <c r="K23" s="14"/>
      <c r="L23" s="14">
        <v>25.5</v>
      </c>
      <c r="M23" s="16"/>
    </row>
    <row r="24" spans="1:13" ht="18.75" x14ac:dyDescent="0.3">
      <c r="A24" s="3">
        <v>23</v>
      </c>
      <c r="B24" s="26" t="s">
        <v>56</v>
      </c>
      <c r="C24" s="4" t="s">
        <v>29</v>
      </c>
      <c r="D24" s="14">
        <f>SUM(1501+1284+1142+1483+1269+1441+1481+1441)</f>
        <v>11042</v>
      </c>
      <c r="E24" s="14">
        <f>SUM(132+99+81+119+90+91+99+106)</f>
        <v>817</v>
      </c>
      <c r="F24" s="15">
        <f>SUM(D24/E24)</f>
        <v>13.515299877600979</v>
      </c>
      <c r="G24" s="14">
        <v>7</v>
      </c>
      <c r="H24" s="14">
        <v>5</v>
      </c>
      <c r="I24" s="14"/>
      <c r="J24" s="14"/>
      <c r="K24" s="14"/>
      <c r="L24" s="14">
        <v>24</v>
      </c>
      <c r="M24" s="16"/>
    </row>
    <row r="25" spans="1:13" ht="18.75" x14ac:dyDescent="0.3">
      <c r="A25" s="3">
        <v>24</v>
      </c>
      <c r="B25" s="26" t="s">
        <v>51</v>
      </c>
      <c r="C25" s="4" t="s">
        <v>33</v>
      </c>
      <c r="D25" s="14">
        <f>SUM(1125+1277+1380+1480+1455+1503+1435)</f>
        <v>9655</v>
      </c>
      <c r="E25" s="14">
        <f>SUM(96+102+98+119+103+112+87)</f>
        <v>717</v>
      </c>
      <c r="F25" s="15">
        <f>SUM(D25/E25)</f>
        <v>13.465829846582984</v>
      </c>
      <c r="G25" s="14">
        <v>7</v>
      </c>
      <c r="H25" s="14">
        <v>3</v>
      </c>
      <c r="I25" s="14"/>
      <c r="J25" s="14"/>
      <c r="K25" s="14"/>
      <c r="L25" s="14">
        <v>20</v>
      </c>
      <c r="M25" s="16">
        <v>5</v>
      </c>
    </row>
    <row r="26" spans="1:13" ht="18.75" x14ac:dyDescent="0.3">
      <c r="A26" s="3">
        <v>25</v>
      </c>
      <c r="B26" s="4" t="s">
        <v>22</v>
      </c>
      <c r="C26" s="4" t="s">
        <v>23</v>
      </c>
      <c r="D26" s="14">
        <f>SUM(1503+1341+1499+1500+1503+1438+1495+1503)</f>
        <v>11782</v>
      </c>
      <c r="E26" s="14">
        <f>SUM(96+100+124+121+117+114+112+94)</f>
        <v>878</v>
      </c>
      <c r="F26" s="15">
        <f>SUM(D26/E26)</f>
        <v>13.419134396355354</v>
      </c>
      <c r="G26" s="14">
        <v>8</v>
      </c>
      <c r="H26" s="14">
        <v>6</v>
      </c>
      <c r="I26" s="14"/>
      <c r="J26" s="14"/>
      <c r="K26" s="14"/>
      <c r="L26" s="14">
        <v>31.5</v>
      </c>
      <c r="M26" s="16"/>
    </row>
    <row r="27" spans="1:13" ht="18.75" x14ac:dyDescent="0.3">
      <c r="A27" s="3">
        <v>26</v>
      </c>
      <c r="B27" s="3" t="s">
        <v>32</v>
      </c>
      <c r="C27" s="4" t="s">
        <v>33</v>
      </c>
      <c r="D27" s="14">
        <f>SUM(1375+1349+1415+1479+1469+1503+1453+1325)</f>
        <v>11368</v>
      </c>
      <c r="E27" s="14">
        <f>SUM(97+95+104+117+106+116+111+102)</f>
        <v>848</v>
      </c>
      <c r="F27" s="15">
        <f>SUM(D27/E27)</f>
        <v>13.40566037735849</v>
      </c>
      <c r="G27" s="14">
        <v>8</v>
      </c>
      <c r="H27" s="14">
        <v>3</v>
      </c>
      <c r="I27" s="14"/>
      <c r="J27" s="14"/>
      <c r="K27" s="14"/>
      <c r="L27" s="14">
        <v>21.5</v>
      </c>
      <c r="M27" s="16"/>
    </row>
    <row r="28" spans="1:13" ht="18.75" x14ac:dyDescent="0.3">
      <c r="A28" s="3">
        <v>27</v>
      </c>
      <c r="B28" s="26" t="s">
        <v>40</v>
      </c>
      <c r="C28" s="4" t="s">
        <v>23</v>
      </c>
      <c r="D28" s="14">
        <f>SUM(1446+1503+1491+1491+1503+1501+1441+1501)</f>
        <v>11877</v>
      </c>
      <c r="E28" s="14">
        <f>SUM(110+105+126+119+112+102+113+100)</f>
        <v>887</v>
      </c>
      <c r="F28" s="15">
        <f>SUM(D28/E28)</f>
        <v>13.390078917700112</v>
      </c>
      <c r="G28" s="14">
        <v>8</v>
      </c>
      <c r="H28" s="14">
        <v>5</v>
      </c>
      <c r="I28" s="14"/>
      <c r="J28" s="14"/>
      <c r="K28" s="14"/>
      <c r="L28" s="14">
        <v>30.5</v>
      </c>
      <c r="M28" s="16">
        <v>5</v>
      </c>
    </row>
    <row r="29" spans="1:13" ht="18.75" x14ac:dyDescent="0.3">
      <c r="A29" s="3">
        <v>28</v>
      </c>
      <c r="B29" s="4" t="s">
        <v>115</v>
      </c>
      <c r="C29" s="4" t="s">
        <v>12</v>
      </c>
      <c r="D29" s="14">
        <f>SUM(1485+1493+1468+1503+1359+1483+1500)</f>
        <v>10291</v>
      </c>
      <c r="E29" s="14">
        <f>SUM(119+86+129+112+98+129+113)</f>
        <v>786</v>
      </c>
      <c r="F29" s="15">
        <f>SUM(D29/E29)</f>
        <v>13.092875318066158</v>
      </c>
      <c r="G29" s="14">
        <v>7</v>
      </c>
      <c r="H29" s="14">
        <v>3</v>
      </c>
      <c r="I29" s="14"/>
      <c r="J29" s="14"/>
      <c r="K29" s="14"/>
      <c r="L29" s="14">
        <v>24</v>
      </c>
      <c r="M29" s="16">
        <v>5</v>
      </c>
    </row>
    <row r="30" spans="1:13" ht="18.75" x14ac:dyDescent="0.3">
      <c r="A30" s="3">
        <v>29</v>
      </c>
      <c r="B30" s="26" t="s">
        <v>133</v>
      </c>
      <c r="C30" s="4" t="s">
        <v>46</v>
      </c>
      <c r="D30" s="14">
        <f>SUM(1380+1496+1443+1214+1489)</f>
        <v>7022</v>
      </c>
      <c r="E30" s="14">
        <f>SUM(111+130+100+89+114)</f>
        <v>544</v>
      </c>
      <c r="F30" s="15">
        <f>SUM(D30/E30)</f>
        <v>12.908088235294118</v>
      </c>
      <c r="G30" s="14">
        <v>5</v>
      </c>
      <c r="H30" s="14">
        <v>3</v>
      </c>
      <c r="I30" s="14"/>
      <c r="J30" s="14"/>
      <c r="K30" s="14"/>
      <c r="L30" s="14">
        <v>10.5</v>
      </c>
      <c r="M30" s="16"/>
    </row>
    <row r="31" spans="1:13" ht="18.75" x14ac:dyDescent="0.3">
      <c r="A31" s="3">
        <v>30</v>
      </c>
      <c r="B31" s="4" t="s">
        <v>36</v>
      </c>
      <c r="C31" s="7" t="s">
        <v>16</v>
      </c>
      <c r="D31" s="14">
        <f>SUM(1472+1279+1463+1479+1401+1487+1503+1251)</f>
        <v>11335</v>
      </c>
      <c r="E31" s="14">
        <f>SUM(108+93+117+130+103+115+130+83)</f>
        <v>879</v>
      </c>
      <c r="F31" s="15">
        <f>SUM(D31/E31)</f>
        <v>12.895335608646189</v>
      </c>
      <c r="G31" s="14">
        <v>8</v>
      </c>
      <c r="H31" s="14">
        <v>4</v>
      </c>
      <c r="I31" s="14"/>
      <c r="J31" s="14"/>
      <c r="K31" s="14"/>
      <c r="L31" s="14">
        <v>25.5</v>
      </c>
      <c r="M31" s="16"/>
    </row>
    <row r="32" spans="1:13" ht="18.75" x14ac:dyDescent="0.3">
      <c r="A32" s="3">
        <v>31</v>
      </c>
      <c r="B32" s="26" t="s">
        <v>74</v>
      </c>
      <c r="C32" s="4" t="s">
        <v>60</v>
      </c>
      <c r="D32" s="14">
        <f>SUM(1491+1480+1457+1253+1439+1475+1353)</f>
        <v>9948</v>
      </c>
      <c r="E32" s="14">
        <f>SUM(100+103+151+111+93+113+111)</f>
        <v>782</v>
      </c>
      <c r="F32" s="15">
        <f>SUM(D32/E32)</f>
        <v>12.721227621483376</v>
      </c>
      <c r="G32" s="14">
        <v>7</v>
      </c>
      <c r="H32" s="14">
        <v>3</v>
      </c>
      <c r="I32" s="14"/>
      <c r="J32" s="14"/>
      <c r="K32" s="14"/>
      <c r="L32" s="14">
        <v>13</v>
      </c>
      <c r="M32" s="16"/>
    </row>
    <row r="33" spans="1:13" ht="18.75" x14ac:dyDescent="0.3">
      <c r="A33" s="3">
        <v>32</v>
      </c>
      <c r="B33" s="4" t="s">
        <v>67</v>
      </c>
      <c r="C33" s="7" t="s">
        <v>49</v>
      </c>
      <c r="D33" s="14">
        <f>SUM(1501+1454+1401+1499+1498+1316+1320+1277)</f>
        <v>11266</v>
      </c>
      <c r="E33" s="14">
        <f>SUM(162+98+128+112+110+80+97+104)</f>
        <v>891</v>
      </c>
      <c r="F33" s="15">
        <f>SUM(D33/E33)</f>
        <v>12.644219977553311</v>
      </c>
      <c r="G33" s="14">
        <v>8</v>
      </c>
      <c r="H33" s="14">
        <v>3</v>
      </c>
      <c r="I33" s="14"/>
      <c r="J33" s="14"/>
      <c r="K33" s="14"/>
      <c r="L33" s="14">
        <v>22</v>
      </c>
      <c r="M33" s="16">
        <v>10</v>
      </c>
    </row>
    <row r="34" spans="1:13" ht="18.75" x14ac:dyDescent="0.3">
      <c r="A34" s="3">
        <v>33</v>
      </c>
      <c r="B34" s="8" t="s">
        <v>48</v>
      </c>
      <c r="C34" s="4" t="s">
        <v>49</v>
      </c>
      <c r="D34" s="14">
        <f>SUM(1498+1501+1411+1162+1480+1223+1193+1475)</f>
        <v>10943</v>
      </c>
      <c r="E34" s="14">
        <f>SUM(124+124+124+90+129+85+84+111)</f>
        <v>871</v>
      </c>
      <c r="F34" s="15">
        <f>SUM(D34/E34)</f>
        <v>12.563719862227325</v>
      </c>
      <c r="G34" s="14">
        <v>8</v>
      </c>
      <c r="H34" s="14">
        <v>2</v>
      </c>
      <c r="I34" s="14"/>
      <c r="J34" s="14"/>
      <c r="K34" s="14"/>
      <c r="L34" s="14">
        <v>22</v>
      </c>
      <c r="M34" s="16">
        <v>5</v>
      </c>
    </row>
    <row r="35" spans="1:13" ht="18.75" x14ac:dyDescent="0.3">
      <c r="A35" s="3">
        <v>34</v>
      </c>
      <c r="B35" s="7" t="s">
        <v>35</v>
      </c>
      <c r="C35" s="4" t="s">
        <v>33</v>
      </c>
      <c r="D35" s="17">
        <f>SUM(1453+1310+1456+1304+949+1406+1450+1503)</f>
        <v>10831</v>
      </c>
      <c r="E35" s="14">
        <f>SUM(105+122+95+112+75+90+148+117)</f>
        <v>864</v>
      </c>
      <c r="F35" s="15">
        <f>SUM(D35/E35)</f>
        <v>12.53587962962963</v>
      </c>
      <c r="G35" s="14">
        <v>8</v>
      </c>
      <c r="H35" s="14">
        <v>4</v>
      </c>
      <c r="I35" s="14"/>
      <c r="J35" s="14"/>
      <c r="K35" s="14"/>
      <c r="L35" s="14">
        <v>25.5</v>
      </c>
      <c r="M35" s="16"/>
    </row>
    <row r="36" spans="1:13" ht="18.75" x14ac:dyDescent="0.3">
      <c r="A36" s="3">
        <v>35</v>
      </c>
      <c r="B36" s="9" t="s">
        <v>73</v>
      </c>
      <c r="C36" s="4" t="s">
        <v>21</v>
      </c>
      <c r="D36" s="17">
        <f>SUM(1472+1490+1500)</f>
        <v>4462</v>
      </c>
      <c r="E36" s="14">
        <f>SUM(133+105+121)</f>
        <v>359</v>
      </c>
      <c r="F36" s="15">
        <f>SUM(D36/E36)</f>
        <v>12.428969359331477</v>
      </c>
      <c r="G36" s="14">
        <v>3</v>
      </c>
      <c r="H36" s="14">
        <v>3</v>
      </c>
      <c r="I36" s="14"/>
      <c r="J36" s="14"/>
      <c r="K36" s="14"/>
      <c r="L36" s="14">
        <v>9.5</v>
      </c>
      <c r="M36" s="16"/>
    </row>
    <row r="37" spans="1:13" ht="18.75" x14ac:dyDescent="0.3">
      <c r="A37" s="3">
        <v>36</v>
      </c>
      <c r="B37" s="7" t="s">
        <v>26</v>
      </c>
      <c r="C37" s="4" t="s">
        <v>21</v>
      </c>
      <c r="D37" s="17">
        <f>SUM(1301+1470+1495+1501+1264)</f>
        <v>7031</v>
      </c>
      <c r="E37" s="14">
        <f>SUM(88+118+154+110+98)</f>
        <v>568</v>
      </c>
      <c r="F37" s="15">
        <f>SUM(D37/E37)</f>
        <v>12.378521126760564</v>
      </c>
      <c r="G37" s="14">
        <v>5</v>
      </c>
      <c r="H37" s="14">
        <v>3</v>
      </c>
      <c r="I37" s="14"/>
      <c r="J37" s="14"/>
      <c r="K37" s="14"/>
      <c r="L37" s="14">
        <v>16.5</v>
      </c>
      <c r="M37" s="16"/>
    </row>
    <row r="38" spans="1:13" ht="18.75" x14ac:dyDescent="0.3">
      <c r="A38" s="3">
        <v>37</v>
      </c>
      <c r="B38" s="9" t="s">
        <v>39</v>
      </c>
      <c r="C38" s="4" t="s">
        <v>29</v>
      </c>
      <c r="D38" s="17">
        <f>SUM(1503+1335+1494+1501+1503+1447+1312+1503)</f>
        <v>11598</v>
      </c>
      <c r="E38" s="14">
        <f>SUM(114+123+120+142+132+98+89+119)</f>
        <v>937</v>
      </c>
      <c r="F38" s="15">
        <f>SUM(D38/E38)</f>
        <v>12.377801494130203</v>
      </c>
      <c r="G38" s="14">
        <v>8</v>
      </c>
      <c r="H38" s="14">
        <v>4</v>
      </c>
      <c r="I38" s="14"/>
      <c r="J38" s="14"/>
      <c r="K38" s="14"/>
      <c r="L38" s="14">
        <v>23</v>
      </c>
      <c r="M38" s="16"/>
    </row>
    <row r="39" spans="1:13" ht="18.75" x14ac:dyDescent="0.3">
      <c r="A39" s="3">
        <v>38</v>
      </c>
      <c r="B39" s="9" t="s">
        <v>45</v>
      </c>
      <c r="C39" s="4" t="s">
        <v>46</v>
      </c>
      <c r="D39" s="17">
        <f>SUM(1497+1394)</f>
        <v>2891</v>
      </c>
      <c r="E39" s="14">
        <f>SUM(120+114)</f>
        <v>234</v>
      </c>
      <c r="F39" s="15">
        <f>SUM(D39/E39)</f>
        <v>12.354700854700855</v>
      </c>
      <c r="G39" s="14">
        <v>2</v>
      </c>
      <c r="H39" s="14"/>
      <c r="I39" s="14"/>
      <c r="J39" s="14"/>
      <c r="K39" s="14"/>
      <c r="L39" s="14">
        <v>1</v>
      </c>
      <c r="M39" s="16"/>
    </row>
    <row r="40" spans="1:13" ht="18.75" x14ac:dyDescent="0.3">
      <c r="A40" s="3">
        <v>39</v>
      </c>
      <c r="B40" s="7" t="s">
        <v>41</v>
      </c>
      <c r="C40" s="4" t="s">
        <v>21</v>
      </c>
      <c r="D40" s="17">
        <f>SUM(1179+1413+1443+1451+1367+1503+1448+1485)</f>
        <v>11289</v>
      </c>
      <c r="E40" s="14">
        <f>SUM(90+119+112+108+114+113+120+144)</f>
        <v>920</v>
      </c>
      <c r="F40" s="15">
        <f>SUM(D40/E40)</f>
        <v>12.270652173913044</v>
      </c>
      <c r="G40" s="14">
        <v>8</v>
      </c>
      <c r="H40" s="14">
        <v>3</v>
      </c>
      <c r="I40" s="14"/>
      <c r="J40" s="14"/>
      <c r="K40" s="14"/>
      <c r="L40" s="14">
        <v>20</v>
      </c>
      <c r="M40" s="16">
        <v>5</v>
      </c>
    </row>
    <row r="41" spans="1:13" ht="18.75" x14ac:dyDescent="0.3">
      <c r="A41" s="3">
        <v>40</v>
      </c>
      <c r="B41" s="9" t="s">
        <v>57</v>
      </c>
      <c r="C41" s="4" t="s">
        <v>46</v>
      </c>
      <c r="D41" s="17">
        <f>SUM(1416+1252+1334+1500+1345+1490+1487+1180)</f>
        <v>11004</v>
      </c>
      <c r="E41" s="14">
        <f>SUM(125+84+99+144+105+98+147+99)</f>
        <v>901</v>
      </c>
      <c r="F41" s="15">
        <f>SUM(D41/E41)</f>
        <v>12.213096559378469</v>
      </c>
      <c r="G41" s="14">
        <v>8</v>
      </c>
      <c r="H41" s="14">
        <v>2</v>
      </c>
      <c r="I41" s="14"/>
      <c r="J41" s="14"/>
      <c r="K41" s="14"/>
      <c r="L41" s="14">
        <v>14</v>
      </c>
      <c r="M41" s="16"/>
    </row>
    <row r="42" spans="1:13" ht="18.75" x14ac:dyDescent="0.3">
      <c r="A42" s="3">
        <v>41</v>
      </c>
      <c r="B42" s="78" t="s">
        <v>55</v>
      </c>
      <c r="C42" s="8" t="s">
        <v>33</v>
      </c>
      <c r="D42" s="17">
        <f>SUM(1418+1495+1361+1446+1491+1483+1468)</f>
        <v>10162</v>
      </c>
      <c r="E42" s="14">
        <f>SUM(122+118+123+150+97+115+113)</f>
        <v>838</v>
      </c>
      <c r="F42" s="15">
        <f>SUM(D42/E42)</f>
        <v>12.126491646778042</v>
      </c>
      <c r="G42" s="14">
        <v>7</v>
      </c>
      <c r="H42" s="14">
        <v>4</v>
      </c>
      <c r="I42" s="14"/>
      <c r="J42" s="14"/>
      <c r="K42" s="14"/>
      <c r="L42" s="14">
        <v>20.5</v>
      </c>
      <c r="M42" s="16"/>
    </row>
    <row r="43" spans="1:13" ht="18.75" x14ac:dyDescent="0.3">
      <c r="A43" s="3">
        <v>42</v>
      </c>
      <c r="B43" s="7" t="s">
        <v>63</v>
      </c>
      <c r="C43" s="7" t="s">
        <v>53</v>
      </c>
      <c r="D43" s="17">
        <f>SUM(1498+1066+1491+1501+1497+1393)</f>
        <v>8446</v>
      </c>
      <c r="E43" s="14">
        <f>SUM(158+78+104+125+126+112)</f>
        <v>703</v>
      </c>
      <c r="F43" s="15">
        <f>SUM(D43/E43)</f>
        <v>12.014224751066857</v>
      </c>
      <c r="G43" s="14">
        <v>6</v>
      </c>
      <c r="H43" s="14">
        <v>2</v>
      </c>
      <c r="I43" s="14"/>
      <c r="J43" s="14"/>
      <c r="K43" s="14"/>
      <c r="L43" s="14">
        <v>11</v>
      </c>
      <c r="M43" s="16"/>
    </row>
    <row r="44" spans="1:13" ht="18.75" x14ac:dyDescent="0.3">
      <c r="A44" s="3">
        <v>43</v>
      </c>
      <c r="B44" s="7" t="s">
        <v>72</v>
      </c>
      <c r="C44" s="7" t="s">
        <v>19</v>
      </c>
      <c r="D44" s="17">
        <f>SUM(1495+1461+1481)</f>
        <v>4437</v>
      </c>
      <c r="E44" s="14">
        <f>SUM(117+130+128)</f>
        <v>375</v>
      </c>
      <c r="F44" s="15">
        <f>SUM(D44/E44)</f>
        <v>11.832000000000001</v>
      </c>
      <c r="G44" s="14">
        <v>3</v>
      </c>
      <c r="H44" s="14">
        <v>2</v>
      </c>
      <c r="I44" s="14"/>
      <c r="J44" s="14"/>
      <c r="K44" s="14"/>
      <c r="L44" s="14">
        <v>15</v>
      </c>
      <c r="M44" s="16"/>
    </row>
    <row r="45" spans="1:13" ht="18.75" x14ac:dyDescent="0.3">
      <c r="A45" s="3">
        <v>44</v>
      </c>
      <c r="B45" s="7" t="s">
        <v>50</v>
      </c>
      <c r="C45" s="7" t="s">
        <v>12</v>
      </c>
      <c r="D45" s="17">
        <f>SUM(1235+1395)</f>
        <v>2630</v>
      </c>
      <c r="E45" s="14">
        <f>SUM(104+119)</f>
        <v>223</v>
      </c>
      <c r="F45" s="15">
        <f>SUM(D45/E45)</f>
        <v>11.79372197309417</v>
      </c>
      <c r="G45" s="14">
        <v>2</v>
      </c>
      <c r="H45" s="14"/>
      <c r="I45" s="14"/>
      <c r="J45" s="14"/>
      <c r="K45" s="14"/>
      <c r="L45" s="14">
        <v>6</v>
      </c>
      <c r="M45" s="16"/>
    </row>
    <row r="46" spans="1:13" ht="18.75" x14ac:dyDescent="0.3">
      <c r="A46" s="3">
        <v>45</v>
      </c>
      <c r="B46" s="9" t="s">
        <v>76</v>
      </c>
      <c r="C46" s="7" t="s">
        <v>49</v>
      </c>
      <c r="D46" s="17">
        <f>SUM(1499+1501+1408+1503+1495+1495+1481)</f>
        <v>10382</v>
      </c>
      <c r="E46" s="14">
        <f>SUM(172+128+99+114+138+126+106)</f>
        <v>883</v>
      </c>
      <c r="F46" s="15">
        <f>SUM(D46/E46)</f>
        <v>11.757644394110985</v>
      </c>
      <c r="G46" s="14">
        <v>7</v>
      </c>
      <c r="H46" s="14">
        <v>4</v>
      </c>
      <c r="I46" s="14"/>
      <c r="J46" s="14"/>
      <c r="K46" s="14"/>
      <c r="L46" s="14">
        <v>24</v>
      </c>
      <c r="M46" s="16"/>
    </row>
    <row r="47" spans="1:13" ht="18.75" x14ac:dyDescent="0.3">
      <c r="A47" s="3">
        <v>46</v>
      </c>
      <c r="B47" s="9" t="s">
        <v>131</v>
      </c>
      <c r="C47" s="7" t="s">
        <v>60</v>
      </c>
      <c r="D47" s="17">
        <f>SUM(1359)</f>
        <v>1359</v>
      </c>
      <c r="E47" s="14">
        <f>SUM(116)</f>
        <v>116</v>
      </c>
      <c r="F47" s="15">
        <f>SUM(D47/E47)</f>
        <v>11.71551724137931</v>
      </c>
      <c r="G47" s="14">
        <v>1</v>
      </c>
      <c r="H47" s="14">
        <v>1</v>
      </c>
      <c r="I47" s="14"/>
      <c r="J47" s="14"/>
      <c r="K47" s="14"/>
      <c r="L47" s="14">
        <v>2</v>
      </c>
      <c r="M47" s="16"/>
    </row>
    <row r="48" spans="1:13" ht="18.75" x14ac:dyDescent="0.3">
      <c r="A48" s="3">
        <v>47</v>
      </c>
      <c r="B48" s="9" t="s">
        <v>132</v>
      </c>
      <c r="C48" s="7" t="s">
        <v>14</v>
      </c>
      <c r="D48" s="17">
        <f>SUM(1485)</f>
        <v>1485</v>
      </c>
      <c r="E48" s="14">
        <f>SUM(129)</f>
        <v>129</v>
      </c>
      <c r="F48" s="15">
        <f>SUM(D48/E48)</f>
        <v>11.511627906976743</v>
      </c>
      <c r="G48" s="14">
        <v>1</v>
      </c>
      <c r="H48" s="14">
        <v>1</v>
      </c>
      <c r="I48" s="14"/>
      <c r="J48" s="14"/>
      <c r="K48" s="14"/>
      <c r="L48" s="14">
        <v>4.5</v>
      </c>
      <c r="M48" s="16"/>
    </row>
    <row r="49" spans="1:13" ht="18.75" x14ac:dyDescent="0.3">
      <c r="A49" s="3">
        <v>48</v>
      </c>
      <c r="B49" s="7" t="s">
        <v>54</v>
      </c>
      <c r="C49" s="4" t="s">
        <v>49</v>
      </c>
      <c r="D49" s="17">
        <f>SUM(1408+1461+1300)</f>
        <v>4169</v>
      </c>
      <c r="E49" s="14">
        <f>SUM(121+158+86)</f>
        <v>365</v>
      </c>
      <c r="F49" s="15">
        <f>SUM(D49/E49)</f>
        <v>11.421917808219177</v>
      </c>
      <c r="G49" s="14">
        <v>3</v>
      </c>
      <c r="H49" s="14">
        <v>1</v>
      </c>
      <c r="I49" s="14"/>
      <c r="J49" s="14"/>
      <c r="K49" s="14"/>
      <c r="L49" s="14">
        <v>8.5</v>
      </c>
      <c r="M49" s="16"/>
    </row>
    <row r="50" spans="1:13" ht="18.75" x14ac:dyDescent="0.3">
      <c r="A50" s="3">
        <v>49</v>
      </c>
      <c r="B50" s="9" t="s">
        <v>30</v>
      </c>
      <c r="C50" s="8" t="s">
        <v>23</v>
      </c>
      <c r="D50" s="17">
        <f>SUM(1302+1358+1471+1503+1495+1235+1457+1491)</f>
        <v>11312</v>
      </c>
      <c r="E50" s="14">
        <f>SUM(90+98+130+127+149+111+149+144)</f>
        <v>998</v>
      </c>
      <c r="F50" s="15">
        <f>SUM(D50/E50)</f>
        <v>11.334669338677354</v>
      </c>
      <c r="G50" s="14">
        <v>8</v>
      </c>
      <c r="H50" s="14">
        <v>5</v>
      </c>
      <c r="I50" s="14"/>
      <c r="J50" s="14"/>
      <c r="K50" s="14"/>
      <c r="L50" s="14">
        <v>26.5</v>
      </c>
      <c r="M50" s="16"/>
    </row>
    <row r="51" spans="1:13" ht="18.75" x14ac:dyDescent="0.3">
      <c r="A51" s="3">
        <v>50</v>
      </c>
      <c r="B51" s="11" t="s">
        <v>59</v>
      </c>
      <c r="C51" s="7" t="s">
        <v>60</v>
      </c>
      <c r="D51" s="17">
        <f>SUM(1495+1198+1171+1097)</f>
        <v>4961</v>
      </c>
      <c r="E51" s="14">
        <f>SUM(137+121+90+90)</f>
        <v>438</v>
      </c>
      <c r="F51" s="15">
        <f>SUM(D51/E51)</f>
        <v>11.326484018264841</v>
      </c>
      <c r="G51" s="14">
        <v>4</v>
      </c>
      <c r="H51" s="14"/>
      <c r="I51" s="14"/>
      <c r="J51" s="14"/>
      <c r="K51" s="14"/>
      <c r="L51" s="14">
        <v>2</v>
      </c>
      <c r="M51" s="16"/>
    </row>
    <row r="52" spans="1:13" ht="18.75" x14ac:dyDescent="0.3">
      <c r="A52" s="3">
        <v>51</v>
      </c>
      <c r="B52" s="11" t="s">
        <v>128</v>
      </c>
      <c r="C52" s="8" t="s">
        <v>46</v>
      </c>
      <c r="D52" s="17">
        <f>SUM(1498+1487+1119)</f>
        <v>4104</v>
      </c>
      <c r="E52" s="14">
        <f>SUM(161+114+90)</f>
        <v>365</v>
      </c>
      <c r="F52" s="15">
        <f>SUM(D52/E52)</f>
        <v>11.243835616438357</v>
      </c>
      <c r="G52" s="14">
        <v>3</v>
      </c>
      <c r="H52" s="14">
        <v>2</v>
      </c>
      <c r="I52" s="14"/>
      <c r="J52" s="14"/>
      <c r="K52" s="14"/>
      <c r="L52" s="14">
        <v>11</v>
      </c>
      <c r="M52" s="16"/>
    </row>
    <row r="53" spans="1:13" ht="18.75" x14ac:dyDescent="0.3">
      <c r="A53" s="3">
        <v>52</v>
      </c>
      <c r="B53" s="27" t="s">
        <v>58</v>
      </c>
      <c r="C53" s="4" t="s">
        <v>14</v>
      </c>
      <c r="D53" s="17">
        <f>SUM(1431+1499+1493+1499+1374+1491+1468)</f>
        <v>10255</v>
      </c>
      <c r="E53" s="14">
        <f>SUM(128+168+144+126+105+139+114)</f>
        <v>924</v>
      </c>
      <c r="F53" s="15">
        <f>SUM(D53/E53)</f>
        <v>11.098484848484848</v>
      </c>
      <c r="G53" s="14">
        <v>7</v>
      </c>
      <c r="H53" s="14">
        <v>4</v>
      </c>
      <c r="I53" s="14"/>
      <c r="J53" s="14"/>
      <c r="K53" s="14"/>
      <c r="L53" s="14">
        <v>23</v>
      </c>
      <c r="M53" s="16"/>
    </row>
    <row r="54" spans="1:13" ht="18.75" x14ac:dyDescent="0.3">
      <c r="A54" s="3">
        <v>53</v>
      </c>
      <c r="B54" s="11" t="s">
        <v>126</v>
      </c>
      <c r="C54" s="7" t="s">
        <v>21</v>
      </c>
      <c r="D54" s="17">
        <f>SUM(1350)</f>
        <v>1350</v>
      </c>
      <c r="E54" s="14">
        <f>SUM(123)</f>
        <v>123</v>
      </c>
      <c r="F54" s="15">
        <f>SUM(D54/E54)</f>
        <v>10.975609756097562</v>
      </c>
      <c r="G54" s="14">
        <v>1</v>
      </c>
      <c r="H54" s="14"/>
      <c r="I54" s="14"/>
      <c r="J54" s="14"/>
      <c r="K54" s="14"/>
      <c r="L54" s="14">
        <v>1.5</v>
      </c>
      <c r="M54" s="16"/>
    </row>
    <row r="55" spans="1:13" ht="18.75" x14ac:dyDescent="0.3">
      <c r="A55" s="3">
        <v>54</v>
      </c>
      <c r="B55" s="27" t="s">
        <v>42</v>
      </c>
      <c r="C55" s="7" t="s">
        <v>14</v>
      </c>
      <c r="D55" s="17">
        <f>SUM(1482+1499+1503+1491+1294+1465+1439+1445)</f>
        <v>11618</v>
      </c>
      <c r="E55" s="14">
        <f>SUM(117+165+144+126+126+162+121+110)</f>
        <v>1071</v>
      </c>
      <c r="F55" s="15">
        <f>SUM(D55/E55)</f>
        <v>10.84780578898226</v>
      </c>
      <c r="G55" s="14">
        <v>8</v>
      </c>
      <c r="H55" s="14">
        <v>2</v>
      </c>
      <c r="I55" s="14">
        <v>1</v>
      </c>
      <c r="J55" s="14"/>
      <c r="K55" s="14"/>
      <c r="L55" s="14">
        <v>23.5</v>
      </c>
      <c r="M55" s="16"/>
    </row>
    <row r="56" spans="1:13" ht="18.75" x14ac:dyDescent="0.3">
      <c r="A56" s="3">
        <v>55</v>
      </c>
      <c r="B56" s="27" t="s">
        <v>61</v>
      </c>
      <c r="C56" s="7" t="s">
        <v>53</v>
      </c>
      <c r="D56" s="17">
        <f>SUM(1483+1452+1373+1441)</f>
        <v>5749</v>
      </c>
      <c r="E56" s="14">
        <f>SUM(136+141+114+142)</f>
        <v>533</v>
      </c>
      <c r="F56" s="15">
        <f>SUM(D56/E56)</f>
        <v>10.786116322701689</v>
      </c>
      <c r="G56" s="14">
        <v>4</v>
      </c>
      <c r="H56" s="14">
        <v>1</v>
      </c>
      <c r="I56" s="14"/>
      <c r="J56" s="14"/>
      <c r="K56" s="14"/>
      <c r="L56" s="14">
        <v>9</v>
      </c>
      <c r="M56" s="16"/>
    </row>
    <row r="57" spans="1:13" ht="18.75" x14ac:dyDescent="0.3">
      <c r="A57" s="3">
        <v>56</v>
      </c>
      <c r="B57" s="11" t="s">
        <v>129</v>
      </c>
      <c r="C57" s="7" t="s">
        <v>16</v>
      </c>
      <c r="D57" s="17">
        <f>SUM(1424+1496)</f>
        <v>2920</v>
      </c>
      <c r="E57" s="14">
        <f>SUM(126+145)</f>
        <v>271</v>
      </c>
      <c r="F57" s="15">
        <f>SUM(D57/E57)</f>
        <v>10.77490774907749</v>
      </c>
      <c r="G57" s="14">
        <v>2</v>
      </c>
      <c r="H57" s="14"/>
      <c r="I57" s="14"/>
      <c r="J57" s="14"/>
      <c r="K57" s="14"/>
      <c r="L57" s="14">
        <v>4.5</v>
      </c>
      <c r="M57" s="16"/>
    </row>
    <row r="58" spans="1:13" ht="18.75" x14ac:dyDescent="0.3">
      <c r="A58" s="3">
        <v>57</v>
      </c>
      <c r="B58" s="11" t="s">
        <v>69</v>
      </c>
      <c r="C58" s="7" t="s">
        <v>60</v>
      </c>
      <c r="D58" s="17">
        <f>SUM(1297+1501+1485+1355+1413+1350+1379+1478)</f>
        <v>11258</v>
      </c>
      <c r="E58" s="14">
        <f>SUM(156+158+152+127+108+117+122+108)</f>
        <v>1048</v>
      </c>
      <c r="F58" s="15">
        <f>SUM(D58/E58)</f>
        <v>10.742366412213741</v>
      </c>
      <c r="G58" s="14">
        <v>8</v>
      </c>
      <c r="H58" s="14">
        <v>3</v>
      </c>
      <c r="I58" s="14"/>
      <c r="J58" s="14"/>
      <c r="K58" s="14"/>
      <c r="L58" s="14">
        <v>15</v>
      </c>
      <c r="M58" s="16"/>
    </row>
    <row r="59" spans="1:13" ht="18.75" x14ac:dyDescent="0.3">
      <c r="A59" s="3">
        <v>58</v>
      </c>
      <c r="B59" s="11" t="s">
        <v>62</v>
      </c>
      <c r="C59" s="4" t="s">
        <v>60</v>
      </c>
      <c r="D59" s="17">
        <f>SUM(1264+920+1335)</f>
        <v>3519</v>
      </c>
      <c r="E59" s="14">
        <f>SUM(123+72+138)</f>
        <v>333</v>
      </c>
      <c r="F59" s="15">
        <f>SUM(D59/E59)</f>
        <v>10.567567567567568</v>
      </c>
      <c r="G59" s="14">
        <v>3</v>
      </c>
      <c r="H59" s="14"/>
      <c r="I59" s="14"/>
      <c r="J59" s="14"/>
      <c r="K59" s="14"/>
      <c r="L59" s="14">
        <v>2.5</v>
      </c>
      <c r="M59" s="16"/>
    </row>
    <row r="60" spans="1:13" ht="18.75" x14ac:dyDescent="0.3">
      <c r="A60" s="3">
        <v>59</v>
      </c>
      <c r="B60" s="11" t="s">
        <v>70</v>
      </c>
      <c r="C60" s="8" t="s">
        <v>53</v>
      </c>
      <c r="D60" s="17">
        <f>SUM(1480+1435+1503+1491+1497+1463)</f>
        <v>8869</v>
      </c>
      <c r="E60" s="14">
        <f>SUM(180+141+139+125+151+119)</f>
        <v>855</v>
      </c>
      <c r="F60" s="15">
        <f>SUM(D60/E60)</f>
        <v>10.373099415204678</v>
      </c>
      <c r="G60" s="14">
        <v>6</v>
      </c>
      <c r="H60" s="14">
        <v>1</v>
      </c>
      <c r="I60" s="14"/>
      <c r="J60" s="14"/>
      <c r="K60" s="14"/>
      <c r="L60" s="14">
        <v>9</v>
      </c>
      <c r="M60" s="16"/>
    </row>
    <row r="61" spans="1:13" ht="18.75" x14ac:dyDescent="0.3">
      <c r="A61" s="3">
        <v>60</v>
      </c>
      <c r="B61" s="11" t="s">
        <v>65</v>
      </c>
      <c r="C61" s="7" t="s">
        <v>46</v>
      </c>
      <c r="D61" s="17">
        <f>SUM(1493+1344+1345+1483)</f>
        <v>5665</v>
      </c>
      <c r="E61" s="14">
        <f>SUM(159+141+111+139)</f>
        <v>550</v>
      </c>
      <c r="F61" s="15">
        <f>SUM(D61/E61)</f>
        <v>10.3</v>
      </c>
      <c r="G61" s="14">
        <v>4</v>
      </c>
      <c r="H61" s="14">
        <v>1</v>
      </c>
      <c r="I61" s="14"/>
      <c r="J61" s="14"/>
      <c r="K61" s="14"/>
      <c r="L61" s="14">
        <v>4</v>
      </c>
      <c r="M61" s="16"/>
    </row>
    <row r="62" spans="1:13" ht="18.75" x14ac:dyDescent="0.3">
      <c r="A62" s="3">
        <v>61</v>
      </c>
      <c r="B62" s="27" t="s">
        <v>66</v>
      </c>
      <c r="C62" s="4" t="s">
        <v>49</v>
      </c>
      <c r="D62" s="17">
        <f>SUM(1474+1189+1448+1191+1495+1421)</f>
        <v>8218</v>
      </c>
      <c r="E62" s="14">
        <f>SUM(158+126+132+107+162+123)</f>
        <v>808</v>
      </c>
      <c r="F62" s="15">
        <f>SUM(D62/E62)</f>
        <v>10.170792079207921</v>
      </c>
      <c r="G62" s="14">
        <v>6</v>
      </c>
      <c r="H62" s="14">
        <v>2</v>
      </c>
      <c r="I62" s="14"/>
      <c r="J62" s="14"/>
      <c r="K62" s="14"/>
      <c r="L62" s="14">
        <v>13.5</v>
      </c>
      <c r="M62" s="16"/>
    </row>
    <row r="63" spans="1:13" ht="18.75" x14ac:dyDescent="0.3">
      <c r="A63" s="3">
        <v>62</v>
      </c>
      <c r="B63" s="11" t="s">
        <v>125</v>
      </c>
      <c r="C63" s="4" t="s">
        <v>12</v>
      </c>
      <c r="D63" s="17">
        <f>SUM(1385)</f>
        <v>1385</v>
      </c>
      <c r="E63" s="14">
        <f>SUM(138)</f>
        <v>138</v>
      </c>
      <c r="F63" s="15">
        <f>SUM(D63/E63)</f>
        <v>10.036231884057971</v>
      </c>
      <c r="G63" s="14">
        <v>1</v>
      </c>
      <c r="H63" s="14"/>
      <c r="I63" s="14"/>
      <c r="J63" s="14"/>
      <c r="K63" s="14"/>
      <c r="L63" s="14">
        <v>2.5</v>
      </c>
      <c r="M63" s="16"/>
    </row>
    <row r="64" spans="1:13" ht="18.75" x14ac:dyDescent="0.3">
      <c r="A64" s="3">
        <v>63</v>
      </c>
      <c r="B64" s="11" t="s">
        <v>75</v>
      </c>
      <c r="C64" s="4" t="s">
        <v>60</v>
      </c>
      <c r="D64" s="17">
        <f>SUM(1459+1180+1070)</f>
        <v>3709</v>
      </c>
      <c r="E64" s="14">
        <f>SUM(165+111+96)</f>
        <v>372</v>
      </c>
      <c r="F64" s="15">
        <f>SUM(D64/E64)</f>
        <v>9.970430107526882</v>
      </c>
      <c r="G64" s="14">
        <v>3</v>
      </c>
      <c r="H64" s="14"/>
      <c r="I64" s="14"/>
      <c r="J64" s="14"/>
      <c r="K64" s="14"/>
      <c r="L64" s="14">
        <v>5</v>
      </c>
      <c r="M64" s="16"/>
    </row>
    <row r="65" spans="1:18" ht="18.75" x14ac:dyDescent="0.3">
      <c r="A65" s="3">
        <v>64</v>
      </c>
      <c r="B65" s="11" t="s">
        <v>68</v>
      </c>
      <c r="C65" s="4" t="s">
        <v>60</v>
      </c>
      <c r="D65" s="17">
        <f>SUM(1493+1464+1445+1017+1395+1287)</f>
        <v>8101</v>
      </c>
      <c r="E65" s="14">
        <f>SUM(177+162+141+93+130+116)</f>
        <v>819</v>
      </c>
      <c r="F65" s="15">
        <f>SUM(D65/E65)</f>
        <v>9.8913308913308917</v>
      </c>
      <c r="G65" s="14">
        <v>6</v>
      </c>
      <c r="H65" s="14">
        <v>1</v>
      </c>
      <c r="I65" s="14"/>
      <c r="J65" s="14"/>
      <c r="K65" s="14"/>
      <c r="L65" s="14">
        <v>8.5</v>
      </c>
      <c r="M65" s="16"/>
    </row>
    <row r="66" spans="1:18" ht="18.75" x14ac:dyDescent="0.3">
      <c r="A66" s="3">
        <v>65</v>
      </c>
      <c r="B66" s="11" t="s">
        <v>64</v>
      </c>
      <c r="C66" s="7" t="s">
        <v>46</v>
      </c>
      <c r="D66" s="17">
        <f>SUM(1468+1466+912)</f>
        <v>3846</v>
      </c>
      <c r="E66" s="14">
        <f>SUM(156+165+75)</f>
        <v>396</v>
      </c>
      <c r="F66" s="15">
        <f>SUM(D66/E66)</f>
        <v>9.7121212121212128</v>
      </c>
      <c r="G66" s="14">
        <v>3</v>
      </c>
      <c r="H66" s="14"/>
      <c r="I66" s="14"/>
      <c r="J66" s="14"/>
      <c r="K66" s="14"/>
      <c r="L66" s="14">
        <v>2.5</v>
      </c>
      <c r="M66" s="16"/>
    </row>
    <row r="67" spans="1:18" ht="18.75" x14ac:dyDescent="0.3">
      <c r="A67" s="3">
        <v>66</v>
      </c>
      <c r="B67" s="11" t="s">
        <v>124</v>
      </c>
      <c r="C67" s="7" t="s">
        <v>46</v>
      </c>
      <c r="D67" s="17">
        <f>SUM(1491)</f>
        <v>1491</v>
      </c>
      <c r="E67" s="14">
        <f>SUM(165)</f>
        <v>165</v>
      </c>
      <c r="F67" s="15">
        <f>SUM(D67/E67)</f>
        <v>9.036363636363637</v>
      </c>
      <c r="G67" s="14">
        <v>1</v>
      </c>
      <c r="H67" s="14"/>
      <c r="I67" s="14"/>
      <c r="J67" s="14"/>
      <c r="K67" s="14"/>
      <c r="L67" s="14">
        <v>0.5</v>
      </c>
      <c r="M67" s="16"/>
    </row>
    <row r="68" spans="1:18" ht="18.75" x14ac:dyDescent="0.3">
      <c r="A68" s="3">
        <v>67</v>
      </c>
      <c r="B68" s="11" t="s">
        <v>127</v>
      </c>
      <c r="C68" s="4" t="s">
        <v>60</v>
      </c>
      <c r="D68" s="17"/>
      <c r="E68" s="14"/>
      <c r="F68" s="15"/>
      <c r="G68" s="14"/>
      <c r="H68" s="14"/>
      <c r="I68" s="14"/>
      <c r="J68" s="14"/>
      <c r="K68" s="14"/>
      <c r="L68" s="14">
        <v>1</v>
      </c>
      <c r="M68" s="16"/>
    </row>
    <row r="69" spans="1:18" ht="18.75" x14ac:dyDescent="0.3">
      <c r="A69" s="3">
        <v>68</v>
      </c>
      <c r="B69" s="11" t="s">
        <v>113</v>
      </c>
      <c r="C69" s="7" t="s">
        <v>46</v>
      </c>
      <c r="D69" s="17"/>
      <c r="E69" s="14"/>
      <c r="F69" s="15"/>
      <c r="G69" s="14"/>
      <c r="H69" s="14"/>
      <c r="I69" s="14"/>
      <c r="J69" s="14"/>
      <c r="K69" s="14"/>
      <c r="L69" s="14">
        <v>0</v>
      </c>
      <c r="M69" s="16"/>
    </row>
    <row r="70" spans="1:18" ht="17.25" customHeight="1" thickBot="1" x14ac:dyDescent="0.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8" ht="19.5" customHeight="1" thickBot="1" x14ac:dyDescent="0.35">
      <c r="A71" s="5"/>
      <c r="B71" s="41" t="s">
        <v>155</v>
      </c>
      <c r="C71" s="60" t="s">
        <v>78</v>
      </c>
      <c r="D71" s="59" t="s">
        <v>79</v>
      </c>
      <c r="E71" s="70" t="s">
        <v>80</v>
      </c>
      <c r="F71" s="55" t="s">
        <v>108</v>
      </c>
      <c r="G71" s="69" t="s">
        <v>81</v>
      </c>
      <c r="I71" s="34" t="s">
        <v>82</v>
      </c>
      <c r="J71" s="35"/>
      <c r="K71" s="35"/>
      <c r="L71" s="35"/>
      <c r="M71" s="35"/>
      <c r="N71" s="35"/>
      <c r="O71" s="35"/>
      <c r="P71" s="35"/>
      <c r="Q71" s="35"/>
      <c r="R71" s="36"/>
    </row>
    <row r="72" spans="1:18" ht="18.75" x14ac:dyDescent="0.3">
      <c r="A72" s="5"/>
      <c r="B72" s="42"/>
      <c r="C72" s="29" t="s">
        <v>86</v>
      </c>
      <c r="D72" s="7">
        <v>8</v>
      </c>
      <c r="E72" s="27">
        <v>0</v>
      </c>
      <c r="F72" s="26">
        <v>0</v>
      </c>
      <c r="G72" s="29">
        <v>134</v>
      </c>
      <c r="I72" s="68" t="s">
        <v>84</v>
      </c>
      <c r="J72" s="67"/>
      <c r="K72" s="67"/>
      <c r="L72" s="67"/>
      <c r="M72" s="67"/>
      <c r="N72" s="37" t="s">
        <v>85</v>
      </c>
      <c r="O72" s="37"/>
      <c r="P72" s="37"/>
      <c r="Q72" s="37"/>
      <c r="R72" s="38"/>
    </row>
    <row r="73" spans="1:18" ht="18.75" x14ac:dyDescent="0.3">
      <c r="A73" s="5"/>
      <c r="B73" s="42"/>
      <c r="C73" s="30" t="s">
        <v>97</v>
      </c>
      <c r="D73" s="9">
        <v>7</v>
      </c>
      <c r="E73" s="11">
        <v>1</v>
      </c>
      <c r="F73" s="26">
        <v>0</v>
      </c>
      <c r="G73" s="30">
        <v>116</v>
      </c>
      <c r="I73" s="66" t="s">
        <v>87</v>
      </c>
      <c r="J73" s="65"/>
      <c r="K73" s="65"/>
      <c r="L73" s="65"/>
      <c r="M73" s="65"/>
      <c r="N73" s="39" t="s">
        <v>154</v>
      </c>
      <c r="O73" s="39"/>
      <c r="P73" s="39"/>
      <c r="Q73" s="39"/>
      <c r="R73" s="40"/>
    </row>
    <row r="74" spans="1:18" ht="18.75" x14ac:dyDescent="0.3">
      <c r="A74" s="5"/>
      <c r="B74" s="42"/>
      <c r="C74" s="29" t="s">
        <v>95</v>
      </c>
      <c r="D74" s="7">
        <v>7</v>
      </c>
      <c r="E74" s="62">
        <v>1</v>
      </c>
      <c r="F74" s="26">
        <v>0</v>
      </c>
      <c r="G74" s="61">
        <v>114</v>
      </c>
      <c r="I74" s="66" t="s">
        <v>90</v>
      </c>
      <c r="J74" s="65"/>
      <c r="K74" s="65"/>
      <c r="L74" s="65"/>
      <c r="M74" s="65"/>
      <c r="N74" s="39" t="s">
        <v>153</v>
      </c>
      <c r="O74" s="39"/>
      <c r="P74" s="39"/>
      <c r="Q74" s="39"/>
      <c r="R74" s="40"/>
    </row>
    <row r="75" spans="1:18" ht="18.75" x14ac:dyDescent="0.3">
      <c r="A75" s="6"/>
      <c r="B75" s="42"/>
      <c r="C75" s="29" t="s">
        <v>100</v>
      </c>
      <c r="D75" s="7">
        <v>6</v>
      </c>
      <c r="E75" s="62">
        <v>2</v>
      </c>
      <c r="F75" s="26">
        <v>0</v>
      </c>
      <c r="G75" s="61">
        <v>114</v>
      </c>
      <c r="I75" s="66" t="s">
        <v>93</v>
      </c>
      <c r="J75" s="65"/>
      <c r="K75" s="65"/>
      <c r="L75" s="65"/>
      <c r="M75" s="65"/>
      <c r="N75" s="39" t="s">
        <v>152</v>
      </c>
      <c r="O75" s="39"/>
      <c r="P75" s="39"/>
      <c r="Q75" s="39"/>
      <c r="R75" s="40"/>
    </row>
    <row r="76" spans="1:18" ht="18" customHeight="1" x14ac:dyDescent="0.3">
      <c r="A76" s="6"/>
      <c r="B76" s="42"/>
      <c r="C76" s="29" t="s">
        <v>92</v>
      </c>
      <c r="D76" s="7">
        <v>5</v>
      </c>
      <c r="E76" s="62">
        <v>3</v>
      </c>
      <c r="F76" s="26">
        <v>0</v>
      </c>
      <c r="G76" s="61">
        <v>109</v>
      </c>
      <c r="I76" s="66" t="s">
        <v>96</v>
      </c>
      <c r="J76" s="65"/>
      <c r="K76" s="65"/>
      <c r="L76" s="65"/>
      <c r="M76" s="65"/>
      <c r="N76" s="39" t="s">
        <v>119</v>
      </c>
      <c r="O76" s="39"/>
      <c r="P76" s="39"/>
      <c r="Q76" s="39"/>
      <c r="R76" s="40"/>
    </row>
    <row r="77" spans="1:18" ht="18" customHeight="1" thickBot="1" x14ac:dyDescent="0.35">
      <c r="A77" s="6"/>
      <c r="B77" s="42"/>
      <c r="C77" s="29" t="s">
        <v>99</v>
      </c>
      <c r="D77" s="7">
        <v>4</v>
      </c>
      <c r="E77" s="27">
        <v>4</v>
      </c>
      <c r="F77" s="26">
        <v>0</v>
      </c>
      <c r="G77" s="29">
        <v>104</v>
      </c>
      <c r="I77" s="64" t="s">
        <v>98</v>
      </c>
      <c r="J77" s="63"/>
      <c r="K77" s="63"/>
      <c r="L77" s="63"/>
      <c r="M77" s="63"/>
      <c r="N77" s="39" t="s">
        <v>109</v>
      </c>
      <c r="O77" s="39"/>
      <c r="P77" s="39"/>
      <c r="Q77" s="39"/>
      <c r="R77" s="40"/>
    </row>
    <row r="78" spans="1:18" ht="18.75" x14ac:dyDescent="0.3">
      <c r="A78" s="6"/>
      <c r="B78" s="42"/>
      <c r="C78" s="29" t="s">
        <v>103</v>
      </c>
      <c r="D78" s="7">
        <v>3</v>
      </c>
      <c r="E78" s="62">
        <v>5</v>
      </c>
      <c r="F78" s="26">
        <v>0</v>
      </c>
      <c r="G78" s="61">
        <v>94</v>
      </c>
      <c r="H78" s="6"/>
      <c r="I78" s="6"/>
    </row>
    <row r="79" spans="1:18" ht="18.75" x14ac:dyDescent="0.3">
      <c r="A79" s="6"/>
      <c r="B79" s="42"/>
      <c r="C79" s="31" t="s">
        <v>83</v>
      </c>
      <c r="D79" s="20">
        <v>3</v>
      </c>
      <c r="E79" s="53">
        <v>5</v>
      </c>
      <c r="F79" s="52">
        <v>0</v>
      </c>
      <c r="G79" s="31">
        <v>90</v>
      </c>
      <c r="H79" s="6"/>
    </row>
    <row r="80" spans="1:18" ht="18.75" x14ac:dyDescent="0.3">
      <c r="B80" s="42"/>
      <c r="C80" s="30" t="s">
        <v>101</v>
      </c>
      <c r="D80" s="9">
        <v>2</v>
      </c>
      <c r="E80" s="11">
        <v>6</v>
      </c>
      <c r="F80" s="26">
        <v>0</v>
      </c>
      <c r="G80" s="30">
        <v>93</v>
      </c>
    </row>
    <row r="81" spans="2:7" ht="18.75" x14ac:dyDescent="0.3">
      <c r="B81" s="42"/>
      <c r="C81" s="29" t="s">
        <v>89</v>
      </c>
      <c r="D81" s="7">
        <v>2</v>
      </c>
      <c r="E81" s="62">
        <v>6</v>
      </c>
      <c r="F81" s="26">
        <v>0</v>
      </c>
      <c r="G81" s="61">
        <v>77</v>
      </c>
    </row>
    <row r="82" spans="2:7" ht="18.75" x14ac:dyDescent="0.3">
      <c r="B82" s="42"/>
      <c r="C82" s="30" t="s">
        <v>104</v>
      </c>
      <c r="D82" s="9">
        <v>1</v>
      </c>
      <c r="E82" s="11">
        <v>7</v>
      </c>
      <c r="F82" s="26">
        <v>0</v>
      </c>
      <c r="G82" s="30">
        <v>58</v>
      </c>
    </row>
    <row r="83" spans="2:7" ht="19.5" thickBot="1" x14ac:dyDescent="0.35">
      <c r="B83" s="43"/>
      <c r="C83" s="30" t="s">
        <v>102</v>
      </c>
      <c r="D83" s="9">
        <v>0</v>
      </c>
      <c r="E83" s="11">
        <v>8</v>
      </c>
      <c r="F83" s="26">
        <v>0</v>
      </c>
      <c r="G83" s="30">
        <v>49</v>
      </c>
    </row>
    <row r="84" spans="2:7" ht="15.75" thickBot="1" x14ac:dyDescent="0.3"/>
    <row r="85" spans="2:7" ht="19.5" thickBot="1" x14ac:dyDescent="0.35">
      <c r="C85" s="60" t="s">
        <v>105</v>
      </c>
      <c r="D85" s="59" t="s">
        <v>79</v>
      </c>
      <c r="E85" s="59" t="s">
        <v>80</v>
      </c>
      <c r="F85" s="55" t="s">
        <v>108</v>
      </c>
      <c r="G85" s="58" t="s">
        <v>81</v>
      </c>
    </row>
    <row r="86" spans="2:7" ht="18.75" x14ac:dyDescent="0.3">
      <c r="C86" s="20" t="s">
        <v>86</v>
      </c>
      <c r="D86" s="20">
        <v>8</v>
      </c>
      <c r="E86" s="53">
        <v>0</v>
      </c>
      <c r="F86" s="52">
        <v>0</v>
      </c>
      <c r="G86" s="31">
        <v>134</v>
      </c>
    </row>
    <row r="87" spans="2:7" ht="18.75" x14ac:dyDescent="0.3">
      <c r="C87" s="7" t="s">
        <v>95</v>
      </c>
      <c r="D87" s="7">
        <v>7</v>
      </c>
      <c r="E87" s="62">
        <v>1</v>
      </c>
      <c r="F87" s="26">
        <v>0</v>
      </c>
      <c r="G87" s="61">
        <v>114</v>
      </c>
    </row>
    <row r="88" spans="2:7" ht="18.75" x14ac:dyDescent="0.3">
      <c r="C88" s="20" t="s">
        <v>100</v>
      </c>
      <c r="D88" s="20">
        <v>6</v>
      </c>
      <c r="E88" s="51">
        <v>2</v>
      </c>
      <c r="F88" s="26">
        <v>0</v>
      </c>
      <c r="G88" s="50">
        <v>114</v>
      </c>
    </row>
    <row r="89" spans="2:7" ht="18.75" x14ac:dyDescent="0.3">
      <c r="C89" s="7" t="s">
        <v>103</v>
      </c>
      <c r="D89" s="7">
        <v>3</v>
      </c>
      <c r="E89" s="62">
        <v>5</v>
      </c>
      <c r="F89" s="26">
        <v>0</v>
      </c>
      <c r="G89" s="61">
        <v>94</v>
      </c>
    </row>
    <row r="90" spans="2:7" ht="15.75" thickBot="1" x14ac:dyDescent="0.3"/>
    <row r="91" spans="2:7" ht="19.5" thickBot="1" x14ac:dyDescent="0.35">
      <c r="C91" s="60" t="s">
        <v>106</v>
      </c>
      <c r="D91" s="59" t="s">
        <v>79</v>
      </c>
      <c r="E91" s="59" t="s">
        <v>80</v>
      </c>
      <c r="F91" s="55" t="s">
        <v>108</v>
      </c>
      <c r="G91" s="58" t="s">
        <v>81</v>
      </c>
    </row>
    <row r="92" spans="2:7" ht="18.75" x14ac:dyDescent="0.3">
      <c r="C92" s="9" t="s">
        <v>97</v>
      </c>
      <c r="D92" s="9">
        <v>7</v>
      </c>
      <c r="E92" s="11">
        <v>1</v>
      </c>
      <c r="F92" s="26">
        <v>0</v>
      </c>
      <c r="G92" s="30">
        <v>116</v>
      </c>
    </row>
    <row r="93" spans="2:7" ht="18.75" x14ac:dyDescent="0.3">
      <c r="C93" s="20" t="s">
        <v>92</v>
      </c>
      <c r="D93" s="20">
        <v>5</v>
      </c>
      <c r="E93" s="51">
        <v>3</v>
      </c>
      <c r="F93" s="52">
        <v>0</v>
      </c>
      <c r="G93" s="50">
        <v>109</v>
      </c>
    </row>
    <row r="94" spans="2:7" ht="18.75" x14ac:dyDescent="0.3">
      <c r="C94" s="7" t="s">
        <v>99</v>
      </c>
      <c r="D94" s="7">
        <v>4</v>
      </c>
      <c r="E94" s="27">
        <v>4</v>
      </c>
      <c r="F94" s="26">
        <v>0</v>
      </c>
      <c r="G94" s="29">
        <v>104</v>
      </c>
    </row>
    <row r="95" spans="2:7" ht="18.75" x14ac:dyDescent="0.3">
      <c r="C95" s="9" t="s">
        <v>101</v>
      </c>
      <c r="D95" s="9">
        <v>2</v>
      </c>
      <c r="E95" s="11">
        <v>6</v>
      </c>
      <c r="F95" s="26">
        <v>0</v>
      </c>
      <c r="G95" s="30">
        <v>93</v>
      </c>
    </row>
    <row r="96" spans="2:7" ht="15.75" thickBot="1" x14ac:dyDescent="0.3"/>
    <row r="97" spans="3:7" ht="19.5" thickBot="1" x14ac:dyDescent="0.35">
      <c r="C97" s="57" t="s">
        <v>107</v>
      </c>
      <c r="D97" s="56" t="s">
        <v>79</v>
      </c>
      <c r="E97" s="56" t="s">
        <v>80</v>
      </c>
      <c r="F97" s="55" t="s">
        <v>108</v>
      </c>
      <c r="G97" s="54" t="s">
        <v>81</v>
      </c>
    </row>
    <row r="98" spans="3:7" ht="18.75" x14ac:dyDescent="0.3">
      <c r="C98" s="20" t="s">
        <v>83</v>
      </c>
      <c r="D98" s="20">
        <v>3</v>
      </c>
      <c r="E98" s="53">
        <v>5</v>
      </c>
      <c r="F98" s="52">
        <v>0</v>
      </c>
      <c r="G98" s="31">
        <v>90</v>
      </c>
    </row>
    <row r="99" spans="3:7" ht="18.75" x14ac:dyDescent="0.3">
      <c r="C99" s="20" t="s">
        <v>89</v>
      </c>
      <c r="D99" s="20">
        <v>2</v>
      </c>
      <c r="E99" s="51">
        <v>6</v>
      </c>
      <c r="F99" s="26">
        <v>0</v>
      </c>
      <c r="G99" s="50">
        <v>77</v>
      </c>
    </row>
    <row r="100" spans="3:7" ht="18.75" x14ac:dyDescent="0.3">
      <c r="C100" s="9" t="s">
        <v>104</v>
      </c>
      <c r="D100" s="9">
        <v>1</v>
      </c>
      <c r="E100" s="11">
        <v>7</v>
      </c>
      <c r="F100" s="26">
        <v>0</v>
      </c>
      <c r="G100" s="30">
        <v>58</v>
      </c>
    </row>
    <row r="101" spans="3:7" ht="18.75" x14ac:dyDescent="0.3">
      <c r="C101" s="9" t="s">
        <v>102</v>
      </c>
      <c r="D101" s="9">
        <v>0</v>
      </c>
      <c r="E101" s="11">
        <v>8</v>
      </c>
      <c r="F101" s="26">
        <v>0</v>
      </c>
      <c r="G101" s="30">
        <v>49</v>
      </c>
    </row>
  </sheetData>
  <mergeCells count="14">
    <mergeCell ref="N77:R77"/>
    <mergeCell ref="I71:R71"/>
    <mergeCell ref="N72:R72"/>
    <mergeCell ref="N73:R73"/>
    <mergeCell ref="N74:R74"/>
    <mergeCell ref="N75:R75"/>
    <mergeCell ref="N76:R76"/>
    <mergeCell ref="B71:B83"/>
    <mergeCell ref="I72:M72"/>
    <mergeCell ref="I73:M73"/>
    <mergeCell ref="I74:M74"/>
    <mergeCell ref="I75:M75"/>
    <mergeCell ref="I76:M76"/>
    <mergeCell ref="I77:M7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1" width="5.42578125" bestFit="1" customWidth="1"/>
    <col min="2" max="2" width="22" bestFit="1" customWidth="1"/>
    <col min="3" max="3" width="31.140625" bestFit="1" customWidth="1"/>
    <col min="4" max="4" width="8.42578125" bestFit="1" customWidth="1"/>
    <col min="5" max="5" width="7.4257812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25</v>
      </c>
      <c r="C2" s="4" t="s">
        <v>16</v>
      </c>
      <c r="D2" s="14">
        <f>SUM(1497+1503+1503+1503+1503+1343+1374+1383)</f>
        <v>11609</v>
      </c>
      <c r="E2" s="14">
        <f>SUM(100+85+83+92+83+81+85+94)</f>
        <v>703</v>
      </c>
      <c r="F2" s="15">
        <f>SUM(D2/E2)</f>
        <v>16.513513513513512</v>
      </c>
      <c r="G2" s="14">
        <v>8</v>
      </c>
      <c r="H2" s="14">
        <v>6</v>
      </c>
      <c r="I2" s="14">
        <v>1</v>
      </c>
      <c r="J2" s="14"/>
      <c r="K2" s="14"/>
      <c r="L2" s="14">
        <v>33</v>
      </c>
      <c r="M2" s="16">
        <v>10</v>
      </c>
    </row>
    <row r="3" spans="1:13" ht="18.75" x14ac:dyDescent="0.3">
      <c r="A3" s="3">
        <v>2</v>
      </c>
      <c r="B3" s="4" t="s">
        <v>17</v>
      </c>
      <c r="C3" s="4" t="s">
        <v>14</v>
      </c>
      <c r="D3" s="14">
        <f>SUM(1475+1503+1379+1273+1389+1467+1447+1471)</f>
        <v>11404</v>
      </c>
      <c r="E3" s="14">
        <f>SUM(91+92+81+81+71+83+111+86)</f>
        <v>696</v>
      </c>
      <c r="F3" s="15">
        <f>SUM(D3/E3)</f>
        <v>16.385057471264368</v>
      </c>
      <c r="G3" s="14">
        <v>8</v>
      </c>
      <c r="H3" s="14">
        <v>5</v>
      </c>
      <c r="I3" s="14"/>
      <c r="J3" s="14"/>
      <c r="K3" s="14"/>
      <c r="L3" s="76">
        <v>26</v>
      </c>
      <c r="M3" s="16">
        <v>10</v>
      </c>
    </row>
    <row r="4" spans="1:13" ht="18.75" x14ac:dyDescent="0.3">
      <c r="A4" s="3">
        <v>3</v>
      </c>
      <c r="B4" s="4" t="s">
        <v>13</v>
      </c>
      <c r="C4" s="4" t="s">
        <v>14</v>
      </c>
      <c r="D4" s="14">
        <f>SUM(1493+1503+1499+1371+1478+1493+1503+1503+1487)</f>
        <v>13330</v>
      </c>
      <c r="E4" s="14">
        <f>SUM(82+81+101+87+100+89+93+104+80)</f>
        <v>817</v>
      </c>
      <c r="F4" s="15">
        <f>SUM(D4/E4)</f>
        <v>16.315789473684209</v>
      </c>
      <c r="G4" s="14">
        <v>9</v>
      </c>
      <c r="H4" s="14">
        <v>8</v>
      </c>
      <c r="I4" s="14">
        <v>1</v>
      </c>
      <c r="J4" s="14"/>
      <c r="K4" s="14"/>
      <c r="L4" s="14">
        <v>36</v>
      </c>
      <c r="M4" s="16">
        <v>25</v>
      </c>
    </row>
    <row r="5" spans="1:13" ht="18.75" x14ac:dyDescent="0.3">
      <c r="A5" s="3">
        <v>4</v>
      </c>
      <c r="B5" s="4" t="s">
        <v>38</v>
      </c>
      <c r="C5" s="4" t="s">
        <v>21</v>
      </c>
      <c r="D5" s="14">
        <f>SUM(1487+1503+1503+1386+1501+1503+1415+1495+1442)</f>
        <v>13235</v>
      </c>
      <c r="E5" s="14">
        <f>SUM(111+101+74+85+132+87+82+95+76)</f>
        <v>843</v>
      </c>
      <c r="F5" s="15">
        <f>SUM(D5/E5)</f>
        <v>15.699881376037959</v>
      </c>
      <c r="G5" s="14">
        <v>9</v>
      </c>
      <c r="H5" s="14">
        <v>7</v>
      </c>
      <c r="I5" s="14"/>
      <c r="J5" s="14"/>
      <c r="K5" s="14">
        <v>1</v>
      </c>
      <c r="L5" s="14">
        <v>35</v>
      </c>
      <c r="M5" s="16">
        <v>10</v>
      </c>
    </row>
    <row r="6" spans="1:13" ht="18.75" x14ac:dyDescent="0.3">
      <c r="A6" s="3">
        <v>5</v>
      </c>
      <c r="B6" s="4" t="s">
        <v>27</v>
      </c>
      <c r="C6" s="4" t="s">
        <v>19</v>
      </c>
      <c r="D6" s="14">
        <f>SUM(1491+1430+1503+1498+1306+1503+1443+1496+1492)</f>
        <v>13162</v>
      </c>
      <c r="E6" s="14">
        <f>SUM(102+105+81+93+72+105+84+83+120)</f>
        <v>845</v>
      </c>
      <c r="F6" s="15">
        <f>SUM(D6/E6)</f>
        <v>15.576331360946746</v>
      </c>
      <c r="G6" s="14">
        <v>9</v>
      </c>
      <c r="H6" s="14">
        <v>7</v>
      </c>
      <c r="I6" s="14"/>
      <c r="J6" s="14"/>
      <c r="K6" s="14"/>
      <c r="L6" s="14">
        <v>36</v>
      </c>
      <c r="M6" s="16">
        <v>5</v>
      </c>
    </row>
    <row r="7" spans="1:13" ht="18.75" x14ac:dyDescent="0.3">
      <c r="A7" s="3">
        <v>6</v>
      </c>
      <c r="B7" s="4" t="s">
        <v>117</v>
      </c>
      <c r="C7" s="4" t="s">
        <v>53</v>
      </c>
      <c r="D7" s="14">
        <f>SUM(1503)</f>
        <v>1503</v>
      </c>
      <c r="E7" s="14">
        <f>SUM(97)</f>
        <v>97</v>
      </c>
      <c r="F7" s="15">
        <f>SUM(D7/E7)</f>
        <v>15.494845360824742</v>
      </c>
      <c r="G7" s="14">
        <v>1</v>
      </c>
      <c r="H7" s="14">
        <v>1</v>
      </c>
      <c r="I7" s="14"/>
      <c r="J7" s="14"/>
      <c r="K7" s="14"/>
      <c r="L7" s="14">
        <v>3.5</v>
      </c>
      <c r="M7" s="16"/>
    </row>
    <row r="8" spans="1:13" ht="18.75" x14ac:dyDescent="0.3">
      <c r="A8" s="3">
        <v>7</v>
      </c>
      <c r="B8" s="4" t="s">
        <v>15</v>
      </c>
      <c r="C8" s="4" t="s">
        <v>16</v>
      </c>
      <c r="D8" s="14">
        <f>SUM(1350+1487+1463+1503+1503+1483+1282)</f>
        <v>10071</v>
      </c>
      <c r="E8" s="14">
        <f>SUM(80+82+83+99+122+85+99)</f>
        <v>650</v>
      </c>
      <c r="F8" s="15">
        <f>SUM(D8/E8)</f>
        <v>15.493846153846153</v>
      </c>
      <c r="G8" s="14">
        <v>7</v>
      </c>
      <c r="H8" s="14">
        <v>5</v>
      </c>
      <c r="I8" s="14"/>
      <c r="J8" s="14"/>
      <c r="K8" s="14"/>
      <c r="L8" s="14">
        <v>25</v>
      </c>
      <c r="M8" s="16">
        <v>10</v>
      </c>
    </row>
    <row r="9" spans="1:13" ht="18.75" x14ac:dyDescent="0.3">
      <c r="A9" s="3">
        <v>8</v>
      </c>
      <c r="B9" s="26" t="s">
        <v>135</v>
      </c>
      <c r="C9" s="4" t="s">
        <v>160</v>
      </c>
      <c r="D9" s="14">
        <f>SUM(1306+1503+1416+1435)</f>
        <v>5660</v>
      </c>
      <c r="E9" s="14">
        <f>SUM(81+98+89+98)</f>
        <v>366</v>
      </c>
      <c r="F9" s="15">
        <f>SUM(D9/E9)</f>
        <v>15.464480874316941</v>
      </c>
      <c r="G9" s="14">
        <v>4</v>
      </c>
      <c r="H9" s="14">
        <v>3</v>
      </c>
      <c r="I9" s="14"/>
      <c r="J9" s="14"/>
      <c r="K9" s="14"/>
      <c r="L9" s="14">
        <v>16.5</v>
      </c>
      <c r="M9" s="16"/>
    </row>
    <row r="10" spans="1:13" ht="18.75" x14ac:dyDescent="0.3">
      <c r="A10" s="3">
        <v>9</v>
      </c>
      <c r="B10" s="4" t="s">
        <v>34</v>
      </c>
      <c r="C10" s="4" t="s">
        <v>16</v>
      </c>
      <c r="D10" s="14">
        <f>SUM(1483+1471+1501+1503+1495+1501+1486+1458+1501)</f>
        <v>13399</v>
      </c>
      <c r="E10" s="14">
        <f>SUM(107+83+84+79+105+120+108+87+98)</f>
        <v>871</v>
      </c>
      <c r="F10" s="15">
        <f>SUM(D10/E10)</f>
        <v>15.383467278989666</v>
      </c>
      <c r="G10" s="14">
        <v>9</v>
      </c>
      <c r="H10" s="14">
        <v>6</v>
      </c>
      <c r="I10" s="14"/>
      <c r="J10" s="14"/>
      <c r="K10" s="14"/>
      <c r="L10" s="14">
        <v>32</v>
      </c>
      <c r="M10" s="16">
        <v>5</v>
      </c>
    </row>
    <row r="11" spans="1:13" ht="18.75" x14ac:dyDescent="0.3">
      <c r="A11" s="3">
        <v>10</v>
      </c>
      <c r="B11" s="4" t="s">
        <v>18</v>
      </c>
      <c r="C11" s="4" t="s">
        <v>19</v>
      </c>
      <c r="D11" s="14">
        <f>SUM(1503+1488+1503+1430+1468+1461+1444+1411+1423)</f>
        <v>13131</v>
      </c>
      <c r="E11" s="14">
        <f>SUM(93+90+102+88+102+99+93+85+111)</f>
        <v>863</v>
      </c>
      <c r="F11" s="15">
        <f>SUM(D11/E11)</f>
        <v>15.215527230590961</v>
      </c>
      <c r="G11" s="14">
        <v>9</v>
      </c>
      <c r="H11" s="14">
        <v>3</v>
      </c>
      <c r="I11" s="14"/>
      <c r="J11" s="14"/>
      <c r="K11" s="14"/>
      <c r="L11" s="14">
        <v>33</v>
      </c>
      <c r="M11" s="16"/>
    </row>
    <row r="12" spans="1:13" ht="18.75" x14ac:dyDescent="0.3">
      <c r="A12" s="3">
        <v>11</v>
      </c>
      <c r="B12" s="4" t="s">
        <v>11</v>
      </c>
      <c r="C12" s="7" t="s">
        <v>12</v>
      </c>
      <c r="D12" s="14">
        <f>SUM(1471+1503+1366+1503+1427+1501+1493+1342)</f>
        <v>11606</v>
      </c>
      <c r="E12" s="14">
        <f>SUM(76+92+101+115+84+100+114+88)</f>
        <v>770</v>
      </c>
      <c r="F12" s="15">
        <f>SUM(D12/E12)</f>
        <v>15.072727272727272</v>
      </c>
      <c r="G12" s="14">
        <v>8</v>
      </c>
      <c r="H12" s="14">
        <v>7</v>
      </c>
      <c r="I12" s="14">
        <v>1</v>
      </c>
      <c r="J12" s="14"/>
      <c r="K12" s="14"/>
      <c r="L12" s="14">
        <v>34</v>
      </c>
      <c r="M12" s="16">
        <v>10</v>
      </c>
    </row>
    <row r="13" spans="1:13" ht="18.75" x14ac:dyDescent="0.3">
      <c r="A13" s="3">
        <v>12</v>
      </c>
      <c r="B13" s="4" t="s">
        <v>37</v>
      </c>
      <c r="C13" s="4" t="s">
        <v>12</v>
      </c>
      <c r="D13" s="14">
        <f>SUM(1489+1454+1482+1503+1393+1503+1503+1503+1381)</f>
        <v>13211</v>
      </c>
      <c r="E13" s="14">
        <f>SUM(111+105+94+95+97+115+88+96+97)</f>
        <v>898</v>
      </c>
      <c r="F13" s="15">
        <f>SUM(D13/E13)</f>
        <v>14.711581291759465</v>
      </c>
      <c r="G13" s="14">
        <v>9</v>
      </c>
      <c r="H13" s="14">
        <v>6</v>
      </c>
      <c r="I13" s="14"/>
      <c r="J13" s="14"/>
      <c r="K13" s="14"/>
      <c r="L13" s="14">
        <v>34</v>
      </c>
      <c r="M13" s="16"/>
    </row>
    <row r="14" spans="1:13" ht="18.75" x14ac:dyDescent="0.3">
      <c r="A14" s="3">
        <v>13</v>
      </c>
      <c r="B14" s="4" t="s">
        <v>71</v>
      </c>
      <c r="C14" s="4" t="s">
        <v>53</v>
      </c>
      <c r="D14" s="14">
        <f>SUM(1343+1449+1503+1477+1348+1444+1219+1461)</f>
        <v>11244</v>
      </c>
      <c r="E14" s="14">
        <f>SUM(82+98+96+114+102+85+94+96)</f>
        <v>767</v>
      </c>
      <c r="F14" s="15">
        <f>SUM(D14/E14)</f>
        <v>14.659713168187745</v>
      </c>
      <c r="G14" s="14">
        <v>7</v>
      </c>
      <c r="H14" s="14">
        <v>2</v>
      </c>
      <c r="I14" s="14"/>
      <c r="J14" s="14"/>
      <c r="K14" s="14"/>
      <c r="L14" s="14">
        <v>18.5</v>
      </c>
      <c r="M14" s="16"/>
    </row>
    <row r="15" spans="1:13" ht="18.75" x14ac:dyDescent="0.3">
      <c r="A15" s="3">
        <v>14</v>
      </c>
      <c r="B15" s="4" t="s">
        <v>28</v>
      </c>
      <c r="C15" s="4" t="s">
        <v>29</v>
      </c>
      <c r="D15" s="14">
        <f>SUM(1400+1499+1422+1493+1503+1477+1499+1499+1503)</f>
        <v>13295</v>
      </c>
      <c r="E15" s="14">
        <f>SUM(96+101+81+130+107+114+92+101+87)</f>
        <v>909</v>
      </c>
      <c r="F15" s="15">
        <f>SUM(D15/E15)</f>
        <v>14.625962596259626</v>
      </c>
      <c r="G15" s="14">
        <v>9</v>
      </c>
      <c r="H15" s="14">
        <v>7</v>
      </c>
      <c r="I15" s="14"/>
      <c r="J15" s="14"/>
      <c r="K15" s="14"/>
      <c r="L15" s="14">
        <v>32.5</v>
      </c>
      <c r="M15" s="16"/>
    </row>
    <row r="16" spans="1:13" ht="18.75" x14ac:dyDescent="0.3">
      <c r="A16" s="3">
        <v>15</v>
      </c>
      <c r="B16" s="26" t="s">
        <v>116</v>
      </c>
      <c r="C16" s="4" t="s">
        <v>46</v>
      </c>
      <c r="D16" s="14">
        <f>SUM(1184+1495+1503+1260+1369+1493+1471)</f>
        <v>9775</v>
      </c>
      <c r="E16" s="14">
        <f>SUM(78+154+98+84+87+93+95)</f>
        <v>689</v>
      </c>
      <c r="F16" s="15">
        <f>SUM(D16/E16)</f>
        <v>14.187227866473149</v>
      </c>
      <c r="G16" s="14">
        <v>6</v>
      </c>
      <c r="H16" s="14">
        <v>3</v>
      </c>
      <c r="I16" s="14"/>
      <c r="J16" s="14"/>
      <c r="K16" s="14"/>
      <c r="L16" s="14">
        <v>15.5</v>
      </c>
      <c r="M16" s="16"/>
    </row>
    <row r="17" spans="1:13" ht="18.75" x14ac:dyDescent="0.3">
      <c r="A17" s="3">
        <v>16</v>
      </c>
      <c r="B17" s="10" t="s">
        <v>44</v>
      </c>
      <c r="C17" s="4" t="s">
        <v>19</v>
      </c>
      <c r="D17" s="14">
        <f>SUM(1499+1503+1495+1500+1498+1471+1503)</f>
        <v>10469</v>
      </c>
      <c r="E17" s="14">
        <f>SUM(120+113+112+127+83+89+94)</f>
        <v>738</v>
      </c>
      <c r="F17" s="15">
        <f>SUM(D17/E17)</f>
        <v>14.185636856368564</v>
      </c>
      <c r="G17" s="14">
        <v>7</v>
      </c>
      <c r="H17" s="14">
        <v>7</v>
      </c>
      <c r="I17" s="14"/>
      <c r="J17" s="14"/>
      <c r="K17" s="14"/>
      <c r="L17" s="14">
        <v>32</v>
      </c>
      <c r="M17" s="16">
        <v>5</v>
      </c>
    </row>
    <row r="18" spans="1:13" ht="18.75" x14ac:dyDescent="0.3">
      <c r="A18" s="3">
        <v>17</v>
      </c>
      <c r="B18" s="3" t="s">
        <v>20</v>
      </c>
      <c r="C18" s="4" t="s">
        <v>21</v>
      </c>
      <c r="D18" s="14">
        <f>SUM(1503+1459+1401+1182+1442+1421+1237+1455)</f>
        <v>11100</v>
      </c>
      <c r="E18" s="14">
        <f>SUM(96+99+104+94+108+90+102+91)</f>
        <v>784</v>
      </c>
      <c r="F18" s="15">
        <f>SUM(D18/E18)</f>
        <v>14.158163265306122</v>
      </c>
      <c r="G18" s="14">
        <v>8</v>
      </c>
      <c r="H18" s="14">
        <v>1</v>
      </c>
      <c r="I18" s="14">
        <v>1</v>
      </c>
      <c r="J18" s="14"/>
      <c r="K18" s="14"/>
      <c r="L18" s="14">
        <v>26</v>
      </c>
      <c r="M18" s="16"/>
    </row>
    <row r="19" spans="1:13" ht="18.75" x14ac:dyDescent="0.3">
      <c r="A19" s="3">
        <v>18</v>
      </c>
      <c r="B19" s="26" t="s">
        <v>52</v>
      </c>
      <c r="C19" s="4" t="s">
        <v>53</v>
      </c>
      <c r="D19" s="14">
        <f>SUM(1503+1209+1369+1358+1425+1485+1441+1503+1439)</f>
        <v>12732</v>
      </c>
      <c r="E19" s="14">
        <f>SUM(129+84+84+114+99+97+112+101+93)</f>
        <v>913</v>
      </c>
      <c r="F19" s="15">
        <f>SUM(D19/E19)</f>
        <v>13.945235487404162</v>
      </c>
      <c r="G19" s="14">
        <v>9</v>
      </c>
      <c r="H19" s="14">
        <v>5</v>
      </c>
      <c r="I19" s="14"/>
      <c r="J19" s="14"/>
      <c r="K19" s="14"/>
      <c r="L19" s="14">
        <v>31.5</v>
      </c>
      <c r="M19" s="16">
        <v>10</v>
      </c>
    </row>
    <row r="20" spans="1:13" ht="18.75" x14ac:dyDescent="0.3">
      <c r="A20" s="3">
        <v>19</v>
      </c>
      <c r="B20" s="4" t="s">
        <v>24</v>
      </c>
      <c r="C20" s="4" t="s">
        <v>23</v>
      </c>
      <c r="D20" s="14">
        <f>SUM(1408+1503+1475+1495+1503+1485+1204+1389+1499)</f>
        <v>12961</v>
      </c>
      <c r="E20" s="14">
        <f>SUM(93+120+122+113+103+85+82+98+120)</f>
        <v>936</v>
      </c>
      <c r="F20" s="15">
        <f>SUM(D20/E20)</f>
        <v>13.847222222222221</v>
      </c>
      <c r="G20" s="14">
        <v>9</v>
      </c>
      <c r="H20" s="14">
        <v>5</v>
      </c>
      <c r="I20" s="14"/>
      <c r="J20" s="14"/>
      <c r="K20" s="14"/>
      <c r="L20" s="14">
        <v>30.5</v>
      </c>
      <c r="M20" s="16"/>
    </row>
    <row r="21" spans="1:13" ht="18.75" x14ac:dyDescent="0.3">
      <c r="A21" s="3">
        <v>20</v>
      </c>
      <c r="B21" s="4" t="s">
        <v>31</v>
      </c>
      <c r="C21" s="4" t="s">
        <v>19</v>
      </c>
      <c r="D21" s="14">
        <f>SUM(1485+1497+1501+1503+1503+1372+1409+1496)</f>
        <v>11766</v>
      </c>
      <c r="E21" s="14">
        <f>SUM(103+100+143+103+132+96+79+99)</f>
        <v>855</v>
      </c>
      <c r="F21" s="15">
        <f>SUM(D21/E21)</f>
        <v>13.761403508771929</v>
      </c>
      <c r="G21" s="14">
        <v>8</v>
      </c>
      <c r="H21" s="14">
        <v>5</v>
      </c>
      <c r="I21" s="14"/>
      <c r="J21" s="14"/>
      <c r="K21" s="14"/>
      <c r="L21" s="14">
        <v>28.5</v>
      </c>
      <c r="M21" s="16"/>
    </row>
    <row r="22" spans="1:13" ht="18.75" x14ac:dyDescent="0.3">
      <c r="A22" s="3">
        <v>21</v>
      </c>
      <c r="B22" s="4" t="s">
        <v>47</v>
      </c>
      <c r="C22" s="7" t="s">
        <v>12</v>
      </c>
      <c r="D22" s="14">
        <f>SUM(1197+1447+1355+1487+1477+1503+1496+1503)</f>
        <v>11465</v>
      </c>
      <c r="E22" s="14">
        <f>SUM(99+96+96+122+112+92+111+108)</f>
        <v>836</v>
      </c>
      <c r="F22" s="15">
        <f>SUM(D22/E22)</f>
        <v>13.714114832535886</v>
      </c>
      <c r="G22" s="14">
        <v>8</v>
      </c>
      <c r="H22" s="14">
        <v>4</v>
      </c>
      <c r="I22" s="14">
        <v>1</v>
      </c>
      <c r="J22" s="14"/>
      <c r="K22" s="14"/>
      <c r="L22" s="14">
        <v>29.5</v>
      </c>
      <c r="M22" s="16"/>
    </row>
    <row r="23" spans="1:13" ht="18.75" x14ac:dyDescent="0.3">
      <c r="A23" s="3">
        <v>22</v>
      </c>
      <c r="B23" s="3" t="s">
        <v>32</v>
      </c>
      <c r="C23" s="4" t="s">
        <v>33</v>
      </c>
      <c r="D23" s="14">
        <f>SUM(1375+1349+1415+1479+1469+1503+1453+1325+1482)</f>
        <v>12850</v>
      </c>
      <c r="E23" s="14">
        <f>SUM(97+95+104+117+106+116+111+102+95)</f>
        <v>943</v>
      </c>
      <c r="F23" s="15">
        <f>SUM(D23/E23)</f>
        <v>13.626723223753977</v>
      </c>
      <c r="G23" s="14">
        <v>9</v>
      </c>
      <c r="H23" s="14">
        <v>4</v>
      </c>
      <c r="I23" s="14"/>
      <c r="J23" s="14"/>
      <c r="K23" s="14"/>
      <c r="L23" s="14">
        <v>24</v>
      </c>
      <c r="M23" s="16"/>
    </row>
    <row r="24" spans="1:13" ht="18.75" x14ac:dyDescent="0.3">
      <c r="A24" s="3">
        <v>23</v>
      </c>
      <c r="B24" s="26" t="s">
        <v>40</v>
      </c>
      <c r="C24" s="4" t="s">
        <v>23</v>
      </c>
      <c r="D24" s="14">
        <f>SUM(1446+1503+1491+1491+1503+1501+1441+1501+1366)</f>
        <v>13243</v>
      </c>
      <c r="E24" s="14">
        <f>SUM(110+105+126+119+112+102+113+100+90)</f>
        <v>977</v>
      </c>
      <c r="F24" s="15">
        <f>SUM(D24/E24)</f>
        <v>13.554759467758444</v>
      </c>
      <c r="G24" s="14">
        <v>9</v>
      </c>
      <c r="H24" s="14">
        <v>5</v>
      </c>
      <c r="I24" s="14"/>
      <c r="J24" s="14"/>
      <c r="K24" s="14"/>
      <c r="L24" s="14">
        <v>31.5</v>
      </c>
      <c r="M24" s="16">
        <v>5</v>
      </c>
    </row>
    <row r="25" spans="1:13" ht="18.75" x14ac:dyDescent="0.3">
      <c r="A25" s="3">
        <v>24</v>
      </c>
      <c r="B25" s="26" t="s">
        <v>51</v>
      </c>
      <c r="C25" s="4" t="s">
        <v>33</v>
      </c>
      <c r="D25" s="14">
        <f>SUM(1125+1277+1380+1480+1455+1503+1435)</f>
        <v>9655</v>
      </c>
      <c r="E25" s="14">
        <f>SUM(96+102+98+119+103+112+87)</f>
        <v>717</v>
      </c>
      <c r="F25" s="15">
        <f>SUM(D25/E25)</f>
        <v>13.465829846582984</v>
      </c>
      <c r="G25" s="14">
        <v>7</v>
      </c>
      <c r="H25" s="14">
        <v>3</v>
      </c>
      <c r="I25" s="14"/>
      <c r="J25" s="14"/>
      <c r="K25" s="14"/>
      <c r="L25" s="14">
        <v>20</v>
      </c>
      <c r="M25" s="16">
        <v>5</v>
      </c>
    </row>
    <row r="26" spans="1:13" ht="18.75" x14ac:dyDescent="0.3">
      <c r="A26" s="3">
        <v>25</v>
      </c>
      <c r="B26" s="4" t="s">
        <v>22</v>
      </c>
      <c r="C26" s="4" t="s">
        <v>23</v>
      </c>
      <c r="D26" s="14">
        <f>SUM(1503+1341+1499+1500+1503+1438+1495+1503+1483)</f>
        <v>13265</v>
      </c>
      <c r="E26" s="14">
        <f>SUM(96+100+124+121+117+114+112+94+111)</f>
        <v>989</v>
      </c>
      <c r="F26" s="15">
        <f>SUM(D26/E26)</f>
        <v>13.412537917087967</v>
      </c>
      <c r="G26" s="14">
        <v>9</v>
      </c>
      <c r="H26" s="14">
        <v>7</v>
      </c>
      <c r="I26" s="14"/>
      <c r="J26" s="14"/>
      <c r="K26" s="14"/>
      <c r="L26" s="14">
        <v>34.5</v>
      </c>
      <c r="M26" s="16"/>
    </row>
    <row r="27" spans="1:13" ht="18.75" x14ac:dyDescent="0.3">
      <c r="A27" s="3">
        <v>26</v>
      </c>
      <c r="B27" s="26" t="s">
        <v>56</v>
      </c>
      <c r="C27" s="4" t="s">
        <v>29</v>
      </c>
      <c r="D27" s="14">
        <f>SUM(1501+1284+1142+1483+1269+1441+1481+1441+1467)</f>
        <v>12509</v>
      </c>
      <c r="E27" s="14">
        <f>SUM(132+99+81+119+90+91+99+106+117)</f>
        <v>934</v>
      </c>
      <c r="F27" s="15">
        <f>SUM(D27/E27)</f>
        <v>13.392933618843683</v>
      </c>
      <c r="G27" s="14">
        <v>8</v>
      </c>
      <c r="H27" s="14">
        <v>6</v>
      </c>
      <c r="I27" s="14"/>
      <c r="J27" s="14"/>
      <c r="K27" s="14"/>
      <c r="L27" s="14">
        <v>28.5</v>
      </c>
      <c r="M27" s="16"/>
    </row>
    <row r="28" spans="1:13" ht="18.75" x14ac:dyDescent="0.3">
      <c r="A28" s="3">
        <v>27</v>
      </c>
      <c r="B28" s="4" t="s">
        <v>43</v>
      </c>
      <c r="C28" s="4" t="s">
        <v>29</v>
      </c>
      <c r="D28" s="14">
        <f>SUM(984+1493+1090+1355+1485+1453+1343+1461+1498)</f>
        <v>12162</v>
      </c>
      <c r="E28" s="14">
        <f>SUM(78+103+78+96+99+108+86+109+161)</f>
        <v>918</v>
      </c>
      <c r="F28" s="15">
        <f>SUM(D28/E28)</f>
        <v>13.248366013071895</v>
      </c>
      <c r="G28" s="14">
        <v>9</v>
      </c>
      <c r="H28" s="14">
        <v>4</v>
      </c>
      <c r="I28" s="14"/>
      <c r="J28" s="14"/>
      <c r="K28" s="14"/>
      <c r="L28" s="14">
        <v>25</v>
      </c>
      <c r="M28" s="16"/>
    </row>
    <row r="29" spans="1:13" ht="18.75" x14ac:dyDescent="0.3">
      <c r="A29" s="3">
        <v>28</v>
      </c>
      <c r="B29" s="4" t="s">
        <v>115</v>
      </c>
      <c r="C29" s="4" t="s">
        <v>12</v>
      </c>
      <c r="D29" s="14">
        <f>SUM(1485+1493+1468+1503+1359+1483+1500)</f>
        <v>10291</v>
      </c>
      <c r="E29" s="14">
        <f>SUM(119+86+129+112+98+129+113)</f>
        <v>786</v>
      </c>
      <c r="F29" s="15">
        <f>SUM(D29/E29)</f>
        <v>13.092875318066158</v>
      </c>
      <c r="G29" s="14">
        <v>7</v>
      </c>
      <c r="H29" s="14">
        <v>3</v>
      </c>
      <c r="I29" s="14"/>
      <c r="J29" s="14"/>
      <c r="K29" s="14"/>
      <c r="L29" s="14">
        <v>24</v>
      </c>
      <c r="M29" s="16">
        <v>5</v>
      </c>
    </row>
    <row r="30" spans="1:13" ht="18.75" x14ac:dyDescent="0.3">
      <c r="A30" s="3">
        <v>29</v>
      </c>
      <c r="B30" s="26" t="s">
        <v>133</v>
      </c>
      <c r="C30" s="4" t="s">
        <v>46</v>
      </c>
      <c r="D30" s="14">
        <f>SUM(1380+1496+1443+1214+1489+1355)</f>
        <v>8377</v>
      </c>
      <c r="E30" s="14">
        <f>SUM(111+130+100+89+114+99)</f>
        <v>643</v>
      </c>
      <c r="F30" s="15">
        <f>SUM(D30/E30)</f>
        <v>13.027993779160187</v>
      </c>
      <c r="G30" s="14">
        <v>6</v>
      </c>
      <c r="H30" s="14">
        <v>3</v>
      </c>
      <c r="I30" s="14"/>
      <c r="J30" s="14"/>
      <c r="K30" s="14"/>
      <c r="L30" s="14">
        <v>11.5</v>
      </c>
      <c r="M30" s="16"/>
    </row>
    <row r="31" spans="1:13" ht="18.75" x14ac:dyDescent="0.3">
      <c r="A31" s="3">
        <v>30</v>
      </c>
      <c r="B31" s="26" t="s">
        <v>132</v>
      </c>
      <c r="C31" s="7" t="s">
        <v>14</v>
      </c>
      <c r="D31" s="14">
        <f>SUM(1485+1373)</f>
        <v>2858</v>
      </c>
      <c r="E31" s="14">
        <f>SUM(129+93)</f>
        <v>222</v>
      </c>
      <c r="F31" s="15">
        <f>SUM(D31/E31)</f>
        <v>12.873873873873874</v>
      </c>
      <c r="G31" s="14">
        <v>2</v>
      </c>
      <c r="H31" s="14">
        <v>2</v>
      </c>
      <c r="I31" s="14"/>
      <c r="J31" s="14"/>
      <c r="K31" s="14"/>
      <c r="L31" s="14">
        <v>8</v>
      </c>
      <c r="M31" s="16"/>
    </row>
    <row r="32" spans="1:13" ht="18.75" x14ac:dyDescent="0.3">
      <c r="A32" s="3">
        <v>31</v>
      </c>
      <c r="B32" s="4" t="s">
        <v>48</v>
      </c>
      <c r="C32" s="4" t="s">
        <v>49</v>
      </c>
      <c r="D32" s="14">
        <f>SUM(1498+1501+1411+1162+1480+1223+1193+1475+1503)</f>
        <v>12446</v>
      </c>
      <c r="E32" s="14">
        <f>SUM(124+124+124+90+129+85+84+111+99)</f>
        <v>970</v>
      </c>
      <c r="F32" s="15">
        <f>SUM(D32/E32)</f>
        <v>12.830927835051547</v>
      </c>
      <c r="G32" s="14">
        <v>9</v>
      </c>
      <c r="H32" s="14">
        <v>3</v>
      </c>
      <c r="I32" s="14"/>
      <c r="J32" s="14"/>
      <c r="K32" s="14"/>
      <c r="L32" s="14">
        <v>26</v>
      </c>
      <c r="M32" s="16">
        <v>5</v>
      </c>
    </row>
    <row r="33" spans="1:13" ht="18.75" x14ac:dyDescent="0.3">
      <c r="A33" s="3">
        <v>32</v>
      </c>
      <c r="B33" s="4" t="s">
        <v>36</v>
      </c>
      <c r="C33" s="7" t="s">
        <v>16</v>
      </c>
      <c r="D33" s="14">
        <f>SUM(1472+1279+1463+1479+1401+1487+1503+1251+1489)</f>
        <v>12824</v>
      </c>
      <c r="E33" s="14">
        <f>SUM(108+93+117+130+103+115+130+83+123)</f>
        <v>1002</v>
      </c>
      <c r="F33" s="15">
        <f>SUM(D33/E33)</f>
        <v>12.798403193612774</v>
      </c>
      <c r="G33" s="14">
        <v>9</v>
      </c>
      <c r="H33" s="14">
        <v>5</v>
      </c>
      <c r="I33" s="14"/>
      <c r="J33" s="14"/>
      <c r="K33" s="14"/>
      <c r="L33" s="14">
        <v>29.5</v>
      </c>
      <c r="M33" s="16"/>
    </row>
    <row r="34" spans="1:13" ht="18.75" x14ac:dyDescent="0.3">
      <c r="A34" s="3">
        <v>33</v>
      </c>
      <c r="B34" s="8" t="s">
        <v>67</v>
      </c>
      <c r="C34" s="4" t="s">
        <v>49</v>
      </c>
      <c r="D34" s="14">
        <f>SUM(1501+1454+1401+1499+1498+1316+1320+1277+1388)</f>
        <v>12654</v>
      </c>
      <c r="E34" s="14">
        <f>SUM(162+98+128+112+110+80+97+104+99)</f>
        <v>990</v>
      </c>
      <c r="F34" s="15">
        <f>SUM(D34/E34)</f>
        <v>12.781818181818181</v>
      </c>
      <c r="G34" s="14">
        <v>9</v>
      </c>
      <c r="H34" s="14">
        <v>3</v>
      </c>
      <c r="I34" s="14"/>
      <c r="J34" s="14"/>
      <c r="K34" s="14"/>
      <c r="L34" s="14">
        <v>23</v>
      </c>
      <c r="M34" s="16">
        <v>10</v>
      </c>
    </row>
    <row r="35" spans="1:13" ht="18.75" x14ac:dyDescent="0.3">
      <c r="A35" s="3">
        <v>34</v>
      </c>
      <c r="B35" s="9" t="s">
        <v>74</v>
      </c>
      <c r="C35" s="4" t="s">
        <v>60</v>
      </c>
      <c r="D35" s="17">
        <f>SUM(1491+1480+1457+1253+1439+1475+1353+1072)</f>
        <v>11020</v>
      </c>
      <c r="E35" s="14">
        <f>SUM(100+103+151+111+93+113+111+81)</f>
        <v>863</v>
      </c>
      <c r="F35" s="15">
        <f>SUM(D35/E35)</f>
        <v>12.769409038238702</v>
      </c>
      <c r="G35" s="14">
        <v>8</v>
      </c>
      <c r="H35" s="14">
        <v>3</v>
      </c>
      <c r="I35" s="14"/>
      <c r="J35" s="14"/>
      <c r="K35" s="14"/>
      <c r="L35" s="14">
        <v>13.5</v>
      </c>
      <c r="M35" s="16"/>
    </row>
    <row r="36" spans="1:13" ht="18.75" x14ac:dyDescent="0.3">
      <c r="A36" s="3">
        <v>35</v>
      </c>
      <c r="B36" s="7" t="s">
        <v>35</v>
      </c>
      <c r="C36" s="4" t="s">
        <v>33</v>
      </c>
      <c r="D36" s="17">
        <f>SUM(1453+1310+1456+1304+949+1406+1450+1503+1487)</f>
        <v>12318</v>
      </c>
      <c r="E36" s="14">
        <f>SUM(105+122+95+112+75+90+148+117+102)</f>
        <v>966</v>
      </c>
      <c r="F36" s="15">
        <f>SUM(D36/E36)</f>
        <v>12.751552795031056</v>
      </c>
      <c r="G36" s="14">
        <v>9</v>
      </c>
      <c r="H36" s="14">
        <v>5</v>
      </c>
      <c r="I36" s="14"/>
      <c r="J36" s="14"/>
      <c r="K36" s="14"/>
      <c r="L36" s="14">
        <v>29.5</v>
      </c>
      <c r="M36" s="16">
        <v>5</v>
      </c>
    </row>
    <row r="37" spans="1:13" ht="18.75" x14ac:dyDescent="0.3">
      <c r="A37" s="3">
        <v>36</v>
      </c>
      <c r="B37" s="9" t="s">
        <v>73</v>
      </c>
      <c r="C37" s="4" t="s">
        <v>21</v>
      </c>
      <c r="D37" s="17">
        <f>SUM(1472+1490+1500)</f>
        <v>4462</v>
      </c>
      <c r="E37" s="14">
        <f>SUM(133+105+121)</f>
        <v>359</v>
      </c>
      <c r="F37" s="15">
        <f>SUM(D37/E37)</f>
        <v>12.428969359331477</v>
      </c>
      <c r="G37" s="14">
        <v>3</v>
      </c>
      <c r="H37" s="14">
        <v>3</v>
      </c>
      <c r="I37" s="14"/>
      <c r="J37" s="14"/>
      <c r="K37" s="14"/>
      <c r="L37" s="14">
        <v>9.5</v>
      </c>
      <c r="M37" s="16"/>
    </row>
    <row r="38" spans="1:13" ht="18.75" x14ac:dyDescent="0.3">
      <c r="A38" s="3">
        <v>37</v>
      </c>
      <c r="B38" s="7" t="s">
        <v>26</v>
      </c>
      <c r="C38" s="4" t="s">
        <v>21</v>
      </c>
      <c r="D38" s="17">
        <f>SUM(1301+1470+1495+1501+1264)</f>
        <v>7031</v>
      </c>
      <c r="E38" s="14">
        <f>SUM(88+118+154+110+98)</f>
        <v>568</v>
      </c>
      <c r="F38" s="15">
        <f>SUM(D38/E38)</f>
        <v>12.378521126760564</v>
      </c>
      <c r="G38" s="14">
        <v>5</v>
      </c>
      <c r="H38" s="14">
        <v>3</v>
      </c>
      <c r="I38" s="14"/>
      <c r="J38" s="14"/>
      <c r="K38" s="14"/>
      <c r="L38" s="14">
        <v>16.5</v>
      </c>
      <c r="M38" s="16"/>
    </row>
    <row r="39" spans="1:13" ht="18.75" x14ac:dyDescent="0.3">
      <c r="A39" s="3">
        <v>38</v>
      </c>
      <c r="B39" s="9" t="s">
        <v>45</v>
      </c>
      <c r="C39" s="4" t="s">
        <v>46</v>
      </c>
      <c r="D39" s="17">
        <f>SUM(1497+1394)</f>
        <v>2891</v>
      </c>
      <c r="E39" s="14">
        <f>SUM(120+114)</f>
        <v>234</v>
      </c>
      <c r="F39" s="15">
        <f>SUM(D39/E39)</f>
        <v>12.354700854700855</v>
      </c>
      <c r="G39" s="14">
        <v>2</v>
      </c>
      <c r="H39" s="14"/>
      <c r="I39" s="14"/>
      <c r="J39" s="14"/>
      <c r="K39" s="14"/>
      <c r="L39" s="14">
        <v>1</v>
      </c>
      <c r="M39" s="16"/>
    </row>
    <row r="40" spans="1:13" ht="18.75" x14ac:dyDescent="0.3">
      <c r="A40" s="3">
        <v>39</v>
      </c>
      <c r="B40" s="18" t="s">
        <v>55</v>
      </c>
      <c r="C40" s="4" t="s">
        <v>33</v>
      </c>
      <c r="D40" s="17">
        <f>SUM(1418+1495+1361+1446+1491+1483+1468+1496)</f>
        <v>11658</v>
      </c>
      <c r="E40" s="14">
        <f>SUM(122+118+123+150+97+115+113+113)</f>
        <v>951</v>
      </c>
      <c r="F40" s="15">
        <f>SUM(D40/E40)</f>
        <v>12.258675078864353</v>
      </c>
      <c r="G40" s="14">
        <v>8</v>
      </c>
      <c r="H40" s="14">
        <v>5</v>
      </c>
      <c r="I40" s="14"/>
      <c r="J40" s="14"/>
      <c r="K40" s="14"/>
      <c r="L40" s="14">
        <v>23</v>
      </c>
      <c r="M40" s="16"/>
    </row>
    <row r="41" spans="1:13" ht="18.75" x14ac:dyDescent="0.3">
      <c r="A41" s="3">
        <v>40</v>
      </c>
      <c r="B41" s="9" t="s">
        <v>57</v>
      </c>
      <c r="C41" s="4" t="s">
        <v>46</v>
      </c>
      <c r="D41" s="17">
        <f>SUM(1416+1252+1334+1500+1345+1490+1487+1180)</f>
        <v>11004</v>
      </c>
      <c r="E41" s="14">
        <f>SUM(125+84+99+144+105+98+147+99)</f>
        <v>901</v>
      </c>
      <c r="F41" s="15">
        <f>SUM(D41/E41)</f>
        <v>12.213096559378469</v>
      </c>
      <c r="G41" s="14">
        <v>8</v>
      </c>
      <c r="H41" s="14">
        <v>2</v>
      </c>
      <c r="I41" s="14"/>
      <c r="J41" s="14"/>
      <c r="K41" s="14"/>
      <c r="L41" s="14">
        <v>14</v>
      </c>
      <c r="M41" s="16"/>
    </row>
    <row r="42" spans="1:13" ht="18.75" x14ac:dyDescent="0.3">
      <c r="A42" s="3">
        <v>41</v>
      </c>
      <c r="B42" s="79" t="s">
        <v>39</v>
      </c>
      <c r="C42" s="8" t="s">
        <v>29</v>
      </c>
      <c r="D42" s="17">
        <f>SUM(1503+1335+1494+1501+1503+1447+1312+1503+1503)</f>
        <v>13101</v>
      </c>
      <c r="E42" s="14">
        <f>SUM(114+123+120+142+132+98+89+119+143)</f>
        <v>1080</v>
      </c>
      <c r="F42" s="15">
        <f>SUM(D42/E42)</f>
        <v>12.130555555555556</v>
      </c>
      <c r="G42" s="14">
        <v>9</v>
      </c>
      <c r="H42" s="14">
        <v>5</v>
      </c>
      <c r="I42" s="14"/>
      <c r="J42" s="14"/>
      <c r="K42" s="14"/>
      <c r="L42" s="14">
        <v>28</v>
      </c>
      <c r="M42" s="16"/>
    </row>
    <row r="43" spans="1:13" ht="18.75" x14ac:dyDescent="0.3">
      <c r="A43" s="3">
        <v>42</v>
      </c>
      <c r="B43" s="7" t="s">
        <v>50</v>
      </c>
      <c r="C43" s="7" t="s">
        <v>12</v>
      </c>
      <c r="D43" s="17">
        <f>SUM(1235+1395+1503)</f>
        <v>4133</v>
      </c>
      <c r="E43" s="14">
        <f>SUM(104+119+119)</f>
        <v>342</v>
      </c>
      <c r="F43" s="15">
        <f>SUM(D43/E43)</f>
        <v>12.084795321637428</v>
      </c>
      <c r="G43" s="14">
        <v>3</v>
      </c>
      <c r="H43" s="14">
        <v>1</v>
      </c>
      <c r="I43" s="14"/>
      <c r="J43" s="14"/>
      <c r="K43" s="14"/>
      <c r="L43" s="14">
        <v>12</v>
      </c>
      <c r="M43" s="16"/>
    </row>
    <row r="44" spans="1:13" ht="18.75" x14ac:dyDescent="0.3">
      <c r="A44" s="3">
        <v>43</v>
      </c>
      <c r="B44" s="7" t="s">
        <v>63</v>
      </c>
      <c r="C44" s="7" t="s">
        <v>53</v>
      </c>
      <c r="D44" s="17">
        <f>SUM(1498+1066+1491+1501+1497+1393)</f>
        <v>8446</v>
      </c>
      <c r="E44" s="14">
        <f>SUM(158+78+104+125+126+112)</f>
        <v>703</v>
      </c>
      <c r="F44" s="15">
        <f>SUM(D44/E44)</f>
        <v>12.014224751066857</v>
      </c>
      <c r="G44" s="14">
        <v>6</v>
      </c>
      <c r="H44" s="14">
        <v>2</v>
      </c>
      <c r="I44" s="14"/>
      <c r="J44" s="14"/>
      <c r="K44" s="14"/>
      <c r="L44" s="14">
        <v>11</v>
      </c>
      <c r="M44" s="16"/>
    </row>
    <row r="45" spans="1:13" ht="18.75" x14ac:dyDescent="0.3">
      <c r="A45" s="3">
        <v>44</v>
      </c>
      <c r="B45" s="7" t="s">
        <v>41</v>
      </c>
      <c r="C45" s="7" t="s">
        <v>21</v>
      </c>
      <c r="D45" s="17">
        <f>SUM(1179+1413+1443+1451+1367+1503+1448+1485+1503)</f>
        <v>12792</v>
      </c>
      <c r="E45" s="14">
        <f>SUM(90+119+112+108+114+113+120+144+155)</f>
        <v>1075</v>
      </c>
      <c r="F45" s="15">
        <f>SUM(D45/E45)</f>
        <v>11.89953488372093</v>
      </c>
      <c r="G45" s="14">
        <v>9</v>
      </c>
      <c r="H45" s="14">
        <v>4</v>
      </c>
      <c r="I45" s="14"/>
      <c r="J45" s="14"/>
      <c r="K45" s="14"/>
      <c r="L45" s="14">
        <v>24.5</v>
      </c>
      <c r="M45" s="16">
        <v>5</v>
      </c>
    </row>
    <row r="46" spans="1:13" ht="18.75" x14ac:dyDescent="0.3">
      <c r="A46" s="3">
        <v>45</v>
      </c>
      <c r="B46" s="7" t="s">
        <v>72</v>
      </c>
      <c r="C46" s="7" t="s">
        <v>19</v>
      </c>
      <c r="D46" s="17">
        <f>SUM(1495+1461+1481)</f>
        <v>4437</v>
      </c>
      <c r="E46" s="14">
        <f>SUM(117+130+128)</f>
        <v>375</v>
      </c>
      <c r="F46" s="15">
        <f>SUM(D46/E46)</f>
        <v>11.832000000000001</v>
      </c>
      <c r="G46" s="14">
        <v>3</v>
      </c>
      <c r="H46" s="14">
        <v>2</v>
      </c>
      <c r="I46" s="14"/>
      <c r="J46" s="14"/>
      <c r="K46" s="14"/>
      <c r="L46" s="14">
        <v>17</v>
      </c>
      <c r="M46" s="16"/>
    </row>
    <row r="47" spans="1:13" ht="18.75" x14ac:dyDescent="0.3">
      <c r="A47" s="3">
        <v>46</v>
      </c>
      <c r="B47" s="9" t="s">
        <v>76</v>
      </c>
      <c r="C47" s="7" t="s">
        <v>49</v>
      </c>
      <c r="D47" s="17">
        <f>SUM(1499+1501+1408+1503+1495+1495+1481+1100)</f>
        <v>11482</v>
      </c>
      <c r="E47" s="14">
        <f>SUM(172+128+99+114+138+126+106+92)</f>
        <v>975</v>
      </c>
      <c r="F47" s="15">
        <f>SUM(D47/E47)</f>
        <v>11.776410256410257</v>
      </c>
      <c r="G47" s="14">
        <v>8</v>
      </c>
      <c r="H47" s="14">
        <v>4</v>
      </c>
      <c r="I47" s="14"/>
      <c r="J47" s="14"/>
      <c r="K47" s="14"/>
      <c r="L47" s="14">
        <v>25</v>
      </c>
      <c r="M47" s="16"/>
    </row>
    <row r="48" spans="1:13" ht="18.75" x14ac:dyDescent="0.3">
      <c r="A48" s="3">
        <v>47</v>
      </c>
      <c r="B48" s="9" t="s">
        <v>128</v>
      </c>
      <c r="C48" s="7" t="s">
        <v>46</v>
      </c>
      <c r="D48" s="17">
        <f>SUM(1498+1487+1119+1427)</f>
        <v>5531</v>
      </c>
      <c r="E48" s="14">
        <f>SUM(161+114+90+105)</f>
        <v>470</v>
      </c>
      <c r="F48" s="15">
        <f>SUM(D48/E48)</f>
        <v>11.768085106382978</v>
      </c>
      <c r="G48" s="14">
        <v>4</v>
      </c>
      <c r="H48" s="14">
        <v>2</v>
      </c>
      <c r="I48" s="14"/>
      <c r="J48" s="14"/>
      <c r="K48" s="14"/>
      <c r="L48" s="14">
        <v>11</v>
      </c>
      <c r="M48" s="16"/>
    </row>
    <row r="49" spans="1:13" ht="18.75" x14ac:dyDescent="0.3">
      <c r="A49" s="3">
        <v>48</v>
      </c>
      <c r="B49" s="9" t="s">
        <v>131</v>
      </c>
      <c r="C49" s="4" t="s">
        <v>60</v>
      </c>
      <c r="D49" s="17">
        <f>SUM(1359)</f>
        <v>1359</v>
      </c>
      <c r="E49" s="14">
        <f>SUM(116)</f>
        <v>116</v>
      </c>
      <c r="F49" s="15">
        <f>SUM(D49/E49)</f>
        <v>11.71551724137931</v>
      </c>
      <c r="G49" s="14">
        <v>1</v>
      </c>
      <c r="H49" s="14">
        <v>1</v>
      </c>
      <c r="I49" s="14"/>
      <c r="J49" s="14"/>
      <c r="K49" s="14"/>
      <c r="L49" s="14">
        <v>2</v>
      </c>
      <c r="M49" s="16"/>
    </row>
    <row r="50" spans="1:13" ht="18.75" x14ac:dyDescent="0.3">
      <c r="A50" s="3">
        <v>49</v>
      </c>
      <c r="B50" s="9" t="s">
        <v>130</v>
      </c>
      <c r="C50" s="8" t="s">
        <v>21</v>
      </c>
      <c r="D50" s="17">
        <f>SUM(1363)</f>
        <v>1363</v>
      </c>
      <c r="E50" s="14">
        <f>SUM(117)</f>
        <v>117</v>
      </c>
      <c r="F50" s="15">
        <f>SUM(D50/E50)</f>
        <v>11.649572649572649</v>
      </c>
      <c r="G50" s="14">
        <v>1</v>
      </c>
      <c r="H50" s="14"/>
      <c r="I50" s="14"/>
      <c r="J50" s="14"/>
      <c r="K50" s="14"/>
      <c r="L50" s="14">
        <v>1</v>
      </c>
      <c r="M50" s="16"/>
    </row>
    <row r="51" spans="1:13" ht="18.75" x14ac:dyDescent="0.3">
      <c r="A51" s="3">
        <v>50</v>
      </c>
      <c r="B51" s="11" t="s">
        <v>30</v>
      </c>
      <c r="C51" s="7" t="s">
        <v>23</v>
      </c>
      <c r="D51" s="17">
        <f>SUM(1302+1358+1471+1503+1495+1235+1457+1491+1322)</f>
        <v>12634</v>
      </c>
      <c r="E51" s="14">
        <f>SUM(90+98+130+127+149+111+149+144+100)</f>
        <v>1098</v>
      </c>
      <c r="F51" s="15">
        <f>SUM(D51/E51)</f>
        <v>11.506375227686704</v>
      </c>
      <c r="G51" s="14">
        <v>9</v>
      </c>
      <c r="H51" s="14">
        <v>5</v>
      </c>
      <c r="I51" s="14"/>
      <c r="J51" s="14"/>
      <c r="K51" s="14"/>
      <c r="L51" s="14">
        <v>28.5</v>
      </c>
      <c r="M51" s="16"/>
    </row>
    <row r="52" spans="1:13" ht="18.75" x14ac:dyDescent="0.3">
      <c r="A52" s="3">
        <v>51</v>
      </c>
      <c r="B52" s="27" t="s">
        <v>54</v>
      </c>
      <c r="C52" s="8" t="s">
        <v>49</v>
      </c>
      <c r="D52" s="17">
        <f>SUM(1408+1461+1300)</f>
        <v>4169</v>
      </c>
      <c r="E52" s="14">
        <f>SUM(121+158+86)</f>
        <v>365</v>
      </c>
      <c r="F52" s="15">
        <f>SUM(D52/E52)</f>
        <v>11.421917808219177</v>
      </c>
      <c r="G52" s="14">
        <v>3</v>
      </c>
      <c r="H52" s="14">
        <v>1</v>
      </c>
      <c r="I52" s="14"/>
      <c r="J52" s="14"/>
      <c r="K52" s="14"/>
      <c r="L52" s="14">
        <v>9.5</v>
      </c>
      <c r="M52" s="16"/>
    </row>
    <row r="53" spans="1:13" ht="18.75" x14ac:dyDescent="0.3">
      <c r="A53" s="3">
        <v>52</v>
      </c>
      <c r="B53" s="27" t="s">
        <v>61</v>
      </c>
      <c r="C53" s="4" t="s">
        <v>53</v>
      </c>
      <c r="D53" s="17">
        <f>SUM(1483+1452+1373+1441+1447)</f>
        <v>7196</v>
      </c>
      <c r="E53" s="14">
        <f>SUM(136+141+114+142+106)</f>
        <v>639</v>
      </c>
      <c r="F53" s="15">
        <f>SUM(D53/E53)</f>
        <v>11.261345852895149</v>
      </c>
      <c r="G53" s="14">
        <v>5</v>
      </c>
      <c r="H53" s="14">
        <v>1</v>
      </c>
      <c r="I53" s="14"/>
      <c r="J53" s="14"/>
      <c r="K53" s="14"/>
      <c r="L53" s="14">
        <v>12.5</v>
      </c>
      <c r="M53" s="16"/>
    </row>
    <row r="54" spans="1:13" ht="18.75" x14ac:dyDescent="0.3">
      <c r="A54" s="3">
        <v>53</v>
      </c>
      <c r="B54" s="27" t="s">
        <v>42</v>
      </c>
      <c r="C54" s="7" t="s">
        <v>14</v>
      </c>
      <c r="D54" s="17">
        <f>SUM(1482+1499+1503+1491+1294+1465+1439+1445+1503)</f>
        <v>13121</v>
      </c>
      <c r="E54" s="14">
        <f>SUM(117+165+144+126+126+162+121+110+118)</f>
        <v>1189</v>
      </c>
      <c r="F54" s="15">
        <f>SUM(D54/E54)</f>
        <v>11.035323801513877</v>
      </c>
      <c r="G54" s="14">
        <v>9</v>
      </c>
      <c r="H54" s="14">
        <v>3</v>
      </c>
      <c r="I54" s="14">
        <v>1</v>
      </c>
      <c r="J54" s="14"/>
      <c r="K54" s="14"/>
      <c r="L54" s="14">
        <v>28</v>
      </c>
      <c r="M54" s="16"/>
    </row>
    <row r="55" spans="1:13" ht="18.75" x14ac:dyDescent="0.3">
      <c r="A55" s="3">
        <v>54</v>
      </c>
      <c r="B55" s="11" t="s">
        <v>126</v>
      </c>
      <c r="C55" s="7" t="s">
        <v>21</v>
      </c>
      <c r="D55" s="17">
        <f>SUM(1350)</f>
        <v>1350</v>
      </c>
      <c r="E55" s="14">
        <f>SUM(123)</f>
        <v>123</v>
      </c>
      <c r="F55" s="15">
        <f>SUM(D55/E55)</f>
        <v>10.975609756097562</v>
      </c>
      <c r="G55" s="14">
        <v>1</v>
      </c>
      <c r="H55" s="14"/>
      <c r="I55" s="14"/>
      <c r="J55" s="14"/>
      <c r="K55" s="14"/>
      <c r="L55" s="14">
        <v>1.5</v>
      </c>
      <c r="M55" s="16"/>
    </row>
    <row r="56" spans="1:13" ht="18.75" x14ac:dyDescent="0.3">
      <c r="A56" s="3">
        <v>55</v>
      </c>
      <c r="B56" s="27" t="s">
        <v>58</v>
      </c>
      <c r="C56" s="7" t="s">
        <v>14</v>
      </c>
      <c r="D56" s="17">
        <f>SUM(1431+1499+1493+1499+1374+1491+1468+1458)</f>
        <v>11713</v>
      </c>
      <c r="E56" s="14">
        <f>SUM(128+168+144+126+105+139+114+150)</f>
        <v>1074</v>
      </c>
      <c r="F56" s="15">
        <f>SUM(D56/E56)</f>
        <v>10.905959031657355</v>
      </c>
      <c r="G56" s="14">
        <v>8</v>
      </c>
      <c r="H56" s="14">
        <v>4</v>
      </c>
      <c r="I56" s="14"/>
      <c r="J56" s="14"/>
      <c r="K56" s="14"/>
      <c r="L56" s="14">
        <v>25</v>
      </c>
      <c r="M56" s="16"/>
    </row>
    <row r="57" spans="1:13" ht="18.75" x14ac:dyDescent="0.3">
      <c r="A57" s="3">
        <v>56</v>
      </c>
      <c r="B57" s="11" t="s">
        <v>62</v>
      </c>
      <c r="C57" s="7" t="s">
        <v>60</v>
      </c>
      <c r="D57" s="17">
        <f>SUM(1264+920+1335+1422)</f>
        <v>4941</v>
      </c>
      <c r="E57" s="14">
        <f>SUM(123+72+138+121)</f>
        <v>454</v>
      </c>
      <c r="F57" s="15">
        <f>SUM(D57/E57)</f>
        <v>10.883259911894273</v>
      </c>
      <c r="G57" s="14">
        <v>4</v>
      </c>
      <c r="H57" s="14"/>
      <c r="I57" s="14"/>
      <c r="J57" s="14"/>
      <c r="K57" s="14"/>
      <c r="L57" s="14">
        <v>4.5</v>
      </c>
      <c r="M57" s="16"/>
    </row>
    <row r="58" spans="1:13" ht="18.75" x14ac:dyDescent="0.3">
      <c r="A58" s="3">
        <v>57</v>
      </c>
      <c r="B58" s="11" t="s">
        <v>129</v>
      </c>
      <c r="C58" s="7" t="s">
        <v>16</v>
      </c>
      <c r="D58" s="17">
        <f>SUM(1424+1496)</f>
        <v>2920</v>
      </c>
      <c r="E58" s="14">
        <f>SUM(126+145)</f>
        <v>271</v>
      </c>
      <c r="F58" s="15">
        <f>SUM(D58/E58)</f>
        <v>10.77490774907749</v>
      </c>
      <c r="G58" s="14">
        <v>2</v>
      </c>
      <c r="H58" s="14"/>
      <c r="I58" s="14"/>
      <c r="J58" s="14"/>
      <c r="K58" s="14"/>
      <c r="L58" s="14">
        <v>4.5</v>
      </c>
      <c r="M58" s="16"/>
    </row>
    <row r="59" spans="1:13" ht="18.75" x14ac:dyDescent="0.3">
      <c r="A59" s="3">
        <v>58</v>
      </c>
      <c r="B59" s="11" t="s">
        <v>69</v>
      </c>
      <c r="C59" s="4" t="s">
        <v>60</v>
      </c>
      <c r="D59" s="17">
        <f>SUM(1297+1501+1485+1355+1413+1350+1379+1478)</f>
        <v>11258</v>
      </c>
      <c r="E59" s="14">
        <f>SUM(156+158+152+127+108+117+122+108)</f>
        <v>1048</v>
      </c>
      <c r="F59" s="15">
        <f>SUM(D59/E59)</f>
        <v>10.742366412213741</v>
      </c>
      <c r="G59" s="14">
        <v>8</v>
      </c>
      <c r="H59" s="14">
        <v>3</v>
      </c>
      <c r="I59" s="14"/>
      <c r="J59" s="14"/>
      <c r="K59" s="14"/>
      <c r="L59" s="14">
        <v>15</v>
      </c>
      <c r="M59" s="16"/>
    </row>
    <row r="60" spans="1:13" ht="18.75" x14ac:dyDescent="0.3">
      <c r="A60" s="3">
        <v>59</v>
      </c>
      <c r="B60" s="11" t="s">
        <v>65</v>
      </c>
      <c r="C60" s="8" t="s">
        <v>46</v>
      </c>
      <c r="D60" s="17">
        <f>SUM(1493+1344+1345+1483+1412)</f>
        <v>7077</v>
      </c>
      <c r="E60" s="14">
        <f>SUM(159+141+111+139+117)</f>
        <v>667</v>
      </c>
      <c r="F60" s="15">
        <f>SUM(D60/E60)</f>
        <v>10.610194902548725</v>
      </c>
      <c r="G60" s="14">
        <v>4</v>
      </c>
      <c r="H60" s="14">
        <v>1</v>
      </c>
      <c r="I60" s="14"/>
      <c r="J60" s="14"/>
      <c r="K60" s="14"/>
      <c r="L60" s="14">
        <v>4</v>
      </c>
      <c r="M60" s="16"/>
    </row>
    <row r="61" spans="1:13" ht="18.75" x14ac:dyDescent="0.3">
      <c r="A61" s="3">
        <v>60</v>
      </c>
      <c r="B61" s="11" t="s">
        <v>70</v>
      </c>
      <c r="C61" s="7" t="s">
        <v>53</v>
      </c>
      <c r="D61" s="17">
        <f>SUM(1480+1435+1503+1491+1497+1463+1423)</f>
        <v>10292</v>
      </c>
      <c r="E61" s="14">
        <f>SUM(180+141+139+125+151+119+116)</f>
        <v>971</v>
      </c>
      <c r="F61" s="15">
        <f>SUM(D61/E61)</f>
        <v>10.599382080329557</v>
      </c>
      <c r="G61" s="14">
        <v>7</v>
      </c>
      <c r="H61" s="14">
        <v>1</v>
      </c>
      <c r="I61" s="14"/>
      <c r="J61" s="14"/>
      <c r="K61" s="14"/>
      <c r="L61" s="14">
        <v>11</v>
      </c>
      <c r="M61" s="16"/>
    </row>
    <row r="62" spans="1:13" ht="18.75" x14ac:dyDescent="0.3">
      <c r="A62" s="3">
        <v>61</v>
      </c>
      <c r="B62" s="11" t="s">
        <v>59</v>
      </c>
      <c r="C62" s="4" t="s">
        <v>60</v>
      </c>
      <c r="D62" s="17">
        <f>SUM(1495+1198+1171+1097+1373)</f>
        <v>6334</v>
      </c>
      <c r="E62" s="14">
        <f>SUM(137+121+90+90+162)</f>
        <v>600</v>
      </c>
      <c r="F62" s="15">
        <f>SUM(D62/E62)</f>
        <v>10.556666666666667</v>
      </c>
      <c r="G62" s="14">
        <v>5</v>
      </c>
      <c r="H62" s="14"/>
      <c r="I62" s="14"/>
      <c r="J62" s="14"/>
      <c r="K62" s="14"/>
      <c r="L62" s="14">
        <v>3</v>
      </c>
      <c r="M62" s="16"/>
    </row>
    <row r="63" spans="1:13" ht="18.75" x14ac:dyDescent="0.3">
      <c r="A63" s="3">
        <v>62</v>
      </c>
      <c r="B63" s="27" t="s">
        <v>66</v>
      </c>
      <c r="C63" s="4" t="s">
        <v>49</v>
      </c>
      <c r="D63" s="17">
        <f>SUM(1474+1189+1448+1191+1495+1421+1358)</f>
        <v>9576</v>
      </c>
      <c r="E63" s="14">
        <f>SUM(158+126+132+107+162+123+124)</f>
        <v>932</v>
      </c>
      <c r="F63" s="15">
        <f>SUM(D63/E63)</f>
        <v>10.274678111587983</v>
      </c>
      <c r="G63" s="14">
        <v>7</v>
      </c>
      <c r="H63" s="14">
        <v>2</v>
      </c>
      <c r="I63" s="14"/>
      <c r="J63" s="14"/>
      <c r="K63" s="14"/>
      <c r="L63" s="14">
        <v>14.5</v>
      </c>
      <c r="M63" s="16"/>
    </row>
    <row r="64" spans="1:13" ht="18.75" x14ac:dyDescent="0.3">
      <c r="A64" s="3">
        <v>63</v>
      </c>
      <c r="B64" s="11" t="s">
        <v>125</v>
      </c>
      <c r="C64" s="4" t="s">
        <v>12</v>
      </c>
      <c r="D64" s="17">
        <f>SUM(1385)</f>
        <v>1385</v>
      </c>
      <c r="E64" s="14">
        <f>SUM(138)</f>
        <v>138</v>
      </c>
      <c r="F64" s="15">
        <f>SUM(D64/E64)</f>
        <v>10.036231884057971</v>
      </c>
      <c r="G64" s="14">
        <v>1</v>
      </c>
      <c r="H64" s="14"/>
      <c r="I64" s="14"/>
      <c r="J64" s="14"/>
      <c r="K64" s="14"/>
      <c r="L64" s="14">
        <v>2.5</v>
      </c>
      <c r="M64" s="16"/>
    </row>
    <row r="65" spans="1:18" ht="18.75" x14ac:dyDescent="0.3">
      <c r="A65" s="3">
        <v>64</v>
      </c>
      <c r="B65" s="11" t="s">
        <v>75</v>
      </c>
      <c r="C65" s="4" t="s">
        <v>60</v>
      </c>
      <c r="D65" s="17">
        <f>SUM(1459+1180+1070)</f>
        <v>3709</v>
      </c>
      <c r="E65" s="14">
        <f>SUM(165+111+96)</f>
        <v>372</v>
      </c>
      <c r="F65" s="15">
        <f>SUM(D65/E65)</f>
        <v>9.970430107526882</v>
      </c>
      <c r="G65" s="14">
        <v>3</v>
      </c>
      <c r="H65" s="14"/>
      <c r="I65" s="14"/>
      <c r="J65" s="14"/>
      <c r="K65" s="14"/>
      <c r="L65" s="14">
        <v>5</v>
      </c>
      <c r="M65" s="16"/>
    </row>
    <row r="66" spans="1:18" ht="18.75" x14ac:dyDescent="0.3">
      <c r="A66" s="3">
        <v>65</v>
      </c>
      <c r="B66" s="11" t="s">
        <v>68</v>
      </c>
      <c r="C66" s="7" t="s">
        <v>60</v>
      </c>
      <c r="D66" s="17">
        <f>SUM(1493+1464+1445+1017+1395+1287+1373)</f>
        <v>9474</v>
      </c>
      <c r="E66" s="14">
        <f>SUM(177+162+141+93+130+116+144)</f>
        <v>963</v>
      </c>
      <c r="F66" s="15">
        <f>SUM(D66/E66)</f>
        <v>9.8380062305295954</v>
      </c>
      <c r="G66" s="14">
        <v>7</v>
      </c>
      <c r="H66" s="14">
        <v>1</v>
      </c>
      <c r="I66" s="14"/>
      <c r="J66" s="14"/>
      <c r="K66" s="14"/>
      <c r="L66" s="14">
        <v>9</v>
      </c>
      <c r="M66" s="16"/>
    </row>
    <row r="67" spans="1:18" ht="18.75" x14ac:dyDescent="0.3">
      <c r="A67" s="3">
        <v>66</v>
      </c>
      <c r="B67" s="74" t="s">
        <v>64</v>
      </c>
      <c r="C67" s="28" t="s">
        <v>46</v>
      </c>
      <c r="D67" s="17">
        <f>SUM(1468+1466+912)</f>
        <v>3846</v>
      </c>
      <c r="E67" s="14">
        <f>SUM(156+165+75)</f>
        <v>396</v>
      </c>
      <c r="F67" s="15">
        <f>SUM(D67/E67)</f>
        <v>9.7121212121212128</v>
      </c>
      <c r="G67" s="14">
        <v>3</v>
      </c>
      <c r="H67" s="14"/>
      <c r="I67" s="14"/>
      <c r="J67" s="14"/>
      <c r="K67" s="14"/>
      <c r="L67" s="14">
        <v>2.5</v>
      </c>
      <c r="M67" s="16"/>
    </row>
    <row r="68" spans="1:18" ht="18.75" x14ac:dyDescent="0.3">
      <c r="A68" s="3">
        <v>67</v>
      </c>
      <c r="B68" s="26" t="s">
        <v>124</v>
      </c>
      <c r="C68" s="4" t="s">
        <v>46</v>
      </c>
      <c r="D68" s="17">
        <f>SUM(1491)</f>
        <v>1491</v>
      </c>
      <c r="E68" s="14">
        <f>SUM(165)</f>
        <v>165</v>
      </c>
      <c r="F68" s="15">
        <f>SUM(D68/E68)</f>
        <v>9.036363636363637</v>
      </c>
      <c r="G68" s="14">
        <v>1</v>
      </c>
      <c r="H68" s="14"/>
      <c r="I68" s="14"/>
      <c r="J68" s="14"/>
      <c r="K68" s="14"/>
      <c r="L68" s="14">
        <v>0.5</v>
      </c>
      <c r="M68" s="16"/>
    </row>
    <row r="69" spans="1:18" ht="18.75" x14ac:dyDescent="0.3">
      <c r="A69" s="3">
        <v>68</v>
      </c>
      <c r="B69" s="73" t="s">
        <v>127</v>
      </c>
      <c r="C69" s="72" t="s">
        <v>60</v>
      </c>
      <c r="D69" s="17"/>
      <c r="E69" s="14"/>
      <c r="F69" s="15"/>
      <c r="G69" s="14"/>
      <c r="H69" s="14"/>
      <c r="I69" s="14"/>
      <c r="J69" s="14"/>
      <c r="K69" s="14"/>
      <c r="L69" s="14">
        <v>1</v>
      </c>
      <c r="M69" s="16"/>
    </row>
    <row r="70" spans="1:18" ht="18.75" x14ac:dyDescent="0.3">
      <c r="A70" s="3">
        <v>69</v>
      </c>
      <c r="B70" s="11" t="s">
        <v>113</v>
      </c>
      <c r="C70" s="7" t="s">
        <v>46</v>
      </c>
      <c r="D70" s="17"/>
      <c r="E70" s="14"/>
      <c r="F70" s="15"/>
      <c r="G70" s="14"/>
      <c r="H70" s="14"/>
      <c r="I70" s="14"/>
      <c r="J70" s="14"/>
      <c r="K70" s="14"/>
      <c r="L70" s="14">
        <v>0</v>
      </c>
      <c r="M70" s="16"/>
    </row>
    <row r="71" spans="1:18" ht="17.25" customHeight="1" thickBo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8" ht="19.5" customHeight="1" thickBot="1" x14ac:dyDescent="0.35">
      <c r="A72" s="5"/>
      <c r="B72" s="41" t="s">
        <v>159</v>
      </c>
      <c r="C72" s="60" t="s">
        <v>78</v>
      </c>
      <c r="D72" s="59" t="s">
        <v>79</v>
      </c>
      <c r="E72" s="70" t="s">
        <v>80</v>
      </c>
      <c r="F72" s="55" t="s">
        <v>108</v>
      </c>
      <c r="G72" s="69" t="s">
        <v>81</v>
      </c>
      <c r="I72" s="34" t="s">
        <v>82</v>
      </c>
      <c r="J72" s="35"/>
      <c r="K72" s="35"/>
      <c r="L72" s="35"/>
      <c r="M72" s="35"/>
      <c r="N72" s="35"/>
      <c r="O72" s="35"/>
      <c r="P72" s="35"/>
      <c r="Q72" s="35"/>
      <c r="R72" s="36"/>
    </row>
    <row r="73" spans="1:18" ht="18.75" x14ac:dyDescent="0.3">
      <c r="A73" s="5"/>
      <c r="B73" s="42"/>
      <c r="C73" s="29" t="s">
        <v>86</v>
      </c>
      <c r="D73" s="7">
        <v>9</v>
      </c>
      <c r="E73" s="27">
        <v>0</v>
      </c>
      <c r="F73" s="26">
        <v>0</v>
      </c>
      <c r="G73" s="29">
        <v>149</v>
      </c>
      <c r="I73" s="68" t="s">
        <v>84</v>
      </c>
      <c r="J73" s="67"/>
      <c r="K73" s="67"/>
      <c r="L73" s="67"/>
      <c r="M73" s="67"/>
      <c r="N73" s="37" t="s">
        <v>85</v>
      </c>
      <c r="O73" s="37"/>
      <c r="P73" s="37"/>
      <c r="Q73" s="37"/>
      <c r="R73" s="38"/>
    </row>
    <row r="74" spans="1:18" ht="18.75" x14ac:dyDescent="0.3">
      <c r="A74" s="5"/>
      <c r="B74" s="42"/>
      <c r="C74" s="29" t="s">
        <v>95</v>
      </c>
      <c r="D74" s="7">
        <v>8</v>
      </c>
      <c r="E74" s="62">
        <v>1</v>
      </c>
      <c r="F74" s="26">
        <v>0</v>
      </c>
      <c r="G74" s="61">
        <v>136</v>
      </c>
      <c r="I74" s="66" t="s">
        <v>87</v>
      </c>
      <c r="J74" s="65"/>
      <c r="K74" s="65"/>
      <c r="L74" s="65"/>
      <c r="M74" s="65"/>
      <c r="N74" s="39" t="s">
        <v>158</v>
      </c>
      <c r="O74" s="39"/>
      <c r="P74" s="39"/>
      <c r="Q74" s="39"/>
      <c r="R74" s="40"/>
    </row>
    <row r="75" spans="1:18" ht="18.75" x14ac:dyDescent="0.3">
      <c r="A75" s="5"/>
      <c r="B75" s="42"/>
      <c r="C75" s="29" t="s">
        <v>100</v>
      </c>
      <c r="D75" s="7">
        <v>7</v>
      </c>
      <c r="E75" s="62">
        <v>2</v>
      </c>
      <c r="F75" s="26">
        <v>0</v>
      </c>
      <c r="G75" s="61">
        <v>130</v>
      </c>
      <c r="I75" s="66" t="s">
        <v>90</v>
      </c>
      <c r="J75" s="65"/>
      <c r="K75" s="65"/>
      <c r="L75" s="65"/>
      <c r="M75" s="65"/>
      <c r="N75" s="39" t="s">
        <v>157</v>
      </c>
      <c r="O75" s="39"/>
      <c r="P75" s="39"/>
      <c r="Q75" s="39"/>
      <c r="R75" s="40"/>
    </row>
    <row r="76" spans="1:18" ht="18.75" x14ac:dyDescent="0.3">
      <c r="A76" s="6"/>
      <c r="B76" s="42"/>
      <c r="C76" s="30" t="s">
        <v>97</v>
      </c>
      <c r="D76" s="9">
        <v>7</v>
      </c>
      <c r="E76" s="11">
        <v>2</v>
      </c>
      <c r="F76" s="26">
        <v>0</v>
      </c>
      <c r="G76" s="30">
        <v>125</v>
      </c>
      <c r="I76" s="66" t="s">
        <v>93</v>
      </c>
      <c r="J76" s="65"/>
      <c r="K76" s="65"/>
      <c r="L76" s="65"/>
      <c r="M76" s="65"/>
      <c r="N76" s="39" t="s">
        <v>156</v>
      </c>
      <c r="O76" s="39"/>
      <c r="P76" s="39"/>
      <c r="Q76" s="39"/>
      <c r="R76" s="40"/>
    </row>
    <row r="77" spans="1:18" ht="18" customHeight="1" x14ac:dyDescent="0.3">
      <c r="A77" s="6"/>
      <c r="B77" s="42"/>
      <c r="C77" s="29" t="s">
        <v>92</v>
      </c>
      <c r="D77" s="7">
        <v>6</v>
      </c>
      <c r="E77" s="62">
        <v>3</v>
      </c>
      <c r="F77" s="26">
        <v>0</v>
      </c>
      <c r="G77" s="61">
        <v>123</v>
      </c>
      <c r="I77" s="66" t="s">
        <v>96</v>
      </c>
      <c r="J77" s="65"/>
      <c r="K77" s="65"/>
      <c r="L77" s="65"/>
      <c r="M77" s="65"/>
      <c r="N77" s="39" t="s">
        <v>119</v>
      </c>
      <c r="O77" s="39"/>
      <c r="P77" s="39"/>
      <c r="Q77" s="39"/>
      <c r="R77" s="40"/>
    </row>
    <row r="78" spans="1:18" ht="18" customHeight="1" thickBot="1" x14ac:dyDescent="0.35">
      <c r="A78" s="6"/>
      <c r="B78" s="42"/>
      <c r="C78" s="29" t="s">
        <v>99</v>
      </c>
      <c r="D78" s="7">
        <v>4</v>
      </c>
      <c r="E78" s="27">
        <v>5</v>
      </c>
      <c r="F78" s="26">
        <v>0</v>
      </c>
      <c r="G78" s="29">
        <v>114</v>
      </c>
      <c r="I78" s="64" t="s">
        <v>98</v>
      </c>
      <c r="J78" s="63"/>
      <c r="K78" s="63"/>
      <c r="L78" s="63"/>
      <c r="M78" s="63"/>
      <c r="N78" s="39" t="s">
        <v>109</v>
      </c>
      <c r="O78" s="39"/>
      <c r="P78" s="39"/>
      <c r="Q78" s="39"/>
      <c r="R78" s="40"/>
    </row>
    <row r="79" spans="1:18" ht="18.75" x14ac:dyDescent="0.3">
      <c r="A79" s="6"/>
      <c r="B79" s="42"/>
      <c r="C79" s="29" t="s">
        <v>103</v>
      </c>
      <c r="D79" s="7">
        <v>4</v>
      </c>
      <c r="E79" s="62">
        <v>5</v>
      </c>
      <c r="F79" s="26">
        <v>0</v>
      </c>
      <c r="G79" s="61">
        <v>107</v>
      </c>
      <c r="H79" s="6"/>
      <c r="I79" s="6"/>
    </row>
    <row r="80" spans="1:18" ht="18.75" x14ac:dyDescent="0.3">
      <c r="A80" s="6"/>
      <c r="B80" s="42"/>
      <c r="C80" s="30" t="s">
        <v>101</v>
      </c>
      <c r="D80" s="9">
        <v>3</v>
      </c>
      <c r="E80" s="11">
        <v>6</v>
      </c>
      <c r="F80" s="26">
        <v>0</v>
      </c>
      <c r="G80" s="30">
        <v>113</v>
      </c>
      <c r="H80" s="6"/>
    </row>
    <row r="81" spans="2:7" ht="18.75" x14ac:dyDescent="0.3">
      <c r="B81" s="42"/>
      <c r="C81" s="31" t="s">
        <v>83</v>
      </c>
      <c r="D81" s="20">
        <v>3</v>
      </c>
      <c r="E81" s="53">
        <v>6</v>
      </c>
      <c r="F81" s="52">
        <v>0</v>
      </c>
      <c r="G81" s="31">
        <v>98</v>
      </c>
    </row>
    <row r="82" spans="2:7" ht="18.75" x14ac:dyDescent="0.3">
      <c r="B82" s="42"/>
      <c r="C82" s="29" t="s">
        <v>89</v>
      </c>
      <c r="D82" s="7">
        <v>2</v>
      </c>
      <c r="E82" s="62">
        <v>7</v>
      </c>
      <c r="F82" s="26">
        <v>0</v>
      </c>
      <c r="G82" s="61">
        <v>88</v>
      </c>
    </row>
    <row r="83" spans="2:7" ht="18.75" x14ac:dyDescent="0.3">
      <c r="B83" s="42"/>
      <c r="C83" s="30" t="s">
        <v>104</v>
      </c>
      <c r="D83" s="9">
        <v>1</v>
      </c>
      <c r="E83" s="11">
        <v>8</v>
      </c>
      <c r="F83" s="26">
        <v>0</v>
      </c>
      <c r="G83" s="30">
        <v>60</v>
      </c>
    </row>
    <row r="84" spans="2:7" ht="19.5" thickBot="1" x14ac:dyDescent="0.35">
      <c r="B84" s="43"/>
      <c r="C84" s="30" t="s">
        <v>102</v>
      </c>
      <c r="D84" s="9">
        <v>0</v>
      </c>
      <c r="E84" s="11">
        <v>9</v>
      </c>
      <c r="F84" s="26">
        <v>0</v>
      </c>
      <c r="G84" s="30">
        <v>53</v>
      </c>
    </row>
    <row r="85" spans="2:7" ht="15.75" thickBot="1" x14ac:dyDescent="0.3"/>
    <row r="86" spans="2:7" ht="19.5" thickBot="1" x14ac:dyDescent="0.35">
      <c r="C86" s="60" t="s">
        <v>105</v>
      </c>
      <c r="D86" s="59" t="s">
        <v>79</v>
      </c>
      <c r="E86" s="59" t="s">
        <v>80</v>
      </c>
      <c r="F86" s="55" t="s">
        <v>108</v>
      </c>
      <c r="G86" s="58" t="s">
        <v>81</v>
      </c>
    </row>
    <row r="87" spans="2:7" ht="18.75" x14ac:dyDescent="0.3">
      <c r="C87" s="20" t="s">
        <v>86</v>
      </c>
      <c r="D87" s="20">
        <v>9</v>
      </c>
      <c r="E87" s="53">
        <v>0</v>
      </c>
      <c r="F87" s="52">
        <v>0</v>
      </c>
      <c r="G87" s="31">
        <v>149</v>
      </c>
    </row>
    <row r="88" spans="2:7" ht="18.75" x14ac:dyDescent="0.3">
      <c r="C88" s="7" t="s">
        <v>95</v>
      </c>
      <c r="D88" s="7">
        <v>8</v>
      </c>
      <c r="E88" s="62">
        <v>1</v>
      </c>
      <c r="F88" s="26">
        <v>0</v>
      </c>
      <c r="G88" s="61">
        <v>136</v>
      </c>
    </row>
    <row r="89" spans="2:7" ht="18.75" x14ac:dyDescent="0.3">
      <c r="C89" s="20" t="s">
        <v>100</v>
      </c>
      <c r="D89" s="20">
        <v>7</v>
      </c>
      <c r="E89" s="51">
        <v>2</v>
      </c>
      <c r="F89" s="26">
        <v>0</v>
      </c>
      <c r="G89" s="50">
        <v>130</v>
      </c>
    </row>
    <row r="90" spans="2:7" ht="18.75" x14ac:dyDescent="0.3">
      <c r="C90" s="7" t="s">
        <v>103</v>
      </c>
      <c r="D90" s="7">
        <v>4</v>
      </c>
      <c r="E90" s="62">
        <v>5</v>
      </c>
      <c r="F90" s="26">
        <v>0</v>
      </c>
      <c r="G90" s="61">
        <v>107</v>
      </c>
    </row>
    <row r="91" spans="2:7" ht="15.75" thickBot="1" x14ac:dyDescent="0.3"/>
    <row r="92" spans="2:7" ht="19.5" thickBot="1" x14ac:dyDescent="0.35">
      <c r="C92" s="60" t="s">
        <v>106</v>
      </c>
      <c r="D92" s="59" t="s">
        <v>79</v>
      </c>
      <c r="E92" s="59" t="s">
        <v>80</v>
      </c>
      <c r="F92" s="55" t="s">
        <v>108</v>
      </c>
      <c r="G92" s="58" t="s">
        <v>81</v>
      </c>
    </row>
    <row r="93" spans="2:7" ht="18.75" x14ac:dyDescent="0.3">
      <c r="C93" s="9" t="s">
        <v>97</v>
      </c>
      <c r="D93" s="9">
        <v>7</v>
      </c>
      <c r="E93" s="11">
        <v>2</v>
      </c>
      <c r="F93" s="26">
        <v>0</v>
      </c>
      <c r="G93" s="30">
        <v>125</v>
      </c>
    </row>
    <row r="94" spans="2:7" ht="18.75" x14ac:dyDescent="0.3">
      <c r="C94" s="20" t="s">
        <v>92</v>
      </c>
      <c r="D94" s="20">
        <v>6</v>
      </c>
      <c r="E94" s="51">
        <v>3</v>
      </c>
      <c r="F94" s="52">
        <v>0</v>
      </c>
      <c r="G94" s="50">
        <v>123</v>
      </c>
    </row>
    <row r="95" spans="2:7" ht="18.75" x14ac:dyDescent="0.3">
      <c r="C95" s="7" t="s">
        <v>99</v>
      </c>
      <c r="D95" s="7">
        <v>4</v>
      </c>
      <c r="E95" s="27">
        <v>5</v>
      </c>
      <c r="F95" s="26">
        <v>0</v>
      </c>
      <c r="G95" s="29">
        <v>114</v>
      </c>
    </row>
    <row r="96" spans="2:7" ht="18.75" x14ac:dyDescent="0.3">
      <c r="C96" s="9" t="s">
        <v>101</v>
      </c>
      <c r="D96" s="9">
        <v>3</v>
      </c>
      <c r="E96" s="11">
        <v>6</v>
      </c>
      <c r="F96" s="26">
        <v>0</v>
      </c>
      <c r="G96" s="30">
        <v>113</v>
      </c>
    </row>
    <row r="97" spans="3:7" ht="15.75" thickBot="1" x14ac:dyDescent="0.3"/>
    <row r="98" spans="3:7" ht="19.5" thickBot="1" x14ac:dyDescent="0.35">
      <c r="C98" s="57" t="s">
        <v>107</v>
      </c>
      <c r="D98" s="56" t="s">
        <v>79</v>
      </c>
      <c r="E98" s="56" t="s">
        <v>80</v>
      </c>
      <c r="F98" s="55" t="s">
        <v>108</v>
      </c>
      <c r="G98" s="54" t="s">
        <v>81</v>
      </c>
    </row>
    <row r="99" spans="3:7" ht="18.75" x14ac:dyDescent="0.3">
      <c r="C99" s="20" t="s">
        <v>83</v>
      </c>
      <c r="D99" s="20">
        <v>3</v>
      </c>
      <c r="E99" s="53">
        <v>6</v>
      </c>
      <c r="F99" s="52">
        <v>0</v>
      </c>
      <c r="G99" s="31">
        <v>98</v>
      </c>
    </row>
    <row r="100" spans="3:7" ht="18.75" x14ac:dyDescent="0.3">
      <c r="C100" s="20" t="s">
        <v>89</v>
      </c>
      <c r="D100" s="20">
        <v>2</v>
      </c>
      <c r="E100" s="51">
        <v>7</v>
      </c>
      <c r="F100" s="26">
        <v>0</v>
      </c>
      <c r="G100" s="50">
        <v>88</v>
      </c>
    </row>
    <row r="101" spans="3:7" ht="18.75" x14ac:dyDescent="0.3">
      <c r="C101" s="9" t="s">
        <v>104</v>
      </c>
      <c r="D101" s="9">
        <v>1</v>
      </c>
      <c r="E101" s="11">
        <v>8</v>
      </c>
      <c r="F101" s="26">
        <v>0</v>
      </c>
      <c r="G101" s="30">
        <v>60</v>
      </c>
    </row>
    <row r="102" spans="3:7" ht="18.75" x14ac:dyDescent="0.3">
      <c r="C102" s="9" t="s">
        <v>102</v>
      </c>
      <c r="D102" s="9">
        <v>0</v>
      </c>
      <c r="E102" s="11">
        <v>9</v>
      </c>
      <c r="F102" s="26">
        <v>0</v>
      </c>
      <c r="G102" s="30">
        <v>53</v>
      </c>
    </row>
  </sheetData>
  <mergeCells count="14">
    <mergeCell ref="N78:R78"/>
    <mergeCell ref="I72:R72"/>
    <mergeCell ref="N73:R73"/>
    <mergeCell ref="N74:R74"/>
    <mergeCell ref="N75:R75"/>
    <mergeCell ref="N76:R76"/>
    <mergeCell ref="N77:R77"/>
    <mergeCell ref="B72:B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Gabriella Mellie</dc:creator>
  <cp:keywords/>
  <dc:description/>
  <cp:lastModifiedBy>Gabriella Mellie</cp:lastModifiedBy>
  <cp:revision/>
  <dcterms:created xsi:type="dcterms:W3CDTF">2023-09-18T23:48:25Z</dcterms:created>
  <dcterms:modified xsi:type="dcterms:W3CDTF">2024-12-16T04:23:36Z</dcterms:modified>
  <cp:category/>
  <cp:contentStatus/>
</cp:coreProperties>
</file>