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liGa\Desktop\Darts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" l="1"/>
  <c r="D50" i="1"/>
  <c r="E26" i="1"/>
  <c r="D26" i="1"/>
  <c r="E28" i="1"/>
  <c r="D28" i="1"/>
  <c r="E17" i="1"/>
  <c r="D17" i="1"/>
  <c r="E61" i="1"/>
  <c r="D61" i="1"/>
  <c r="E52" i="1"/>
  <c r="D52" i="1"/>
  <c r="E41" i="1"/>
  <c r="D41" i="1"/>
  <c r="E18" i="1"/>
  <c r="D18" i="1"/>
  <c r="E55" i="1"/>
  <c r="D55" i="1"/>
  <c r="E53" i="1"/>
  <c r="D53" i="1"/>
  <c r="E3" i="1"/>
  <c r="D3" i="1"/>
  <c r="E5" i="1"/>
  <c r="D5" i="1"/>
  <c r="E42" i="1"/>
  <c r="D42" i="1"/>
  <c r="E35" i="1"/>
  <c r="D35" i="1"/>
  <c r="E25" i="1"/>
  <c r="D25" i="1"/>
  <c r="E27" i="1"/>
  <c r="D27" i="1"/>
  <c r="E36" i="1"/>
  <c r="D36" i="1"/>
  <c r="E40" i="1"/>
  <c r="D40" i="1"/>
  <c r="E20" i="1"/>
  <c r="D20" i="1"/>
  <c r="E11" i="1"/>
  <c r="D11" i="1"/>
  <c r="E60" i="1"/>
  <c r="D60" i="1"/>
  <c r="E56" i="1"/>
  <c r="D56" i="1"/>
  <c r="E21" i="1"/>
  <c r="D21" i="1"/>
  <c r="E14" i="1"/>
  <c r="D14" i="1"/>
  <c r="E62" i="1"/>
  <c r="D62" i="1"/>
  <c r="E46" i="1"/>
  <c r="D46" i="1"/>
  <c r="E34" i="1"/>
  <c r="D34" i="1"/>
  <c r="E33" i="1"/>
  <c r="D33" i="1"/>
  <c r="E38" i="1"/>
  <c r="D38" i="1"/>
  <c r="E24" i="1"/>
  <c r="D24" i="1"/>
  <c r="E16" i="1"/>
  <c r="D16" i="1"/>
  <c r="E15" i="1"/>
  <c r="D15" i="1"/>
  <c r="E23" i="1"/>
  <c r="D23" i="1"/>
  <c r="E19" i="1"/>
  <c r="D19" i="1"/>
  <c r="E8" i="1"/>
  <c r="D8" i="1"/>
  <c r="E4" i="1"/>
  <c r="D4" i="1"/>
  <c r="E31" i="1"/>
  <c r="D31" i="1"/>
  <c r="E10" i="1"/>
  <c r="D10" i="1"/>
  <c r="E6" i="1"/>
  <c r="D6" i="1"/>
  <c r="E2" i="1"/>
  <c r="D2" i="1"/>
  <c r="E65" i="1"/>
  <c r="D65" i="1"/>
  <c r="E58" i="1"/>
  <c r="D58" i="1"/>
  <c r="E51" i="1"/>
  <c r="D51" i="1"/>
  <c r="E32" i="1"/>
  <c r="D32" i="1"/>
  <c r="E29" i="1"/>
  <c r="D29" i="1"/>
  <c r="E22" i="1"/>
  <c r="D22" i="1"/>
  <c r="E13" i="1"/>
  <c r="D13" i="1"/>
  <c r="E12" i="1"/>
  <c r="D12" i="1"/>
  <c r="F48" i="1"/>
  <c r="E48" i="1"/>
  <c r="D48" i="1"/>
  <c r="E43" i="1"/>
  <c r="D43" i="1"/>
  <c r="E7" i="1"/>
  <c r="D7" i="1"/>
  <c r="E30" i="1"/>
  <c r="D30" i="1"/>
  <c r="E54" i="1"/>
  <c r="F54" i="1" s="1"/>
  <c r="D54" i="1"/>
  <c r="E49" i="1"/>
  <c r="D49" i="1"/>
  <c r="E44" i="1"/>
  <c r="D44" i="1"/>
  <c r="E39" i="1"/>
  <c r="D39" i="1"/>
  <c r="E37" i="1"/>
  <c r="D37" i="1"/>
  <c r="E47" i="1"/>
  <c r="F47" i="1" s="1"/>
  <c r="D47" i="1"/>
  <c r="E64" i="1"/>
  <c r="D64" i="1"/>
  <c r="E57" i="1"/>
  <c r="F57" i="1" s="1"/>
  <c r="D57" i="1"/>
  <c r="E59" i="1"/>
  <c r="D59" i="1"/>
  <c r="E63" i="1"/>
  <c r="D63" i="1"/>
  <c r="E45" i="1"/>
  <c r="D45" i="1"/>
  <c r="E66" i="1"/>
  <c r="D66" i="1"/>
  <c r="F46" i="1" l="1"/>
  <c r="F52" i="1"/>
  <c r="F36" i="1"/>
  <c r="F63" i="1"/>
  <c r="F30" i="1"/>
  <c r="F18" i="1"/>
  <c r="F7" i="1"/>
  <c r="F64" i="1"/>
  <c r="F32" i="1"/>
  <c r="F41" i="1"/>
  <c r="E67" i="1"/>
  <c r="D67" i="1"/>
  <c r="F60" i="1"/>
  <c r="F58" i="1"/>
  <c r="F51" i="1"/>
  <c r="F39" i="1"/>
  <c r="F19" i="1"/>
  <c r="F38" i="1"/>
  <c r="F15" i="1"/>
  <c r="F25" i="1"/>
  <c r="F27" i="1"/>
  <c r="F22" i="1"/>
  <c r="F10" i="1"/>
  <c r="E9" i="1"/>
  <c r="D9" i="1"/>
  <c r="F14" i="1"/>
  <c r="F65" i="1"/>
  <c r="F59" i="1"/>
  <c r="F61" i="1"/>
  <c r="F34" i="1"/>
  <c r="Z6" i="2"/>
  <c r="Z8" i="2"/>
  <c r="Z10" i="2"/>
  <c r="Z4" i="2"/>
  <c r="S6" i="2"/>
  <c r="S8" i="2"/>
  <c r="S10" i="2"/>
  <c r="S4" i="2"/>
  <c r="S18" i="2"/>
  <c r="S20" i="2"/>
  <c r="S22" i="2"/>
  <c r="S16" i="2"/>
  <c r="Z18" i="2"/>
  <c r="Z20" i="2"/>
  <c r="Z22" i="2"/>
  <c r="Z16" i="2"/>
  <c r="Z31" i="2"/>
  <c r="Z33" i="2"/>
  <c r="Z35" i="2"/>
  <c r="Z29" i="2"/>
  <c r="S31" i="2"/>
  <c r="S33" i="2"/>
  <c r="S35" i="2"/>
  <c r="S29" i="2"/>
  <c r="K18" i="2"/>
  <c r="K31" i="2"/>
  <c r="K33" i="2"/>
  <c r="K35" i="2"/>
  <c r="K29" i="2"/>
  <c r="D31" i="2"/>
  <c r="D33" i="2"/>
  <c r="D35" i="2"/>
  <c r="D29" i="2"/>
  <c r="K20" i="2"/>
  <c r="K22" i="2"/>
  <c r="K16" i="2"/>
  <c r="D18" i="2"/>
  <c r="D20" i="2"/>
  <c r="D22" i="2"/>
  <c r="D16" i="2"/>
  <c r="K6" i="2"/>
  <c r="K8" i="2"/>
  <c r="K10" i="2"/>
  <c r="K4" i="2"/>
  <c r="D6" i="2"/>
  <c r="D8" i="2"/>
  <c r="D10" i="2"/>
  <c r="D4" i="2"/>
  <c r="F8" i="1" l="1"/>
  <c r="F23" i="1"/>
  <c r="F67" i="1"/>
  <c r="F66" i="1"/>
  <c r="F37" i="1"/>
  <c r="F50" i="1"/>
  <c r="F45" i="1"/>
  <c r="F20" i="1"/>
  <c r="F49" i="1"/>
  <c r="F3" i="1"/>
  <c r="F43" i="1"/>
  <c r="F9" i="1"/>
  <c r="F29" i="1"/>
  <c r="F12" i="1"/>
  <c r="F35" i="1"/>
  <c r="F42" i="1"/>
  <c r="F24" i="1"/>
  <c r="F28" i="1"/>
  <c r="F2" i="1"/>
  <c r="F31" i="1"/>
  <c r="F44" i="1"/>
  <c r="F13" i="1"/>
  <c r="F33" i="1"/>
  <c r="F62" i="1"/>
  <c r="F56" i="1"/>
  <c r="F17" i="1"/>
  <c r="F26" i="1"/>
  <c r="F16" i="1"/>
  <c r="F40" i="1"/>
  <c r="F11" i="1"/>
  <c r="F4" i="1"/>
  <c r="F5" i="1"/>
  <c r="F55" i="1"/>
  <c r="F6" i="1"/>
  <c r="F21" i="1"/>
  <c r="F53" i="1"/>
</calcChain>
</file>

<file path=xl/sharedStrings.xml><?xml version="1.0" encoding="utf-8"?>
<sst xmlns="http://schemas.openxmlformats.org/spreadsheetml/2006/main" count="341" uniqueCount="188">
  <si>
    <t>Rank</t>
  </si>
  <si>
    <t>Player</t>
  </si>
  <si>
    <t>Team</t>
  </si>
  <si>
    <t>Total Points</t>
  </si>
  <si>
    <t>Total Darts</t>
  </si>
  <si>
    <t>Total PPD</t>
  </si>
  <si>
    <t>Wks Played</t>
  </si>
  <si>
    <t>501 BP</t>
  </si>
  <si>
    <t>RON</t>
  </si>
  <si>
    <t xml:space="preserve"> MVP Pts</t>
  </si>
  <si>
    <t>Payout</t>
  </si>
  <si>
    <t>Richie Thomas</t>
  </si>
  <si>
    <t>Luigi's Loose Change</t>
  </si>
  <si>
    <t>Jeff Headley</t>
  </si>
  <si>
    <t>Pop-A-Top 1</t>
  </si>
  <si>
    <t>Ed Davis</t>
  </si>
  <si>
    <t>VFW 1589 Bad Monkeys</t>
  </si>
  <si>
    <t xml:space="preserve">Bob Fox </t>
  </si>
  <si>
    <t>Larry Jenkins</t>
  </si>
  <si>
    <t xml:space="preserve">Purple Cow 1  </t>
  </si>
  <si>
    <t>Pat Nabors</t>
  </si>
  <si>
    <t>Elks Wiseguys</t>
  </si>
  <si>
    <t>Jerry Shiflett</t>
  </si>
  <si>
    <t>Legion Post 174 Misfits</t>
  </si>
  <si>
    <t>Allen Collins</t>
  </si>
  <si>
    <t>Matt Nacarate</t>
  </si>
  <si>
    <t>Todd Wotring</t>
  </si>
  <si>
    <t>Justin Smyth</t>
  </si>
  <si>
    <t>Seth Boyles</t>
  </si>
  <si>
    <t>Pop-A-Top 2</t>
  </si>
  <si>
    <t>Tim Rosati</t>
  </si>
  <si>
    <t>Steve Stockett</t>
  </si>
  <si>
    <t>Jimmy Smith</t>
  </si>
  <si>
    <t>Legion Post 174 Snipers</t>
  </si>
  <si>
    <t xml:space="preserve">Sam Powers </t>
  </si>
  <si>
    <t>Richard Whisler</t>
  </si>
  <si>
    <t>Josh Jenkins</t>
  </si>
  <si>
    <t>Beaver Galusky</t>
  </si>
  <si>
    <t>Rob Cicchino</t>
  </si>
  <si>
    <t>Billy Allen</t>
  </si>
  <si>
    <t>Jeff Schliffka</t>
  </si>
  <si>
    <t>Doug Himes</t>
  </si>
  <si>
    <t>Doug Tennant</t>
  </si>
  <si>
    <t>Tammy Allen</t>
  </si>
  <si>
    <t>Tom Gallegly</t>
  </si>
  <si>
    <t>Andy Beck</t>
  </si>
  <si>
    <t>Elks Jolly</t>
  </si>
  <si>
    <t>Zach Barlow</t>
  </si>
  <si>
    <t>Travis Ruckle</t>
  </si>
  <si>
    <t>Purple Cow 2</t>
  </si>
  <si>
    <t>Ken Goldsborough</t>
  </si>
  <si>
    <t>John Powers</t>
  </si>
  <si>
    <t>Griffin Wilcox</t>
  </si>
  <si>
    <t>VFW 1589 Dissapointers</t>
  </si>
  <si>
    <t>April Spahr</t>
  </si>
  <si>
    <t>Ryan Swaniger</t>
  </si>
  <si>
    <t>Nate Cope</t>
  </si>
  <si>
    <t>Jon Kline</t>
  </si>
  <si>
    <t>Michaela Headley</t>
  </si>
  <si>
    <t>Frank Mellie</t>
  </si>
  <si>
    <t>VFW 9916 Vets</t>
  </si>
  <si>
    <t>Gabbie Mellie</t>
  </si>
  <si>
    <t>Billy Anderson</t>
  </si>
  <si>
    <t>Thom Douglass</t>
  </si>
  <si>
    <t>Gary Bechdolt</t>
  </si>
  <si>
    <t>Steve Root</t>
  </si>
  <si>
    <t>Barb Hardy</t>
  </si>
  <si>
    <t>Kevin Ruckle</t>
  </si>
  <si>
    <t>Alex Keenan</t>
  </si>
  <si>
    <t>BJ Trickett</t>
  </si>
  <si>
    <t>JL Brown</t>
  </si>
  <si>
    <t>Joe White</t>
  </si>
  <si>
    <t>Marshall Jenkins</t>
  </si>
  <si>
    <t>Alex Rice</t>
  </si>
  <si>
    <t>Brian Keown</t>
  </si>
  <si>
    <t>Landon Trickett</t>
  </si>
  <si>
    <t>Bryant Losh</t>
  </si>
  <si>
    <t xml:space="preserve">Teams - Overall </t>
  </si>
  <si>
    <t>Wins</t>
  </si>
  <si>
    <t>Lose</t>
  </si>
  <si>
    <t>Points</t>
  </si>
  <si>
    <t>Weekly Payouts and Season High's</t>
  </si>
  <si>
    <t>PURPLE COW 2</t>
  </si>
  <si>
    <t xml:space="preserve">Season Best Game 501:  </t>
  </si>
  <si>
    <t>Jeff Headley 14 Dart Game</t>
  </si>
  <si>
    <t xml:space="preserve">PURPLE COW 1 </t>
  </si>
  <si>
    <t xml:space="preserve">High Average for Week:   </t>
  </si>
  <si>
    <t>VFW 1589 DISSAPOINTERS</t>
  </si>
  <si>
    <t xml:space="preserve">High in 301 for the week: </t>
  </si>
  <si>
    <t>POP A TOP 1</t>
  </si>
  <si>
    <t xml:space="preserve">High Out for the week: </t>
  </si>
  <si>
    <t>LUIGI'S LOOSE CHANGE</t>
  </si>
  <si>
    <t xml:space="preserve">Season High In for 301:  </t>
  </si>
  <si>
    <t>LEGION POST 174 MISFITS</t>
  </si>
  <si>
    <t xml:space="preserve">Season High Out:    </t>
  </si>
  <si>
    <t>ELKS WISEGUYS</t>
  </si>
  <si>
    <t>VFW 1589 BAD MONKEYS</t>
  </si>
  <si>
    <t>POP A TOP 2</t>
  </si>
  <si>
    <t>VFW 9916 VETS</t>
  </si>
  <si>
    <t>LEGION POST 174 SNIPERS</t>
  </si>
  <si>
    <t>ELKS JOLLY</t>
  </si>
  <si>
    <t>Teams - Division A</t>
  </si>
  <si>
    <t>Teams - Disivion B</t>
  </si>
  <si>
    <t>Teams - Division C</t>
  </si>
  <si>
    <t>Pop 2 10</t>
  </si>
  <si>
    <t>Pop 1 14</t>
  </si>
  <si>
    <t>Elks Jolly 4</t>
  </si>
  <si>
    <t>Cow 2 20</t>
  </si>
  <si>
    <t>Darts</t>
  </si>
  <si>
    <t>Average</t>
  </si>
  <si>
    <t>MVP points</t>
  </si>
  <si>
    <t>BP 501</t>
  </si>
  <si>
    <t>Billy</t>
  </si>
  <si>
    <t>Doug</t>
  </si>
  <si>
    <t>April</t>
  </si>
  <si>
    <t>Tammy</t>
  </si>
  <si>
    <t>Jeff</t>
  </si>
  <si>
    <t>180, 14 D Game</t>
  </si>
  <si>
    <t>Travis</t>
  </si>
  <si>
    <t>100 in</t>
  </si>
  <si>
    <t>Seth</t>
  </si>
  <si>
    <t>Bob</t>
  </si>
  <si>
    <t>Kevin</t>
  </si>
  <si>
    <t>98 Out, 101 In</t>
  </si>
  <si>
    <t>Barb</t>
  </si>
  <si>
    <t>Luigis 13</t>
  </si>
  <si>
    <t>Bad Monkeys 11</t>
  </si>
  <si>
    <t>VFW Vets 8</t>
  </si>
  <si>
    <t>Disappointers 16</t>
  </si>
  <si>
    <t>Beaver</t>
  </si>
  <si>
    <t>JL</t>
  </si>
  <si>
    <t>Zach</t>
  </si>
  <si>
    <t>Matt</t>
  </si>
  <si>
    <t>101 in</t>
  </si>
  <si>
    <t>Gabbie</t>
  </si>
  <si>
    <t>Ken</t>
  </si>
  <si>
    <t>Sam</t>
  </si>
  <si>
    <t>78 Out</t>
  </si>
  <si>
    <t>85 In</t>
  </si>
  <si>
    <t>Thom</t>
  </si>
  <si>
    <t>Richie</t>
  </si>
  <si>
    <t>66 Out</t>
  </si>
  <si>
    <t>Joe</t>
  </si>
  <si>
    <t>Purple Cow 1 17</t>
  </si>
  <si>
    <t>Snipers 7</t>
  </si>
  <si>
    <t>Morgantown Elks Wiseguys 11</t>
  </si>
  <si>
    <t>Misfits 13</t>
  </si>
  <si>
    <t>Gigs</t>
  </si>
  <si>
    <t>Ryan</t>
  </si>
  <si>
    <t>Jerry</t>
  </si>
  <si>
    <t>Steve</t>
  </si>
  <si>
    <t>76 In</t>
  </si>
  <si>
    <t>Richard</t>
  </si>
  <si>
    <t>Rob</t>
  </si>
  <si>
    <t>Justin</t>
  </si>
  <si>
    <t>Jimmy</t>
  </si>
  <si>
    <t>Pat</t>
  </si>
  <si>
    <t>T80</t>
  </si>
  <si>
    <t>Tim</t>
  </si>
  <si>
    <t>Larry</t>
  </si>
  <si>
    <t>John</t>
  </si>
  <si>
    <t>Todd</t>
  </si>
  <si>
    <t>92 in</t>
  </si>
  <si>
    <t>Allen</t>
  </si>
  <si>
    <t>Marshall</t>
  </si>
  <si>
    <t>Alex</t>
  </si>
  <si>
    <t>Jeff Cramer</t>
  </si>
  <si>
    <t>John Sinclair</t>
  </si>
  <si>
    <t>Tie</t>
  </si>
  <si>
    <t>Jeff Schliffka 114 Out</t>
  </si>
  <si>
    <t>Stan Slavey</t>
  </si>
  <si>
    <t>Stephen Thurbon</t>
  </si>
  <si>
    <t>Jimmy Scudiere</t>
  </si>
  <si>
    <t>Gary Daft</t>
  </si>
  <si>
    <t>Timmy Frymyer</t>
  </si>
  <si>
    <t>Lana Groves</t>
  </si>
  <si>
    <t>Alwyn Thurbon</t>
  </si>
  <si>
    <t>Holly Thurbon</t>
  </si>
  <si>
    <t>Slim Loya</t>
  </si>
  <si>
    <t>Mike Weber</t>
  </si>
  <si>
    <t>Ed Davis 138 In</t>
  </si>
  <si>
    <t>Drew Pritt</t>
  </si>
  <si>
    <t>Snipers (2), Bad Monkeys (1)</t>
  </si>
  <si>
    <t>Shawn Cole</t>
  </si>
  <si>
    <t>Justin Smyth 18.02</t>
  </si>
  <si>
    <t>Richie Thomas 106 In</t>
  </si>
  <si>
    <t>Griffin Wilcox 90 Out</t>
  </si>
  <si>
    <t>Week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</si>
</sst>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$-409]* #,##0.00_);_([$$-409]* \(#,##0.00\);_([$$-409]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4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textRotation="73"/>
    </xf>
    <xf numFmtId="0" fontId="1" fillId="2" borderId="1" xfId="0" applyFont="1" applyFill="1" applyBorder="1" applyAlignment="1">
      <alignment textRotation="73" wrapText="1"/>
    </xf>
    <xf numFmtId="0" fontId="2" fillId="0" borderId="2" xfId="0" applyFont="1" applyBorder="1"/>
    <xf numFmtId="0" fontId="1" fillId="0" borderId="2" xfId="0" applyFont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3" xfId="0" applyFont="1" applyBorder="1"/>
    <xf numFmtId="0" fontId="1" fillId="0" borderId="1" xfId="0" applyFont="1" applyBorder="1"/>
    <xf numFmtId="0" fontId="4" fillId="0" borderId="3" xfId="0" applyFont="1" applyBorder="1"/>
    <xf numFmtId="0" fontId="4" fillId="0" borderId="6" xfId="0" applyFont="1" applyBorder="1"/>
    <xf numFmtId="0" fontId="3" fillId="4" borderId="0" xfId="0" applyFont="1" applyFill="1"/>
    <xf numFmtId="0" fontId="0" fillId="4" borderId="0" xfId="0" applyFill="1"/>
    <xf numFmtId="0" fontId="2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1" xfId="0" applyFont="1" applyBorder="1"/>
    <xf numFmtId="0" fontId="4" fillId="0" borderId="2" xfId="0" applyFont="1" applyBorder="1"/>
    <xf numFmtId="0" fontId="1" fillId="0" borderId="6" xfId="0" applyFont="1" applyBorder="1"/>
    <xf numFmtId="0" fontId="1" fillId="0" borderId="19" xfId="0" applyFont="1" applyBorder="1"/>
    <xf numFmtId="0" fontId="4" fillId="0" borderId="19" xfId="0" applyFont="1" applyBorder="1"/>
    <xf numFmtId="0" fontId="1" fillId="0" borderId="21" xfId="0" applyFont="1" applyBorder="1"/>
    <xf numFmtId="0" fontId="1" fillId="5" borderId="22" xfId="0" applyFont="1" applyFill="1" applyBorder="1"/>
    <xf numFmtId="0" fontId="1" fillId="0" borderId="23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3" xfId="0" applyFont="1" applyBorder="1"/>
    <xf numFmtId="0" fontId="2" fillId="0" borderId="21" xfId="0" applyFont="1" applyBorder="1"/>
    <xf numFmtId="0" fontId="4" fillId="0" borderId="24" xfId="0" applyFont="1" applyBorder="1"/>
    <xf numFmtId="0" fontId="1" fillId="5" borderId="25" xfId="0" applyFont="1" applyFill="1" applyBorder="1"/>
    <xf numFmtId="0" fontId="1" fillId="5" borderId="26" xfId="0" applyFont="1" applyFill="1" applyBorder="1"/>
    <xf numFmtId="0" fontId="1" fillId="5" borderId="27" xfId="0" applyFont="1" applyFill="1" applyBorder="1"/>
    <xf numFmtId="0" fontId="1" fillId="5" borderId="28" xfId="0" applyFont="1" applyFill="1" applyBorder="1"/>
    <xf numFmtId="0" fontId="1" fillId="5" borderId="29" xfId="0" applyFont="1" applyFill="1" applyBorder="1"/>
    <xf numFmtId="0" fontId="1" fillId="5" borderId="30" xfId="0" applyFont="1" applyFill="1" applyBorder="1"/>
    <xf numFmtId="0" fontId="1" fillId="5" borderId="31" xfId="0" applyFont="1" applyFill="1" applyBorder="1"/>
    <xf numFmtId="0" fontId="1" fillId="5" borderId="32" xfId="0" applyFont="1" applyFill="1" applyBorder="1"/>
    <xf numFmtId="165" fontId="2" fillId="0" borderId="2" xfId="0" applyNumberFormat="1" applyFont="1" applyBorder="1" applyAlignment="1">
      <alignment horizontal="center"/>
    </xf>
    <xf numFmtId="0" fontId="2" fillId="0" borderId="5" xfId="0" applyFont="1" applyBorder="1"/>
    <xf numFmtId="0" fontId="1" fillId="3" borderId="20" xfId="0" applyFont="1" applyFill="1" applyBorder="1" applyAlignment="1">
      <alignment horizontal="center" vertical="center" textRotation="90" wrapText="1"/>
    </xf>
    <xf numFmtId="0" fontId="1" fillId="3" borderId="17" xfId="0" applyFont="1" applyFill="1" applyBorder="1" applyAlignment="1">
      <alignment horizontal="center" vertical="center" textRotation="90" wrapText="1"/>
    </xf>
    <xf numFmtId="0" fontId="1" fillId="3" borderId="18" xfId="0" applyFont="1" applyFill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tabSelected="1" workbookViewId="0">
      <pane ySplit="1" topLeftCell="A2" activePane="bottomLeft" state="frozen"/>
      <selection pane="bottomLeft" activeCell="B84" sqref="B84"/>
    </sheetView>
  </sheetViews>
  <sheetFormatPr defaultRowHeight="15" x14ac:dyDescent="0.25"/>
  <cols>
    <col min="1" max="1" width="5.42578125" bestFit="1" customWidth="1"/>
    <col min="2" max="2" width="22" bestFit="1" customWidth="1"/>
    <col min="3" max="3" width="31.140625" bestFit="1" customWidth="1"/>
    <col min="4" max="4" width="8.42578125" bestFit="1" customWidth="1"/>
    <col min="5" max="5" width="7.42578125" bestFit="1" customWidth="1"/>
    <col min="6" max="6" width="7.7109375" bestFit="1" customWidth="1"/>
    <col min="7" max="7" width="8.140625" bestFit="1" customWidth="1"/>
    <col min="8" max="11" width="5.7109375" customWidth="1"/>
    <col min="12" max="12" width="7.7109375" bestFit="1" customWidth="1"/>
    <col min="13" max="13" width="10.85546875" bestFit="1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25</v>
      </c>
      <c r="C2" s="4" t="s">
        <v>16</v>
      </c>
      <c r="D2" s="14">
        <f>SUM(1497+1503+1503+1503+1503+1343+1374)</f>
        <v>10226</v>
      </c>
      <c r="E2" s="14">
        <f>SUM(100+85+83+92+83+81+85)</f>
        <v>609</v>
      </c>
      <c r="F2" s="15">
        <f t="shared" ref="F2:F33" si="0">SUM(D2/E2)</f>
        <v>16.791461412151069</v>
      </c>
      <c r="G2" s="14">
        <v>7</v>
      </c>
      <c r="H2" s="14">
        <v>5</v>
      </c>
      <c r="I2" s="14">
        <v>1</v>
      </c>
      <c r="J2" s="14"/>
      <c r="K2" s="14"/>
      <c r="L2" s="14">
        <v>28</v>
      </c>
      <c r="M2" s="16">
        <v>10</v>
      </c>
    </row>
    <row r="3" spans="1:13" ht="18.75" x14ac:dyDescent="0.3">
      <c r="A3" s="3">
        <v>2</v>
      </c>
      <c r="B3" s="4" t="s">
        <v>17</v>
      </c>
      <c r="C3" s="4" t="s">
        <v>14</v>
      </c>
      <c r="D3" s="14">
        <f>SUM(1475+1503+1379+1273+1389+1467+1447+1471)</f>
        <v>11404</v>
      </c>
      <c r="E3" s="14">
        <f>SUM(91+92+81+81+71+83+111+86)</f>
        <v>696</v>
      </c>
      <c r="F3" s="15">
        <f t="shared" si="0"/>
        <v>16.385057471264368</v>
      </c>
      <c r="G3" s="14">
        <v>8</v>
      </c>
      <c r="H3" s="14">
        <v>5</v>
      </c>
      <c r="I3" s="14"/>
      <c r="J3" s="14"/>
      <c r="K3" s="14"/>
      <c r="L3" s="39">
        <v>26</v>
      </c>
      <c r="M3" s="16">
        <v>10</v>
      </c>
    </row>
    <row r="4" spans="1:13" ht="18.75" x14ac:dyDescent="0.3">
      <c r="A4" s="3">
        <v>3</v>
      </c>
      <c r="B4" s="4" t="s">
        <v>27</v>
      </c>
      <c r="C4" s="4" t="s">
        <v>19</v>
      </c>
      <c r="D4" s="14">
        <f>SUM(1491+1430+1503+1498+1306+1503+1443+1496)</f>
        <v>11670</v>
      </c>
      <c r="E4" s="14">
        <f>SUM(102+105+81+93+72+105+84+83)</f>
        <v>725</v>
      </c>
      <c r="F4" s="15">
        <f t="shared" si="0"/>
        <v>16.096551724137932</v>
      </c>
      <c r="G4" s="14">
        <v>8</v>
      </c>
      <c r="H4" s="14">
        <v>7</v>
      </c>
      <c r="I4" s="14"/>
      <c r="J4" s="14"/>
      <c r="K4" s="14"/>
      <c r="L4" s="14">
        <v>33</v>
      </c>
      <c r="M4" s="16">
        <v>5</v>
      </c>
    </row>
    <row r="5" spans="1:13" ht="18.75" x14ac:dyDescent="0.3">
      <c r="A5" s="3">
        <v>4</v>
      </c>
      <c r="B5" s="4" t="s">
        <v>13</v>
      </c>
      <c r="C5" s="4" t="s">
        <v>14</v>
      </c>
      <c r="D5" s="14">
        <f>SUM(1493+1503+1499+1371+1478+1493+1503+1503)</f>
        <v>11843</v>
      </c>
      <c r="E5" s="14">
        <f>SUM(82+81+101+87+100+89+93+104)</f>
        <v>737</v>
      </c>
      <c r="F5" s="15">
        <f t="shared" si="0"/>
        <v>16.06919945725916</v>
      </c>
      <c r="G5" s="14">
        <v>8</v>
      </c>
      <c r="H5" s="14">
        <v>7</v>
      </c>
      <c r="I5" s="14">
        <v>1</v>
      </c>
      <c r="J5" s="14"/>
      <c r="K5" s="14"/>
      <c r="L5" s="14">
        <v>32</v>
      </c>
      <c r="M5" s="16">
        <v>20</v>
      </c>
    </row>
    <row r="6" spans="1:13" ht="18.75" x14ac:dyDescent="0.3">
      <c r="A6" s="3">
        <v>5</v>
      </c>
      <c r="B6" s="4" t="s">
        <v>15</v>
      </c>
      <c r="C6" s="4" t="s">
        <v>16</v>
      </c>
      <c r="D6" s="14">
        <f>SUM(1350+1487+1463+1503+1503+1483)</f>
        <v>8789</v>
      </c>
      <c r="E6" s="14">
        <f>SUM(80+82+83+99+122+85)</f>
        <v>551</v>
      </c>
      <c r="F6" s="15">
        <f t="shared" si="0"/>
        <v>15.950998185117967</v>
      </c>
      <c r="G6" s="14">
        <v>6</v>
      </c>
      <c r="H6" s="14">
        <v>5</v>
      </c>
      <c r="I6" s="14"/>
      <c r="J6" s="14"/>
      <c r="K6" s="14"/>
      <c r="L6" s="14">
        <v>22</v>
      </c>
      <c r="M6" s="16">
        <v>10</v>
      </c>
    </row>
    <row r="7" spans="1:13" ht="18.75" x14ac:dyDescent="0.3">
      <c r="A7" s="3">
        <v>6</v>
      </c>
      <c r="B7" s="19" t="s">
        <v>172</v>
      </c>
      <c r="C7" s="4" t="s">
        <v>182</v>
      </c>
      <c r="D7" s="14">
        <f>SUM(1306+1503+1416)</f>
        <v>4225</v>
      </c>
      <c r="E7" s="14">
        <f>SUM(81+98+89)</f>
        <v>268</v>
      </c>
      <c r="F7" s="15">
        <f t="shared" si="0"/>
        <v>15.764925373134329</v>
      </c>
      <c r="G7" s="14">
        <v>3</v>
      </c>
      <c r="H7" s="14">
        <v>2</v>
      </c>
      <c r="I7" s="14"/>
      <c r="J7" s="14"/>
      <c r="K7" s="14"/>
      <c r="L7" s="14">
        <v>12.5</v>
      </c>
      <c r="M7" s="16"/>
    </row>
    <row r="8" spans="1:13" ht="18.75" x14ac:dyDescent="0.3">
      <c r="A8" s="3">
        <v>7</v>
      </c>
      <c r="B8" s="4" t="s">
        <v>18</v>
      </c>
      <c r="C8" s="4" t="s">
        <v>19</v>
      </c>
      <c r="D8" s="14">
        <f>SUM(1503+1488+1503+1430+1468+1461+1444+1411)</f>
        <v>11708</v>
      </c>
      <c r="E8" s="14">
        <f>SUM(93+90+102+88+102+99+93+85)</f>
        <v>752</v>
      </c>
      <c r="F8" s="15">
        <f t="shared" si="0"/>
        <v>15.569148936170214</v>
      </c>
      <c r="G8" s="14">
        <v>8</v>
      </c>
      <c r="H8" s="14">
        <v>3</v>
      </c>
      <c r="I8" s="14"/>
      <c r="J8" s="14"/>
      <c r="K8" s="14"/>
      <c r="L8" s="14">
        <v>31</v>
      </c>
      <c r="M8" s="16"/>
    </row>
    <row r="9" spans="1:13" ht="18.75" x14ac:dyDescent="0.3">
      <c r="A9" s="3">
        <v>8</v>
      </c>
      <c r="B9" s="4" t="s">
        <v>166</v>
      </c>
      <c r="C9" s="4" t="s">
        <v>53</v>
      </c>
      <c r="D9" s="14">
        <f>SUM(1503)</f>
        <v>1503</v>
      </c>
      <c r="E9" s="14">
        <f>SUM(97)</f>
        <v>97</v>
      </c>
      <c r="F9" s="15">
        <f t="shared" si="0"/>
        <v>15.494845360824742</v>
      </c>
      <c r="G9" s="14">
        <v>1</v>
      </c>
      <c r="H9" s="14">
        <v>1</v>
      </c>
      <c r="I9" s="14"/>
      <c r="J9" s="14"/>
      <c r="K9" s="14"/>
      <c r="L9" s="14">
        <v>3.5</v>
      </c>
      <c r="M9" s="16"/>
    </row>
    <row r="10" spans="1:13" ht="18.75" x14ac:dyDescent="0.3">
      <c r="A10" s="3">
        <v>9</v>
      </c>
      <c r="B10" s="4" t="s">
        <v>34</v>
      </c>
      <c r="C10" s="4" t="s">
        <v>16</v>
      </c>
      <c r="D10" s="14">
        <f>SUM(1483+1471+1501+1503+1495+1501+1486+1458)</f>
        <v>11898</v>
      </c>
      <c r="E10" s="14">
        <f>SUM(107+83+84+79+105+120+108+87)</f>
        <v>773</v>
      </c>
      <c r="F10" s="15">
        <f t="shared" si="0"/>
        <v>15.391979301423028</v>
      </c>
      <c r="G10" s="14">
        <v>8</v>
      </c>
      <c r="H10" s="14">
        <v>5</v>
      </c>
      <c r="I10" s="14"/>
      <c r="J10" s="14"/>
      <c r="K10" s="14"/>
      <c r="L10" s="14">
        <v>28</v>
      </c>
      <c r="M10" s="16">
        <v>5</v>
      </c>
    </row>
    <row r="11" spans="1:13" ht="18.75" x14ac:dyDescent="0.3">
      <c r="A11" s="3">
        <v>10</v>
      </c>
      <c r="B11" s="4" t="s">
        <v>38</v>
      </c>
      <c r="C11" s="4" t="s">
        <v>21</v>
      </c>
      <c r="D11" s="14">
        <f>SUM(1487+1503+1503+1386+1501+1503+1415+1495)</f>
        <v>11793</v>
      </c>
      <c r="E11" s="14">
        <f>SUM(111+101+74+85+132+87+82+95)</f>
        <v>767</v>
      </c>
      <c r="F11" s="15">
        <f t="shared" si="0"/>
        <v>15.3754889178618</v>
      </c>
      <c r="G11" s="14">
        <v>8</v>
      </c>
      <c r="H11" s="14">
        <v>7</v>
      </c>
      <c r="I11" s="14"/>
      <c r="J11" s="14"/>
      <c r="K11" s="14">
        <v>1</v>
      </c>
      <c r="L11" s="14">
        <v>33</v>
      </c>
      <c r="M11" s="16">
        <v>5</v>
      </c>
    </row>
    <row r="12" spans="1:13" ht="18.75" x14ac:dyDescent="0.3">
      <c r="A12" s="3">
        <v>11</v>
      </c>
      <c r="B12" s="4" t="s">
        <v>11</v>
      </c>
      <c r="C12" s="8" t="s">
        <v>12</v>
      </c>
      <c r="D12" s="14">
        <f>SUM(1471+1503+1366+1503+1427+1501+1493)</f>
        <v>10264</v>
      </c>
      <c r="E12" s="14">
        <f>SUM(76+92+101+115+84+100+114)</f>
        <v>682</v>
      </c>
      <c r="F12" s="15">
        <f t="shared" si="0"/>
        <v>15.049853372434018</v>
      </c>
      <c r="G12" s="14">
        <v>7</v>
      </c>
      <c r="H12" s="14">
        <v>6</v>
      </c>
      <c r="I12" s="14">
        <v>1</v>
      </c>
      <c r="J12" s="14"/>
      <c r="K12" s="14"/>
      <c r="L12" s="14">
        <v>29</v>
      </c>
      <c r="M12" s="16">
        <v>10</v>
      </c>
    </row>
    <row r="13" spans="1:13" ht="18.75" x14ac:dyDescent="0.3">
      <c r="A13" s="3">
        <v>12</v>
      </c>
      <c r="B13" s="4" t="s">
        <v>37</v>
      </c>
      <c r="C13" s="4" t="s">
        <v>12</v>
      </c>
      <c r="D13" s="14">
        <f>SUM(1489+1454+1482+1503+1393+1503+1503+1503)</f>
        <v>11830</v>
      </c>
      <c r="E13" s="14">
        <f>SUM(111+105+94+95+97+115+88+96)</f>
        <v>801</v>
      </c>
      <c r="F13" s="15">
        <f t="shared" si="0"/>
        <v>14.769038701622971</v>
      </c>
      <c r="G13" s="14">
        <v>8</v>
      </c>
      <c r="H13" s="14">
        <v>5</v>
      </c>
      <c r="I13" s="14"/>
      <c r="J13" s="14"/>
      <c r="K13" s="14"/>
      <c r="L13" s="14">
        <v>29</v>
      </c>
      <c r="M13" s="16"/>
    </row>
    <row r="14" spans="1:13" ht="18.75" x14ac:dyDescent="0.3">
      <c r="A14" s="3">
        <v>13</v>
      </c>
      <c r="B14" s="4" t="s">
        <v>71</v>
      </c>
      <c r="C14" s="4" t="s">
        <v>53</v>
      </c>
      <c r="D14" s="14">
        <f>SUM(1343+1449+1503+1477+1348+1444+1219)</f>
        <v>9783</v>
      </c>
      <c r="E14" s="14">
        <f>SUM(82+98+96+114+102+85+94)</f>
        <v>671</v>
      </c>
      <c r="F14" s="15">
        <f t="shared" si="0"/>
        <v>14.579731743666169</v>
      </c>
      <c r="G14" s="14">
        <v>6</v>
      </c>
      <c r="H14" s="14">
        <v>2</v>
      </c>
      <c r="I14" s="14"/>
      <c r="J14" s="14"/>
      <c r="K14" s="14"/>
      <c r="L14" s="14">
        <v>16.5</v>
      </c>
      <c r="M14" s="16"/>
    </row>
    <row r="15" spans="1:13" ht="18.75" x14ac:dyDescent="0.3">
      <c r="A15" s="3">
        <v>14</v>
      </c>
      <c r="B15" s="4" t="s">
        <v>28</v>
      </c>
      <c r="C15" s="4" t="s">
        <v>29</v>
      </c>
      <c r="D15" s="14">
        <f>SUM(1400+1499+1422+1493+1503+1477+1499+1499)</f>
        <v>11792</v>
      </c>
      <c r="E15" s="14">
        <f>SUM(96+101+81+130+107+114+92+101)</f>
        <v>822</v>
      </c>
      <c r="F15" s="15">
        <f t="shared" si="0"/>
        <v>14.345498783454987</v>
      </c>
      <c r="G15" s="14">
        <v>8</v>
      </c>
      <c r="H15" s="14">
        <v>6</v>
      </c>
      <c r="I15" s="14"/>
      <c r="J15" s="14"/>
      <c r="K15" s="14"/>
      <c r="L15" s="14">
        <v>27</v>
      </c>
      <c r="M15" s="16"/>
    </row>
    <row r="16" spans="1:13" ht="18.75" x14ac:dyDescent="0.3">
      <c r="A16" s="3">
        <v>15</v>
      </c>
      <c r="B16" s="4" t="s">
        <v>43</v>
      </c>
      <c r="C16" s="4" t="s">
        <v>29</v>
      </c>
      <c r="D16" s="14">
        <f>SUM(984+1493+1090+1355+1485+1453+1343+1461)</f>
        <v>10664</v>
      </c>
      <c r="E16" s="14">
        <f>SUM(78+103+78+96+99+108+86+109)</f>
        <v>757</v>
      </c>
      <c r="F16" s="15">
        <f t="shared" si="0"/>
        <v>14.087186261558784</v>
      </c>
      <c r="G16" s="14">
        <v>8</v>
      </c>
      <c r="H16" s="14">
        <v>3</v>
      </c>
      <c r="I16" s="14"/>
      <c r="J16" s="14"/>
      <c r="K16" s="14"/>
      <c r="L16" s="14">
        <v>20</v>
      </c>
      <c r="M16" s="16"/>
    </row>
    <row r="17" spans="1:13" ht="18.75" x14ac:dyDescent="0.3">
      <c r="A17" s="3">
        <v>16</v>
      </c>
      <c r="B17" s="5" t="s">
        <v>24</v>
      </c>
      <c r="C17" s="4" t="s">
        <v>23</v>
      </c>
      <c r="D17" s="14">
        <f>SUM(1408+1503+1475+1495+1503+1485+1204+1389)</f>
        <v>11462</v>
      </c>
      <c r="E17" s="14">
        <f>SUM(93+120+122+113+103+85+82+98)</f>
        <v>816</v>
      </c>
      <c r="F17" s="15">
        <f t="shared" si="0"/>
        <v>14.046568627450981</v>
      </c>
      <c r="G17" s="14">
        <v>8</v>
      </c>
      <c r="H17" s="14">
        <v>4</v>
      </c>
      <c r="I17" s="14"/>
      <c r="J17" s="14"/>
      <c r="K17" s="14"/>
      <c r="L17" s="14">
        <v>27.5</v>
      </c>
      <c r="M17" s="16"/>
    </row>
    <row r="18" spans="1:13" ht="18.75" x14ac:dyDescent="0.3">
      <c r="A18" s="3">
        <v>17</v>
      </c>
      <c r="B18" s="19" t="s">
        <v>171</v>
      </c>
      <c r="C18" s="4" t="s">
        <v>46</v>
      </c>
      <c r="D18" s="14">
        <f>SUM(1184+1495+1503+1260+1369+1493)</f>
        <v>8304</v>
      </c>
      <c r="E18" s="14">
        <f>SUM(78+154+98+84+87+93)</f>
        <v>594</v>
      </c>
      <c r="F18" s="15">
        <f t="shared" si="0"/>
        <v>13.979797979797979</v>
      </c>
      <c r="G18" s="14">
        <v>5</v>
      </c>
      <c r="H18" s="14">
        <v>3</v>
      </c>
      <c r="I18" s="14"/>
      <c r="J18" s="14"/>
      <c r="K18" s="14"/>
      <c r="L18" s="14">
        <v>14.5</v>
      </c>
      <c r="M18" s="16"/>
    </row>
    <row r="19" spans="1:13" ht="18.75" x14ac:dyDescent="0.3">
      <c r="A19" s="3">
        <v>18</v>
      </c>
      <c r="B19" s="4" t="s">
        <v>44</v>
      </c>
      <c r="C19" s="4" t="s">
        <v>19</v>
      </c>
      <c r="D19" s="14">
        <f>SUM(1499+1503+1495+1500+1498+1471)</f>
        <v>8966</v>
      </c>
      <c r="E19" s="14">
        <f>SUM(120+113+112+127+83+89)</f>
        <v>644</v>
      </c>
      <c r="F19" s="15">
        <f t="shared" si="0"/>
        <v>13.922360248447205</v>
      </c>
      <c r="G19" s="14">
        <v>6</v>
      </c>
      <c r="H19" s="14">
        <v>6</v>
      </c>
      <c r="I19" s="14"/>
      <c r="J19" s="14"/>
      <c r="K19" s="14"/>
      <c r="L19" s="14">
        <v>27</v>
      </c>
      <c r="M19" s="16">
        <v>5</v>
      </c>
    </row>
    <row r="20" spans="1:13" ht="18.75" x14ac:dyDescent="0.3">
      <c r="A20" s="3">
        <v>19</v>
      </c>
      <c r="B20" s="3" t="s">
        <v>20</v>
      </c>
      <c r="C20" s="4" t="s">
        <v>21</v>
      </c>
      <c r="D20" s="14">
        <f>SUM(1503+1459+1401+1182+1442+1421+1237)</f>
        <v>9645</v>
      </c>
      <c r="E20" s="14">
        <f>SUM(96+99+104+94+108+90+102)</f>
        <v>693</v>
      </c>
      <c r="F20" s="15">
        <f t="shared" si="0"/>
        <v>13.917748917748918</v>
      </c>
      <c r="G20" s="14">
        <v>7</v>
      </c>
      <c r="H20" s="14">
        <v>1</v>
      </c>
      <c r="I20" s="14">
        <v>1</v>
      </c>
      <c r="J20" s="14"/>
      <c r="K20" s="14"/>
      <c r="L20" s="14">
        <v>23.5</v>
      </c>
      <c r="M20" s="16"/>
    </row>
    <row r="21" spans="1:13" ht="18.75" x14ac:dyDescent="0.3">
      <c r="A21" s="3">
        <v>20</v>
      </c>
      <c r="B21" s="19" t="s">
        <v>52</v>
      </c>
      <c r="C21" s="4" t="s">
        <v>53</v>
      </c>
      <c r="D21" s="14">
        <f>SUM(1503+1209+1369+1358+1425+1485+1441+1503)</f>
        <v>11293</v>
      </c>
      <c r="E21" s="14">
        <f>SUM(129+84+84+114+99+97+112+101)</f>
        <v>820</v>
      </c>
      <c r="F21" s="15">
        <f t="shared" si="0"/>
        <v>13.771951219512195</v>
      </c>
      <c r="G21" s="14">
        <v>8</v>
      </c>
      <c r="H21" s="14">
        <v>5</v>
      </c>
      <c r="I21" s="14"/>
      <c r="J21" s="14"/>
      <c r="K21" s="14"/>
      <c r="L21" s="14">
        <v>28</v>
      </c>
      <c r="M21" s="16">
        <v>10</v>
      </c>
    </row>
    <row r="22" spans="1:13" ht="18.75" x14ac:dyDescent="0.3">
      <c r="A22" s="3">
        <v>21</v>
      </c>
      <c r="B22" s="4" t="s">
        <v>47</v>
      </c>
      <c r="C22" s="8" t="s">
        <v>12</v>
      </c>
      <c r="D22" s="14">
        <f>SUM(1197+1447+1355+1487+1477+1503+1496)</f>
        <v>9962</v>
      </c>
      <c r="E22" s="14">
        <f>SUM(99+96+96+122+112+92+111)</f>
        <v>728</v>
      </c>
      <c r="F22" s="15">
        <f t="shared" si="0"/>
        <v>13.684065934065934</v>
      </c>
      <c r="G22" s="14">
        <v>7</v>
      </c>
      <c r="H22" s="14">
        <v>3</v>
      </c>
      <c r="I22" s="14">
        <v>1</v>
      </c>
      <c r="J22" s="14"/>
      <c r="K22" s="14"/>
      <c r="L22" s="14">
        <v>23.5</v>
      </c>
      <c r="M22" s="16"/>
    </row>
    <row r="23" spans="1:13" ht="18.75" x14ac:dyDescent="0.3">
      <c r="A23" s="3">
        <v>22</v>
      </c>
      <c r="B23" s="4" t="s">
        <v>31</v>
      </c>
      <c r="C23" s="4" t="s">
        <v>19</v>
      </c>
      <c r="D23" s="14">
        <f>SUM(1485+1497+1501+1503+1503+1372+1409)</f>
        <v>10270</v>
      </c>
      <c r="E23" s="14">
        <f>SUM(103+100+143+103+132+96+79)</f>
        <v>756</v>
      </c>
      <c r="F23" s="15">
        <f t="shared" si="0"/>
        <v>13.584656084656086</v>
      </c>
      <c r="G23" s="14">
        <v>7</v>
      </c>
      <c r="H23" s="14">
        <v>4</v>
      </c>
      <c r="I23" s="14"/>
      <c r="J23" s="14"/>
      <c r="K23" s="14"/>
      <c r="L23" s="14">
        <v>25.5</v>
      </c>
      <c r="M23" s="16"/>
    </row>
    <row r="24" spans="1:13" ht="18.75" x14ac:dyDescent="0.3">
      <c r="A24" s="3">
        <v>23</v>
      </c>
      <c r="B24" s="19" t="s">
        <v>56</v>
      </c>
      <c r="C24" s="4" t="s">
        <v>29</v>
      </c>
      <c r="D24" s="14">
        <f>SUM(1501+1284+1142+1483+1269+1441+1481+1441)</f>
        <v>11042</v>
      </c>
      <c r="E24" s="14">
        <f>SUM(132+99+81+119+90+91+99+106)</f>
        <v>817</v>
      </c>
      <c r="F24" s="15">
        <f t="shared" si="0"/>
        <v>13.515299877600979</v>
      </c>
      <c r="G24" s="14">
        <v>7</v>
      </c>
      <c r="H24" s="14">
        <v>5</v>
      </c>
      <c r="I24" s="14"/>
      <c r="J24" s="14"/>
      <c r="K24" s="14"/>
      <c r="L24" s="14">
        <v>24</v>
      </c>
      <c r="M24" s="16"/>
    </row>
    <row r="25" spans="1:13" ht="18.75" x14ac:dyDescent="0.3">
      <c r="A25" s="3">
        <v>24</v>
      </c>
      <c r="B25" s="19" t="s">
        <v>51</v>
      </c>
      <c r="C25" s="4" t="s">
        <v>33</v>
      </c>
      <c r="D25" s="14">
        <f>SUM(1125+1277+1380+1480+1455+1503+1435)</f>
        <v>9655</v>
      </c>
      <c r="E25" s="14">
        <f>SUM(96+102+98+119+103+112+87)</f>
        <v>717</v>
      </c>
      <c r="F25" s="15">
        <f t="shared" si="0"/>
        <v>13.465829846582984</v>
      </c>
      <c r="G25" s="14">
        <v>7</v>
      </c>
      <c r="H25" s="14">
        <v>3</v>
      </c>
      <c r="I25" s="14"/>
      <c r="J25" s="14"/>
      <c r="K25" s="14"/>
      <c r="L25" s="14">
        <v>20</v>
      </c>
      <c r="M25" s="16">
        <v>5</v>
      </c>
    </row>
    <row r="26" spans="1:13" ht="18.75" x14ac:dyDescent="0.3">
      <c r="A26" s="3">
        <v>25</v>
      </c>
      <c r="B26" s="4" t="s">
        <v>22</v>
      </c>
      <c r="C26" s="4" t="s">
        <v>23</v>
      </c>
      <c r="D26" s="14">
        <f>SUM(1503+1341+1499+1500+1503+1438+1495+1503)</f>
        <v>11782</v>
      </c>
      <c r="E26" s="14">
        <f>SUM(96+100+124+121+117+114+112+94)</f>
        <v>878</v>
      </c>
      <c r="F26" s="15">
        <f t="shared" si="0"/>
        <v>13.419134396355354</v>
      </c>
      <c r="G26" s="14">
        <v>8</v>
      </c>
      <c r="H26" s="14">
        <v>6</v>
      </c>
      <c r="I26" s="14"/>
      <c r="J26" s="14"/>
      <c r="K26" s="14"/>
      <c r="L26" s="14">
        <v>31.5</v>
      </c>
      <c r="M26" s="16"/>
    </row>
    <row r="27" spans="1:13" ht="18.75" x14ac:dyDescent="0.3">
      <c r="A27" s="3">
        <v>26</v>
      </c>
      <c r="B27" s="3" t="s">
        <v>32</v>
      </c>
      <c r="C27" s="4" t="s">
        <v>33</v>
      </c>
      <c r="D27" s="14">
        <f>SUM(1375+1349+1415+1479+1469+1503+1453+1325)</f>
        <v>11368</v>
      </c>
      <c r="E27" s="14">
        <f>SUM(97+95+104+117+106+116+111+102)</f>
        <v>848</v>
      </c>
      <c r="F27" s="15">
        <f t="shared" si="0"/>
        <v>13.40566037735849</v>
      </c>
      <c r="G27" s="14">
        <v>8</v>
      </c>
      <c r="H27" s="14">
        <v>3</v>
      </c>
      <c r="I27" s="14"/>
      <c r="J27" s="14"/>
      <c r="K27" s="14"/>
      <c r="L27" s="14">
        <v>21.5</v>
      </c>
      <c r="M27" s="16"/>
    </row>
    <row r="28" spans="1:13" ht="18.75" x14ac:dyDescent="0.3">
      <c r="A28" s="3">
        <v>27</v>
      </c>
      <c r="B28" s="19" t="s">
        <v>40</v>
      </c>
      <c r="C28" s="4" t="s">
        <v>23</v>
      </c>
      <c r="D28" s="14">
        <f>SUM(1446+1503+1491+1491+1503+1501+1441+1501)</f>
        <v>11877</v>
      </c>
      <c r="E28" s="14">
        <f>SUM(110+105+126+119+112+102+113+100)</f>
        <v>887</v>
      </c>
      <c r="F28" s="15">
        <f t="shared" si="0"/>
        <v>13.390078917700112</v>
      </c>
      <c r="G28" s="14">
        <v>8</v>
      </c>
      <c r="H28" s="14">
        <v>5</v>
      </c>
      <c r="I28" s="14"/>
      <c r="J28" s="14"/>
      <c r="K28" s="14"/>
      <c r="L28" s="14">
        <v>30.5</v>
      </c>
      <c r="M28" s="16">
        <v>5</v>
      </c>
    </row>
    <row r="29" spans="1:13" ht="18.75" x14ac:dyDescent="0.3">
      <c r="A29" s="3">
        <v>28</v>
      </c>
      <c r="B29" s="4" t="s">
        <v>167</v>
      </c>
      <c r="C29" s="4" t="s">
        <v>12</v>
      </c>
      <c r="D29" s="14">
        <f>SUM(1485+1493+1468+1503+1359+1483+1500)</f>
        <v>10291</v>
      </c>
      <c r="E29" s="14">
        <f>SUM(119+86+129+112+98+129+113)</f>
        <v>786</v>
      </c>
      <c r="F29" s="15">
        <f t="shared" si="0"/>
        <v>13.092875318066158</v>
      </c>
      <c r="G29" s="14">
        <v>7</v>
      </c>
      <c r="H29" s="14">
        <v>3</v>
      </c>
      <c r="I29" s="14"/>
      <c r="J29" s="14"/>
      <c r="K29" s="14"/>
      <c r="L29" s="14">
        <v>24</v>
      </c>
      <c r="M29" s="16">
        <v>5</v>
      </c>
    </row>
    <row r="30" spans="1:13" ht="18.75" x14ac:dyDescent="0.3">
      <c r="A30" s="3">
        <v>29</v>
      </c>
      <c r="B30" s="19" t="s">
        <v>173</v>
      </c>
      <c r="C30" s="4" t="s">
        <v>46</v>
      </c>
      <c r="D30" s="14">
        <f>SUM(1380+1496+1443+1214+1489)</f>
        <v>7022</v>
      </c>
      <c r="E30" s="14">
        <f>SUM(111+130+100+89+114)</f>
        <v>544</v>
      </c>
      <c r="F30" s="15">
        <f t="shared" si="0"/>
        <v>12.908088235294118</v>
      </c>
      <c r="G30" s="14">
        <v>5</v>
      </c>
      <c r="H30" s="14">
        <v>3</v>
      </c>
      <c r="I30" s="14"/>
      <c r="J30" s="14"/>
      <c r="K30" s="14"/>
      <c r="L30" s="14">
        <v>10.5</v>
      </c>
      <c r="M30" s="16"/>
    </row>
    <row r="31" spans="1:13" ht="18.75" x14ac:dyDescent="0.3">
      <c r="A31" s="3">
        <v>30</v>
      </c>
      <c r="B31" s="4" t="s">
        <v>36</v>
      </c>
      <c r="C31" s="8" t="s">
        <v>16</v>
      </c>
      <c r="D31" s="14">
        <f>SUM(1472+1279+1463+1479+1401+1487+1503+1251)</f>
        <v>11335</v>
      </c>
      <c r="E31" s="14">
        <f>SUM(108+93+117+130+103+115+130+83)</f>
        <v>879</v>
      </c>
      <c r="F31" s="15">
        <f t="shared" si="0"/>
        <v>12.895335608646189</v>
      </c>
      <c r="G31" s="14">
        <v>8</v>
      </c>
      <c r="H31" s="14">
        <v>4</v>
      </c>
      <c r="I31" s="14"/>
      <c r="J31" s="14"/>
      <c r="K31" s="14"/>
      <c r="L31" s="14">
        <v>25.5</v>
      </c>
      <c r="M31" s="16"/>
    </row>
    <row r="32" spans="1:13" ht="18.75" x14ac:dyDescent="0.3">
      <c r="A32" s="3">
        <v>31</v>
      </c>
      <c r="B32" s="19" t="s">
        <v>74</v>
      </c>
      <c r="C32" s="4" t="s">
        <v>60</v>
      </c>
      <c r="D32" s="14">
        <f>SUM(1491+1480+1457+1253+1439+1475+1353)</f>
        <v>9948</v>
      </c>
      <c r="E32" s="14">
        <f>SUM(100+103+151+111+93+113+111)</f>
        <v>782</v>
      </c>
      <c r="F32" s="15">
        <f t="shared" si="0"/>
        <v>12.721227621483376</v>
      </c>
      <c r="G32" s="14">
        <v>7</v>
      </c>
      <c r="H32" s="14">
        <v>3</v>
      </c>
      <c r="I32" s="14"/>
      <c r="J32" s="14"/>
      <c r="K32" s="14"/>
      <c r="L32" s="14">
        <v>13</v>
      </c>
      <c r="M32" s="16"/>
    </row>
    <row r="33" spans="1:13" ht="18.75" x14ac:dyDescent="0.3">
      <c r="A33" s="3">
        <v>32</v>
      </c>
      <c r="B33" s="4" t="s">
        <v>67</v>
      </c>
      <c r="C33" s="8" t="s">
        <v>49</v>
      </c>
      <c r="D33" s="14">
        <f>SUM(1501+1454+1401+1499+1498+1316+1320+1277)</f>
        <v>11266</v>
      </c>
      <c r="E33" s="14">
        <f>SUM(162+98+128+112+110+80+97+104)</f>
        <v>891</v>
      </c>
      <c r="F33" s="15">
        <f t="shared" si="0"/>
        <v>12.644219977553311</v>
      </c>
      <c r="G33" s="14">
        <v>8</v>
      </c>
      <c r="H33" s="14">
        <v>3</v>
      </c>
      <c r="I33" s="14"/>
      <c r="J33" s="14"/>
      <c r="K33" s="14"/>
      <c r="L33" s="14">
        <v>22</v>
      </c>
      <c r="M33" s="16">
        <v>10</v>
      </c>
    </row>
    <row r="34" spans="1:13" ht="18.75" x14ac:dyDescent="0.3">
      <c r="A34" s="3">
        <v>33</v>
      </c>
      <c r="B34" s="9" t="s">
        <v>48</v>
      </c>
      <c r="C34" s="4" t="s">
        <v>49</v>
      </c>
      <c r="D34" s="14">
        <f>SUM(1498+1501+1411+1162+1480+1223+1193+1475)</f>
        <v>10943</v>
      </c>
      <c r="E34" s="14">
        <f>SUM(124+124+124+90+129+85+84+111)</f>
        <v>871</v>
      </c>
      <c r="F34" s="15">
        <f t="shared" ref="F34:F65" si="1">SUM(D34/E34)</f>
        <v>12.563719862227325</v>
      </c>
      <c r="G34" s="14">
        <v>8</v>
      </c>
      <c r="H34" s="14">
        <v>2</v>
      </c>
      <c r="I34" s="14"/>
      <c r="J34" s="14"/>
      <c r="K34" s="14"/>
      <c r="L34" s="14">
        <v>22</v>
      </c>
      <c r="M34" s="16">
        <v>5</v>
      </c>
    </row>
    <row r="35" spans="1:13" ht="18.75" x14ac:dyDescent="0.3">
      <c r="A35" s="3">
        <v>34</v>
      </c>
      <c r="B35" s="8" t="s">
        <v>35</v>
      </c>
      <c r="C35" s="4" t="s">
        <v>33</v>
      </c>
      <c r="D35" s="17">
        <f>SUM(1453+1310+1456+1304+949+1406+1450+1503)</f>
        <v>10831</v>
      </c>
      <c r="E35" s="14">
        <f>SUM(105+122+95+112+75+90+148+117)</f>
        <v>864</v>
      </c>
      <c r="F35" s="15">
        <f t="shared" si="1"/>
        <v>12.53587962962963</v>
      </c>
      <c r="G35" s="14">
        <v>8</v>
      </c>
      <c r="H35" s="14">
        <v>4</v>
      </c>
      <c r="I35" s="14"/>
      <c r="J35" s="14"/>
      <c r="K35" s="14"/>
      <c r="L35" s="14">
        <v>25.5</v>
      </c>
      <c r="M35" s="16"/>
    </row>
    <row r="36" spans="1:13" ht="18.75" x14ac:dyDescent="0.3">
      <c r="A36" s="3">
        <v>35</v>
      </c>
      <c r="B36" s="10" t="s">
        <v>73</v>
      </c>
      <c r="C36" s="4" t="s">
        <v>21</v>
      </c>
      <c r="D36" s="17">
        <f>SUM(1472+1490+1500)</f>
        <v>4462</v>
      </c>
      <c r="E36" s="14">
        <f>SUM(133+105+121)</f>
        <v>359</v>
      </c>
      <c r="F36" s="15">
        <f t="shared" si="1"/>
        <v>12.428969359331477</v>
      </c>
      <c r="G36" s="14">
        <v>3</v>
      </c>
      <c r="H36" s="14">
        <v>3</v>
      </c>
      <c r="I36" s="14"/>
      <c r="J36" s="14"/>
      <c r="K36" s="14"/>
      <c r="L36" s="14">
        <v>9.5</v>
      </c>
      <c r="M36" s="16"/>
    </row>
    <row r="37" spans="1:13" ht="18.75" x14ac:dyDescent="0.3">
      <c r="A37" s="3">
        <v>36</v>
      </c>
      <c r="B37" s="8" t="s">
        <v>26</v>
      </c>
      <c r="C37" s="4" t="s">
        <v>21</v>
      </c>
      <c r="D37" s="17">
        <f>SUM(1301+1470+1495+1501+1264)</f>
        <v>7031</v>
      </c>
      <c r="E37" s="14">
        <f>SUM(88+118+154+110+98)</f>
        <v>568</v>
      </c>
      <c r="F37" s="15">
        <f t="shared" si="1"/>
        <v>12.378521126760564</v>
      </c>
      <c r="G37" s="14">
        <v>5</v>
      </c>
      <c r="H37" s="14">
        <v>3</v>
      </c>
      <c r="I37" s="14"/>
      <c r="J37" s="14"/>
      <c r="K37" s="14"/>
      <c r="L37" s="14">
        <v>16.5</v>
      </c>
      <c r="M37" s="16"/>
    </row>
    <row r="38" spans="1:13" ht="18.75" x14ac:dyDescent="0.3">
      <c r="A38" s="3">
        <v>37</v>
      </c>
      <c r="B38" s="10" t="s">
        <v>39</v>
      </c>
      <c r="C38" s="4" t="s">
        <v>29</v>
      </c>
      <c r="D38" s="17">
        <f>SUM(1503+1335+1494+1501+1503+1447+1312+1503)</f>
        <v>11598</v>
      </c>
      <c r="E38" s="14">
        <f>SUM(114+123+120+142+132+98+89+119)</f>
        <v>937</v>
      </c>
      <c r="F38" s="15">
        <f t="shared" si="1"/>
        <v>12.377801494130203</v>
      </c>
      <c r="G38" s="14">
        <v>8</v>
      </c>
      <c r="H38" s="14">
        <v>4</v>
      </c>
      <c r="I38" s="14"/>
      <c r="J38" s="14"/>
      <c r="K38" s="14"/>
      <c r="L38" s="14">
        <v>23</v>
      </c>
      <c r="M38" s="16"/>
    </row>
    <row r="39" spans="1:13" ht="18.75" x14ac:dyDescent="0.3">
      <c r="A39" s="3">
        <v>38</v>
      </c>
      <c r="B39" s="10" t="s">
        <v>45</v>
      </c>
      <c r="C39" s="4" t="s">
        <v>46</v>
      </c>
      <c r="D39" s="17">
        <f>SUM(1497+1394)</f>
        <v>2891</v>
      </c>
      <c r="E39" s="14">
        <f>SUM(120+114)</f>
        <v>234</v>
      </c>
      <c r="F39" s="15">
        <f t="shared" si="1"/>
        <v>12.354700854700855</v>
      </c>
      <c r="G39" s="14">
        <v>2</v>
      </c>
      <c r="H39" s="14"/>
      <c r="I39" s="14"/>
      <c r="J39" s="14"/>
      <c r="K39" s="14"/>
      <c r="L39" s="14">
        <v>1</v>
      </c>
      <c r="M39" s="16"/>
    </row>
    <row r="40" spans="1:13" ht="18.75" x14ac:dyDescent="0.3">
      <c r="A40" s="3">
        <v>39</v>
      </c>
      <c r="B40" s="8" t="s">
        <v>41</v>
      </c>
      <c r="C40" s="4" t="s">
        <v>21</v>
      </c>
      <c r="D40" s="17">
        <f>SUM(1179+1413+1443+1451+1367+1503+1448+1485)</f>
        <v>11289</v>
      </c>
      <c r="E40" s="14">
        <f>SUM(90+119+112+108+114+113+120+144)</f>
        <v>920</v>
      </c>
      <c r="F40" s="15">
        <f t="shared" si="1"/>
        <v>12.270652173913044</v>
      </c>
      <c r="G40" s="14">
        <v>8</v>
      </c>
      <c r="H40" s="14">
        <v>3</v>
      </c>
      <c r="I40" s="14"/>
      <c r="J40" s="14"/>
      <c r="K40" s="14"/>
      <c r="L40" s="14">
        <v>20</v>
      </c>
      <c r="M40" s="16">
        <v>5</v>
      </c>
    </row>
    <row r="41" spans="1:13" ht="18.75" x14ac:dyDescent="0.3">
      <c r="A41" s="3">
        <v>40</v>
      </c>
      <c r="B41" s="10" t="s">
        <v>57</v>
      </c>
      <c r="C41" s="4" t="s">
        <v>46</v>
      </c>
      <c r="D41" s="17">
        <f>SUM(1416+1252+1334+1500+1345+1490+1487+1180)</f>
        <v>11004</v>
      </c>
      <c r="E41" s="14">
        <f>SUM(125+84+99+144+105+98+147+99)</f>
        <v>901</v>
      </c>
      <c r="F41" s="15">
        <f t="shared" si="1"/>
        <v>12.213096559378469</v>
      </c>
      <c r="G41" s="14">
        <v>8</v>
      </c>
      <c r="H41" s="14">
        <v>2</v>
      </c>
      <c r="I41" s="14"/>
      <c r="J41" s="14"/>
      <c r="K41" s="14"/>
      <c r="L41" s="14">
        <v>14</v>
      </c>
      <c r="M41" s="16"/>
    </row>
    <row r="42" spans="1:13" ht="18.75" x14ac:dyDescent="0.3">
      <c r="A42" s="3">
        <v>41</v>
      </c>
      <c r="B42" s="40" t="s">
        <v>55</v>
      </c>
      <c r="C42" s="9" t="s">
        <v>33</v>
      </c>
      <c r="D42" s="17">
        <f>SUM(1418+1495+1361+1446+1491+1483+1468)</f>
        <v>10162</v>
      </c>
      <c r="E42" s="14">
        <f>SUM(122+118+123+150+97+115+113)</f>
        <v>838</v>
      </c>
      <c r="F42" s="15">
        <f t="shared" si="1"/>
        <v>12.126491646778042</v>
      </c>
      <c r="G42" s="14">
        <v>7</v>
      </c>
      <c r="H42" s="14">
        <v>4</v>
      </c>
      <c r="I42" s="14"/>
      <c r="J42" s="14"/>
      <c r="K42" s="14"/>
      <c r="L42" s="14">
        <v>20.5</v>
      </c>
      <c r="M42" s="16"/>
    </row>
    <row r="43" spans="1:13" ht="18.75" x14ac:dyDescent="0.3">
      <c r="A43" s="3">
        <v>42</v>
      </c>
      <c r="B43" s="8" t="s">
        <v>63</v>
      </c>
      <c r="C43" s="8" t="s">
        <v>53</v>
      </c>
      <c r="D43" s="17">
        <f>SUM(1498+1066+1491+1501+1497+1393)</f>
        <v>8446</v>
      </c>
      <c r="E43" s="14">
        <f>SUM(158+78+104+125+126+112)</f>
        <v>703</v>
      </c>
      <c r="F43" s="15">
        <f t="shared" si="1"/>
        <v>12.014224751066857</v>
      </c>
      <c r="G43" s="14">
        <v>6</v>
      </c>
      <c r="H43" s="14">
        <v>2</v>
      </c>
      <c r="I43" s="14"/>
      <c r="J43" s="14"/>
      <c r="K43" s="14"/>
      <c r="L43" s="14">
        <v>11</v>
      </c>
      <c r="M43" s="16"/>
    </row>
    <row r="44" spans="1:13" ht="18.75" x14ac:dyDescent="0.3">
      <c r="A44" s="3">
        <v>43</v>
      </c>
      <c r="B44" s="8" t="s">
        <v>72</v>
      </c>
      <c r="C44" s="8" t="s">
        <v>19</v>
      </c>
      <c r="D44" s="17">
        <f>SUM(1495+1461+1481)</f>
        <v>4437</v>
      </c>
      <c r="E44" s="14">
        <f>SUM(117+130+128)</f>
        <v>375</v>
      </c>
      <c r="F44" s="15">
        <f t="shared" si="1"/>
        <v>11.832000000000001</v>
      </c>
      <c r="G44" s="14">
        <v>3</v>
      </c>
      <c r="H44" s="14">
        <v>2</v>
      </c>
      <c r="I44" s="14"/>
      <c r="J44" s="14"/>
      <c r="K44" s="14"/>
      <c r="L44" s="14">
        <v>15</v>
      </c>
      <c r="M44" s="16"/>
    </row>
    <row r="45" spans="1:13" ht="18.75" x14ac:dyDescent="0.3">
      <c r="A45" s="3">
        <v>44</v>
      </c>
      <c r="B45" s="8" t="s">
        <v>50</v>
      </c>
      <c r="C45" s="8" t="s">
        <v>12</v>
      </c>
      <c r="D45" s="17">
        <f>SUM(1235+1395)</f>
        <v>2630</v>
      </c>
      <c r="E45" s="14">
        <f>SUM(104+119)</f>
        <v>223</v>
      </c>
      <c r="F45" s="15">
        <f t="shared" si="1"/>
        <v>11.79372197309417</v>
      </c>
      <c r="G45" s="14">
        <v>2</v>
      </c>
      <c r="H45" s="14"/>
      <c r="I45" s="14"/>
      <c r="J45" s="14"/>
      <c r="K45" s="14"/>
      <c r="L45" s="14">
        <v>6</v>
      </c>
      <c r="M45" s="16"/>
    </row>
    <row r="46" spans="1:13" ht="18.75" x14ac:dyDescent="0.3">
      <c r="A46" s="3">
        <v>45</v>
      </c>
      <c r="B46" s="10" t="s">
        <v>76</v>
      </c>
      <c r="C46" s="8" t="s">
        <v>49</v>
      </c>
      <c r="D46" s="17">
        <f>SUM(1499+1501+1408+1503+1495+1495+1481)</f>
        <v>10382</v>
      </c>
      <c r="E46" s="14">
        <f>SUM(172+128+99+114+138+126+106)</f>
        <v>883</v>
      </c>
      <c r="F46" s="15">
        <f t="shared" si="1"/>
        <v>11.757644394110985</v>
      </c>
      <c r="G46" s="14">
        <v>7</v>
      </c>
      <c r="H46" s="14">
        <v>4</v>
      </c>
      <c r="I46" s="14"/>
      <c r="J46" s="14"/>
      <c r="K46" s="14"/>
      <c r="L46" s="14">
        <v>24</v>
      </c>
      <c r="M46" s="16"/>
    </row>
    <row r="47" spans="1:13" ht="18.75" x14ac:dyDescent="0.3">
      <c r="A47" s="3">
        <v>46</v>
      </c>
      <c r="B47" s="10" t="s">
        <v>179</v>
      </c>
      <c r="C47" s="8" t="s">
        <v>60</v>
      </c>
      <c r="D47" s="17">
        <f>SUM(1359)</f>
        <v>1359</v>
      </c>
      <c r="E47" s="14">
        <f>SUM(116)</f>
        <v>116</v>
      </c>
      <c r="F47" s="15">
        <f t="shared" si="1"/>
        <v>11.71551724137931</v>
      </c>
      <c r="G47" s="14">
        <v>1</v>
      </c>
      <c r="H47" s="14">
        <v>1</v>
      </c>
      <c r="I47" s="14"/>
      <c r="J47" s="14"/>
      <c r="K47" s="14"/>
      <c r="L47" s="14">
        <v>2</v>
      </c>
      <c r="M47" s="16"/>
    </row>
    <row r="48" spans="1:13" ht="18.75" x14ac:dyDescent="0.3">
      <c r="A48" s="3">
        <v>47</v>
      </c>
      <c r="B48" s="10" t="s">
        <v>183</v>
      </c>
      <c r="C48" s="8" t="s">
        <v>14</v>
      </c>
      <c r="D48" s="17">
        <f>SUM(1485)</f>
        <v>1485</v>
      </c>
      <c r="E48" s="14">
        <f>SUM(129)</f>
        <v>129</v>
      </c>
      <c r="F48" s="15">
        <f t="shared" si="1"/>
        <v>11.511627906976743</v>
      </c>
      <c r="G48" s="14">
        <v>1</v>
      </c>
      <c r="H48" s="14">
        <v>1</v>
      </c>
      <c r="I48" s="14"/>
      <c r="J48" s="14"/>
      <c r="K48" s="14"/>
      <c r="L48" s="14">
        <v>4.5</v>
      </c>
      <c r="M48" s="16"/>
    </row>
    <row r="49" spans="1:13" ht="18.75" x14ac:dyDescent="0.3">
      <c r="A49" s="3">
        <v>48</v>
      </c>
      <c r="B49" s="8" t="s">
        <v>54</v>
      </c>
      <c r="C49" s="4" t="s">
        <v>49</v>
      </c>
      <c r="D49" s="17">
        <f>SUM(1408+1461+1300)</f>
        <v>4169</v>
      </c>
      <c r="E49" s="14">
        <f>SUM(121+158+86)</f>
        <v>365</v>
      </c>
      <c r="F49" s="15">
        <f t="shared" si="1"/>
        <v>11.421917808219177</v>
      </c>
      <c r="G49" s="14">
        <v>3</v>
      </c>
      <c r="H49" s="14">
        <v>1</v>
      </c>
      <c r="I49" s="14"/>
      <c r="J49" s="14"/>
      <c r="K49" s="14"/>
      <c r="L49" s="14">
        <v>8.5</v>
      </c>
      <c r="M49" s="16"/>
    </row>
    <row r="50" spans="1:13" ht="18.75" x14ac:dyDescent="0.3">
      <c r="A50" s="3">
        <v>49</v>
      </c>
      <c r="B50" s="10" t="s">
        <v>30</v>
      </c>
      <c r="C50" s="9" t="s">
        <v>23</v>
      </c>
      <c r="D50" s="17">
        <f>SUM(1302+1358+1471+1503+1495+1235+1457+1491)</f>
        <v>11312</v>
      </c>
      <c r="E50" s="14">
        <f>SUM(90+98+130+127+149+111+149+144)</f>
        <v>998</v>
      </c>
      <c r="F50" s="15">
        <f t="shared" si="1"/>
        <v>11.334669338677354</v>
      </c>
      <c r="G50" s="14">
        <v>8</v>
      </c>
      <c r="H50" s="14">
        <v>5</v>
      </c>
      <c r="I50" s="14"/>
      <c r="J50" s="14"/>
      <c r="K50" s="14"/>
      <c r="L50" s="14">
        <v>26.5</v>
      </c>
      <c r="M50" s="16"/>
    </row>
    <row r="51" spans="1:13" ht="18.75" x14ac:dyDescent="0.3">
      <c r="A51" s="3">
        <v>50</v>
      </c>
      <c r="B51" s="11" t="s">
        <v>59</v>
      </c>
      <c r="C51" s="8" t="s">
        <v>60</v>
      </c>
      <c r="D51" s="17">
        <f>SUM(1495+1198+1171+1097)</f>
        <v>4961</v>
      </c>
      <c r="E51" s="14">
        <f>SUM(137+121+90+90)</f>
        <v>438</v>
      </c>
      <c r="F51" s="15">
        <f t="shared" si="1"/>
        <v>11.326484018264841</v>
      </c>
      <c r="G51" s="14">
        <v>4</v>
      </c>
      <c r="H51" s="14"/>
      <c r="I51" s="14"/>
      <c r="J51" s="14"/>
      <c r="K51" s="14"/>
      <c r="L51" s="14">
        <v>2</v>
      </c>
      <c r="M51" s="16"/>
    </row>
    <row r="52" spans="1:13" ht="18.75" x14ac:dyDescent="0.3">
      <c r="A52" s="3">
        <v>51</v>
      </c>
      <c r="B52" s="11" t="s">
        <v>176</v>
      </c>
      <c r="C52" s="9" t="s">
        <v>46</v>
      </c>
      <c r="D52" s="17">
        <f>SUM(1498+1487+1119)</f>
        <v>4104</v>
      </c>
      <c r="E52" s="14">
        <f>SUM(161+114+90)</f>
        <v>365</v>
      </c>
      <c r="F52" s="15">
        <f t="shared" si="1"/>
        <v>11.243835616438357</v>
      </c>
      <c r="G52" s="14">
        <v>3</v>
      </c>
      <c r="H52" s="14">
        <v>2</v>
      </c>
      <c r="I52" s="14"/>
      <c r="J52" s="14"/>
      <c r="K52" s="14"/>
      <c r="L52" s="14">
        <v>11</v>
      </c>
      <c r="M52" s="16"/>
    </row>
    <row r="53" spans="1:13" ht="18.75" x14ac:dyDescent="0.3">
      <c r="A53" s="3">
        <v>52</v>
      </c>
      <c r="B53" s="20" t="s">
        <v>58</v>
      </c>
      <c r="C53" s="4" t="s">
        <v>14</v>
      </c>
      <c r="D53" s="17">
        <f>SUM(1431+1499+1493+1499+1374+1491+1468)</f>
        <v>10255</v>
      </c>
      <c r="E53" s="14">
        <f>SUM(128+168+144+126+105+139+114)</f>
        <v>924</v>
      </c>
      <c r="F53" s="15">
        <f t="shared" si="1"/>
        <v>11.098484848484848</v>
      </c>
      <c r="G53" s="14">
        <v>7</v>
      </c>
      <c r="H53" s="14">
        <v>4</v>
      </c>
      <c r="I53" s="14"/>
      <c r="J53" s="14"/>
      <c r="K53" s="14"/>
      <c r="L53" s="14">
        <v>23</v>
      </c>
      <c r="M53" s="16"/>
    </row>
    <row r="54" spans="1:13" ht="18.75" x14ac:dyDescent="0.3">
      <c r="A54" s="3">
        <v>53</v>
      </c>
      <c r="B54" s="11" t="s">
        <v>181</v>
      </c>
      <c r="C54" s="8" t="s">
        <v>21</v>
      </c>
      <c r="D54" s="17">
        <f>SUM(1350)</f>
        <v>1350</v>
      </c>
      <c r="E54" s="14">
        <f>SUM(123)</f>
        <v>123</v>
      </c>
      <c r="F54" s="15">
        <f t="shared" si="1"/>
        <v>10.975609756097562</v>
      </c>
      <c r="G54" s="14">
        <v>1</v>
      </c>
      <c r="H54" s="14"/>
      <c r="I54" s="14"/>
      <c r="J54" s="14"/>
      <c r="K54" s="14"/>
      <c r="L54" s="14">
        <v>1.5</v>
      </c>
      <c r="M54" s="16"/>
    </row>
    <row r="55" spans="1:13" ht="18.75" x14ac:dyDescent="0.3">
      <c r="A55" s="3">
        <v>54</v>
      </c>
      <c r="B55" s="20" t="s">
        <v>42</v>
      </c>
      <c r="C55" s="8" t="s">
        <v>14</v>
      </c>
      <c r="D55" s="17">
        <f>SUM(1482+1499+1503+1491+1294+1465+1439+1445)</f>
        <v>11618</v>
      </c>
      <c r="E55" s="14">
        <f>SUM(117+165+144+126+126+162+121+110)</f>
        <v>1071</v>
      </c>
      <c r="F55" s="15">
        <f t="shared" si="1"/>
        <v>10.84780578898226</v>
      </c>
      <c r="G55" s="14">
        <v>8</v>
      </c>
      <c r="H55" s="14">
        <v>2</v>
      </c>
      <c r="I55" s="14">
        <v>1</v>
      </c>
      <c r="J55" s="14"/>
      <c r="K55" s="14"/>
      <c r="L55" s="14">
        <v>23.5</v>
      </c>
      <c r="M55" s="16"/>
    </row>
    <row r="56" spans="1:13" ht="18.75" x14ac:dyDescent="0.3">
      <c r="A56" s="3">
        <v>55</v>
      </c>
      <c r="B56" s="20" t="s">
        <v>61</v>
      </c>
      <c r="C56" s="8" t="s">
        <v>53</v>
      </c>
      <c r="D56" s="17">
        <f>SUM(1483+1452+1373+1441)</f>
        <v>5749</v>
      </c>
      <c r="E56" s="14">
        <f>SUM(136+141+114+142)</f>
        <v>533</v>
      </c>
      <c r="F56" s="15">
        <f t="shared" si="1"/>
        <v>10.786116322701689</v>
      </c>
      <c r="G56" s="14">
        <v>4</v>
      </c>
      <c r="H56" s="14">
        <v>1</v>
      </c>
      <c r="I56" s="14"/>
      <c r="J56" s="14"/>
      <c r="K56" s="14"/>
      <c r="L56" s="14">
        <v>9</v>
      </c>
      <c r="M56" s="16"/>
    </row>
    <row r="57" spans="1:13" ht="18.75" x14ac:dyDescent="0.3">
      <c r="A57" s="3">
        <v>56</v>
      </c>
      <c r="B57" s="11" t="s">
        <v>174</v>
      </c>
      <c r="C57" s="8" t="s">
        <v>16</v>
      </c>
      <c r="D57" s="17">
        <f>SUM(1424+1496)</f>
        <v>2920</v>
      </c>
      <c r="E57" s="14">
        <f>SUM(126+145)</f>
        <v>271</v>
      </c>
      <c r="F57" s="15">
        <f t="shared" si="1"/>
        <v>10.77490774907749</v>
      </c>
      <c r="G57" s="14">
        <v>2</v>
      </c>
      <c r="H57" s="14"/>
      <c r="I57" s="14"/>
      <c r="J57" s="14"/>
      <c r="K57" s="14"/>
      <c r="L57" s="14">
        <v>4.5</v>
      </c>
      <c r="M57" s="16"/>
    </row>
    <row r="58" spans="1:13" ht="18.75" x14ac:dyDescent="0.3">
      <c r="A58" s="3">
        <v>57</v>
      </c>
      <c r="B58" s="11" t="s">
        <v>69</v>
      </c>
      <c r="C58" s="8" t="s">
        <v>60</v>
      </c>
      <c r="D58" s="17">
        <f>SUM(1297+1501+1485+1355+1413+1350+1379+1478)</f>
        <v>11258</v>
      </c>
      <c r="E58" s="14">
        <f>SUM(156+158+152+127+108+117+122+108)</f>
        <v>1048</v>
      </c>
      <c r="F58" s="15">
        <f t="shared" si="1"/>
        <v>10.742366412213741</v>
      </c>
      <c r="G58" s="14">
        <v>8</v>
      </c>
      <c r="H58" s="14">
        <v>3</v>
      </c>
      <c r="I58" s="14"/>
      <c r="J58" s="14"/>
      <c r="K58" s="14"/>
      <c r="L58" s="14">
        <v>15</v>
      </c>
      <c r="M58" s="16"/>
    </row>
    <row r="59" spans="1:13" ht="18.75" x14ac:dyDescent="0.3">
      <c r="A59" s="3">
        <v>58</v>
      </c>
      <c r="B59" s="11" t="s">
        <v>62</v>
      </c>
      <c r="C59" s="4" t="s">
        <v>60</v>
      </c>
      <c r="D59" s="17">
        <f>SUM(1264+920+1335)</f>
        <v>3519</v>
      </c>
      <c r="E59" s="14">
        <f>SUM(123+72+138)</f>
        <v>333</v>
      </c>
      <c r="F59" s="15">
        <f t="shared" si="1"/>
        <v>10.567567567567568</v>
      </c>
      <c r="G59" s="14">
        <v>3</v>
      </c>
      <c r="H59" s="14"/>
      <c r="I59" s="14"/>
      <c r="J59" s="14"/>
      <c r="K59" s="14"/>
      <c r="L59" s="14">
        <v>2.5</v>
      </c>
      <c r="M59" s="16"/>
    </row>
    <row r="60" spans="1:13" ht="18.75" x14ac:dyDescent="0.3">
      <c r="A60" s="3">
        <v>59</v>
      </c>
      <c r="B60" s="11" t="s">
        <v>70</v>
      </c>
      <c r="C60" s="9" t="s">
        <v>53</v>
      </c>
      <c r="D60" s="17">
        <f>SUM(1480+1435+1503+1491+1497+1463)</f>
        <v>8869</v>
      </c>
      <c r="E60" s="14">
        <f>SUM(180+141+139+125+151+119)</f>
        <v>855</v>
      </c>
      <c r="F60" s="15">
        <f t="shared" si="1"/>
        <v>10.373099415204678</v>
      </c>
      <c r="G60" s="14">
        <v>6</v>
      </c>
      <c r="H60" s="14">
        <v>1</v>
      </c>
      <c r="I60" s="14"/>
      <c r="J60" s="14"/>
      <c r="K60" s="14"/>
      <c r="L60" s="14">
        <v>9</v>
      </c>
      <c r="M60" s="16"/>
    </row>
    <row r="61" spans="1:13" ht="18.75" x14ac:dyDescent="0.3">
      <c r="A61" s="3">
        <v>60</v>
      </c>
      <c r="B61" s="11" t="s">
        <v>65</v>
      </c>
      <c r="C61" s="8" t="s">
        <v>46</v>
      </c>
      <c r="D61" s="17">
        <f>SUM(1493+1344+1345+1483)</f>
        <v>5665</v>
      </c>
      <c r="E61" s="14">
        <f>SUM(159+141+111+139)</f>
        <v>550</v>
      </c>
      <c r="F61" s="15">
        <f t="shared" si="1"/>
        <v>10.3</v>
      </c>
      <c r="G61" s="14">
        <v>4</v>
      </c>
      <c r="H61" s="14">
        <v>1</v>
      </c>
      <c r="I61" s="14"/>
      <c r="J61" s="14"/>
      <c r="K61" s="14"/>
      <c r="L61" s="14">
        <v>4</v>
      </c>
      <c r="M61" s="16"/>
    </row>
    <row r="62" spans="1:13" ht="18.75" x14ac:dyDescent="0.3">
      <c r="A62" s="3">
        <v>61</v>
      </c>
      <c r="B62" s="20" t="s">
        <v>66</v>
      </c>
      <c r="C62" s="4" t="s">
        <v>49</v>
      </c>
      <c r="D62" s="17">
        <f>SUM(1474+1189+1448+1191+1495+1421)</f>
        <v>8218</v>
      </c>
      <c r="E62" s="14">
        <f>SUM(158+126+132+107+162+123)</f>
        <v>808</v>
      </c>
      <c r="F62" s="15">
        <f t="shared" si="1"/>
        <v>10.170792079207921</v>
      </c>
      <c r="G62" s="14">
        <v>6</v>
      </c>
      <c r="H62" s="14">
        <v>2</v>
      </c>
      <c r="I62" s="14"/>
      <c r="J62" s="14"/>
      <c r="K62" s="14"/>
      <c r="L62" s="14">
        <v>13.5</v>
      </c>
      <c r="M62" s="16"/>
    </row>
    <row r="63" spans="1:13" ht="18.75" x14ac:dyDescent="0.3">
      <c r="A63" s="3">
        <v>62</v>
      </c>
      <c r="B63" s="11" t="s">
        <v>175</v>
      </c>
      <c r="C63" s="4" t="s">
        <v>12</v>
      </c>
      <c r="D63" s="17">
        <f>SUM(1385)</f>
        <v>1385</v>
      </c>
      <c r="E63" s="14">
        <f>SUM(138)</f>
        <v>138</v>
      </c>
      <c r="F63" s="15">
        <f t="shared" si="1"/>
        <v>10.036231884057971</v>
      </c>
      <c r="G63" s="14">
        <v>1</v>
      </c>
      <c r="H63" s="14"/>
      <c r="I63" s="14"/>
      <c r="J63" s="14"/>
      <c r="K63" s="14"/>
      <c r="L63" s="14">
        <v>2.5</v>
      </c>
      <c r="M63" s="16"/>
    </row>
    <row r="64" spans="1:13" ht="18.75" x14ac:dyDescent="0.3">
      <c r="A64" s="3">
        <v>63</v>
      </c>
      <c r="B64" s="11" t="s">
        <v>75</v>
      </c>
      <c r="C64" s="4" t="s">
        <v>60</v>
      </c>
      <c r="D64" s="17">
        <f>SUM(1459+1180+1070)</f>
        <v>3709</v>
      </c>
      <c r="E64" s="14">
        <f>SUM(165+111+96)</f>
        <v>372</v>
      </c>
      <c r="F64" s="15">
        <f t="shared" si="1"/>
        <v>9.970430107526882</v>
      </c>
      <c r="G64" s="14">
        <v>3</v>
      </c>
      <c r="H64" s="14"/>
      <c r="I64" s="14"/>
      <c r="J64" s="14"/>
      <c r="K64" s="14"/>
      <c r="L64" s="14">
        <v>5</v>
      </c>
      <c r="M64" s="16"/>
    </row>
    <row r="65" spans="1:18" ht="18.75" x14ac:dyDescent="0.3">
      <c r="A65" s="3">
        <v>64</v>
      </c>
      <c r="B65" s="11" t="s">
        <v>68</v>
      </c>
      <c r="C65" s="4" t="s">
        <v>60</v>
      </c>
      <c r="D65" s="17">
        <f>SUM(1493+1464+1445+1017+1395+1287)</f>
        <v>8101</v>
      </c>
      <c r="E65" s="14">
        <f>SUM(177+162+141+93+130+116)</f>
        <v>819</v>
      </c>
      <c r="F65" s="15">
        <f t="shared" si="1"/>
        <v>9.8913308913308917</v>
      </c>
      <c r="G65" s="14">
        <v>6</v>
      </c>
      <c r="H65" s="14">
        <v>1</v>
      </c>
      <c r="I65" s="14"/>
      <c r="J65" s="14"/>
      <c r="K65" s="14"/>
      <c r="L65" s="14">
        <v>8.5</v>
      </c>
      <c r="M65" s="16"/>
    </row>
    <row r="66" spans="1:18" ht="18.75" x14ac:dyDescent="0.3">
      <c r="A66" s="3">
        <v>65</v>
      </c>
      <c r="B66" s="11" t="s">
        <v>64</v>
      </c>
      <c r="C66" s="8" t="s">
        <v>46</v>
      </c>
      <c r="D66" s="17">
        <f>SUM(1468+1466+912)</f>
        <v>3846</v>
      </c>
      <c r="E66" s="14">
        <f>SUM(156+165+75)</f>
        <v>396</v>
      </c>
      <c r="F66" s="15">
        <f t="shared" ref="F66:F97" si="2">SUM(D66/E66)</f>
        <v>9.7121212121212128</v>
      </c>
      <c r="G66" s="14">
        <v>3</v>
      </c>
      <c r="H66" s="14"/>
      <c r="I66" s="14"/>
      <c r="J66" s="14"/>
      <c r="K66" s="14"/>
      <c r="L66" s="14">
        <v>2.5</v>
      </c>
      <c r="M66" s="16"/>
    </row>
    <row r="67" spans="1:18" ht="18.75" x14ac:dyDescent="0.3">
      <c r="A67" s="3">
        <v>66</v>
      </c>
      <c r="B67" s="11" t="s">
        <v>177</v>
      </c>
      <c r="C67" s="8" t="s">
        <v>46</v>
      </c>
      <c r="D67" s="17">
        <f>SUM(1491)</f>
        <v>1491</v>
      </c>
      <c r="E67" s="14">
        <f>SUM(165)</f>
        <v>165</v>
      </c>
      <c r="F67" s="15">
        <f t="shared" si="2"/>
        <v>9.036363636363637</v>
      </c>
      <c r="G67" s="14">
        <v>1</v>
      </c>
      <c r="H67" s="14"/>
      <c r="I67" s="14"/>
      <c r="J67" s="14"/>
      <c r="K67" s="14"/>
      <c r="L67" s="14">
        <v>0.5</v>
      </c>
      <c r="M67" s="16"/>
    </row>
    <row r="68" spans="1:18" ht="18.75" x14ac:dyDescent="0.3">
      <c r="A68" s="3">
        <v>67</v>
      </c>
      <c r="B68" s="11" t="s">
        <v>178</v>
      </c>
      <c r="C68" s="4" t="s">
        <v>60</v>
      </c>
      <c r="D68" s="17"/>
      <c r="E68" s="14"/>
      <c r="F68" s="15"/>
      <c r="G68" s="14"/>
      <c r="H68" s="14"/>
      <c r="I68" s="14"/>
      <c r="J68" s="14"/>
      <c r="K68" s="14"/>
      <c r="L68" s="14">
        <v>1</v>
      </c>
      <c r="M68" s="16"/>
    </row>
    <row r="69" spans="1:18" ht="18.75" x14ac:dyDescent="0.3">
      <c r="A69" s="3">
        <v>68</v>
      </c>
      <c r="B69" s="11" t="s">
        <v>170</v>
      </c>
      <c r="C69" s="8" t="s">
        <v>46</v>
      </c>
      <c r="D69" s="17"/>
      <c r="E69" s="14"/>
      <c r="F69" s="15"/>
      <c r="G69" s="14"/>
      <c r="H69" s="14"/>
      <c r="I69" s="14"/>
      <c r="J69" s="14"/>
      <c r="K69" s="14"/>
      <c r="L69" s="14">
        <v>0</v>
      </c>
      <c r="M69" s="16"/>
    </row>
    <row r="70" spans="1:18" ht="17.25" customHeight="1" thickBot="1" x14ac:dyDescent="0.35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8" ht="19.5" customHeight="1" thickBot="1" x14ac:dyDescent="0.35">
      <c r="A71" s="5"/>
      <c r="B71" s="41" t="s">
        <v>187</v>
      </c>
      <c r="C71" s="31" t="s">
        <v>77</v>
      </c>
      <c r="D71" s="32" t="s">
        <v>78</v>
      </c>
      <c r="E71" s="33" t="s">
        <v>79</v>
      </c>
      <c r="F71" s="24" t="s">
        <v>168</v>
      </c>
      <c r="G71" s="34" t="s">
        <v>80</v>
      </c>
      <c r="I71" s="52" t="s">
        <v>81</v>
      </c>
      <c r="J71" s="53"/>
      <c r="K71" s="53"/>
      <c r="L71" s="53"/>
      <c r="M71" s="53"/>
      <c r="N71" s="53"/>
      <c r="O71" s="53"/>
      <c r="P71" s="53"/>
      <c r="Q71" s="53"/>
      <c r="R71" s="54"/>
    </row>
    <row r="72" spans="1:18" ht="18.75" x14ac:dyDescent="0.3">
      <c r="A72" s="5"/>
      <c r="B72" s="42"/>
      <c r="C72" s="21" t="s">
        <v>85</v>
      </c>
      <c r="D72" s="8">
        <v>8</v>
      </c>
      <c r="E72" s="20">
        <v>0</v>
      </c>
      <c r="F72" s="19">
        <v>0</v>
      </c>
      <c r="G72" s="21">
        <v>134</v>
      </c>
      <c r="I72" s="44" t="s">
        <v>83</v>
      </c>
      <c r="J72" s="45"/>
      <c r="K72" s="45"/>
      <c r="L72" s="45"/>
      <c r="M72" s="45"/>
      <c r="N72" s="55" t="s">
        <v>84</v>
      </c>
      <c r="O72" s="55"/>
      <c r="P72" s="55"/>
      <c r="Q72" s="55"/>
      <c r="R72" s="56"/>
    </row>
    <row r="73" spans="1:18" ht="18.75" x14ac:dyDescent="0.3">
      <c r="A73" s="5"/>
      <c r="B73" s="42"/>
      <c r="C73" s="22" t="s">
        <v>93</v>
      </c>
      <c r="D73" s="10">
        <v>7</v>
      </c>
      <c r="E73" s="11">
        <v>1</v>
      </c>
      <c r="F73" s="19">
        <v>0</v>
      </c>
      <c r="G73" s="22">
        <v>116</v>
      </c>
      <c r="I73" s="46" t="s">
        <v>86</v>
      </c>
      <c r="J73" s="47"/>
      <c r="K73" s="47"/>
      <c r="L73" s="47"/>
      <c r="M73" s="47"/>
      <c r="N73" s="50" t="s">
        <v>184</v>
      </c>
      <c r="O73" s="50"/>
      <c r="P73" s="50"/>
      <c r="Q73" s="50"/>
      <c r="R73" s="51"/>
    </row>
    <row r="74" spans="1:18" ht="18.75" x14ac:dyDescent="0.3">
      <c r="A74" s="5"/>
      <c r="B74" s="42"/>
      <c r="C74" s="21" t="s">
        <v>91</v>
      </c>
      <c r="D74" s="8">
        <v>7</v>
      </c>
      <c r="E74" s="26">
        <v>1</v>
      </c>
      <c r="F74" s="19">
        <v>0</v>
      </c>
      <c r="G74" s="27">
        <v>114</v>
      </c>
      <c r="I74" s="46" t="s">
        <v>88</v>
      </c>
      <c r="J74" s="47"/>
      <c r="K74" s="47"/>
      <c r="L74" s="47"/>
      <c r="M74" s="47"/>
      <c r="N74" s="50" t="s">
        <v>185</v>
      </c>
      <c r="O74" s="50"/>
      <c r="P74" s="50"/>
      <c r="Q74" s="50"/>
      <c r="R74" s="51"/>
    </row>
    <row r="75" spans="1:18" ht="18.75" x14ac:dyDescent="0.3">
      <c r="A75" s="6"/>
      <c r="B75" s="42"/>
      <c r="C75" s="21" t="s">
        <v>96</v>
      </c>
      <c r="D75" s="8">
        <v>6</v>
      </c>
      <c r="E75" s="26">
        <v>2</v>
      </c>
      <c r="F75" s="19">
        <v>0</v>
      </c>
      <c r="G75" s="27">
        <v>114</v>
      </c>
      <c r="I75" s="46" t="s">
        <v>90</v>
      </c>
      <c r="J75" s="47"/>
      <c r="K75" s="47"/>
      <c r="L75" s="47"/>
      <c r="M75" s="47"/>
      <c r="N75" s="50" t="s">
        <v>186</v>
      </c>
      <c r="O75" s="50"/>
      <c r="P75" s="50"/>
      <c r="Q75" s="50"/>
      <c r="R75" s="51"/>
    </row>
    <row r="76" spans="1:18" ht="18" customHeight="1" x14ac:dyDescent="0.3">
      <c r="A76" s="6"/>
      <c r="B76" s="42"/>
      <c r="C76" s="21" t="s">
        <v>89</v>
      </c>
      <c r="D76" s="8">
        <v>5</v>
      </c>
      <c r="E76" s="26">
        <v>3</v>
      </c>
      <c r="F76" s="19">
        <v>0</v>
      </c>
      <c r="G76" s="27">
        <v>109</v>
      </c>
      <c r="I76" s="46" t="s">
        <v>92</v>
      </c>
      <c r="J76" s="47"/>
      <c r="K76" s="47"/>
      <c r="L76" s="47"/>
      <c r="M76" s="47"/>
      <c r="N76" s="50" t="s">
        <v>180</v>
      </c>
      <c r="O76" s="50"/>
      <c r="P76" s="50"/>
      <c r="Q76" s="50"/>
      <c r="R76" s="51"/>
    </row>
    <row r="77" spans="1:18" ht="18" customHeight="1" thickBot="1" x14ac:dyDescent="0.35">
      <c r="A77" s="6"/>
      <c r="B77" s="42"/>
      <c r="C77" s="21" t="s">
        <v>95</v>
      </c>
      <c r="D77" s="8">
        <v>4</v>
      </c>
      <c r="E77" s="20">
        <v>4</v>
      </c>
      <c r="F77" s="19">
        <v>0</v>
      </c>
      <c r="G77" s="21">
        <v>104</v>
      </c>
      <c r="I77" s="48" t="s">
        <v>94</v>
      </c>
      <c r="J77" s="49"/>
      <c r="K77" s="49"/>
      <c r="L77" s="49"/>
      <c r="M77" s="49"/>
      <c r="N77" s="50" t="s">
        <v>169</v>
      </c>
      <c r="O77" s="50"/>
      <c r="P77" s="50"/>
      <c r="Q77" s="50"/>
      <c r="R77" s="51"/>
    </row>
    <row r="78" spans="1:18" ht="18.75" x14ac:dyDescent="0.3">
      <c r="A78" s="6"/>
      <c r="B78" s="42"/>
      <c r="C78" s="21" t="s">
        <v>99</v>
      </c>
      <c r="D78" s="8">
        <v>3</v>
      </c>
      <c r="E78" s="26">
        <v>5</v>
      </c>
      <c r="F78" s="19">
        <v>0</v>
      </c>
      <c r="G78" s="27">
        <v>94</v>
      </c>
      <c r="H78" s="6"/>
      <c r="I78" s="6"/>
    </row>
    <row r="79" spans="1:18" ht="18.75" x14ac:dyDescent="0.3">
      <c r="A79" s="6"/>
      <c r="B79" s="42"/>
      <c r="C79" s="23" t="s">
        <v>82</v>
      </c>
      <c r="D79" s="18">
        <v>3</v>
      </c>
      <c r="E79" s="25">
        <v>5</v>
      </c>
      <c r="F79" s="30">
        <v>0</v>
      </c>
      <c r="G79" s="23">
        <v>90</v>
      </c>
      <c r="H79" s="6"/>
    </row>
    <row r="80" spans="1:18" ht="18.75" x14ac:dyDescent="0.3">
      <c r="B80" s="42"/>
      <c r="C80" s="22" t="s">
        <v>97</v>
      </c>
      <c r="D80" s="10">
        <v>2</v>
      </c>
      <c r="E80" s="11">
        <v>6</v>
      </c>
      <c r="F80" s="19">
        <v>0</v>
      </c>
      <c r="G80" s="22">
        <v>93</v>
      </c>
    </row>
    <row r="81" spans="2:7" ht="18.75" x14ac:dyDescent="0.3">
      <c r="B81" s="42"/>
      <c r="C81" s="21" t="s">
        <v>87</v>
      </c>
      <c r="D81" s="8">
        <v>2</v>
      </c>
      <c r="E81" s="26">
        <v>6</v>
      </c>
      <c r="F81" s="19">
        <v>0</v>
      </c>
      <c r="G81" s="27">
        <v>77</v>
      </c>
    </row>
    <row r="82" spans="2:7" ht="18.75" x14ac:dyDescent="0.3">
      <c r="B82" s="42"/>
      <c r="C82" s="22" t="s">
        <v>100</v>
      </c>
      <c r="D82" s="10">
        <v>1</v>
      </c>
      <c r="E82" s="11">
        <v>7</v>
      </c>
      <c r="F82" s="19">
        <v>0</v>
      </c>
      <c r="G82" s="22">
        <v>58</v>
      </c>
    </row>
    <row r="83" spans="2:7" ht="19.5" thickBot="1" x14ac:dyDescent="0.35">
      <c r="B83" s="43"/>
      <c r="C83" s="22" t="s">
        <v>98</v>
      </c>
      <c r="D83" s="10">
        <v>0</v>
      </c>
      <c r="E83" s="11">
        <v>8</v>
      </c>
      <c r="F83" s="19">
        <v>0</v>
      </c>
      <c r="G83" s="22">
        <v>49</v>
      </c>
    </row>
    <row r="84" spans="2:7" ht="15.75" thickBot="1" x14ac:dyDescent="0.3"/>
    <row r="85" spans="2:7" ht="19.5" thickBot="1" x14ac:dyDescent="0.35">
      <c r="C85" s="31" t="s">
        <v>101</v>
      </c>
      <c r="D85" s="32" t="s">
        <v>78</v>
      </c>
      <c r="E85" s="32" t="s">
        <v>79</v>
      </c>
      <c r="F85" s="24" t="s">
        <v>168</v>
      </c>
      <c r="G85" s="35" t="s">
        <v>80</v>
      </c>
    </row>
    <row r="86" spans="2:7" ht="18.75" x14ac:dyDescent="0.3">
      <c r="C86" s="18" t="s">
        <v>85</v>
      </c>
      <c r="D86" s="18">
        <v>8</v>
      </c>
      <c r="E86" s="25">
        <v>0</v>
      </c>
      <c r="F86" s="30">
        <v>0</v>
      </c>
      <c r="G86" s="23">
        <v>134</v>
      </c>
    </row>
    <row r="87" spans="2:7" ht="18.75" x14ac:dyDescent="0.3">
      <c r="C87" s="8" t="s">
        <v>91</v>
      </c>
      <c r="D87" s="8">
        <v>7</v>
      </c>
      <c r="E87" s="26">
        <v>1</v>
      </c>
      <c r="F87" s="19">
        <v>0</v>
      </c>
      <c r="G87" s="27">
        <v>114</v>
      </c>
    </row>
    <row r="88" spans="2:7" ht="18.75" x14ac:dyDescent="0.3">
      <c r="C88" s="18" t="s">
        <v>96</v>
      </c>
      <c r="D88" s="18">
        <v>6</v>
      </c>
      <c r="E88" s="28">
        <v>2</v>
      </c>
      <c r="F88" s="19">
        <v>0</v>
      </c>
      <c r="G88" s="29">
        <v>114</v>
      </c>
    </row>
    <row r="89" spans="2:7" ht="18.75" x14ac:dyDescent="0.3">
      <c r="C89" s="8" t="s">
        <v>99</v>
      </c>
      <c r="D89" s="8">
        <v>3</v>
      </c>
      <c r="E89" s="26">
        <v>5</v>
      </c>
      <c r="F89" s="19">
        <v>0</v>
      </c>
      <c r="G89" s="27">
        <v>94</v>
      </c>
    </row>
    <row r="90" spans="2:7" ht="15.75" thickBot="1" x14ac:dyDescent="0.3"/>
    <row r="91" spans="2:7" ht="19.5" thickBot="1" x14ac:dyDescent="0.35">
      <c r="C91" s="31" t="s">
        <v>102</v>
      </c>
      <c r="D91" s="32" t="s">
        <v>78</v>
      </c>
      <c r="E91" s="32" t="s">
        <v>79</v>
      </c>
      <c r="F91" s="24" t="s">
        <v>168</v>
      </c>
      <c r="G91" s="35" t="s">
        <v>80</v>
      </c>
    </row>
    <row r="92" spans="2:7" ht="18.75" x14ac:dyDescent="0.3">
      <c r="C92" s="10" t="s">
        <v>93</v>
      </c>
      <c r="D92" s="10">
        <v>7</v>
      </c>
      <c r="E92" s="11">
        <v>1</v>
      </c>
      <c r="F92" s="19">
        <v>0</v>
      </c>
      <c r="G92" s="22">
        <v>116</v>
      </c>
    </row>
    <row r="93" spans="2:7" ht="18.75" x14ac:dyDescent="0.3">
      <c r="C93" s="18" t="s">
        <v>89</v>
      </c>
      <c r="D93" s="18">
        <v>5</v>
      </c>
      <c r="E93" s="28">
        <v>3</v>
      </c>
      <c r="F93" s="30">
        <v>0</v>
      </c>
      <c r="G93" s="29">
        <v>109</v>
      </c>
    </row>
    <row r="94" spans="2:7" ht="18.75" x14ac:dyDescent="0.3">
      <c r="C94" s="8" t="s">
        <v>95</v>
      </c>
      <c r="D94" s="8">
        <v>4</v>
      </c>
      <c r="E94" s="20">
        <v>4</v>
      </c>
      <c r="F94" s="19">
        <v>0</v>
      </c>
      <c r="G94" s="21">
        <v>104</v>
      </c>
    </row>
    <row r="95" spans="2:7" ht="18.75" x14ac:dyDescent="0.3">
      <c r="C95" s="10" t="s">
        <v>97</v>
      </c>
      <c r="D95" s="10">
        <v>2</v>
      </c>
      <c r="E95" s="11">
        <v>6</v>
      </c>
      <c r="F95" s="19">
        <v>0</v>
      </c>
      <c r="G95" s="22">
        <v>93</v>
      </c>
    </row>
    <row r="96" spans="2:7" ht="15.75" thickBot="1" x14ac:dyDescent="0.3"/>
    <row r="97" spans="3:7" ht="19.5" thickBot="1" x14ac:dyDescent="0.35">
      <c r="C97" s="36" t="s">
        <v>103</v>
      </c>
      <c r="D97" s="37" t="s">
        <v>78</v>
      </c>
      <c r="E97" s="37" t="s">
        <v>79</v>
      </c>
      <c r="F97" s="24" t="s">
        <v>168</v>
      </c>
      <c r="G97" s="38" t="s">
        <v>80</v>
      </c>
    </row>
    <row r="98" spans="3:7" ht="18.75" x14ac:dyDescent="0.3">
      <c r="C98" s="18" t="s">
        <v>82</v>
      </c>
      <c r="D98" s="18">
        <v>3</v>
      </c>
      <c r="E98" s="25">
        <v>5</v>
      </c>
      <c r="F98" s="30">
        <v>0</v>
      </c>
      <c r="G98" s="23">
        <v>90</v>
      </c>
    </row>
    <row r="99" spans="3:7" ht="18.75" x14ac:dyDescent="0.3">
      <c r="C99" s="18" t="s">
        <v>87</v>
      </c>
      <c r="D99" s="18">
        <v>2</v>
      </c>
      <c r="E99" s="28">
        <v>6</v>
      </c>
      <c r="F99" s="19">
        <v>0</v>
      </c>
      <c r="G99" s="29">
        <v>77</v>
      </c>
    </row>
    <row r="100" spans="3:7" ht="18.75" x14ac:dyDescent="0.3">
      <c r="C100" s="10" t="s">
        <v>100</v>
      </c>
      <c r="D100" s="10">
        <v>1</v>
      </c>
      <c r="E100" s="11">
        <v>7</v>
      </c>
      <c r="F100" s="19">
        <v>0</v>
      </c>
      <c r="G100" s="22">
        <v>58</v>
      </c>
    </row>
    <row r="101" spans="3:7" ht="18.75" x14ac:dyDescent="0.3">
      <c r="C101" s="10" t="s">
        <v>98</v>
      </c>
      <c r="D101" s="10">
        <v>0</v>
      </c>
      <c r="E101" s="11">
        <v>8</v>
      </c>
      <c r="F101" s="19">
        <v>0</v>
      </c>
      <c r="G101" s="22">
        <v>49</v>
      </c>
    </row>
  </sheetData>
  <sortState ref="A2:M69">
    <sortCondition descending="1" ref="F2:F69"/>
  </sortState>
  <mergeCells count="14">
    <mergeCell ref="N77:R77"/>
    <mergeCell ref="I71:R71"/>
    <mergeCell ref="N72:R72"/>
    <mergeCell ref="N73:R73"/>
    <mergeCell ref="N74:R74"/>
    <mergeCell ref="N75:R75"/>
    <mergeCell ref="N76:R76"/>
    <mergeCell ref="B71:B83"/>
    <mergeCell ref="I72:M72"/>
    <mergeCell ref="I73:M73"/>
    <mergeCell ref="I74:M74"/>
    <mergeCell ref="I75:M75"/>
    <mergeCell ref="I76:M76"/>
    <mergeCell ref="I77:M7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46"/>
  <sheetViews>
    <sheetView workbookViewId="0">
      <selection activeCell="D50" sqref="D50"/>
    </sheetView>
  </sheetViews>
  <sheetFormatPr defaultRowHeight="15" x14ac:dyDescent="0.25"/>
  <cols>
    <col min="1" max="1" width="10.28515625" bestFit="1" customWidth="1"/>
    <col min="2" max="2" width="5.85546875" bestFit="1" customWidth="1"/>
    <col min="3" max="3" width="6.5703125" bestFit="1" customWidth="1"/>
    <col min="4" max="4" width="12.5703125" bestFit="1" customWidth="1"/>
    <col min="5" max="5" width="11.140625" bestFit="1" customWidth="1"/>
    <col min="6" max="6" width="7.140625" bestFit="1" customWidth="1"/>
    <col min="7" max="7" width="5.42578125" bestFit="1" customWidth="1"/>
    <col min="8" max="8" width="16.85546875" bestFit="1" customWidth="1"/>
    <col min="9" max="9" width="5.85546875" bestFit="1" customWidth="1"/>
    <col min="10" max="10" width="6.5703125" bestFit="1" customWidth="1"/>
    <col min="11" max="11" width="12.5703125" bestFit="1" customWidth="1"/>
    <col min="12" max="12" width="11.140625" bestFit="1" customWidth="1"/>
    <col min="13" max="13" width="7.140625" bestFit="1" customWidth="1"/>
    <col min="14" max="14" width="15.140625" bestFit="1" customWidth="1"/>
    <col min="16" max="16" width="14.85546875" bestFit="1" customWidth="1"/>
    <col min="17" max="17" width="5.85546875" bestFit="1" customWidth="1"/>
    <col min="18" max="18" width="6.5703125" bestFit="1" customWidth="1"/>
    <col min="19" max="19" width="12.5703125" bestFit="1" customWidth="1"/>
    <col min="20" max="20" width="11.140625" bestFit="1" customWidth="1"/>
    <col min="21" max="21" width="7.140625" bestFit="1" customWidth="1"/>
    <col min="22" max="22" width="5.42578125" bestFit="1" customWidth="1"/>
    <col min="23" max="23" width="13" bestFit="1" customWidth="1"/>
    <col min="24" max="24" width="5.85546875" bestFit="1" customWidth="1"/>
    <col min="25" max="25" width="6.5703125" bestFit="1" customWidth="1"/>
    <col min="26" max="26" width="12.5703125" bestFit="1" customWidth="1"/>
    <col min="27" max="27" width="11.140625" bestFit="1" customWidth="1"/>
    <col min="28" max="28" width="7.140625" bestFit="1" customWidth="1"/>
    <col min="29" max="29" width="13.5703125" bestFit="1" customWidth="1"/>
  </cols>
  <sheetData>
    <row r="2" spans="1:29" x14ac:dyDescent="0.25">
      <c r="A2" s="57" t="s">
        <v>104</v>
      </c>
      <c r="B2" s="57"/>
      <c r="C2" s="57"/>
      <c r="D2" s="57"/>
      <c r="E2" s="57"/>
      <c r="F2" s="57"/>
      <c r="G2" s="7"/>
      <c r="H2" s="57" t="s">
        <v>105</v>
      </c>
      <c r="I2" s="57"/>
      <c r="J2" s="57"/>
      <c r="K2" s="57"/>
      <c r="L2" s="57"/>
      <c r="M2" s="57"/>
      <c r="N2" s="7"/>
      <c r="O2" s="7"/>
      <c r="P2" s="57" t="s">
        <v>106</v>
      </c>
      <c r="Q2" s="57"/>
      <c r="R2" s="57"/>
      <c r="S2" s="57"/>
      <c r="T2" s="57"/>
      <c r="U2" s="57"/>
      <c r="W2" s="7" t="s">
        <v>107</v>
      </c>
      <c r="X2" s="7"/>
      <c r="Y2" s="7"/>
      <c r="Z2" s="7"/>
      <c r="AA2" s="7"/>
      <c r="AB2" s="7"/>
    </row>
    <row r="3" spans="1:29" x14ac:dyDescent="0.25">
      <c r="A3" s="7"/>
      <c r="B3" s="7" t="s">
        <v>108</v>
      </c>
      <c r="C3" s="7" t="s">
        <v>80</v>
      </c>
      <c r="D3" s="7" t="s">
        <v>109</v>
      </c>
      <c r="E3" s="7" t="s">
        <v>110</v>
      </c>
      <c r="F3" s="7" t="s">
        <v>111</v>
      </c>
      <c r="G3" s="7"/>
      <c r="H3" s="7"/>
      <c r="I3" s="7" t="s">
        <v>108</v>
      </c>
      <c r="J3" s="7" t="s">
        <v>80</v>
      </c>
      <c r="K3" s="7" t="s">
        <v>109</v>
      </c>
      <c r="L3" s="7" t="s">
        <v>110</v>
      </c>
      <c r="M3" s="7" t="s">
        <v>111</v>
      </c>
      <c r="N3" s="7"/>
      <c r="O3" s="7"/>
      <c r="P3" s="7"/>
      <c r="Q3" s="7" t="s">
        <v>108</v>
      </c>
      <c r="R3" s="7" t="s">
        <v>80</v>
      </c>
      <c r="S3" s="7" t="s">
        <v>109</v>
      </c>
      <c r="T3" s="7" t="s">
        <v>110</v>
      </c>
      <c r="U3" s="7" t="s">
        <v>111</v>
      </c>
      <c r="W3" s="7"/>
      <c r="X3" s="7" t="s">
        <v>108</v>
      </c>
      <c r="Y3" s="7" t="s">
        <v>80</v>
      </c>
      <c r="Z3" s="7" t="s">
        <v>109</v>
      </c>
      <c r="AA3" s="7" t="s">
        <v>110</v>
      </c>
      <c r="AB3" s="7" t="s">
        <v>111</v>
      </c>
    </row>
    <row r="4" spans="1:29" x14ac:dyDescent="0.25">
      <c r="A4" s="7" t="s">
        <v>112</v>
      </c>
      <c r="B4" s="7">
        <v>114</v>
      </c>
      <c r="C4" s="7">
        <v>1503</v>
      </c>
      <c r="D4" s="7">
        <f>SUM(C4/B4)</f>
        <v>13.184210526315789</v>
      </c>
      <c r="E4" s="7">
        <v>3.5</v>
      </c>
      <c r="F4" s="7">
        <v>1</v>
      </c>
      <c r="G4" s="7"/>
      <c r="H4" s="7" t="s">
        <v>113</v>
      </c>
      <c r="I4" s="7">
        <v>117</v>
      </c>
      <c r="J4" s="7">
        <v>1482</v>
      </c>
      <c r="K4" s="7">
        <f>SUM(J4/I4)</f>
        <v>12.666666666666666</v>
      </c>
      <c r="L4" s="7">
        <v>2.5</v>
      </c>
      <c r="M4" s="7"/>
      <c r="N4" s="7"/>
      <c r="O4" s="7"/>
      <c r="P4" s="7" t="s">
        <v>45</v>
      </c>
      <c r="Q4" s="7">
        <v>120</v>
      </c>
      <c r="R4" s="7">
        <v>1497</v>
      </c>
      <c r="S4" s="7">
        <f>SUM(R4/Q4)</f>
        <v>12.475</v>
      </c>
      <c r="T4" s="7">
        <v>1</v>
      </c>
      <c r="U4" s="7"/>
      <c r="W4" s="7" t="s">
        <v>114</v>
      </c>
      <c r="X4" s="7">
        <v>121</v>
      </c>
      <c r="Y4" s="7">
        <v>1408</v>
      </c>
      <c r="Z4" s="7">
        <f>SUM(Y4/X4)</f>
        <v>11.636363636363637</v>
      </c>
      <c r="AA4" s="7">
        <v>5</v>
      </c>
      <c r="AB4" s="7">
        <v>1</v>
      </c>
    </row>
    <row r="5" spans="1:29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W5" s="7"/>
      <c r="X5" s="7"/>
      <c r="Y5" s="7"/>
      <c r="Z5" s="7"/>
      <c r="AA5" s="7"/>
      <c r="AB5" s="7"/>
    </row>
    <row r="6" spans="1:29" x14ac:dyDescent="0.25">
      <c r="A6" s="7" t="s">
        <v>115</v>
      </c>
      <c r="B6" s="7">
        <v>78</v>
      </c>
      <c r="C6" s="7">
        <v>984</v>
      </c>
      <c r="D6" s="7">
        <f t="shared" ref="D6:D10" si="0">SUM(C6/B6)</f>
        <v>12.615384615384615</v>
      </c>
      <c r="E6" s="7">
        <v>1.5</v>
      </c>
      <c r="F6" s="7"/>
      <c r="G6" s="7"/>
      <c r="H6" s="7" t="s">
        <v>116</v>
      </c>
      <c r="I6" s="7">
        <v>82</v>
      </c>
      <c r="J6" s="7">
        <v>1493</v>
      </c>
      <c r="K6" s="7">
        <f t="shared" ref="K6:K10" si="1">SUM(J6/I6)</f>
        <v>18.207317073170731</v>
      </c>
      <c r="L6" s="7">
        <v>4.5</v>
      </c>
      <c r="M6" s="7">
        <v>1</v>
      </c>
      <c r="N6" s="12" t="s">
        <v>117</v>
      </c>
      <c r="O6" s="7"/>
      <c r="P6" s="7" t="s">
        <v>57</v>
      </c>
      <c r="Q6" s="7">
        <v>125</v>
      </c>
      <c r="R6" s="7">
        <v>1416</v>
      </c>
      <c r="S6" s="7">
        <f t="shared" ref="S6:S10" si="2">SUM(R6/Q6)</f>
        <v>11.327999999999999</v>
      </c>
      <c r="T6" s="7">
        <v>1</v>
      </c>
      <c r="U6" s="7"/>
      <c r="W6" s="7" t="s">
        <v>118</v>
      </c>
      <c r="X6" s="7">
        <v>124</v>
      </c>
      <c r="Y6" s="7">
        <v>1498</v>
      </c>
      <c r="Z6" s="7">
        <f t="shared" ref="Z6:Z10" si="3">SUM(Y6/X6)</f>
        <v>12.080645161290322</v>
      </c>
      <c r="AA6" s="7">
        <v>5</v>
      </c>
      <c r="AB6" s="7">
        <v>1</v>
      </c>
    </row>
    <row r="7" spans="1:29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 t="s">
        <v>119</v>
      </c>
      <c r="O7" s="7"/>
      <c r="P7" s="7"/>
      <c r="Q7" s="7"/>
      <c r="R7" s="7"/>
      <c r="S7" s="7"/>
      <c r="T7" s="7"/>
      <c r="U7" s="7"/>
      <c r="W7" s="7"/>
      <c r="X7" s="7"/>
      <c r="Y7" s="7"/>
      <c r="Z7" s="7"/>
      <c r="AA7" s="7"/>
      <c r="AB7" s="7"/>
    </row>
    <row r="8" spans="1:29" x14ac:dyDescent="0.25">
      <c r="A8" s="7" t="s">
        <v>120</v>
      </c>
      <c r="B8" s="7">
        <v>96</v>
      </c>
      <c r="C8" s="7">
        <v>1400</v>
      </c>
      <c r="D8" s="7">
        <f t="shared" si="0"/>
        <v>14.583333333333334</v>
      </c>
      <c r="E8" s="7">
        <v>2.5</v>
      </c>
      <c r="F8" s="7">
        <v>1</v>
      </c>
      <c r="G8" s="7"/>
      <c r="H8" s="7" t="s">
        <v>121</v>
      </c>
      <c r="I8" s="7">
        <v>91</v>
      </c>
      <c r="J8" s="7">
        <v>1475</v>
      </c>
      <c r="K8" s="7">
        <f t="shared" si="1"/>
        <v>16.208791208791208</v>
      </c>
      <c r="L8" s="7">
        <v>3.5</v>
      </c>
      <c r="M8" s="7"/>
      <c r="N8" s="7"/>
      <c r="O8" s="7"/>
      <c r="P8" s="7" t="s">
        <v>65</v>
      </c>
      <c r="Q8" s="7">
        <v>159</v>
      </c>
      <c r="R8" s="7">
        <v>1493</v>
      </c>
      <c r="S8" s="7">
        <f t="shared" si="2"/>
        <v>9.3899371069182394</v>
      </c>
      <c r="T8" s="7">
        <v>1</v>
      </c>
      <c r="U8" s="7"/>
      <c r="W8" s="7" t="s">
        <v>122</v>
      </c>
      <c r="X8" s="7">
        <v>162</v>
      </c>
      <c r="Y8" s="7">
        <v>1501</v>
      </c>
      <c r="Z8" s="7">
        <f t="shared" si="3"/>
        <v>9.2654320987654319</v>
      </c>
      <c r="AA8" s="7">
        <v>5</v>
      </c>
      <c r="AB8" s="7">
        <v>1</v>
      </c>
      <c r="AC8" s="13" t="s">
        <v>123</v>
      </c>
    </row>
    <row r="9" spans="1:29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W9" s="7"/>
      <c r="X9" s="7"/>
      <c r="Y9" s="7"/>
      <c r="Z9" s="7"/>
      <c r="AA9" s="7"/>
      <c r="AB9" s="7"/>
    </row>
    <row r="10" spans="1:29" x14ac:dyDescent="0.25">
      <c r="A10" s="7" t="s">
        <v>56</v>
      </c>
      <c r="B10" s="7">
        <v>132</v>
      </c>
      <c r="C10" s="7">
        <v>1501</v>
      </c>
      <c r="D10" s="7">
        <f t="shared" si="0"/>
        <v>11.371212121212121</v>
      </c>
      <c r="E10" s="7">
        <v>2.5</v>
      </c>
      <c r="F10" s="7">
        <v>1</v>
      </c>
      <c r="G10" s="7"/>
      <c r="H10" s="7" t="s">
        <v>58</v>
      </c>
      <c r="I10" s="7">
        <v>128</v>
      </c>
      <c r="J10" s="7">
        <v>1431</v>
      </c>
      <c r="K10" s="7">
        <f t="shared" si="1"/>
        <v>11.1796875</v>
      </c>
      <c r="L10" s="7">
        <v>3.5</v>
      </c>
      <c r="M10" s="7"/>
      <c r="N10" s="7"/>
      <c r="O10" s="7"/>
      <c r="P10" s="7" t="s">
        <v>64</v>
      </c>
      <c r="Q10" s="7">
        <v>156</v>
      </c>
      <c r="R10" s="7">
        <v>1468</v>
      </c>
      <c r="S10" s="7">
        <f t="shared" si="2"/>
        <v>9.4102564102564106</v>
      </c>
      <c r="T10" s="7">
        <v>1</v>
      </c>
      <c r="U10" s="7"/>
      <c r="W10" s="7" t="s">
        <v>124</v>
      </c>
      <c r="X10" s="7">
        <v>158</v>
      </c>
      <c r="Y10" s="7">
        <v>1474</v>
      </c>
      <c r="Z10" s="7">
        <f t="shared" si="3"/>
        <v>9.3291139240506329</v>
      </c>
      <c r="AA10" s="7">
        <v>3.5</v>
      </c>
      <c r="AB10" s="7">
        <v>1</v>
      </c>
    </row>
    <row r="11" spans="1:29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29" x14ac:dyDescent="0.25">
      <c r="N12" s="7"/>
      <c r="O12" s="7"/>
      <c r="W12" t="s">
        <v>76</v>
      </c>
      <c r="AA12">
        <v>1.5</v>
      </c>
    </row>
    <row r="13" spans="1:29" x14ac:dyDescent="0.25">
      <c r="N13" s="7"/>
      <c r="O13" s="7"/>
    </row>
    <row r="14" spans="1:29" x14ac:dyDescent="0.25">
      <c r="A14" s="57" t="s">
        <v>125</v>
      </c>
      <c r="B14" s="57"/>
      <c r="C14" s="57"/>
      <c r="D14" s="57"/>
      <c r="E14" s="57"/>
      <c r="F14" s="57"/>
      <c r="G14" s="7"/>
      <c r="H14" s="57" t="s">
        <v>126</v>
      </c>
      <c r="I14" s="57"/>
      <c r="J14" s="57"/>
      <c r="K14" s="57"/>
      <c r="L14" s="57"/>
      <c r="M14" s="57"/>
      <c r="N14" s="7"/>
      <c r="O14" s="7"/>
      <c r="P14" s="57" t="s">
        <v>127</v>
      </c>
      <c r="Q14" s="57"/>
      <c r="R14" s="57"/>
      <c r="S14" s="57"/>
      <c r="T14" s="57"/>
      <c r="U14" s="57"/>
      <c r="V14" s="7"/>
      <c r="W14" s="57" t="s">
        <v>128</v>
      </c>
      <c r="X14" s="57"/>
      <c r="Y14" s="57"/>
      <c r="Z14" s="57"/>
      <c r="AA14" s="57"/>
      <c r="AB14" s="57"/>
    </row>
    <row r="15" spans="1:29" x14ac:dyDescent="0.25">
      <c r="A15" s="7"/>
      <c r="B15" s="7" t="s">
        <v>108</v>
      </c>
      <c r="C15" s="7" t="s">
        <v>80</v>
      </c>
      <c r="D15" s="7" t="s">
        <v>109</v>
      </c>
      <c r="E15" s="7" t="s">
        <v>110</v>
      </c>
      <c r="F15" s="7" t="s">
        <v>111</v>
      </c>
      <c r="G15" s="7"/>
      <c r="H15" s="7"/>
      <c r="I15" s="7" t="s">
        <v>108</v>
      </c>
      <c r="J15" s="7" t="s">
        <v>80</v>
      </c>
      <c r="K15" s="7" t="s">
        <v>109</v>
      </c>
      <c r="L15" s="7" t="s">
        <v>110</v>
      </c>
      <c r="M15" s="7" t="s">
        <v>111</v>
      </c>
      <c r="N15" s="7"/>
      <c r="O15" s="7"/>
      <c r="P15" s="7"/>
      <c r="Q15" s="7" t="s">
        <v>108</v>
      </c>
      <c r="R15" s="7" t="s">
        <v>80</v>
      </c>
      <c r="S15" s="7" t="s">
        <v>109</v>
      </c>
      <c r="T15" s="7" t="s">
        <v>110</v>
      </c>
      <c r="U15" s="7" t="s">
        <v>111</v>
      </c>
      <c r="V15" s="7"/>
      <c r="W15" s="7"/>
      <c r="X15" s="7" t="s">
        <v>108</v>
      </c>
      <c r="Y15" s="7" t="s">
        <v>80</v>
      </c>
      <c r="Z15" s="7" t="s">
        <v>109</v>
      </c>
      <c r="AA15" s="7" t="s">
        <v>110</v>
      </c>
      <c r="AB15" s="7" t="s">
        <v>111</v>
      </c>
    </row>
    <row r="16" spans="1:29" x14ac:dyDescent="0.25">
      <c r="A16" s="7" t="s">
        <v>129</v>
      </c>
      <c r="B16" s="7">
        <v>111</v>
      </c>
      <c r="C16" s="7">
        <v>1489</v>
      </c>
      <c r="D16">
        <f>SUM(C16/B16)</f>
        <v>13.414414414414415</v>
      </c>
      <c r="E16" s="7">
        <v>4</v>
      </c>
      <c r="F16" s="7">
        <v>1</v>
      </c>
      <c r="G16" s="7"/>
      <c r="H16" s="7" t="s">
        <v>36</v>
      </c>
      <c r="I16" s="7">
        <v>108</v>
      </c>
      <c r="J16" s="7">
        <v>1472</v>
      </c>
      <c r="K16" s="7">
        <f>SUM(J16/I16)</f>
        <v>13.62962962962963</v>
      </c>
      <c r="L16" s="7">
        <v>3</v>
      </c>
      <c r="M16" s="7"/>
      <c r="N16" s="7"/>
      <c r="O16" s="7"/>
      <c r="P16" s="7" t="s">
        <v>68</v>
      </c>
      <c r="Q16" s="7">
        <v>177</v>
      </c>
      <c r="R16" s="7">
        <v>1493</v>
      </c>
      <c r="S16" s="7">
        <f>SUM(R16/Q16)</f>
        <v>8.4350282485875709</v>
      </c>
      <c r="T16" s="7">
        <v>2</v>
      </c>
      <c r="U16" s="7">
        <v>1</v>
      </c>
      <c r="V16" s="7"/>
      <c r="W16" s="7" t="s">
        <v>130</v>
      </c>
      <c r="X16" s="7">
        <v>180</v>
      </c>
      <c r="Y16" s="7">
        <v>1480</v>
      </c>
      <c r="Z16" s="7">
        <f>SUM(Y16/X16)</f>
        <v>8.2222222222222214</v>
      </c>
      <c r="AA16" s="7">
        <v>1.5</v>
      </c>
      <c r="AB16" s="7"/>
    </row>
    <row r="17" spans="1:29" x14ac:dyDescent="0.25">
      <c r="A17" s="7"/>
      <c r="B17" s="7"/>
      <c r="C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9" x14ac:dyDescent="0.25">
      <c r="A18" s="7" t="s">
        <v>131</v>
      </c>
      <c r="B18" s="7">
        <v>99</v>
      </c>
      <c r="C18" s="7">
        <v>1197</v>
      </c>
      <c r="D18">
        <f t="shared" ref="D18:D22" si="4">SUM(C18/B18)</f>
        <v>12.090909090909092</v>
      </c>
      <c r="E18" s="7">
        <v>3</v>
      </c>
      <c r="F18" s="7"/>
      <c r="G18" s="7"/>
      <c r="H18" s="7" t="s">
        <v>132</v>
      </c>
      <c r="I18" s="7">
        <v>100</v>
      </c>
      <c r="J18">
        <v>1497</v>
      </c>
      <c r="K18" s="7">
        <f>SUM(J18/I18)</f>
        <v>14.97</v>
      </c>
      <c r="L18" s="7">
        <v>3.5</v>
      </c>
      <c r="M18" s="7">
        <v>1</v>
      </c>
      <c r="N18" s="12" t="s">
        <v>133</v>
      </c>
      <c r="O18" s="7"/>
      <c r="P18" s="7" t="s">
        <v>59</v>
      </c>
      <c r="Q18" s="7">
        <v>137</v>
      </c>
      <c r="R18" s="7">
        <v>1495</v>
      </c>
      <c r="S18" s="7">
        <f t="shared" ref="S18:S22" si="5">SUM(R18/Q18)</f>
        <v>10.912408759124087</v>
      </c>
      <c r="T18" s="7">
        <v>1</v>
      </c>
      <c r="U18" s="7"/>
      <c r="V18" s="7"/>
      <c r="W18" s="7" t="s">
        <v>134</v>
      </c>
      <c r="X18" s="7">
        <v>136</v>
      </c>
      <c r="Y18" s="7">
        <v>1483</v>
      </c>
      <c r="Z18" s="7">
        <f t="shared" ref="Z18:Z22" si="6">SUM(Y18/X18)</f>
        <v>10.904411764705882</v>
      </c>
      <c r="AA18" s="7">
        <v>4.5</v>
      </c>
      <c r="AB18" s="7">
        <v>1</v>
      </c>
    </row>
    <row r="19" spans="1:29" x14ac:dyDescent="0.25">
      <c r="A19" s="7"/>
      <c r="B19" s="7"/>
      <c r="C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9" x14ac:dyDescent="0.25">
      <c r="A20" s="7" t="s">
        <v>135</v>
      </c>
      <c r="B20" s="7">
        <v>104</v>
      </c>
      <c r="C20" s="7">
        <v>1235</v>
      </c>
      <c r="D20">
        <f t="shared" si="4"/>
        <v>11.875</v>
      </c>
      <c r="E20" s="7">
        <v>2.5</v>
      </c>
      <c r="F20" s="7"/>
      <c r="G20" s="7"/>
      <c r="H20" s="7" t="s">
        <v>136</v>
      </c>
      <c r="I20" s="7">
        <v>107</v>
      </c>
      <c r="J20" s="7">
        <v>1483</v>
      </c>
      <c r="K20" s="7">
        <f t="shared" ref="K20:K22" si="7">SUM(J20/I20)</f>
        <v>13.859813084112149</v>
      </c>
      <c r="L20" s="7">
        <v>3</v>
      </c>
      <c r="M20" s="7">
        <v>1</v>
      </c>
      <c r="N20" s="7" t="s">
        <v>137</v>
      </c>
      <c r="O20" s="7"/>
      <c r="P20" s="7" t="s">
        <v>69</v>
      </c>
      <c r="Q20" s="7">
        <v>156</v>
      </c>
      <c r="R20" s="7">
        <v>1297</v>
      </c>
      <c r="S20" s="7">
        <f t="shared" si="5"/>
        <v>8.3141025641025639</v>
      </c>
      <c r="T20" s="7">
        <v>2.5</v>
      </c>
      <c r="U20" s="7">
        <v>1</v>
      </c>
      <c r="V20" s="7" t="s">
        <v>138</v>
      </c>
      <c r="W20" s="7" t="s">
        <v>139</v>
      </c>
      <c r="X20" s="7">
        <v>158</v>
      </c>
      <c r="Y20" s="7">
        <v>1498</v>
      </c>
      <c r="Z20" s="7">
        <f t="shared" si="6"/>
        <v>9.4810126582278489</v>
      </c>
      <c r="AA20" s="7">
        <v>2.5</v>
      </c>
      <c r="AB20" s="7"/>
    </row>
    <row r="21" spans="1:29" x14ac:dyDescent="0.25">
      <c r="A21" s="7"/>
      <c r="B21" s="7"/>
      <c r="C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9" x14ac:dyDescent="0.25">
      <c r="A22" s="7" t="s">
        <v>140</v>
      </c>
      <c r="B22" s="7">
        <v>76</v>
      </c>
      <c r="C22" s="7">
        <v>1471</v>
      </c>
      <c r="D22">
        <f t="shared" si="4"/>
        <v>19.355263157894736</v>
      </c>
      <c r="E22" s="7">
        <v>3.5</v>
      </c>
      <c r="F22" s="7">
        <v>1</v>
      </c>
      <c r="G22" s="7"/>
      <c r="H22" s="7" t="s">
        <v>15</v>
      </c>
      <c r="I22" s="7">
        <v>80</v>
      </c>
      <c r="J22" s="7">
        <v>1350</v>
      </c>
      <c r="K22" s="7">
        <f t="shared" si="7"/>
        <v>16.875</v>
      </c>
      <c r="L22" s="7">
        <v>1.5</v>
      </c>
      <c r="M22" s="7"/>
      <c r="N22" s="7"/>
      <c r="O22" s="7"/>
      <c r="P22" s="7" t="s">
        <v>62</v>
      </c>
      <c r="Q22" s="7">
        <v>123</v>
      </c>
      <c r="R22" s="7">
        <v>1264</v>
      </c>
      <c r="S22" s="7">
        <f t="shared" si="5"/>
        <v>10.276422764227643</v>
      </c>
      <c r="T22" s="7">
        <v>0.5</v>
      </c>
      <c r="U22" s="7"/>
      <c r="W22" s="7" t="s">
        <v>52</v>
      </c>
      <c r="X22" s="7">
        <v>129</v>
      </c>
      <c r="Y22" s="7">
        <v>1503</v>
      </c>
      <c r="Z22" s="7">
        <f t="shared" si="6"/>
        <v>11.651162790697674</v>
      </c>
      <c r="AA22" s="7">
        <v>6</v>
      </c>
      <c r="AB22" s="7">
        <v>1</v>
      </c>
      <c r="AC22" t="s">
        <v>141</v>
      </c>
    </row>
    <row r="23" spans="1:29" x14ac:dyDescent="0.25">
      <c r="N23" s="7"/>
      <c r="O23" s="7"/>
      <c r="P23" s="7" t="s">
        <v>74</v>
      </c>
      <c r="R23" s="7"/>
      <c r="S23" s="7"/>
      <c r="T23" s="7">
        <v>1</v>
      </c>
      <c r="U23" s="7"/>
      <c r="V23" s="7"/>
      <c r="W23" s="7"/>
      <c r="X23" s="7"/>
      <c r="Y23" s="7"/>
      <c r="Z23" s="7"/>
      <c r="AA23" s="7"/>
      <c r="AB23" s="7"/>
    </row>
    <row r="24" spans="1:2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 t="s">
        <v>75</v>
      </c>
      <c r="Q24" s="7"/>
      <c r="R24" s="7"/>
      <c r="S24" s="7"/>
      <c r="T24" s="7">
        <v>1</v>
      </c>
      <c r="U24" s="7"/>
      <c r="V24" s="7"/>
      <c r="W24" s="7" t="s">
        <v>142</v>
      </c>
      <c r="X24" s="7"/>
      <c r="Y24" s="7"/>
      <c r="Z24" s="7"/>
      <c r="AA24" s="7">
        <v>1.5</v>
      </c>
      <c r="AB24" s="7"/>
    </row>
    <row r="25" spans="1:29" x14ac:dyDescent="0.25">
      <c r="N25" s="7"/>
      <c r="O25" s="7"/>
    </row>
    <row r="26" spans="1:29" x14ac:dyDescent="0.25">
      <c r="N26" s="7"/>
      <c r="O26" s="7"/>
    </row>
    <row r="27" spans="1:29" x14ac:dyDescent="0.25">
      <c r="A27" s="57" t="s">
        <v>143</v>
      </c>
      <c r="B27" s="57"/>
      <c r="C27" s="57"/>
      <c r="D27" s="57"/>
      <c r="E27" s="57"/>
      <c r="F27" s="57"/>
      <c r="G27" s="7"/>
      <c r="H27" s="57" t="s">
        <v>144</v>
      </c>
      <c r="I27" s="57"/>
      <c r="J27" s="57"/>
      <c r="K27" s="57"/>
      <c r="L27" s="57"/>
      <c r="M27" s="57"/>
      <c r="N27" s="7"/>
      <c r="O27" s="7"/>
      <c r="P27" s="57" t="s">
        <v>145</v>
      </c>
      <c r="Q27" s="57"/>
      <c r="R27" s="57"/>
      <c r="S27" s="57"/>
      <c r="T27" s="57"/>
      <c r="U27" s="57"/>
      <c r="V27" s="7"/>
      <c r="W27" s="57" t="s">
        <v>146</v>
      </c>
      <c r="X27" s="57"/>
      <c r="Y27" s="57"/>
      <c r="Z27" s="57"/>
      <c r="AA27" s="57"/>
      <c r="AB27" s="57"/>
    </row>
    <row r="28" spans="1:29" x14ac:dyDescent="0.25">
      <c r="A28" s="7"/>
      <c r="B28" s="7" t="s">
        <v>108</v>
      </c>
      <c r="C28" s="7" t="s">
        <v>80</v>
      </c>
      <c r="D28" s="7" t="s">
        <v>109</v>
      </c>
      <c r="E28" s="7" t="s">
        <v>110</v>
      </c>
      <c r="F28" s="7" t="s">
        <v>111</v>
      </c>
      <c r="G28" s="7"/>
      <c r="H28" s="7"/>
      <c r="I28" s="7" t="s">
        <v>108</v>
      </c>
      <c r="J28" s="7" t="s">
        <v>80</v>
      </c>
      <c r="K28" s="7" t="s">
        <v>109</v>
      </c>
      <c r="L28" s="7" t="s">
        <v>110</v>
      </c>
      <c r="M28" s="7" t="s">
        <v>111</v>
      </c>
      <c r="N28" s="7"/>
      <c r="O28" s="7"/>
      <c r="P28" s="7"/>
      <c r="Q28" s="7" t="s">
        <v>108</v>
      </c>
      <c r="R28" s="7" t="s">
        <v>80</v>
      </c>
      <c r="S28" s="7" t="s">
        <v>109</v>
      </c>
      <c r="T28" s="7" t="s">
        <v>110</v>
      </c>
      <c r="U28" s="7" t="s">
        <v>111</v>
      </c>
      <c r="V28" s="7"/>
      <c r="W28" s="7"/>
      <c r="X28" s="7" t="s">
        <v>108</v>
      </c>
      <c r="Y28" s="7" t="s">
        <v>80</v>
      </c>
      <c r="Z28" s="7" t="s">
        <v>109</v>
      </c>
      <c r="AA28" s="7" t="s">
        <v>110</v>
      </c>
      <c r="AB28" s="7" t="s">
        <v>111</v>
      </c>
    </row>
    <row r="29" spans="1:29" x14ac:dyDescent="0.25">
      <c r="A29" s="7" t="s">
        <v>147</v>
      </c>
      <c r="B29" s="7">
        <v>120</v>
      </c>
      <c r="C29" s="7">
        <v>1499</v>
      </c>
      <c r="D29" s="7">
        <f>SUM(C29/B29)</f>
        <v>12.491666666666667</v>
      </c>
      <c r="E29" s="7">
        <v>3.5</v>
      </c>
      <c r="F29" s="7">
        <v>1</v>
      </c>
      <c r="G29" s="7"/>
      <c r="H29" s="7" t="s">
        <v>148</v>
      </c>
      <c r="I29" s="7">
        <v>122</v>
      </c>
      <c r="J29" s="7">
        <v>1418</v>
      </c>
      <c r="K29" s="7">
        <f>SUM(J29/I29)</f>
        <v>11.622950819672131</v>
      </c>
      <c r="L29" s="7">
        <v>2.5</v>
      </c>
      <c r="M29" s="7"/>
      <c r="P29" s="7" t="s">
        <v>113</v>
      </c>
      <c r="Q29" s="7">
        <v>90</v>
      </c>
      <c r="R29" s="7">
        <v>1179</v>
      </c>
      <c r="S29" s="7">
        <f>SUM(R29/Q29)</f>
        <v>13.1</v>
      </c>
      <c r="T29" s="7">
        <v>0.5</v>
      </c>
      <c r="U29" s="7"/>
      <c r="V29" s="7"/>
      <c r="W29" s="7" t="s">
        <v>149</v>
      </c>
      <c r="X29" s="7">
        <v>96</v>
      </c>
      <c r="Y29" s="7">
        <v>1503</v>
      </c>
      <c r="Z29" s="7">
        <f>SUM(Y29/X29)</f>
        <v>15.65625</v>
      </c>
      <c r="AA29" s="7">
        <v>5</v>
      </c>
      <c r="AB29" s="7">
        <v>1</v>
      </c>
    </row>
    <row r="30" spans="1:29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9" x14ac:dyDescent="0.25">
      <c r="A31" s="7" t="s">
        <v>150</v>
      </c>
      <c r="B31" s="7">
        <v>103</v>
      </c>
      <c r="C31" s="7">
        <v>1485</v>
      </c>
      <c r="D31" s="7">
        <f t="shared" ref="D31:D35" si="8">SUM(C31/B31)</f>
        <v>14.41747572815534</v>
      </c>
      <c r="E31" s="7">
        <v>3</v>
      </c>
      <c r="F31" s="7">
        <v>1</v>
      </c>
      <c r="G31" s="7" t="s">
        <v>151</v>
      </c>
      <c r="H31" s="7" t="s">
        <v>152</v>
      </c>
      <c r="I31" s="7">
        <v>105</v>
      </c>
      <c r="J31" s="7">
        <v>1453</v>
      </c>
      <c r="K31" s="7">
        <f t="shared" ref="K31:K35" si="9">SUM(J31/I31)</f>
        <v>13.838095238095239</v>
      </c>
      <c r="L31" s="7">
        <v>1.5</v>
      </c>
      <c r="M31" s="7"/>
      <c r="N31" s="7"/>
      <c r="O31" s="7"/>
      <c r="P31" s="7" t="s">
        <v>153</v>
      </c>
      <c r="Q31" s="7">
        <v>111</v>
      </c>
      <c r="R31" s="7">
        <v>1487</v>
      </c>
      <c r="S31" s="7">
        <f t="shared" ref="S31:S35" si="10">SUM(R31/Q31)</f>
        <v>13.396396396396396</v>
      </c>
      <c r="T31" s="7">
        <v>3</v>
      </c>
      <c r="U31" s="7">
        <v>1</v>
      </c>
      <c r="V31" s="7"/>
      <c r="W31" s="7" t="s">
        <v>116</v>
      </c>
      <c r="X31" s="7">
        <v>110</v>
      </c>
      <c r="Y31" s="7">
        <v>1446</v>
      </c>
      <c r="Z31" s="7">
        <f t="shared" ref="Z31:Z35" si="11">SUM(Y31/X31)</f>
        <v>13.145454545454545</v>
      </c>
      <c r="AA31" s="7">
        <v>3</v>
      </c>
      <c r="AB31" s="7"/>
    </row>
    <row r="32" spans="1:29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x14ac:dyDescent="0.25">
      <c r="A33" s="7" t="s">
        <v>154</v>
      </c>
      <c r="B33" s="7">
        <v>102</v>
      </c>
      <c r="C33" s="7">
        <v>1491</v>
      </c>
      <c r="D33" s="7">
        <f t="shared" si="8"/>
        <v>14.617647058823529</v>
      </c>
      <c r="E33" s="7">
        <v>3.5</v>
      </c>
      <c r="F33" s="7">
        <v>1</v>
      </c>
      <c r="G33" s="7"/>
      <c r="H33" s="7" t="s">
        <v>155</v>
      </c>
      <c r="I33" s="7">
        <v>97</v>
      </c>
      <c r="J33" s="7">
        <v>1375</v>
      </c>
      <c r="K33" s="7">
        <f t="shared" si="9"/>
        <v>14.175257731958762</v>
      </c>
      <c r="L33" s="7">
        <v>2.5</v>
      </c>
      <c r="M33" s="7"/>
      <c r="N33" s="7"/>
      <c r="O33" s="7"/>
      <c r="P33" s="7" t="s">
        <v>156</v>
      </c>
      <c r="Q33" s="7">
        <v>96</v>
      </c>
      <c r="R33" s="7">
        <v>1503</v>
      </c>
      <c r="S33" s="7">
        <f t="shared" si="10"/>
        <v>15.65625</v>
      </c>
      <c r="T33" s="7">
        <v>4.5</v>
      </c>
      <c r="U33" s="7">
        <v>1</v>
      </c>
      <c r="V33" s="12" t="s">
        <v>157</v>
      </c>
      <c r="W33" s="7" t="s">
        <v>158</v>
      </c>
      <c r="X33" s="7">
        <v>90</v>
      </c>
      <c r="Y33" s="7">
        <v>1302</v>
      </c>
      <c r="Z33" s="7">
        <f t="shared" si="11"/>
        <v>14.466666666666667</v>
      </c>
      <c r="AA33" s="7">
        <v>1.5</v>
      </c>
      <c r="AB33" s="7"/>
    </row>
    <row r="34" spans="1:28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x14ac:dyDescent="0.25">
      <c r="A35" s="7" t="s">
        <v>159</v>
      </c>
      <c r="B35" s="7">
        <v>93</v>
      </c>
      <c r="C35" s="7">
        <v>1503</v>
      </c>
      <c r="D35" s="7">
        <f t="shared" si="8"/>
        <v>16.161290322580644</v>
      </c>
      <c r="E35" s="7">
        <v>4.5</v>
      </c>
      <c r="F35" s="7">
        <v>1</v>
      </c>
      <c r="G35" s="7"/>
      <c r="H35" s="7" t="s">
        <v>160</v>
      </c>
      <c r="I35" s="7">
        <v>96</v>
      </c>
      <c r="J35" s="7">
        <v>1125</v>
      </c>
      <c r="K35" s="7">
        <f t="shared" si="9"/>
        <v>11.71875</v>
      </c>
      <c r="L35" s="7">
        <v>0.5</v>
      </c>
      <c r="M35" s="7"/>
      <c r="N35" s="7"/>
      <c r="O35" s="7"/>
      <c r="P35" s="7" t="s">
        <v>161</v>
      </c>
      <c r="Q35" s="7">
        <v>88</v>
      </c>
      <c r="R35" s="7">
        <v>1301</v>
      </c>
      <c r="S35" s="7">
        <f t="shared" si="10"/>
        <v>14.784090909090908</v>
      </c>
      <c r="T35" s="7">
        <v>2</v>
      </c>
      <c r="U35" s="7"/>
      <c r="V35" s="7" t="s">
        <v>162</v>
      </c>
      <c r="W35" s="7" t="s">
        <v>163</v>
      </c>
      <c r="X35" s="7">
        <v>93</v>
      </c>
      <c r="Y35" s="7">
        <v>1408</v>
      </c>
      <c r="Z35" s="7">
        <f t="shared" si="11"/>
        <v>15.13978494623656</v>
      </c>
      <c r="AA35" s="7">
        <v>3.5</v>
      </c>
      <c r="AB35" s="7">
        <v>1</v>
      </c>
    </row>
    <row r="36" spans="1:28" x14ac:dyDescent="0.25">
      <c r="A36" s="7"/>
      <c r="B36" s="7"/>
      <c r="C36" s="7"/>
      <c r="D36" s="7"/>
      <c r="E36" s="7"/>
      <c r="F36" s="7"/>
      <c r="G36" s="7"/>
      <c r="N36" s="7"/>
      <c r="O36" s="7"/>
    </row>
    <row r="37" spans="1:28" x14ac:dyDescent="0.25">
      <c r="A37" s="7" t="s">
        <v>164</v>
      </c>
      <c r="B37" s="7"/>
      <c r="C37" s="7"/>
      <c r="D37" s="7"/>
      <c r="E37" s="7">
        <v>2.5</v>
      </c>
      <c r="F37" s="7"/>
      <c r="G37" s="7"/>
      <c r="N37" s="7"/>
      <c r="O37" s="7"/>
      <c r="P37" t="s">
        <v>165</v>
      </c>
      <c r="T37">
        <v>1</v>
      </c>
    </row>
    <row r="38" spans="1:28" x14ac:dyDescent="0.25">
      <c r="N38" s="7"/>
      <c r="O38" s="7"/>
    </row>
    <row r="39" spans="1:28" x14ac:dyDescent="0.25">
      <c r="N39" s="7"/>
      <c r="O39" s="7"/>
    </row>
    <row r="40" spans="1:28" x14ac:dyDescent="0.25">
      <c r="N40" s="7"/>
      <c r="O40" s="7"/>
    </row>
    <row r="41" spans="1:28" x14ac:dyDescent="0.25">
      <c r="N41" s="7"/>
      <c r="O41" s="7"/>
    </row>
    <row r="42" spans="1:28" x14ac:dyDescent="0.25">
      <c r="N42" s="7"/>
      <c r="O42" s="7"/>
    </row>
    <row r="43" spans="1:28" x14ac:dyDescent="0.25">
      <c r="N43" s="7"/>
      <c r="O43" s="7"/>
    </row>
    <row r="44" spans="1:28" x14ac:dyDescent="0.25">
      <c r="N44" s="7"/>
      <c r="O44" s="7"/>
    </row>
    <row r="45" spans="1:28" x14ac:dyDescent="0.25">
      <c r="N45" s="7"/>
      <c r="O45" s="7"/>
    </row>
    <row r="46" spans="1:28" x14ac:dyDescent="0.25">
      <c r="N46" s="7"/>
      <c r="O46" s="7"/>
    </row>
  </sheetData>
  <mergeCells count="11">
    <mergeCell ref="P27:U27"/>
    <mergeCell ref="W27:AB27"/>
    <mergeCell ref="P14:U14"/>
    <mergeCell ref="P2:U2"/>
    <mergeCell ref="A27:F27"/>
    <mergeCell ref="W14:AB14"/>
    <mergeCell ref="H2:M2"/>
    <mergeCell ref="A14:F14"/>
    <mergeCell ref="H14:M14"/>
    <mergeCell ref="H27:M27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Gabriella Mellie</dc:creator>
  <cp:keywords/>
  <dc:description/>
  <cp:lastModifiedBy>Gabriella Mellie</cp:lastModifiedBy>
  <cp:revision/>
  <dcterms:created xsi:type="dcterms:W3CDTF">2023-09-18T23:48:25Z</dcterms:created>
  <dcterms:modified xsi:type="dcterms:W3CDTF">2024-10-11T13:05:29Z</dcterms:modified>
  <cp:category/>
  <cp:contentStatus/>
</cp:coreProperties>
</file>