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elliga1\Desktop\Personal\"/>
    </mc:Choice>
  </mc:AlternateContent>
  <xr:revisionPtr revIDLastSave="0" documentId="8_{0C7153E0-47D2-47CD-82B4-770881415C28}" xr6:coauthVersionLast="36" xr6:coauthVersionMax="36" xr10:uidLastSave="{00000000-0000-0000-0000-000000000000}"/>
  <bookViews>
    <workbookView xWindow="0" yWindow="0" windowWidth="2720" windowHeight="8640" xr2:uid="{00000000-000D-0000-FFFF-FFFF00000000}"/>
  </bookViews>
  <sheets>
    <sheet name="Week 8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1" i="1" l="1"/>
  <c r="D41" i="1"/>
  <c r="E43" i="1"/>
  <c r="D43" i="1"/>
  <c r="E23" i="1"/>
  <c r="D23" i="1"/>
  <c r="E22" i="1"/>
  <c r="D22" i="1"/>
  <c r="E48" i="1"/>
  <c r="D48" i="1"/>
  <c r="E47" i="1"/>
  <c r="D47" i="1"/>
  <c r="E35" i="1"/>
  <c r="D35" i="1"/>
  <c r="E25" i="1"/>
  <c r="D25" i="1"/>
  <c r="E46" i="1"/>
  <c r="D46" i="1"/>
  <c r="E30" i="1"/>
  <c r="D30" i="1"/>
  <c r="E28" i="1"/>
  <c r="D28" i="1"/>
  <c r="E15" i="1"/>
  <c r="D15" i="1"/>
  <c r="E32" i="1"/>
  <c r="D32" i="1"/>
  <c r="E10" i="1"/>
  <c r="D10" i="1"/>
  <c r="E8" i="1"/>
  <c r="D8" i="1"/>
  <c r="E12" i="1"/>
  <c r="D12" i="1"/>
  <c r="E39" i="1"/>
  <c r="D39" i="1"/>
  <c r="E38" i="1"/>
  <c r="D38" i="1"/>
  <c r="E13" i="1"/>
  <c r="D13" i="1"/>
  <c r="E2" i="1"/>
  <c r="D2" i="1"/>
  <c r="E40" i="1"/>
  <c r="D40" i="1"/>
  <c r="E37" i="1"/>
  <c r="D37" i="1"/>
  <c r="E17" i="1"/>
  <c r="D17" i="1"/>
  <c r="E7" i="1"/>
  <c r="D7" i="1"/>
  <c r="E29" i="1"/>
  <c r="D29" i="1"/>
  <c r="E24" i="1"/>
  <c r="D24" i="1"/>
  <c r="E18" i="1"/>
  <c r="D18" i="1"/>
  <c r="E5" i="1"/>
  <c r="D5" i="1"/>
  <c r="D34" i="1"/>
  <c r="E34" i="1"/>
  <c r="E20" i="1"/>
  <c r="D20" i="1"/>
  <c r="E9" i="1"/>
  <c r="D9" i="1"/>
  <c r="E4" i="1"/>
  <c r="D4" i="1"/>
  <c r="E36" i="1"/>
  <c r="D36" i="1"/>
  <c r="E31" i="1"/>
  <c r="D31" i="1"/>
  <c r="E11" i="1"/>
  <c r="D11" i="1"/>
  <c r="E6" i="1"/>
  <c r="D6" i="1"/>
  <c r="E27" i="1"/>
  <c r="D27" i="1"/>
  <c r="E26" i="1"/>
  <c r="D26" i="1"/>
  <c r="E14" i="1"/>
  <c r="D14" i="1"/>
  <c r="E3" i="1"/>
  <c r="D3" i="1"/>
  <c r="E44" i="1"/>
  <c r="D44" i="1"/>
  <c r="E50" i="1"/>
  <c r="D50" i="1"/>
  <c r="E42" i="1"/>
  <c r="D42" i="1"/>
  <c r="E33" i="1"/>
  <c r="D33" i="1"/>
  <c r="E19" i="1"/>
  <c r="D19" i="1"/>
  <c r="E21" i="1"/>
  <c r="D21" i="1"/>
  <c r="F44" i="1" l="1"/>
  <c r="F50" i="1"/>
  <c r="F38" i="1"/>
  <c r="E49" i="1"/>
  <c r="D49" i="1"/>
  <c r="D52" i="1"/>
  <c r="E52" i="1"/>
  <c r="E51" i="1"/>
  <c r="D51" i="1"/>
  <c r="E45" i="1"/>
  <c r="D45" i="1"/>
  <c r="F45" i="1" s="1"/>
  <c r="F26" i="1"/>
  <c r="E16" i="1"/>
  <c r="D16" i="1"/>
  <c r="F39" i="1" l="1"/>
  <c r="F52" i="1"/>
  <c r="F37" i="1"/>
  <c r="F13" i="1"/>
  <c r="F2" i="1"/>
  <c r="F16" i="1"/>
  <c r="F14" i="1" l="1"/>
  <c r="F49" i="1"/>
  <c r="F29" i="1"/>
  <c r="F5" i="1"/>
  <c r="F8" i="1"/>
  <c r="F10" i="1"/>
  <c r="F32" i="1"/>
  <c r="F34" i="1"/>
  <c r="F41" i="1"/>
  <c r="F43" i="1"/>
  <c r="F23" i="1"/>
  <c r="F6" i="1"/>
  <c r="F31" i="1"/>
  <c r="F36" i="1"/>
  <c r="F15" i="1"/>
  <c r="F51" i="1"/>
  <c r="F19" i="1"/>
  <c r="F11" i="1"/>
  <c r="F47" i="1"/>
  <c r="F25" i="1"/>
  <c r="F48" i="1"/>
  <c r="F42" i="1" l="1"/>
  <c r="F7" i="1"/>
  <c r="F22" i="1"/>
  <c r="F40" i="1"/>
  <c r="F17" i="1"/>
  <c r="F9" i="1"/>
  <c r="F20" i="1"/>
  <c r="F12" i="1"/>
  <c r="F24" i="1"/>
  <c r="F3" i="1"/>
  <c r="F21" i="1"/>
  <c r="F27" i="1"/>
  <c r="F35" i="1"/>
  <c r="F30" i="1"/>
  <c r="F4" i="1"/>
  <c r="F33" i="1"/>
  <c r="F46" i="1"/>
  <c r="F28" i="1"/>
  <c r="F18" i="1"/>
</calcChain>
</file>

<file path=xl/sharedStrings.xml><?xml version="1.0" encoding="utf-8"?>
<sst xmlns="http://schemas.openxmlformats.org/spreadsheetml/2006/main" count="145" uniqueCount="104">
  <si>
    <t>Rank</t>
  </si>
  <si>
    <t>Player</t>
  </si>
  <si>
    <t>Team</t>
  </si>
  <si>
    <t>Total Points</t>
  </si>
  <si>
    <t>Total Darts</t>
  </si>
  <si>
    <t>Total PPD</t>
  </si>
  <si>
    <t>Wks Played</t>
  </si>
  <si>
    <t>501 BP</t>
  </si>
  <si>
    <t>RON</t>
  </si>
  <si>
    <t xml:space="preserve"> MVP Pts</t>
  </si>
  <si>
    <t>Payout</t>
  </si>
  <si>
    <t>Richie Thomas</t>
  </si>
  <si>
    <t>Luigi's Loose Change</t>
  </si>
  <si>
    <t>VFW 1589 Bad Monkeys</t>
  </si>
  <si>
    <t>Larry Jenkins</t>
  </si>
  <si>
    <t xml:space="preserve">Purple Cow 1  </t>
  </si>
  <si>
    <t>Pat Nabors</t>
  </si>
  <si>
    <t>Elks Wiseguys</t>
  </si>
  <si>
    <t>Matt Nacarate</t>
  </si>
  <si>
    <t>Steve Stockett</t>
  </si>
  <si>
    <t>Jimmy Smith</t>
  </si>
  <si>
    <t>Legion Post 174 Snipers</t>
  </si>
  <si>
    <t xml:space="preserve">Sam Powers </t>
  </si>
  <si>
    <t>Richard Whisler</t>
  </si>
  <si>
    <t>Josh Jenkins</t>
  </si>
  <si>
    <t>Beaver Galusky</t>
  </si>
  <si>
    <t>Rob Cicchino</t>
  </si>
  <si>
    <t>Elks Jolly</t>
  </si>
  <si>
    <t>Zach Barlow</t>
  </si>
  <si>
    <t>Travis Ruckle</t>
  </si>
  <si>
    <t>John Powers</t>
  </si>
  <si>
    <t>Griffin Wilcox</t>
  </si>
  <si>
    <t>VFW 1589 Dissapointers</t>
  </si>
  <si>
    <t>Ryan Swaniger</t>
  </si>
  <si>
    <t>Jon Kline</t>
  </si>
  <si>
    <t>Barb Hardy</t>
  </si>
  <si>
    <t>Kevin Ruckle</t>
  </si>
  <si>
    <t>Alex Keenan</t>
  </si>
  <si>
    <t>JL Brown</t>
  </si>
  <si>
    <t>Joe White</t>
  </si>
  <si>
    <t>Marshall Jenkins</t>
  </si>
  <si>
    <t>Alex Rice</t>
  </si>
  <si>
    <t>Bryant Losh</t>
  </si>
  <si>
    <t xml:space="preserve">Teams - Overall </t>
  </si>
  <si>
    <t>Wins</t>
  </si>
  <si>
    <t>Points</t>
  </si>
  <si>
    <t>Weekly Payouts and Season High's</t>
  </si>
  <si>
    <t xml:space="preserve">Season Best Game 501:  </t>
  </si>
  <si>
    <t xml:space="preserve">PURPLE COW 1 </t>
  </si>
  <si>
    <t xml:space="preserve">High Average for Week:   </t>
  </si>
  <si>
    <t>VFW 1589 DISSAPOINTERS</t>
  </si>
  <si>
    <t xml:space="preserve">High in 301 for the week: </t>
  </si>
  <si>
    <t xml:space="preserve">High Out for the week: </t>
  </si>
  <si>
    <t>LUIGI'S LOOSE CHANGE</t>
  </si>
  <si>
    <t xml:space="preserve">Season High In for 301:  </t>
  </si>
  <si>
    <t xml:space="preserve">Season High Out:    </t>
  </si>
  <si>
    <t>ELKS WISEGUYS</t>
  </si>
  <si>
    <t>VFW 1589 BAD MONKEYS</t>
  </si>
  <si>
    <t>LEGION POST 174 SNIPERS</t>
  </si>
  <si>
    <t>ELKS JOLLY</t>
  </si>
  <si>
    <t>Stephen Thurbon</t>
  </si>
  <si>
    <t>Gary Daft</t>
  </si>
  <si>
    <t>Alwyn Thurbon</t>
  </si>
  <si>
    <t>Purple Cow Tippers</t>
  </si>
  <si>
    <t>PURPLE COW TIPPERS</t>
  </si>
  <si>
    <t>Timmy Frymyer</t>
  </si>
  <si>
    <t>Doug Himes</t>
  </si>
  <si>
    <t xml:space="preserve">POP A TOP </t>
  </si>
  <si>
    <t>Harley Hall</t>
  </si>
  <si>
    <t>Todd Wotring</t>
  </si>
  <si>
    <t>Seth Boyles</t>
  </si>
  <si>
    <t>Tammy Allen</t>
  </si>
  <si>
    <t>Bob Fox</t>
  </si>
  <si>
    <t>Shawn Cole</t>
  </si>
  <si>
    <t>Thom Douglas</t>
  </si>
  <si>
    <t>Tim Rosati</t>
  </si>
  <si>
    <t>Allen Collins</t>
  </si>
  <si>
    <t>Pop A Top</t>
  </si>
  <si>
    <t>John Sinclair</t>
  </si>
  <si>
    <t>Doug Tennant</t>
  </si>
  <si>
    <t>Classics Rocks</t>
  </si>
  <si>
    <t>CLASSICS ROCKS</t>
  </si>
  <si>
    <t>Jerry Shiflett</t>
  </si>
  <si>
    <t>Josh Stegmaier</t>
  </si>
  <si>
    <t>Dave Novotney</t>
  </si>
  <si>
    <t>Chase Freeman</t>
  </si>
  <si>
    <t>Bye Week</t>
  </si>
  <si>
    <t>Losses</t>
  </si>
  <si>
    <t>LUIGI'S SPARTANS</t>
  </si>
  <si>
    <t>Jimmy Smith 151 Out</t>
  </si>
  <si>
    <t>Alex Ruscin</t>
  </si>
  <si>
    <t>CJ Ruscin</t>
  </si>
  <si>
    <t>Scott Williams</t>
  </si>
  <si>
    <t>Luigi's Spartans</t>
  </si>
  <si>
    <t>Jimmy Smith 160 In</t>
  </si>
  <si>
    <t>Chase Freeman/CJ Ruscin/Travis Ruckle/Pat Nabors 18 Dart Game</t>
  </si>
  <si>
    <t>Holly Thurbon</t>
  </si>
  <si>
    <t>Kathryn Elgin</t>
  </si>
  <si>
    <t>Lee Besse</t>
  </si>
  <si>
    <t>Shawn Kerr</t>
  </si>
  <si>
    <t>Marshall Jenkins 94 Out</t>
  </si>
  <si>
    <t>Week 8</t>
  </si>
  <si>
    <t>Jerry Shiflett 19.03</t>
  </si>
  <si>
    <t>Jon Kline 114 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</si>
</sst>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[$$-409]* #,##0.00_);_([$$-409]* \(#,##0.00\);_([$$-409]* &quot;-&quot;??_);_(@_)"/>
  </numFmts>
  <fonts count="4" x14ac:knownFonts="1">
    <font>
      <sz val="11"/>
      <color theme="1"/>
      <name val="Calibri"/>
      <family val="2"/>
      <scheme val="minor"/>
    </font>
    <font>
      <sz val="14"/>
      <name val="Calibri"/>
      <family val="2"/>
    </font>
    <font>
      <sz val="14"/>
      <color rgb="FF000000"/>
      <name val="Calibri"/>
      <family val="2"/>
    </font>
    <font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theme="2" tint="-9.9978637043366805E-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2" borderId="1" xfId="0" applyFont="1" applyFill="1" applyBorder="1" applyAlignment="1">
      <alignment textRotation="73"/>
    </xf>
    <xf numFmtId="0" fontId="1" fillId="2" borderId="1" xfId="0" applyFont="1" applyFill="1" applyBorder="1" applyAlignment="1">
      <alignment textRotation="73" wrapText="1"/>
    </xf>
    <xf numFmtId="0" fontId="2" fillId="0" borderId="2" xfId="0" applyFont="1" applyBorder="1"/>
    <xf numFmtId="0" fontId="1" fillId="0" borderId="2" xfId="0" applyFont="1" applyBorder="1"/>
    <xf numFmtId="0" fontId="1" fillId="0" borderId="0" xfId="0" applyFont="1"/>
    <xf numFmtId="0" fontId="2" fillId="0" borderId="0" xfId="0" applyFont="1"/>
    <xf numFmtId="0" fontId="1" fillId="0" borderId="3" xfId="0" applyFont="1" applyBorder="1"/>
    <xf numFmtId="0" fontId="1" fillId="0" borderId="1" xfId="0" applyFont="1" applyBorder="1"/>
    <xf numFmtId="0" fontId="3" fillId="0" borderId="3" xfId="0" applyFont="1" applyBorder="1"/>
    <xf numFmtId="0" fontId="3" fillId="0" borderId="5" xfId="0" applyFont="1" applyBorder="1"/>
    <xf numFmtId="0" fontId="2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/>
    </xf>
    <xf numFmtId="164" fontId="2" fillId="0" borderId="2" xfId="0" applyNumberFormat="1" applyFont="1" applyBorder="1" applyAlignment="1">
      <alignment horizontal="center"/>
    </xf>
    <xf numFmtId="0" fontId="3" fillId="0" borderId="2" xfId="0" applyFont="1" applyBorder="1"/>
    <xf numFmtId="0" fontId="1" fillId="0" borderId="5" xfId="0" applyFont="1" applyBorder="1"/>
    <xf numFmtId="0" fontId="1" fillId="0" borderId="9" xfId="0" applyFont="1" applyBorder="1"/>
    <xf numFmtId="0" fontId="3" fillId="0" borderId="9" xfId="0" applyFont="1" applyBorder="1"/>
    <xf numFmtId="0" fontId="3" fillId="0" borderId="4" xfId="0" applyFont="1" applyBorder="1"/>
    <xf numFmtId="0" fontId="1" fillId="0" borderId="7" xfId="0" applyFont="1" applyBorder="1"/>
    <xf numFmtId="0" fontId="1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1" fillId="4" borderId="28" xfId="0" applyFont="1" applyFill="1" applyBorder="1" applyAlignment="1">
      <alignment horizontal="center"/>
    </xf>
    <xf numFmtId="0" fontId="1" fillId="4" borderId="29" xfId="0" applyFont="1" applyFill="1" applyBorder="1" applyAlignment="1">
      <alignment horizontal="center"/>
    </xf>
    <xf numFmtId="0" fontId="1" fillId="4" borderId="29" xfId="0" applyFont="1" applyFill="1" applyBorder="1"/>
    <xf numFmtId="0" fontId="1" fillId="4" borderId="30" xfId="0" applyFont="1" applyFill="1" applyBorder="1"/>
    <xf numFmtId="0" fontId="1" fillId="0" borderId="23" xfId="0" applyFont="1" applyBorder="1"/>
    <xf numFmtId="0" fontId="1" fillId="0" borderId="24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3" fillId="0" borderId="11" xfId="0" applyFont="1" applyBorder="1"/>
    <xf numFmtId="0" fontId="3" fillId="0" borderId="12" xfId="0" applyFont="1" applyBorder="1" applyAlignment="1">
      <alignment horizontal="center"/>
    </xf>
    <xf numFmtId="0" fontId="2" fillId="0" borderId="3" xfId="0" applyFont="1" applyBorder="1"/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3" borderId="8" xfId="0" applyFont="1" applyFill="1" applyBorder="1" applyAlignment="1">
      <alignment horizontal="center" vertical="center" textRotation="90" wrapText="1"/>
    </xf>
    <xf numFmtId="0" fontId="1" fillId="3" borderId="26" xfId="0" applyFont="1" applyFill="1" applyBorder="1" applyAlignment="1">
      <alignment horizontal="center" vertical="center" textRotation="90" wrapText="1"/>
    </xf>
    <xf numFmtId="0" fontId="1" fillId="3" borderId="27" xfId="0" applyFont="1" applyFill="1" applyBorder="1" applyAlignment="1">
      <alignment horizontal="center" vertical="center" textRotation="90" wrapText="1"/>
    </xf>
    <xf numFmtId="0" fontId="2" fillId="0" borderId="3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1" fillId="4" borderId="16" xfId="0" applyFont="1" applyFill="1" applyBorder="1" applyAlignment="1">
      <alignment horizontal="center"/>
    </xf>
    <xf numFmtId="0" fontId="1" fillId="4" borderId="17" xfId="0" applyFont="1" applyFill="1" applyBorder="1" applyAlignment="1">
      <alignment horizontal="center"/>
    </xf>
    <xf numFmtId="0" fontId="1" fillId="4" borderId="18" xfId="0" applyFont="1" applyFill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6"/>
  <sheetViews>
    <sheetView tabSelected="1" topLeftCell="D1" workbookViewId="0">
      <pane ySplit="1" topLeftCell="A56" activePane="bottomLeft" state="frozen"/>
      <selection pane="bottomLeft" activeCell="I57" sqref="I57:R59"/>
    </sheetView>
  </sheetViews>
  <sheetFormatPr defaultRowHeight="14.5" x14ac:dyDescent="0.35"/>
  <cols>
    <col min="1" max="1" width="5.453125" bestFit="1" customWidth="1"/>
    <col min="2" max="2" width="23.81640625" bestFit="1" customWidth="1"/>
    <col min="3" max="3" width="31.1796875" bestFit="1" customWidth="1"/>
    <col min="4" max="5" width="10.7265625" bestFit="1" customWidth="1"/>
    <col min="6" max="6" width="7.7265625" bestFit="1" customWidth="1"/>
    <col min="7" max="7" width="12.1796875" bestFit="1" customWidth="1"/>
    <col min="8" max="11" width="5.7265625" customWidth="1"/>
    <col min="12" max="12" width="7.7265625" bestFit="1" customWidth="1"/>
    <col min="13" max="13" width="10.81640625" bestFit="1" customWidth="1"/>
    <col min="18" max="18" width="38.54296875" customWidth="1"/>
  </cols>
  <sheetData>
    <row r="1" spans="1:13" ht="73.5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1" t="s">
        <v>7</v>
      </c>
      <c r="I1" s="1">
        <v>180</v>
      </c>
      <c r="J1" s="1">
        <v>171</v>
      </c>
      <c r="K1" s="1" t="s">
        <v>8</v>
      </c>
      <c r="L1" s="2" t="s">
        <v>9</v>
      </c>
      <c r="M1" s="2" t="s">
        <v>10</v>
      </c>
    </row>
    <row r="2" spans="1:13" ht="18.5" x14ac:dyDescent="0.45">
      <c r="A2" s="3">
        <v>1</v>
      </c>
      <c r="B2" s="14" t="s">
        <v>91</v>
      </c>
      <c r="C2" s="4" t="s">
        <v>93</v>
      </c>
      <c r="D2" s="11">
        <f>SUM(1343+1469+1241+1495+1503+1436)</f>
        <v>8487</v>
      </c>
      <c r="E2" s="11">
        <f>SUM(84+72+88+75+70+87)</f>
        <v>476</v>
      </c>
      <c r="F2" s="12">
        <f t="shared" ref="F2:F33" si="0">D2/E2</f>
        <v>17.829831932773111</v>
      </c>
      <c r="G2" s="11">
        <v>6</v>
      </c>
      <c r="H2" s="11">
        <v>4</v>
      </c>
      <c r="I2" s="11"/>
      <c r="J2" s="11"/>
      <c r="K2" s="11"/>
      <c r="L2" s="11">
        <v>24</v>
      </c>
      <c r="M2" s="13">
        <v>15</v>
      </c>
    </row>
    <row r="3" spans="1:13" ht="18.5" x14ac:dyDescent="0.45">
      <c r="A3" s="3">
        <v>2</v>
      </c>
      <c r="B3" s="4" t="s">
        <v>85</v>
      </c>
      <c r="C3" s="4" t="s">
        <v>15</v>
      </c>
      <c r="D3" s="11">
        <f>SUM(1503+1419+1503+1499+1503+1503+1471)</f>
        <v>10401</v>
      </c>
      <c r="E3" s="11">
        <f>SUM(68+80+79+90+78+109+97)</f>
        <v>601</v>
      </c>
      <c r="F3" s="12">
        <f t="shared" si="0"/>
        <v>17.306156405990016</v>
      </c>
      <c r="G3" s="11">
        <v>7</v>
      </c>
      <c r="H3" s="11">
        <v>7</v>
      </c>
      <c r="I3" s="11"/>
      <c r="J3" s="11"/>
      <c r="K3" s="11"/>
      <c r="L3" s="11">
        <v>32.5</v>
      </c>
      <c r="M3" s="13">
        <v>5</v>
      </c>
    </row>
    <row r="4" spans="1:13" ht="18.5" x14ac:dyDescent="0.45">
      <c r="A4" s="3">
        <v>3</v>
      </c>
      <c r="B4" s="4" t="s">
        <v>22</v>
      </c>
      <c r="C4" s="4" t="s">
        <v>13</v>
      </c>
      <c r="D4" s="11">
        <f>SUM(1503+1470+1503+1457+1472+1503+1503)</f>
        <v>10411</v>
      </c>
      <c r="E4" s="11">
        <f>SUM(105+88+87+90+84+84+88)</f>
        <v>626</v>
      </c>
      <c r="F4" s="12">
        <f t="shared" si="0"/>
        <v>16.630990415335464</v>
      </c>
      <c r="G4" s="11">
        <v>7</v>
      </c>
      <c r="H4" s="11">
        <v>5</v>
      </c>
      <c r="I4" s="11"/>
      <c r="J4" s="11"/>
      <c r="K4" s="11"/>
      <c r="L4" s="11">
        <v>27.5</v>
      </c>
      <c r="M4" s="13"/>
    </row>
    <row r="5" spans="1:13" ht="18.5" x14ac:dyDescent="0.45">
      <c r="A5" s="3">
        <v>4</v>
      </c>
      <c r="B5" s="3" t="s">
        <v>33</v>
      </c>
      <c r="C5" s="7" t="s">
        <v>21</v>
      </c>
      <c r="D5" s="11">
        <f>SUM(1359+1503+1446+1365+1185+1503+1433+1420)</f>
        <v>11214</v>
      </c>
      <c r="E5" s="11">
        <f>SUM(84+96+89+92+75+90+78+87)</f>
        <v>691</v>
      </c>
      <c r="F5" s="12">
        <f t="shared" si="0"/>
        <v>16.228654124457307</v>
      </c>
      <c r="G5" s="11">
        <v>8</v>
      </c>
      <c r="H5" s="11">
        <v>5</v>
      </c>
      <c r="I5" s="11"/>
      <c r="J5" s="11"/>
      <c r="K5" s="11">
        <v>1</v>
      </c>
      <c r="L5" s="11">
        <v>31.5</v>
      </c>
      <c r="M5" s="13"/>
    </row>
    <row r="6" spans="1:13" ht="18.5" x14ac:dyDescent="0.45">
      <c r="A6" s="3">
        <v>5</v>
      </c>
      <c r="B6" s="4" t="s">
        <v>11</v>
      </c>
      <c r="C6" s="4" t="s">
        <v>12</v>
      </c>
      <c r="D6" s="11">
        <f>SUM(1503+1441+1493+1416+1503+1329+1432)</f>
        <v>10117</v>
      </c>
      <c r="E6" s="11">
        <f>SUM(102+84+94+84+96+77+98)</f>
        <v>635</v>
      </c>
      <c r="F6" s="12">
        <f t="shared" si="0"/>
        <v>15.932283464566929</v>
      </c>
      <c r="G6" s="11">
        <v>7</v>
      </c>
      <c r="H6" s="11">
        <v>5</v>
      </c>
      <c r="I6" s="11">
        <v>1</v>
      </c>
      <c r="J6" s="11"/>
      <c r="K6" s="11"/>
      <c r="L6" s="11">
        <v>25</v>
      </c>
      <c r="M6" s="13"/>
    </row>
    <row r="7" spans="1:13" ht="18.5" x14ac:dyDescent="0.45">
      <c r="A7" s="3">
        <v>6</v>
      </c>
      <c r="B7" s="4" t="s">
        <v>26</v>
      </c>
      <c r="C7" s="4" t="s">
        <v>17</v>
      </c>
      <c r="D7" s="11">
        <f>SUM(1503+1493+1467+1500+1501+1501+1466)</f>
        <v>10431</v>
      </c>
      <c r="E7" s="11">
        <f>SUM(80+92+84+111+97+107+88)</f>
        <v>659</v>
      </c>
      <c r="F7" s="12">
        <f t="shared" si="0"/>
        <v>15.828528072837633</v>
      </c>
      <c r="G7" s="11">
        <v>7</v>
      </c>
      <c r="H7" s="11">
        <v>7</v>
      </c>
      <c r="I7" s="11"/>
      <c r="J7" s="11">
        <v>1</v>
      </c>
      <c r="K7" s="11"/>
      <c r="L7" s="11">
        <v>26.5</v>
      </c>
      <c r="M7" s="13">
        <v>10</v>
      </c>
    </row>
    <row r="8" spans="1:13" ht="18.5" x14ac:dyDescent="0.45">
      <c r="A8" s="3">
        <v>7</v>
      </c>
      <c r="B8" s="4" t="s">
        <v>82</v>
      </c>
      <c r="C8" s="4" t="s">
        <v>32</v>
      </c>
      <c r="D8" s="11">
        <f>SUM(1501+1503+1503+1503+1436+1503+1503)</f>
        <v>10452</v>
      </c>
      <c r="E8" s="11">
        <f>SUM(113+97+98+75+95+106+79)</f>
        <v>663</v>
      </c>
      <c r="F8" s="12">
        <f t="shared" si="0"/>
        <v>15.764705882352942</v>
      </c>
      <c r="G8" s="11">
        <v>7</v>
      </c>
      <c r="H8" s="11">
        <v>6</v>
      </c>
      <c r="I8" s="11"/>
      <c r="J8" s="11"/>
      <c r="K8" s="11"/>
      <c r="L8" s="11">
        <v>31</v>
      </c>
      <c r="M8" s="13">
        <v>10</v>
      </c>
    </row>
    <row r="9" spans="1:13" ht="18.5" x14ac:dyDescent="0.45">
      <c r="A9" s="3">
        <v>8</v>
      </c>
      <c r="B9" s="4" t="s">
        <v>18</v>
      </c>
      <c r="C9" s="4" t="s">
        <v>13</v>
      </c>
      <c r="D9" s="11">
        <f>SUM(1503+1474+1369+1328+1503+1427+1503)</f>
        <v>10107</v>
      </c>
      <c r="E9" s="11">
        <f>SUM(90+83+84+72+99+108+118)</f>
        <v>654</v>
      </c>
      <c r="F9" s="12">
        <f t="shared" si="0"/>
        <v>15.454128440366972</v>
      </c>
      <c r="G9" s="11">
        <v>7</v>
      </c>
      <c r="H9" s="11">
        <v>3</v>
      </c>
      <c r="I9" s="11">
        <v>1</v>
      </c>
      <c r="J9" s="11"/>
      <c r="K9" s="11"/>
      <c r="L9" s="11">
        <v>22</v>
      </c>
      <c r="M9" s="13"/>
    </row>
    <row r="10" spans="1:13" ht="18.5" x14ac:dyDescent="0.45">
      <c r="A10" s="3">
        <v>9</v>
      </c>
      <c r="B10" s="14" t="s">
        <v>76</v>
      </c>
      <c r="C10" s="4" t="s">
        <v>32</v>
      </c>
      <c r="D10" s="11">
        <f>SUM(1503+1475+1503+1447+1483+1493+1411)</f>
        <v>10315</v>
      </c>
      <c r="E10" s="11">
        <f>SUM(102+96+91+98+102+99+96)</f>
        <v>684</v>
      </c>
      <c r="F10" s="12">
        <f t="shared" si="0"/>
        <v>15.080409356725147</v>
      </c>
      <c r="G10" s="11">
        <v>7</v>
      </c>
      <c r="H10" s="11">
        <v>5</v>
      </c>
      <c r="I10" s="11"/>
      <c r="J10" s="11"/>
      <c r="K10" s="11"/>
      <c r="L10" s="11">
        <v>25.5</v>
      </c>
      <c r="M10" s="13"/>
    </row>
    <row r="11" spans="1:13" ht="18.5" x14ac:dyDescent="0.45">
      <c r="A11" s="3">
        <v>10</v>
      </c>
      <c r="B11" s="4" t="s">
        <v>28</v>
      </c>
      <c r="C11" s="4" t="s">
        <v>12</v>
      </c>
      <c r="D11" s="11">
        <f>SUM(1503+1443+1324+1489+1268+1347+1405)</f>
        <v>9779</v>
      </c>
      <c r="E11" s="11">
        <f>SUM(84+101+74+92+93+114+92)</f>
        <v>650</v>
      </c>
      <c r="F11" s="12">
        <f t="shared" si="0"/>
        <v>15.044615384615385</v>
      </c>
      <c r="G11" s="11">
        <v>7</v>
      </c>
      <c r="H11" s="11">
        <v>3</v>
      </c>
      <c r="I11" s="11"/>
      <c r="J11" s="11"/>
      <c r="K11" s="11"/>
      <c r="L11" s="11">
        <v>22.5</v>
      </c>
      <c r="M11" s="13"/>
    </row>
    <row r="12" spans="1:13" ht="18.5" x14ac:dyDescent="0.45">
      <c r="A12" s="3">
        <v>11</v>
      </c>
      <c r="B12" s="4" t="s">
        <v>39</v>
      </c>
      <c r="C12" s="4" t="s">
        <v>32</v>
      </c>
      <c r="D12" s="11">
        <f>SUM(1470+1447+1339+1247+1325+1503+1377)</f>
        <v>9708</v>
      </c>
      <c r="E12" s="11">
        <f>SUM(86+78+93+80+107+94+108)</f>
        <v>646</v>
      </c>
      <c r="F12" s="12">
        <f t="shared" si="0"/>
        <v>15.027863777089783</v>
      </c>
      <c r="G12" s="11">
        <v>7</v>
      </c>
      <c r="H12" s="11">
        <v>4</v>
      </c>
      <c r="I12" s="11">
        <v>1</v>
      </c>
      <c r="J12" s="11"/>
      <c r="K12" s="11"/>
      <c r="L12" s="11">
        <v>26.5</v>
      </c>
      <c r="M12" s="13">
        <v>5</v>
      </c>
    </row>
    <row r="13" spans="1:13" ht="18.5" x14ac:dyDescent="0.45">
      <c r="A13" s="3">
        <v>12</v>
      </c>
      <c r="B13" s="14" t="s">
        <v>90</v>
      </c>
      <c r="C13" s="4" t="s">
        <v>93</v>
      </c>
      <c r="D13" s="11">
        <f>SUM(1496+1397+1241+1448+1307+1503+1358)</f>
        <v>9750</v>
      </c>
      <c r="E13" s="11">
        <f>SUM(100+91+84+97+105+88+85)</f>
        <v>650</v>
      </c>
      <c r="F13" s="12">
        <f t="shared" si="0"/>
        <v>15</v>
      </c>
      <c r="G13" s="11">
        <v>7</v>
      </c>
      <c r="H13" s="11">
        <v>2</v>
      </c>
      <c r="I13" s="11"/>
      <c r="J13" s="11"/>
      <c r="K13" s="11"/>
      <c r="L13" s="11">
        <v>16.5</v>
      </c>
      <c r="M13" s="13">
        <v>5</v>
      </c>
    </row>
    <row r="14" spans="1:13" ht="18.5" x14ac:dyDescent="0.45">
      <c r="A14" s="3">
        <v>13</v>
      </c>
      <c r="B14" s="4" t="s">
        <v>40</v>
      </c>
      <c r="C14" s="7" t="s">
        <v>15</v>
      </c>
      <c r="D14" s="11">
        <f>SUM(1361+1488+968+1468+1403+1493+1501)</f>
        <v>9682</v>
      </c>
      <c r="E14" s="11">
        <f>SUM(107+98+81+98+85+85+96)</f>
        <v>650</v>
      </c>
      <c r="F14" s="12">
        <f t="shared" si="0"/>
        <v>14.895384615384616</v>
      </c>
      <c r="G14" s="11">
        <v>7</v>
      </c>
      <c r="H14" s="11">
        <v>6</v>
      </c>
      <c r="I14" s="11"/>
      <c r="J14" s="11"/>
      <c r="K14" s="11"/>
      <c r="L14" s="11">
        <v>25.5</v>
      </c>
      <c r="M14" s="13">
        <v>10</v>
      </c>
    </row>
    <row r="15" spans="1:13" ht="18.5" x14ac:dyDescent="0.45">
      <c r="A15" s="3">
        <v>14</v>
      </c>
      <c r="B15" s="4" t="s">
        <v>29</v>
      </c>
      <c r="C15" s="4" t="s">
        <v>63</v>
      </c>
      <c r="D15" s="11">
        <f>SUM(1327+1229+1367+1115+1503+1393+1493+1354)</f>
        <v>10781</v>
      </c>
      <c r="E15" s="11">
        <f>SUM(84+79+89+81+82+97+120+107)</f>
        <v>739</v>
      </c>
      <c r="F15" s="12">
        <f t="shared" si="0"/>
        <v>14.588633288227335</v>
      </c>
      <c r="G15" s="11">
        <v>8</v>
      </c>
      <c r="H15" s="11">
        <v>4</v>
      </c>
      <c r="I15" s="11"/>
      <c r="J15" s="11"/>
      <c r="K15" s="11">
        <v>1</v>
      </c>
      <c r="L15" s="11">
        <v>20.5</v>
      </c>
      <c r="M15" s="13">
        <v>10</v>
      </c>
    </row>
    <row r="16" spans="1:13" ht="18.5" x14ac:dyDescent="0.45">
      <c r="A16" s="3">
        <v>15</v>
      </c>
      <c r="B16" s="7" t="s">
        <v>71</v>
      </c>
      <c r="C16" s="4" t="s">
        <v>77</v>
      </c>
      <c r="D16" s="11">
        <f>SUM(1497+1481)</f>
        <v>2978</v>
      </c>
      <c r="E16" s="11">
        <f>SUM(116+90)</f>
        <v>206</v>
      </c>
      <c r="F16" s="12">
        <f t="shared" si="0"/>
        <v>14.456310679611651</v>
      </c>
      <c r="G16" s="11">
        <v>2</v>
      </c>
      <c r="H16" s="11">
        <v>2</v>
      </c>
      <c r="I16" s="11"/>
      <c r="J16" s="11"/>
      <c r="K16" s="11"/>
      <c r="L16" s="11">
        <v>6</v>
      </c>
      <c r="M16" s="13"/>
    </row>
    <row r="17" spans="1:13" ht="18.5" x14ac:dyDescent="0.45">
      <c r="A17" s="3">
        <v>16</v>
      </c>
      <c r="B17" s="9" t="s">
        <v>41</v>
      </c>
      <c r="C17" s="4" t="s">
        <v>17</v>
      </c>
      <c r="D17" s="11">
        <f>SUM(1503+1298+1500+1442+1190+1418)</f>
        <v>8351</v>
      </c>
      <c r="E17" s="11">
        <f>SUM(129+87+96+107+81+88)</f>
        <v>588</v>
      </c>
      <c r="F17" s="12">
        <f t="shared" si="0"/>
        <v>14.202380952380953</v>
      </c>
      <c r="G17" s="11">
        <v>6</v>
      </c>
      <c r="H17" s="11">
        <v>4</v>
      </c>
      <c r="I17" s="11"/>
      <c r="J17" s="11"/>
      <c r="K17" s="11"/>
      <c r="L17" s="11">
        <v>21.5</v>
      </c>
      <c r="M17" s="13"/>
    </row>
    <row r="18" spans="1:13" ht="18.5" x14ac:dyDescent="0.45">
      <c r="A18" s="3">
        <v>17</v>
      </c>
      <c r="B18" s="34" t="s">
        <v>20</v>
      </c>
      <c r="C18" s="4" t="s">
        <v>21</v>
      </c>
      <c r="D18" s="11">
        <f>SUM(1391+1503+1498+1495+1471+1464+1499+1450)</f>
        <v>11771</v>
      </c>
      <c r="E18" s="11">
        <f>SUM(108+83+99+110+96+103+113+120)</f>
        <v>832</v>
      </c>
      <c r="F18" s="12">
        <f t="shared" si="0"/>
        <v>14.147836538461538</v>
      </c>
      <c r="G18" s="11">
        <v>8</v>
      </c>
      <c r="H18" s="11">
        <v>5</v>
      </c>
      <c r="I18" s="11">
        <v>1</v>
      </c>
      <c r="J18" s="11"/>
      <c r="K18" s="11"/>
      <c r="L18" s="11">
        <v>27.5</v>
      </c>
      <c r="M18" s="13">
        <v>15</v>
      </c>
    </row>
    <row r="19" spans="1:13" ht="18.5" x14ac:dyDescent="0.45">
      <c r="A19" s="3">
        <v>18</v>
      </c>
      <c r="B19" s="7" t="s">
        <v>70</v>
      </c>
      <c r="C19" s="4" t="s">
        <v>77</v>
      </c>
      <c r="D19" s="11">
        <f>SUM(941+1293+1503+1385+1473+1493+1444)</f>
        <v>9532</v>
      </c>
      <c r="E19" s="11">
        <f>SUM(66+89+95+105+96+124+100)</f>
        <v>675</v>
      </c>
      <c r="F19" s="12">
        <f t="shared" si="0"/>
        <v>14.121481481481482</v>
      </c>
      <c r="G19" s="11">
        <v>7</v>
      </c>
      <c r="H19" s="11">
        <v>2</v>
      </c>
      <c r="I19" s="11"/>
      <c r="J19" s="11"/>
      <c r="K19" s="11"/>
      <c r="L19" s="11">
        <v>19.5</v>
      </c>
      <c r="M19" s="13"/>
    </row>
    <row r="20" spans="1:13" ht="18.5" x14ac:dyDescent="0.45">
      <c r="A20" s="3">
        <v>19</v>
      </c>
      <c r="B20" s="9" t="s">
        <v>65</v>
      </c>
      <c r="C20" s="4" t="s">
        <v>13</v>
      </c>
      <c r="D20" s="11">
        <f>SUM(1478+1503+1471+1374+1451+1332+1465)</f>
        <v>10074</v>
      </c>
      <c r="E20" s="11">
        <f>SUM(110+97+109+92+104+105+97)</f>
        <v>714</v>
      </c>
      <c r="F20" s="12">
        <f t="shared" si="0"/>
        <v>14.109243697478991</v>
      </c>
      <c r="G20" s="11">
        <v>7</v>
      </c>
      <c r="H20" s="11">
        <v>3</v>
      </c>
      <c r="I20" s="11"/>
      <c r="J20" s="11"/>
      <c r="K20" s="11"/>
      <c r="L20" s="11">
        <v>22</v>
      </c>
      <c r="M20" s="13"/>
    </row>
    <row r="21" spans="1:13" ht="18.5" x14ac:dyDescent="0.45">
      <c r="A21" s="3">
        <v>20</v>
      </c>
      <c r="B21" s="9" t="s">
        <v>72</v>
      </c>
      <c r="C21" s="4" t="s">
        <v>77</v>
      </c>
      <c r="D21" s="11">
        <f>SUM(1475+1487+1479+1350+1492+1494+1471)</f>
        <v>10248</v>
      </c>
      <c r="E21" s="11">
        <f>SUM(103+99+95+88+109+123+116)</f>
        <v>733</v>
      </c>
      <c r="F21" s="12">
        <f t="shared" si="0"/>
        <v>13.980900409276945</v>
      </c>
      <c r="G21" s="11">
        <v>7</v>
      </c>
      <c r="H21" s="11">
        <v>1</v>
      </c>
      <c r="I21" s="11"/>
      <c r="J21" s="11"/>
      <c r="K21" s="11"/>
      <c r="L21" s="11">
        <v>16</v>
      </c>
      <c r="M21" s="13"/>
    </row>
    <row r="22" spans="1:13" ht="18.5" x14ac:dyDescent="0.45">
      <c r="A22" s="3">
        <v>21</v>
      </c>
      <c r="B22" s="18" t="s">
        <v>61</v>
      </c>
      <c r="C22" s="8" t="s">
        <v>27</v>
      </c>
      <c r="D22" s="11">
        <f>SUM(1446+1409+953+1451+1475+1256+1487)</f>
        <v>9477</v>
      </c>
      <c r="E22" s="11">
        <f>SUM(108+84+72+88+112+102+114)</f>
        <v>680</v>
      </c>
      <c r="F22" s="12">
        <f t="shared" si="0"/>
        <v>13.936764705882354</v>
      </c>
      <c r="G22" s="11">
        <v>7</v>
      </c>
      <c r="H22" s="11">
        <v>1</v>
      </c>
      <c r="I22" s="11"/>
      <c r="J22" s="11"/>
      <c r="K22" s="11"/>
      <c r="L22" s="11">
        <v>13</v>
      </c>
      <c r="M22" s="13"/>
    </row>
    <row r="23" spans="1:13" ht="18.5" x14ac:dyDescent="0.45">
      <c r="A23" s="3">
        <v>22</v>
      </c>
      <c r="B23" s="9" t="s">
        <v>60</v>
      </c>
      <c r="C23" s="7" t="s">
        <v>27</v>
      </c>
      <c r="D23" s="11">
        <f>SUM(1499+1463+1002+1326+1438+1240+1222+1412)</f>
        <v>10602</v>
      </c>
      <c r="E23" s="11">
        <f>SUM(114+98+80+80+104+87+96+104)</f>
        <v>763</v>
      </c>
      <c r="F23" s="12">
        <f t="shared" si="0"/>
        <v>13.895150720838794</v>
      </c>
      <c r="G23" s="11">
        <v>8</v>
      </c>
      <c r="H23" s="11">
        <v>5</v>
      </c>
      <c r="I23" s="11"/>
      <c r="J23" s="11"/>
      <c r="K23" s="11"/>
      <c r="L23" s="11">
        <v>17</v>
      </c>
      <c r="M23" s="13">
        <v>10</v>
      </c>
    </row>
    <row r="24" spans="1:13" ht="18.5" x14ac:dyDescent="0.45">
      <c r="A24" s="3">
        <v>23</v>
      </c>
      <c r="B24" s="15" t="s">
        <v>23</v>
      </c>
      <c r="C24" s="7" t="s">
        <v>21</v>
      </c>
      <c r="D24" s="11">
        <f>SUM(1426+1503+1499+1270+1503+1498+1368+1487)</f>
        <v>11554</v>
      </c>
      <c r="E24" s="11">
        <f>SUM(99+116+108+87+110+129+89+97)</f>
        <v>835</v>
      </c>
      <c r="F24" s="12">
        <f t="shared" si="0"/>
        <v>13.837125748502993</v>
      </c>
      <c r="G24" s="11">
        <v>8</v>
      </c>
      <c r="H24" s="11">
        <v>5</v>
      </c>
      <c r="I24" s="11"/>
      <c r="J24" s="11"/>
      <c r="K24" s="11"/>
      <c r="L24" s="11">
        <v>28.5</v>
      </c>
      <c r="M24" s="13">
        <v>5</v>
      </c>
    </row>
    <row r="25" spans="1:13" ht="18.5" x14ac:dyDescent="0.45">
      <c r="A25" s="3">
        <v>24</v>
      </c>
      <c r="B25" s="4" t="s">
        <v>84</v>
      </c>
      <c r="C25" s="4" t="s">
        <v>80</v>
      </c>
      <c r="D25" s="11">
        <f>SUM(1084+1251+1495+1121+1494+905+1392)</f>
        <v>8742</v>
      </c>
      <c r="E25" s="11">
        <f>SUM(72+90+94+78+121+66+114)</f>
        <v>635</v>
      </c>
      <c r="F25" s="12">
        <f t="shared" si="0"/>
        <v>13.766929133858268</v>
      </c>
      <c r="G25" s="11">
        <v>7</v>
      </c>
      <c r="H25" s="11">
        <v>1</v>
      </c>
      <c r="I25" s="11"/>
      <c r="J25" s="11"/>
      <c r="K25" s="11"/>
      <c r="L25" s="11">
        <v>11</v>
      </c>
      <c r="M25" s="13"/>
    </row>
    <row r="26" spans="1:13" ht="18.5" x14ac:dyDescent="0.45">
      <c r="A26" s="3">
        <v>25</v>
      </c>
      <c r="B26" s="15" t="s">
        <v>83</v>
      </c>
      <c r="C26" s="4" t="s">
        <v>15</v>
      </c>
      <c r="D26" s="11">
        <f>SUM(1212+1473+1483+1485)</f>
        <v>5653</v>
      </c>
      <c r="E26" s="11">
        <f>SUM(91+113+103+104)</f>
        <v>411</v>
      </c>
      <c r="F26" s="12">
        <f t="shared" si="0"/>
        <v>13.754257907542579</v>
      </c>
      <c r="G26" s="11">
        <v>4</v>
      </c>
      <c r="H26" s="11">
        <v>1</v>
      </c>
      <c r="I26" s="11"/>
      <c r="J26" s="11"/>
      <c r="K26" s="11"/>
      <c r="L26" s="11">
        <v>7</v>
      </c>
      <c r="M26" s="13"/>
    </row>
    <row r="27" spans="1:13" ht="18.5" x14ac:dyDescent="0.45">
      <c r="A27" s="3">
        <v>26</v>
      </c>
      <c r="B27" s="15" t="s">
        <v>14</v>
      </c>
      <c r="C27" s="7" t="s">
        <v>15</v>
      </c>
      <c r="D27" s="11">
        <f>SUM(1483+1501+1503+1497+1324+1503+1480)</f>
        <v>10291</v>
      </c>
      <c r="E27" s="11">
        <f>SUM(111+96+127+125+86+117+91)</f>
        <v>753</v>
      </c>
      <c r="F27" s="12">
        <f t="shared" si="0"/>
        <v>13.666666666666666</v>
      </c>
      <c r="G27" s="11">
        <v>7</v>
      </c>
      <c r="H27" s="11">
        <v>4</v>
      </c>
      <c r="I27" s="11"/>
      <c r="J27" s="11"/>
      <c r="K27" s="11"/>
      <c r="L27" s="11">
        <v>27.5</v>
      </c>
      <c r="M27" s="13">
        <v>5</v>
      </c>
    </row>
    <row r="28" spans="1:13" ht="18.5" x14ac:dyDescent="0.45">
      <c r="A28" s="3">
        <v>27</v>
      </c>
      <c r="B28" s="10" t="s">
        <v>42</v>
      </c>
      <c r="C28" s="7" t="s">
        <v>63</v>
      </c>
      <c r="D28" s="11">
        <f>SUM(1443+1326+1271+1316+1281+1467+1494+1148)</f>
        <v>10746</v>
      </c>
      <c r="E28" s="11">
        <f>SUM(102+95+98+96+99+124+108+78)</f>
        <v>800</v>
      </c>
      <c r="F28" s="12">
        <f t="shared" si="0"/>
        <v>13.432499999999999</v>
      </c>
      <c r="G28" s="11">
        <v>8</v>
      </c>
      <c r="H28" s="11">
        <v>2</v>
      </c>
      <c r="I28" s="11"/>
      <c r="J28" s="11"/>
      <c r="K28" s="11"/>
      <c r="L28" s="11">
        <v>16.5</v>
      </c>
      <c r="M28" s="13"/>
    </row>
    <row r="29" spans="1:13" ht="18.5" x14ac:dyDescent="0.45">
      <c r="A29" s="3">
        <v>28</v>
      </c>
      <c r="B29" s="10" t="s">
        <v>30</v>
      </c>
      <c r="C29" s="7" t="s">
        <v>21</v>
      </c>
      <c r="D29" s="11">
        <f>SUM(1301+1503+1503+1465+1483+1463+1503+1467)</f>
        <v>11688</v>
      </c>
      <c r="E29" s="11">
        <f>SUM(96+110+161+88+101+97+102+120)</f>
        <v>875</v>
      </c>
      <c r="F29" s="12">
        <f t="shared" si="0"/>
        <v>13.357714285714286</v>
      </c>
      <c r="G29" s="11">
        <v>8</v>
      </c>
      <c r="H29" s="11">
        <v>6</v>
      </c>
      <c r="I29" s="11"/>
      <c r="J29" s="11"/>
      <c r="K29" s="11"/>
      <c r="L29" s="11">
        <v>30.5</v>
      </c>
      <c r="M29" s="13"/>
    </row>
    <row r="30" spans="1:13" ht="18.5" x14ac:dyDescent="0.45">
      <c r="A30" s="3">
        <v>29</v>
      </c>
      <c r="B30" s="15" t="s">
        <v>36</v>
      </c>
      <c r="C30" s="7" t="s">
        <v>63</v>
      </c>
      <c r="D30" s="11">
        <f>SUM(1480+1242+1379+1465+1503+1501+1427+1411)</f>
        <v>11408</v>
      </c>
      <c r="E30" s="11">
        <f>SUM(111+87+100+128+114+110+103+102)</f>
        <v>855</v>
      </c>
      <c r="F30" s="12">
        <f t="shared" si="0"/>
        <v>13.342690058479532</v>
      </c>
      <c r="G30" s="11">
        <v>8</v>
      </c>
      <c r="H30" s="11">
        <v>4</v>
      </c>
      <c r="I30" s="11"/>
      <c r="J30" s="11"/>
      <c r="K30" s="11"/>
      <c r="L30" s="11">
        <v>21.5</v>
      </c>
      <c r="M30" s="13"/>
    </row>
    <row r="31" spans="1:13" ht="18.5" x14ac:dyDescent="0.45">
      <c r="A31" s="3">
        <v>30</v>
      </c>
      <c r="B31" s="15" t="s">
        <v>25</v>
      </c>
      <c r="C31" s="7" t="s">
        <v>12</v>
      </c>
      <c r="D31" s="11">
        <f>SUM(1503+1503+1503+1398+1481+1377+1483)</f>
        <v>10248</v>
      </c>
      <c r="E31" s="11">
        <f>SUM(108+98+101+143+135+88+103)</f>
        <v>776</v>
      </c>
      <c r="F31" s="12">
        <f t="shared" si="0"/>
        <v>13.206185567010309</v>
      </c>
      <c r="G31" s="11">
        <v>7</v>
      </c>
      <c r="H31" s="11">
        <v>5</v>
      </c>
      <c r="I31" s="11"/>
      <c r="J31" s="11"/>
      <c r="K31" s="11"/>
      <c r="L31" s="11">
        <v>28</v>
      </c>
      <c r="M31" s="13"/>
    </row>
    <row r="32" spans="1:13" ht="18.5" x14ac:dyDescent="0.45">
      <c r="A32" s="3">
        <v>31</v>
      </c>
      <c r="B32" s="10" t="s">
        <v>31</v>
      </c>
      <c r="C32" s="7" t="s">
        <v>32</v>
      </c>
      <c r="D32" s="11">
        <f>SUM(1369+1280+1318+1495+1487+1333+1503)</f>
        <v>9785</v>
      </c>
      <c r="E32" s="11">
        <f>SUM(92+92+105+111+99+126+121)</f>
        <v>746</v>
      </c>
      <c r="F32" s="12">
        <f t="shared" si="0"/>
        <v>13.116621983914209</v>
      </c>
      <c r="G32" s="11">
        <v>7</v>
      </c>
      <c r="H32" s="11">
        <v>5</v>
      </c>
      <c r="I32" s="11"/>
      <c r="J32" s="11"/>
      <c r="K32" s="11"/>
      <c r="L32" s="11">
        <v>26</v>
      </c>
      <c r="M32" s="13"/>
    </row>
    <row r="33" spans="1:13" ht="18.5" x14ac:dyDescent="0.45">
      <c r="A33" s="3">
        <v>32</v>
      </c>
      <c r="B33" s="19" t="s">
        <v>79</v>
      </c>
      <c r="C33" s="7" t="s">
        <v>77</v>
      </c>
      <c r="D33" s="11">
        <f>SUM(1499+1275+1131+1305+1499+1407)</f>
        <v>8116</v>
      </c>
      <c r="E33" s="11">
        <f>SUM(123+99+96+101+99+104)</f>
        <v>622</v>
      </c>
      <c r="F33" s="12">
        <f t="shared" si="0"/>
        <v>13.04823151125402</v>
      </c>
      <c r="G33" s="11">
        <v>6</v>
      </c>
      <c r="H33" s="11">
        <v>4</v>
      </c>
      <c r="I33" s="11"/>
      <c r="J33" s="11"/>
      <c r="K33" s="11"/>
      <c r="L33" s="11">
        <v>14</v>
      </c>
      <c r="M33" s="13"/>
    </row>
    <row r="34" spans="1:13" ht="18.5" x14ac:dyDescent="0.45">
      <c r="A34" s="3">
        <v>33</v>
      </c>
      <c r="B34" s="4" t="s">
        <v>24</v>
      </c>
      <c r="C34" s="7" t="s">
        <v>13</v>
      </c>
      <c r="D34" s="11">
        <f>SUM(1503+1499+1483+1483+1503+1497+1487)</f>
        <v>10455</v>
      </c>
      <c r="E34" s="11">
        <f>SUM(100+99+110+105+132+140+116)</f>
        <v>802</v>
      </c>
      <c r="F34" s="12">
        <f t="shared" ref="F34:F65" si="1">D34/E34</f>
        <v>13.036159600997506</v>
      </c>
      <c r="G34" s="11">
        <v>7</v>
      </c>
      <c r="H34" s="11">
        <v>7</v>
      </c>
      <c r="I34" s="11"/>
      <c r="J34" s="11"/>
      <c r="K34" s="11"/>
      <c r="L34" s="11">
        <v>25.5</v>
      </c>
      <c r="M34" s="13"/>
    </row>
    <row r="35" spans="1:13" ht="18.5" x14ac:dyDescent="0.45">
      <c r="A35" s="3">
        <v>34</v>
      </c>
      <c r="B35" s="4" t="s">
        <v>74</v>
      </c>
      <c r="C35" s="4" t="s">
        <v>80</v>
      </c>
      <c r="D35" s="11">
        <f>SUM(1501+1174+1489+1503+1435+1376+1397)</f>
        <v>9875</v>
      </c>
      <c r="E35" s="11">
        <f>SUM(156+81+108+103+125+84+102)</f>
        <v>759</v>
      </c>
      <c r="F35" s="12">
        <f t="shared" si="1"/>
        <v>13.010540184453228</v>
      </c>
      <c r="G35" s="11">
        <v>7</v>
      </c>
      <c r="H35" s="11">
        <v>4</v>
      </c>
      <c r="I35" s="11"/>
      <c r="J35" s="11"/>
      <c r="K35" s="11"/>
      <c r="L35" s="11">
        <v>19.5</v>
      </c>
      <c r="M35" s="13"/>
    </row>
    <row r="36" spans="1:13" ht="18.5" x14ac:dyDescent="0.45">
      <c r="A36" s="3">
        <v>35</v>
      </c>
      <c r="B36" s="4" t="s">
        <v>78</v>
      </c>
      <c r="C36" s="4" t="s">
        <v>12</v>
      </c>
      <c r="D36" s="11">
        <f>SUM(1479+1459+1501+1503+1448+1257+1418)</f>
        <v>10065</v>
      </c>
      <c r="E36" s="11">
        <f>SUM(110+116+147+118+106+99+86)</f>
        <v>782</v>
      </c>
      <c r="F36" s="12">
        <f t="shared" si="1"/>
        <v>12.870843989769821</v>
      </c>
      <c r="G36" s="11">
        <v>7</v>
      </c>
      <c r="H36" s="11">
        <v>4</v>
      </c>
      <c r="I36" s="11"/>
      <c r="J36" s="11"/>
      <c r="K36" s="11"/>
      <c r="L36" s="11">
        <v>24.5</v>
      </c>
      <c r="M36" s="13"/>
    </row>
    <row r="37" spans="1:13" ht="18.5" x14ac:dyDescent="0.45">
      <c r="A37" s="3">
        <v>36</v>
      </c>
      <c r="B37" s="4" t="s">
        <v>16</v>
      </c>
      <c r="C37" s="4" t="s">
        <v>17</v>
      </c>
      <c r="D37" s="11">
        <f>SUM(1503+1394+1501+1402)</f>
        <v>5800</v>
      </c>
      <c r="E37" s="11">
        <f>SUM(94+126+104+129)</f>
        <v>453</v>
      </c>
      <c r="F37" s="12">
        <f t="shared" si="1"/>
        <v>12.803532008830022</v>
      </c>
      <c r="G37" s="11">
        <v>4</v>
      </c>
      <c r="H37" s="11">
        <v>2</v>
      </c>
      <c r="I37" s="11"/>
      <c r="J37" s="11"/>
      <c r="K37" s="11"/>
      <c r="L37" s="11">
        <v>13</v>
      </c>
      <c r="M37" s="13"/>
    </row>
    <row r="38" spans="1:13" ht="18.5" x14ac:dyDescent="0.45">
      <c r="A38" s="3">
        <v>37</v>
      </c>
      <c r="B38" s="4" t="s">
        <v>75</v>
      </c>
      <c r="C38" s="4" t="s">
        <v>93</v>
      </c>
      <c r="D38" s="11">
        <f>SUM(1457+1241+1440+1384+1205+1503+1501)</f>
        <v>9731</v>
      </c>
      <c r="E38" s="11">
        <f>SUM(99+99+114+102+82+143+129)</f>
        <v>768</v>
      </c>
      <c r="F38" s="12">
        <f t="shared" si="1"/>
        <v>12.670572916666666</v>
      </c>
      <c r="G38" s="11">
        <v>7</v>
      </c>
      <c r="H38" s="11">
        <v>2</v>
      </c>
      <c r="I38" s="11"/>
      <c r="J38" s="11"/>
      <c r="K38" s="11"/>
      <c r="L38" s="11">
        <v>20</v>
      </c>
      <c r="M38" s="13"/>
    </row>
    <row r="39" spans="1:13" ht="18.5" x14ac:dyDescent="0.45">
      <c r="A39" s="3">
        <v>38</v>
      </c>
      <c r="B39" s="14" t="s">
        <v>92</v>
      </c>
      <c r="C39" s="4" t="s">
        <v>93</v>
      </c>
      <c r="D39" s="11">
        <f>SUM(1455+1482+1452+1434+1427+1489)</f>
        <v>8739</v>
      </c>
      <c r="E39" s="11">
        <f>SUM(129+147+107+101+114+97)</f>
        <v>695</v>
      </c>
      <c r="F39" s="12">
        <f t="shared" si="1"/>
        <v>12.574100719424461</v>
      </c>
      <c r="G39" s="11">
        <v>6</v>
      </c>
      <c r="H39" s="11">
        <v>1</v>
      </c>
      <c r="I39" s="11"/>
      <c r="J39" s="11"/>
      <c r="K39" s="11"/>
      <c r="L39" s="11">
        <v>12</v>
      </c>
      <c r="M39" s="13"/>
    </row>
    <row r="40" spans="1:13" ht="18.5" x14ac:dyDescent="0.45">
      <c r="A40" s="3">
        <v>39</v>
      </c>
      <c r="B40" s="4" t="s">
        <v>69</v>
      </c>
      <c r="C40" s="4" t="s">
        <v>17</v>
      </c>
      <c r="D40" s="11">
        <f>SUM(1501+1503+1225+1495+1420+1493+1289)</f>
        <v>9926</v>
      </c>
      <c r="E40" s="11">
        <f>SUM(148+104+75+129+108+136+99)</f>
        <v>799</v>
      </c>
      <c r="F40" s="12">
        <f t="shared" si="1"/>
        <v>12.423028785982478</v>
      </c>
      <c r="G40" s="11">
        <v>7</v>
      </c>
      <c r="H40" s="11">
        <v>2</v>
      </c>
      <c r="I40" s="11"/>
      <c r="J40" s="11"/>
      <c r="K40" s="11"/>
      <c r="L40" s="11">
        <v>15.5</v>
      </c>
      <c r="M40" s="13"/>
    </row>
    <row r="41" spans="1:13" ht="18.5" x14ac:dyDescent="0.45">
      <c r="A41" s="3">
        <v>40</v>
      </c>
      <c r="B41" s="14" t="s">
        <v>62</v>
      </c>
      <c r="C41" s="4" t="s">
        <v>27</v>
      </c>
      <c r="D41" s="11">
        <f>SUM(1332+1457+1481+1441+1493+1492+1503)</f>
        <v>10199</v>
      </c>
      <c r="E41" s="11">
        <f>SUM(102+131+110+117+131+134+102)</f>
        <v>827</v>
      </c>
      <c r="F41" s="12">
        <f t="shared" si="1"/>
        <v>12.332527206771463</v>
      </c>
      <c r="G41" s="11">
        <v>7</v>
      </c>
      <c r="H41" s="11">
        <v>2</v>
      </c>
      <c r="I41" s="11"/>
      <c r="J41" s="11"/>
      <c r="K41" s="11"/>
      <c r="L41" s="11">
        <v>14.5</v>
      </c>
      <c r="M41" s="13"/>
    </row>
    <row r="42" spans="1:13" ht="18.5" x14ac:dyDescent="0.45">
      <c r="A42" s="3">
        <v>41</v>
      </c>
      <c r="B42" s="14" t="s">
        <v>73</v>
      </c>
      <c r="C42" s="7" t="s">
        <v>77</v>
      </c>
      <c r="D42" s="11">
        <f>SUM(1359+1497+1412+1293+1503+1499)</f>
        <v>8563</v>
      </c>
      <c r="E42" s="11">
        <f>SUM(110+135+87+97+131+137)</f>
        <v>697</v>
      </c>
      <c r="F42" s="12">
        <f t="shared" si="1"/>
        <v>12.285509325681492</v>
      </c>
      <c r="G42" s="11">
        <v>6</v>
      </c>
      <c r="H42" s="11">
        <v>3</v>
      </c>
      <c r="I42" s="11"/>
      <c r="J42" s="11"/>
      <c r="K42" s="11"/>
      <c r="L42" s="11">
        <v>17.5</v>
      </c>
      <c r="M42" s="13"/>
    </row>
    <row r="43" spans="1:13" ht="18.5" x14ac:dyDescent="0.45">
      <c r="A43" s="3">
        <v>42</v>
      </c>
      <c r="B43" s="14" t="s">
        <v>34</v>
      </c>
      <c r="C43" s="4" t="s">
        <v>27</v>
      </c>
      <c r="D43" s="11">
        <f>SUM(1311+1257+1471+1499+1355+1408+1471)</f>
        <v>9772</v>
      </c>
      <c r="E43" s="11">
        <f>SUM(84+98+123+139+105+124+128)</f>
        <v>801</v>
      </c>
      <c r="F43" s="12">
        <f t="shared" si="1"/>
        <v>12.199750312109863</v>
      </c>
      <c r="G43" s="11">
        <v>7</v>
      </c>
      <c r="H43" s="11">
        <v>2</v>
      </c>
      <c r="I43" s="11"/>
      <c r="J43" s="11"/>
      <c r="K43" s="11"/>
      <c r="L43" s="11">
        <v>13.5</v>
      </c>
      <c r="M43" s="13">
        <v>5</v>
      </c>
    </row>
    <row r="44" spans="1:13" ht="18.5" x14ac:dyDescent="0.45">
      <c r="A44" s="3">
        <v>43</v>
      </c>
      <c r="B44" s="4" t="s">
        <v>98</v>
      </c>
      <c r="C44" s="4" t="s">
        <v>27</v>
      </c>
      <c r="D44" s="11">
        <f>SUM(1284+1031)</f>
        <v>2315</v>
      </c>
      <c r="E44" s="11">
        <f>SUM(99+98)</f>
        <v>197</v>
      </c>
      <c r="F44" s="12">
        <f t="shared" si="1"/>
        <v>11.751269035532994</v>
      </c>
      <c r="G44" s="11">
        <v>2</v>
      </c>
      <c r="H44" s="11"/>
      <c r="I44" s="11"/>
      <c r="J44" s="11"/>
      <c r="K44" s="11"/>
      <c r="L44" s="11">
        <v>5</v>
      </c>
      <c r="M44" s="13"/>
    </row>
    <row r="45" spans="1:13" ht="18.5" x14ac:dyDescent="0.45">
      <c r="A45" s="3">
        <v>44</v>
      </c>
      <c r="B45" s="4" t="s">
        <v>96</v>
      </c>
      <c r="C45" s="4" t="s">
        <v>27</v>
      </c>
      <c r="D45" s="11">
        <f>SUM(1014)</f>
        <v>1014</v>
      </c>
      <c r="E45" s="11">
        <f>SUM(87)</f>
        <v>87</v>
      </c>
      <c r="F45" s="12">
        <f t="shared" si="1"/>
        <v>11.655172413793103</v>
      </c>
      <c r="G45" s="11">
        <v>1</v>
      </c>
      <c r="H45" s="11"/>
      <c r="I45" s="11"/>
      <c r="J45" s="11"/>
      <c r="K45" s="11"/>
      <c r="L45" s="11">
        <v>0.5</v>
      </c>
      <c r="M45" s="13"/>
    </row>
    <row r="46" spans="1:13" ht="18.5" x14ac:dyDescent="0.45">
      <c r="A46" s="3">
        <v>45</v>
      </c>
      <c r="B46" s="4" t="s">
        <v>35</v>
      </c>
      <c r="C46" s="4" t="s">
        <v>63</v>
      </c>
      <c r="D46" s="11">
        <f>SUM(1357+1211+1501+1381+1328)</f>
        <v>6778</v>
      </c>
      <c r="E46" s="11">
        <f>SUM(105+90+149+138+114)</f>
        <v>596</v>
      </c>
      <c r="F46" s="12">
        <f t="shared" si="1"/>
        <v>11.372483221476511</v>
      </c>
      <c r="G46" s="11">
        <v>5</v>
      </c>
      <c r="H46" s="11">
        <v>1</v>
      </c>
      <c r="I46" s="11"/>
      <c r="J46" s="11"/>
      <c r="K46" s="11"/>
      <c r="L46" s="11">
        <v>7.5</v>
      </c>
      <c r="M46" s="13"/>
    </row>
    <row r="47" spans="1:13" ht="18.5" x14ac:dyDescent="0.45">
      <c r="A47" s="3">
        <v>46</v>
      </c>
      <c r="B47" s="14" t="s">
        <v>37</v>
      </c>
      <c r="C47" s="4" t="s">
        <v>80</v>
      </c>
      <c r="D47" s="11">
        <f>SUM(1372+1316+996+1229+1440+1483+1487)</f>
        <v>9323</v>
      </c>
      <c r="E47" s="11">
        <f>SUM(123+111+87+111+126+138+126)</f>
        <v>822</v>
      </c>
      <c r="F47" s="12">
        <f t="shared" si="1"/>
        <v>11.341849148418492</v>
      </c>
      <c r="G47" s="11">
        <v>7</v>
      </c>
      <c r="H47" s="11">
        <v>1</v>
      </c>
      <c r="I47" s="11"/>
      <c r="J47" s="11"/>
      <c r="K47" s="11"/>
      <c r="L47" s="11">
        <v>13</v>
      </c>
      <c r="M47" s="13"/>
    </row>
    <row r="48" spans="1:13" ht="18.5" x14ac:dyDescent="0.45">
      <c r="A48" s="3">
        <v>47</v>
      </c>
      <c r="B48" s="14" t="s">
        <v>38</v>
      </c>
      <c r="C48" s="4" t="s">
        <v>80</v>
      </c>
      <c r="D48" s="11">
        <f>SUM(1487+1270+1281+1456+1315+1438+1202)</f>
        <v>9449</v>
      </c>
      <c r="E48" s="11">
        <f>SUM(142+105+93+150+105+147+96)</f>
        <v>838</v>
      </c>
      <c r="F48" s="12">
        <f t="shared" si="1"/>
        <v>11.275656324582339</v>
      </c>
      <c r="G48" s="11">
        <v>7</v>
      </c>
      <c r="H48" s="11"/>
      <c r="I48" s="11"/>
      <c r="J48" s="11"/>
      <c r="K48" s="11"/>
      <c r="L48" s="11">
        <v>9.5</v>
      </c>
      <c r="M48" s="13"/>
    </row>
    <row r="49" spans="1:18" ht="18.5" x14ac:dyDescent="0.45">
      <c r="A49" s="3">
        <v>48</v>
      </c>
      <c r="B49" s="4" t="s">
        <v>19</v>
      </c>
      <c r="C49" s="4" t="s">
        <v>15</v>
      </c>
      <c r="D49" s="11">
        <f>SUM(1267+1491+1493)</f>
        <v>4251</v>
      </c>
      <c r="E49" s="11">
        <f>SUM(121+139+133)</f>
        <v>393</v>
      </c>
      <c r="F49" s="12">
        <f t="shared" si="1"/>
        <v>10.816793893129772</v>
      </c>
      <c r="G49" s="11">
        <v>3</v>
      </c>
      <c r="H49" s="11">
        <v>2</v>
      </c>
      <c r="I49" s="11"/>
      <c r="J49" s="11"/>
      <c r="K49" s="11"/>
      <c r="L49" s="11">
        <v>15.5</v>
      </c>
      <c r="M49" s="13"/>
    </row>
    <row r="50" spans="1:18" ht="18.5" x14ac:dyDescent="0.45">
      <c r="A50" s="3">
        <v>49</v>
      </c>
      <c r="B50" s="4" t="s">
        <v>97</v>
      </c>
      <c r="C50" s="4" t="s">
        <v>93</v>
      </c>
      <c r="D50" s="11">
        <f>SUM(1419+1464)</f>
        <v>2883</v>
      </c>
      <c r="E50" s="11">
        <f>SUM(132+136)</f>
        <v>268</v>
      </c>
      <c r="F50" s="12">
        <f t="shared" si="1"/>
        <v>10.757462686567164</v>
      </c>
      <c r="G50" s="11">
        <v>2</v>
      </c>
      <c r="H50" s="11"/>
      <c r="I50" s="11"/>
      <c r="J50" s="11"/>
      <c r="K50" s="11"/>
      <c r="L50" s="11">
        <v>3.5</v>
      </c>
      <c r="M50" s="13">
        <v>5</v>
      </c>
    </row>
    <row r="51" spans="1:18" ht="18.5" x14ac:dyDescent="0.45">
      <c r="A51" s="3">
        <v>50</v>
      </c>
      <c r="B51" s="14" t="s">
        <v>66</v>
      </c>
      <c r="C51" s="4" t="s">
        <v>17</v>
      </c>
      <c r="D51" s="11">
        <f>SUM(1337+1489+1467+1477)</f>
        <v>5770</v>
      </c>
      <c r="E51" s="11">
        <f>SUM(150+138+111+139)</f>
        <v>538</v>
      </c>
      <c r="F51" s="12">
        <f t="shared" si="1"/>
        <v>10.724907063197026</v>
      </c>
      <c r="G51" s="11">
        <v>4</v>
      </c>
      <c r="H51" s="11">
        <v>1</v>
      </c>
      <c r="I51" s="11"/>
      <c r="J51" s="11"/>
      <c r="K51" s="11"/>
      <c r="L51" s="11">
        <v>11</v>
      </c>
      <c r="M51" s="13">
        <v>5</v>
      </c>
    </row>
    <row r="52" spans="1:18" ht="18.5" x14ac:dyDescent="0.45">
      <c r="A52" s="3">
        <v>51</v>
      </c>
      <c r="B52" s="14" t="s">
        <v>68</v>
      </c>
      <c r="C52" s="4" t="s">
        <v>63</v>
      </c>
      <c r="D52" s="11">
        <f>SUM(1476+1440+1478)</f>
        <v>4394</v>
      </c>
      <c r="E52" s="11">
        <f>SUM(156+138+139)</f>
        <v>433</v>
      </c>
      <c r="F52" s="12">
        <f t="shared" si="1"/>
        <v>10.147806004618937</v>
      </c>
      <c r="G52" s="11">
        <v>3</v>
      </c>
      <c r="H52" s="11"/>
      <c r="I52" s="11"/>
      <c r="J52" s="11"/>
      <c r="K52" s="11"/>
      <c r="L52" s="11">
        <v>3</v>
      </c>
      <c r="M52" s="13"/>
    </row>
    <row r="53" spans="1:18" ht="18.5" x14ac:dyDescent="0.45">
      <c r="A53" s="3">
        <v>52</v>
      </c>
      <c r="B53" s="14" t="s">
        <v>99</v>
      </c>
      <c r="C53" s="4" t="s">
        <v>27</v>
      </c>
      <c r="D53" s="11"/>
      <c r="E53" s="11"/>
      <c r="F53" s="12"/>
      <c r="G53" s="11"/>
      <c r="H53" s="11"/>
      <c r="I53" s="11"/>
      <c r="J53" s="11"/>
      <c r="K53" s="11"/>
      <c r="L53" s="11">
        <v>0.5</v>
      </c>
      <c r="M53" s="13"/>
    </row>
    <row r="54" spans="1:18" ht="17.25" customHeight="1" thickBot="1" x14ac:dyDescent="0.5">
      <c r="A54" s="5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</row>
    <row r="55" spans="1:18" ht="19.5" customHeight="1" thickBot="1" x14ac:dyDescent="0.5">
      <c r="A55" s="5"/>
      <c r="B55" s="37" t="s">
        <v>101</v>
      </c>
      <c r="C55" s="24" t="s">
        <v>43</v>
      </c>
      <c r="D55" s="25" t="s">
        <v>44</v>
      </c>
      <c r="E55" s="25" t="s">
        <v>87</v>
      </c>
      <c r="F55" s="26" t="s">
        <v>45</v>
      </c>
      <c r="G55" s="27" t="s">
        <v>86</v>
      </c>
      <c r="I55" s="42" t="s">
        <v>46</v>
      </c>
      <c r="J55" s="43"/>
      <c r="K55" s="43"/>
      <c r="L55" s="43"/>
      <c r="M55" s="43"/>
      <c r="N55" s="43"/>
      <c r="O55" s="43"/>
      <c r="P55" s="43"/>
      <c r="Q55" s="43"/>
      <c r="R55" s="44"/>
    </row>
    <row r="56" spans="1:18" ht="18.5" x14ac:dyDescent="0.45">
      <c r="A56" s="5"/>
      <c r="B56" s="38"/>
      <c r="C56" s="16" t="s">
        <v>48</v>
      </c>
      <c r="D56" s="20">
        <v>7</v>
      </c>
      <c r="E56" s="20">
        <v>0</v>
      </c>
      <c r="F56" s="20">
        <v>111</v>
      </c>
      <c r="G56" s="22">
        <v>7</v>
      </c>
      <c r="I56" s="47" t="s">
        <v>47</v>
      </c>
      <c r="J56" s="48"/>
      <c r="K56" s="48"/>
      <c r="L56" s="48"/>
      <c r="M56" s="48"/>
      <c r="N56" s="45" t="s">
        <v>95</v>
      </c>
      <c r="O56" s="45"/>
      <c r="P56" s="45"/>
      <c r="Q56" s="45"/>
      <c r="R56" s="46"/>
    </row>
    <row r="57" spans="1:18" ht="18.5" x14ac:dyDescent="0.45">
      <c r="A57" s="5"/>
      <c r="B57" s="38"/>
      <c r="C57" s="16" t="s">
        <v>50</v>
      </c>
      <c r="D57" s="20">
        <v>6</v>
      </c>
      <c r="E57" s="11">
        <v>1</v>
      </c>
      <c r="F57" s="11">
        <v>109</v>
      </c>
      <c r="G57" s="22">
        <v>6</v>
      </c>
      <c r="I57" s="49" t="s">
        <v>49</v>
      </c>
      <c r="J57" s="50"/>
      <c r="K57" s="50"/>
      <c r="L57" s="50"/>
      <c r="M57" s="50"/>
      <c r="N57" s="40" t="s">
        <v>102</v>
      </c>
      <c r="O57" s="40"/>
      <c r="P57" s="40"/>
      <c r="Q57" s="40"/>
      <c r="R57" s="41"/>
    </row>
    <row r="58" spans="1:18" ht="19" thickBot="1" x14ac:dyDescent="0.5">
      <c r="A58" s="5"/>
      <c r="B58" s="38"/>
      <c r="C58" s="16" t="s">
        <v>58</v>
      </c>
      <c r="D58" s="20">
        <v>6</v>
      </c>
      <c r="E58" s="11">
        <v>2</v>
      </c>
      <c r="F58" s="11">
        <v>118</v>
      </c>
      <c r="G58" s="22">
        <v>9</v>
      </c>
      <c r="I58" s="49" t="s">
        <v>51</v>
      </c>
      <c r="J58" s="50"/>
      <c r="K58" s="50"/>
      <c r="L58" s="50"/>
      <c r="M58" s="50"/>
      <c r="N58" s="40" t="s">
        <v>103</v>
      </c>
      <c r="O58" s="40"/>
      <c r="P58" s="40"/>
      <c r="Q58" s="40"/>
      <c r="R58" s="41"/>
    </row>
    <row r="59" spans="1:18" ht="18.5" x14ac:dyDescent="0.45">
      <c r="A59" s="6"/>
      <c r="B59" s="38"/>
      <c r="C59" s="28" t="s">
        <v>53</v>
      </c>
      <c r="D59" s="29">
        <v>5</v>
      </c>
      <c r="E59" s="30">
        <v>2</v>
      </c>
      <c r="F59" s="30">
        <v>100</v>
      </c>
      <c r="G59" s="31">
        <v>5</v>
      </c>
      <c r="I59" s="49" t="s">
        <v>52</v>
      </c>
      <c r="J59" s="50"/>
      <c r="K59" s="50"/>
      <c r="L59" s="50"/>
      <c r="M59" s="50"/>
      <c r="N59" s="40" t="s">
        <v>100</v>
      </c>
      <c r="O59" s="40"/>
      <c r="P59" s="40"/>
      <c r="Q59" s="40"/>
      <c r="R59" s="41"/>
    </row>
    <row r="60" spans="1:18" ht="18" customHeight="1" x14ac:dyDescent="0.45">
      <c r="A60" s="6"/>
      <c r="B60" s="38"/>
      <c r="C60" s="16" t="s">
        <v>57</v>
      </c>
      <c r="D60" s="20">
        <v>4</v>
      </c>
      <c r="E60" s="11">
        <v>3</v>
      </c>
      <c r="F60" s="11">
        <v>97</v>
      </c>
      <c r="G60" s="22">
        <v>3</v>
      </c>
      <c r="I60" s="49" t="s">
        <v>54</v>
      </c>
      <c r="J60" s="50"/>
      <c r="K60" s="50"/>
      <c r="L60" s="50"/>
      <c r="M60" s="50"/>
      <c r="N60" s="40" t="s">
        <v>94</v>
      </c>
      <c r="O60" s="40"/>
      <c r="P60" s="40"/>
      <c r="Q60" s="40"/>
      <c r="R60" s="41"/>
    </row>
    <row r="61" spans="1:18" ht="18" customHeight="1" thickBot="1" x14ac:dyDescent="0.5">
      <c r="A61" s="6"/>
      <c r="B61" s="38"/>
      <c r="C61" s="16" t="s">
        <v>56</v>
      </c>
      <c r="D61" s="20">
        <v>4</v>
      </c>
      <c r="E61" s="20">
        <v>3</v>
      </c>
      <c r="F61" s="20">
        <v>89</v>
      </c>
      <c r="G61" s="22">
        <v>2</v>
      </c>
      <c r="I61" s="35" t="s">
        <v>55</v>
      </c>
      <c r="J61" s="36"/>
      <c r="K61" s="36"/>
      <c r="L61" s="36"/>
      <c r="M61" s="36"/>
      <c r="N61" s="40" t="s">
        <v>89</v>
      </c>
      <c r="O61" s="40"/>
      <c r="P61" s="40"/>
      <c r="Q61" s="40"/>
      <c r="R61" s="41"/>
    </row>
    <row r="62" spans="1:18" ht="18.5" x14ac:dyDescent="0.45">
      <c r="A62" s="6"/>
      <c r="B62" s="38"/>
      <c r="C62" s="16" t="s">
        <v>88</v>
      </c>
      <c r="D62" s="21">
        <v>3</v>
      </c>
      <c r="E62" s="21">
        <v>4</v>
      </c>
      <c r="F62" s="21">
        <v>76</v>
      </c>
      <c r="G62" s="22">
        <v>1</v>
      </c>
      <c r="H62" s="6"/>
      <c r="I62" s="6"/>
    </row>
    <row r="63" spans="1:18" ht="18.5" x14ac:dyDescent="0.45">
      <c r="A63" s="6"/>
      <c r="B63" s="38"/>
      <c r="C63" s="16" t="s">
        <v>67</v>
      </c>
      <c r="D63" s="20">
        <v>2</v>
      </c>
      <c r="E63" s="11">
        <v>5</v>
      </c>
      <c r="F63" s="11">
        <v>73</v>
      </c>
      <c r="G63" s="22">
        <v>8</v>
      </c>
      <c r="H63" s="6"/>
    </row>
    <row r="64" spans="1:18" ht="19" thickBot="1" x14ac:dyDescent="0.5">
      <c r="B64" s="38"/>
      <c r="C64" s="32" t="s">
        <v>81</v>
      </c>
      <c r="D64" s="33">
        <v>1</v>
      </c>
      <c r="E64" s="33">
        <v>6</v>
      </c>
      <c r="F64" s="33">
        <v>53</v>
      </c>
      <c r="G64" s="23">
        <v>4</v>
      </c>
    </row>
    <row r="65" spans="2:7" ht="18.5" x14ac:dyDescent="0.45">
      <c r="B65" s="38"/>
      <c r="C65" s="16" t="s">
        <v>64</v>
      </c>
      <c r="D65" s="21">
        <v>1</v>
      </c>
      <c r="E65" s="21">
        <v>7</v>
      </c>
      <c r="F65" s="21">
        <v>69</v>
      </c>
      <c r="G65" s="22">
        <v>10</v>
      </c>
    </row>
    <row r="66" spans="2:7" ht="19" thickBot="1" x14ac:dyDescent="0.5">
      <c r="B66" s="39"/>
      <c r="C66" s="17" t="s">
        <v>59</v>
      </c>
      <c r="D66" s="21">
        <v>1</v>
      </c>
      <c r="E66" s="21">
        <v>7</v>
      </c>
      <c r="F66" s="21">
        <v>65</v>
      </c>
      <c r="G66" s="22">
        <v>11</v>
      </c>
    </row>
  </sheetData>
  <sortState ref="A2:M53">
    <sortCondition descending="1" ref="F2:F53"/>
  </sortState>
  <mergeCells count="14">
    <mergeCell ref="I61:M61"/>
    <mergeCell ref="B55:B66"/>
    <mergeCell ref="N61:R61"/>
    <mergeCell ref="I55:R55"/>
    <mergeCell ref="N56:R56"/>
    <mergeCell ref="N57:R57"/>
    <mergeCell ref="N58:R58"/>
    <mergeCell ref="N59:R59"/>
    <mergeCell ref="N60:R60"/>
    <mergeCell ref="I56:M56"/>
    <mergeCell ref="I57:M57"/>
    <mergeCell ref="I58:M58"/>
    <mergeCell ref="I59:M59"/>
    <mergeCell ref="I60:M60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a2d1f95f-8510-4424-8ae1-5c596bdbd578}" enabled="0" method="" siteId="{a2d1f95f-8510-4424-8ae1-5c596bdbd578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8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Powers, Sam</dc:creator>
  <cp:keywords/>
  <dc:description/>
  <cp:lastModifiedBy>Mellie, Gabriella</cp:lastModifiedBy>
  <cp:revision/>
  <dcterms:created xsi:type="dcterms:W3CDTF">2023-09-18T23:48:25Z</dcterms:created>
  <dcterms:modified xsi:type="dcterms:W3CDTF">2026-04-01T10:56:18Z</dcterms:modified>
  <cp:category/>
  <cp:contentStatus/>
</cp:coreProperties>
</file>