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liga1\Desktop\Darts\"/>
    </mc:Choice>
  </mc:AlternateContent>
  <bookViews>
    <workbookView xWindow="0" yWindow="0" windowWidth="20490" windowHeight="7755" firstSheet="6" activeTab="13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  <sheet name="Week 6" sheetId="6" r:id="rId6"/>
    <sheet name="Week 7" sheetId="7" r:id="rId7"/>
    <sheet name="Week 8" sheetId="8" r:id="rId8"/>
    <sheet name="Week 9" sheetId="9" r:id="rId9"/>
    <sheet name="Week 10" sheetId="10" r:id="rId10"/>
    <sheet name="Week 11" sheetId="11" r:id="rId11"/>
    <sheet name="Week 12" sheetId="12" r:id="rId12"/>
    <sheet name="Week 13" sheetId="13" r:id="rId13"/>
    <sheet name="Week 14" sheetId="14" r:id="rId14"/>
  </sheets>
  <definedNames>
    <definedName name="_xlnm._FilterDatabase" localSheetId="6" hidden="1">'Week 7'!$A$1:$M$66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4" l="1"/>
  <c r="E2" i="14"/>
  <c r="F2" i="14"/>
  <c r="D3" i="14"/>
  <c r="F3" i="14" s="1"/>
  <c r="E3" i="14"/>
  <c r="D4" i="14"/>
  <c r="F4" i="14" s="1"/>
  <c r="E4" i="14"/>
  <c r="D5" i="14"/>
  <c r="E5" i="14"/>
  <c r="F5" i="14"/>
  <c r="D6" i="14"/>
  <c r="E6" i="14"/>
  <c r="F6" i="14"/>
  <c r="D7" i="14"/>
  <c r="F7" i="14" s="1"/>
  <c r="E7" i="14"/>
  <c r="D8" i="14"/>
  <c r="F8" i="14" s="1"/>
  <c r="E8" i="14"/>
  <c r="D9" i="14"/>
  <c r="E9" i="14"/>
  <c r="F9" i="14"/>
  <c r="D10" i="14"/>
  <c r="E10" i="14"/>
  <c r="F10" i="14"/>
  <c r="D11" i="14"/>
  <c r="F11" i="14" s="1"/>
  <c r="E11" i="14"/>
  <c r="D12" i="14"/>
  <c r="F12" i="14" s="1"/>
  <c r="E12" i="14"/>
  <c r="D13" i="14"/>
  <c r="E13" i="14"/>
  <c r="F13" i="14"/>
  <c r="D14" i="14"/>
  <c r="E14" i="14"/>
  <c r="F14" i="14"/>
  <c r="D15" i="14"/>
  <c r="F15" i="14" s="1"/>
  <c r="E15" i="14"/>
  <c r="D16" i="14"/>
  <c r="F16" i="14" s="1"/>
  <c r="E16" i="14"/>
  <c r="D17" i="14"/>
  <c r="E17" i="14"/>
  <c r="F17" i="14"/>
  <c r="D18" i="14"/>
  <c r="E18" i="14"/>
  <c r="F18" i="14"/>
  <c r="D19" i="14"/>
  <c r="F19" i="14" s="1"/>
  <c r="E19" i="14"/>
  <c r="D20" i="14"/>
  <c r="F20" i="14" s="1"/>
  <c r="E20" i="14"/>
  <c r="D21" i="14"/>
  <c r="E21" i="14"/>
  <c r="F21" i="14"/>
  <c r="D22" i="14"/>
  <c r="E22" i="14"/>
  <c r="F22" i="14"/>
  <c r="D23" i="14"/>
  <c r="F23" i="14" s="1"/>
  <c r="E23" i="14"/>
  <c r="D24" i="14"/>
  <c r="F24" i="14" s="1"/>
  <c r="E24" i="14"/>
  <c r="D25" i="14"/>
  <c r="E25" i="14"/>
  <c r="F25" i="14"/>
  <c r="D26" i="14"/>
  <c r="E26" i="14"/>
  <c r="F26" i="14"/>
  <c r="D27" i="14"/>
  <c r="F27" i="14" s="1"/>
  <c r="E27" i="14"/>
  <c r="D28" i="14"/>
  <c r="F28" i="14" s="1"/>
  <c r="E28" i="14"/>
  <c r="D29" i="14"/>
  <c r="E29" i="14"/>
  <c r="F29" i="14"/>
  <c r="D30" i="14"/>
  <c r="E30" i="14"/>
  <c r="F30" i="14"/>
  <c r="D31" i="14"/>
  <c r="F31" i="14" s="1"/>
  <c r="E31" i="14"/>
  <c r="D32" i="14"/>
  <c r="F32" i="14" s="1"/>
  <c r="E32" i="14"/>
  <c r="D33" i="14"/>
  <c r="E33" i="14"/>
  <c r="F33" i="14"/>
  <c r="D34" i="14"/>
  <c r="E34" i="14"/>
  <c r="F34" i="14"/>
  <c r="D35" i="14"/>
  <c r="F35" i="14" s="1"/>
  <c r="E35" i="14"/>
  <c r="D36" i="14"/>
  <c r="F36" i="14" s="1"/>
  <c r="E36" i="14"/>
  <c r="D37" i="14"/>
  <c r="E37" i="14"/>
  <c r="F37" i="14"/>
  <c r="D38" i="14"/>
  <c r="E38" i="14"/>
  <c r="F38" i="14"/>
  <c r="D39" i="14"/>
  <c r="F39" i="14" s="1"/>
  <c r="E39" i="14"/>
  <c r="D40" i="14"/>
  <c r="F40" i="14" s="1"/>
  <c r="E40" i="14"/>
  <c r="D41" i="14"/>
  <c r="E41" i="14"/>
  <c r="F41" i="14"/>
  <c r="D42" i="14"/>
  <c r="E42" i="14"/>
  <c r="F42" i="14"/>
  <c r="D43" i="14"/>
  <c r="F43" i="14" s="1"/>
  <c r="E43" i="14"/>
  <c r="D44" i="14"/>
  <c r="F44" i="14" s="1"/>
  <c r="E44" i="14"/>
  <c r="D45" i="14"/>
  <c r="E45" i="14"/>
  <c r="F45" i="14"/>
  <c r="D46" i="14"/>
  <c r="E46" i="14"/>
  <c r="F46" i="14"/>
  <c r="D47" i="14"/>
  <c r="F47" i="14" s="1"/>
  <c r="E47" i="14"/>
  <c r="D48" i="14"/>
  <c r="F48" i="14" s="1"/>
  <c r="E48" i="14"/>
  <c r="D49" i="14"/>
  <c r="E49" i="14"/>
  <c r="F49" i="14"/>
  <c r="D50" i="14"/>
  <c r="E50" i="14"/>
  <c r="F50" i="14"/>
  <c r="D51" i="14"/>
  <c r="F51" i="14" s="1"/>
  <c r="E51" i="14"/>
  <c r="D52" i="14"/>
  <c r="F52" i="14" s="1"/>
  <c r="E52" i="14"/>
  <c r="D53" i="14"/>
  <c r="E53" i="14"/>
  <c r="F53" i="14"/>
  <c r="D54" i="14"/>
  <c r="E54" i="14"/>
  <c r="F54" i="14"/>
  <c r="D55" i="14"/>
  <c r="F55" i="14" s="1"/>
  <c r="E55" i="14"/>
  <c r="D56" i="14"/>
  <c r="F56" i="14" s="1"/>
  <c r="E56" i="14"/>
  <c r="D57" i="14"/>
  <c r="E57" i="14"/>
  <c r="F57" i="14"/>
  <c r="D58" i="14"/>
  <c r="E58" i="14"/>
  <c r="F58" i="14"/>
  <c r="D59" i="14"/>
  <c r="F59" i="14" s="1"/>
  <c r="E59" i="14"/>
  <c r="D60" i="14"/>
  <c r="F60" i="14" s="1"/>
  <c r="E60" i="14"/>
  <c r="D61" i="14"/>
  <c r="E61" i="14"/>
  <c r="F61" i="14"/>
  <c r="D62" i="14"/>
  <c r="E62" i="14"/>
  <c r="F62" i="14"/>
  <c r="D63" i="14"/>
  <c r="F63" i="14" s="1"/>
  <c r="E63" i="14"/>
  <c r="D64" i="14"/>
  <c r="F64" i="14" s="1"/>
  <c r="E64" i="14"/>
  <c r="D65" i="14"/>
  <c r="E65" i="14"/>
  <c r="F65" i="14"/>
  <c r="D66" i="14"/>
  <c r="E66" i="14"/>
  <c r="F66" i="14"/>
  <c r="D67" i="14"/>
  <c r="F67" i="14" s="1"/>
  <c r="E67" i="14"/>
  <c r="D68" i="14"/>
  <c r="F68" i="14" s="1"/>
  <c r="E68" i="14"/>
  <c r="F69" i="14"/>
  <c r="D70" i="14"/>
  <c r="F70" i="14" s="1"/>
  <c r="E70" i="14"/>
  <c r="D71" i="14"/>
  <c r="E71" i="14"/>
  <c r="F71" i="14"/>
  <c r="D72" i="14"/>
  <c r="E72" i="14"/>
  <c r="F72" i="14"/>
  <c r="D73" i="14"/>
  <c r="F73" i="14" s="1"/>
  <c r="E73" i="14"/>
  <c r="D74" i="14"/>
  <c r="F74" i="14" s="1"/>
  <c r="E74" i="14"/>
  <c r="D75" i="14"/>
  <c r="E75" i="14"/>
  <c r="F75" i="14"/>
  <c r="D2" i="13" l="1"/>
  <c r="E2" i="13"/>
  <c r="F2" i="13"/>
  <c r="D3" i="13"/>
  <c r="F3" i="13" s="1"/>
  <c r="E3" i="13"/>
  <c r="D4" i="13"/>
  <c r="F4" i="13" s="1"/>
  <c r="E4" i="13"/>
  <c r="D5" i="13"/>
  <c r="E5" i="13"/>
  <c r="F5" i="13"/>
  <c r="D6" i="13"/>
  <c r="E6" i="13"/>
  <c r="F6" i="13"/>
  <c r="D7" i="13"/>
  <c r="F7" i="13" s="1"/>
  <c r="E7" i="13"/>
  <c r="D8" i="13"/>
  <c r="F8" i="13" s="1"/>
  <c r="E8" i="13"/>
  <c r="D9" i="13"/>
  <c r="E9" i="13"/>
  <c r="F9" i="13"/>
  <c r="D10" i="13"/>
  <c r="E10" i="13"/>
  <c r="F10" i="13"/>
  <c r="D11" i="13"/>
  <c r="F11" i="13" s="1"/>
  <c r="E11" i="13"/>
  <c r="D12" i="13"/>
  <c r="F12" i="13" s="1"/>
  <c r="E12" i="13"/>
  <c r="D13" i="13"/>
  <c r="E13" i="13"/>
  <c r="F13" i="13"/>
  <c r="D14" i="13"/>
  <c r="E14" i="13"/>
  <c r="F14" i="13"/>
  <c r="D15" i="13"/>
  <c r="F15" i="13" s="1"/>
  <c r="E15" i="13"/>
  <c r="D16" i="13"/>
  <c r="F16" i="13" s="1"/>
  <c r="E16" i="13"/>
  <c r="D17" i="13"/>
  <c r="E17" i="13"/>
  <c r="F17" i="13"/>
  <c r="D18" i="13"/>
  <c r="E18" i="13"/>
  <c r="F18" i="13"/>
  <c r="D19" i="13"/>
  <c r="F19" i="13" s="1"/>
  <c r="E19" i="13"/>
  <c r="D20" i="13"/>
  <c r="F20" i="13" s="1"/>
  <c r="E20" i="13"/>
  <c r="D21" i="13"/>
  <c r="E21" i="13"/>
  <c r="F21" i="13"/>
  <c r="D22" i="13"/>
  <c r="E22" i="13"/>
  <c r="F22" i="13"/>
  <c r="D23" i="13"/>
  <c r="F23" i="13" s="1"/>
  <c r="E23" i="13"/>
  <c r="D24" i="13"/>
  <c r="F24" i="13" s="1"/>
  <c r="E24" i="13"/>
  <c r="D25" i="13"/>
  <c r="E25" i="13"/>
  <c r="F25" i="13"/>
  <c r="D26" i="13"/>
  <c r="E26" i="13"/>
  <c r="F26" i="13"/>
  <c r="D27" i="13"/>
  <c r="F27" i="13" s="1"/>
  <c r="E27" i="13"/>
  <c r="D28" i="13"/>
  <c r="F28" i="13" s="1"/>
  <c r="E28" i="13"/>
  <c r="D29" i="13"/>
  <c r="E29" i="13"/>
  <c r="F29" i="13"/>
  <c r="D30" i="13"/>
  <c r="E30" i="13"/>
  <c r="F30" i="13"/>
  <c r="D31" i="13"/>
  <c r="F31" i="13" s="1"/>
  <c r="E31" i="13"/>
  <c r="D32" i="13"/>
  <c r="F32" i="13" s="1"/>
  <c r="E32" i="13"/>
  <c r="D33" i="13"/>
  <c r="E33" i="13"/>
  <c r="F33" i="13"/>
  <c r="D34" i="13"/>
  <c r="E34" i="13"/>
  <c r="F34" i="13"/>
  <c r="D35" i="13"/>
  <c r="F35" i="13" s="1"/>
  <c r="E35" i="13"/>
  <c r="D36" i="13"/>
  <c r="F36" i="13" s="1"/>
  <c r="E36" i="13"/>
  <c r="D37" i="13"/>
  <c r="E37" i="13"/>
  <c r="F37" i="13"/>
  <c r="D38" i="13"/>
  <c r="E38" i="13"/>
  <c r="F38" i="13"/>
  <c r="D39" i="13"/>
  <c r="F39" i="13" s="1"/>
  <c r="E39" i="13"/>
  <c r="D40" i="13"/>
  <c r="F40" i="13" s="1"/>
  <c r="E40" i="13"/>
  <c r="D41" i="13"/>
  <c r="E41" i="13"/>
  <c r="F41" i="13"/>
  <c r="D42" i="13"/>
  <c r="E42" i="13"/>
  <c r="F42" i="13"/>
  <c r="D43" i="13"/>
  <c r="F43" i="13" s="1"/>
  <c r="E43" i="13"/>
  <c r="D44" i="13"/>
  <c r="F44" i="13" s="1"/>
  <c r="E44" i="13"/>
  <c r="D45" i="13"/>
  <c r="E45" i="13"/>
  <c r="F45" i="13"/>
  <c r="D46" i="13"/>
  <c r="E46" i="13"/>
  <c r="F46" i="13"/>
  <c r="D47" i="13"/>
  <c r="F47" i="13" s="1"/>
  <c r="E47" i="13"/>
  <c r="D48" i="13"/>
  <c r="F48" i="13" s="1"/>
  <c r="E48" i="13"/>
  <c r="D49" i="13"/>
  <c r="E49" i="13"/>
  <c r="F49" i="13"/>
  <c r="D50" i="13"/>
  <c r="E50" i="13"/>
  <c r="F50" i="13"/>
  <c r="D51" i="13"/>
  <c r="F51" i="13" s="1"/>
  <c r="E51" i="13"/>
  <c r="D52" i="13"/>
  <c r="F52" i="13" s="1"/>
  <c r="E52" i="13"/>
  <c r="D53" i="13"/>
  <c r="E53" i="13"/>
  <c r="F53" i="13"/>
  <c r="D54" i="13"/>
  <c r="E54" i="13"/>
  <c r="F54" i="13" s="1"/>
  <c r="D55" i="13"/>
  <c r="F55" i="13" s="1"/>
  <c r="E55" i="13"/>
  <c r="D56" i="13"/>
  <c r="F56" i="13" s="1"/>
  <c r="E56" i="13"/>
  <c r="D57" i="13"/>
  <c r="E57" i="13"/>
  <c r="F57" i="13"/>
  <c r="D58" i="13"/>
  <c r="E58" i="13"/>
  <c r="F58" i="13" s="1"/>
  <c r="D59" i="13"/>
  <c r="F59" i="13" s="1"/>
  <c r="E59" i="13"/>
  <c r="D60" i="13"/>
  <c r="F60" i="13" s="1"/>
  <c r="E60" i="13"/>
  <c r="D61" i="13"/>
  <c r="E61" i="13"/>
  <c r="F61" i="13"/>
  <c r="D62" i="13"/>
  <c r="E62" i="13"/>
  <c r="F62" i="13" s="1"/>
  <c r="D63" i="13"/>
  <c r="F63" i="13" s="1"/>
  <c r="E63" i="13"/>
  <c r="D64" i="13"/>
  <c r="F64" i="13" s="1"/>
  <c r="E64" i="13"/>
  <c r="D65" i="13"/>
  <c r="E65" i="13"/>
  <c r="F65" i="13"/>
  <c r="D66" i="13"/>
  <c r="E66" i="13"/>
  <c r="F66" i="13" s="1"/>
  <c r="D67" i="13"/>
  <c r="F67" i="13" s="1"/>
  <c r="E67" i="13"/>
  <c r="D68" i="13"/>
  <c r="F68" i="13" s="1"/>
  <c r="E68" i="13"/>
  <c r="D69" i="13"/>
  <c r="E69" i="13"/>
  <c r="F69" i="13"/>
  <c r="D70" i="13"/>
  <c r="E70" i="13"/>
  <c r="F70" i="13" s="1"/>
  <c r="D71" i="13"/>
  <c r="F71" i="13" s="1"/>
  <c r="E71" i="13"/>
  <c r="D72" i="13"/>
  <c r="F72" i="13" s="1"/>
  <c r="E72" i="13"/>
  <c r="D73" i="13"/>
  <c r="E73" i="13"/>
  <c r="F73" i="13"/>
  <c r="D74" i="13"/>
  <c r="E74" i="13"/>
  <c r="F74" i="13"/>
  <c r="D2" i="12" l="1"/>
  <c r="E2" i="12"/>
  <c r="F2" i="12"/>
  <c r="D3" i="12"/>
  <c r="F3" i="12" s="1"/>
  <c r="E3" i="12"/>
  <c r="D4" i="12"/>
  <c r="F4" i="12" s="1"/>
  <c r="E4" i="12"/>
  <c r="D5" i="12"/>
  <c r="E5" i="12"/>
  <c r="F5" i="12"/>
  <c r="D6" i="12"/>
  <c r="E6" i="12"/>
  <c r="F6" i="12"/>
  <c r="D7" i="12"/>
  <c r="F7" i="12" s="1"/>
  <c r="E7" i="12"/>
  <c r="D8" i="12"/>
  <c r="F8" i="12" s="1"/>
  <c r="E8" i="12"/>
  <c r="D9" i="12"/>
  <c r="E9" i="12"/>
  <c r="F9" i="12"/>
  <c r="D10" i="12"/>
  <c r="E10" i="12"/>
  <c r="F10" i="12"/>
  <c r="D11" i="12"/>
  <c r="F11" i="12" s="1"/>
  <c r="E11" i="12"/>
  <c r="D12" i="12"/>
  <c r="F12" i="12" s="1"/>
  <c r="E12" i="12"/>
  <c r="D13" i="12"/>
  <c r="E13" i="12"/>
  <c r="F13" i="12"/>
  <c r="D14" i="12"/>
  <c r="E14" i="12"/>
  <c r="F14" i="12"/>
  <c r="D15" i="12"/>
  <c r="F15" i="12" s="1"/>
  <c r="E15" i="12"/>
  <c r="D16" i="12"/>
  <c r="F16" i="12" s="1"/>
  <c r="E16" i="12"/>
  <c r="D17" i="12"/>
  <c r="E17" i="12"/>
  <c r="F17" i="12"/>
  <c r="D18" i="12"/>
  <c r="E18" i="12"/>
  <c r="F18" i="12"/>
  <c r="D19" i="12"/>
  <c r="F19" i="12" s="1"/>
  <c r="E19" i="12"/>
  <c r="D20" i="12"/>
  <c r="F20" i="12" s="1"/>
  <c r="E20" i="12"/>
  <c r="D21" i="12"/>
  <c r="E21" i="12"/>
  <c r="F21" i="12"/>
  <c r="D22" i="12"/>
  <c r="E22" i="12"/>
  <c r="F22" i="12"/>
  <c r="D23" i="12"/>
  <c r="F23" i="12" s="1"/>
  <c r="E23" i="12"/>
  <c r="D24" i="12"/>
  <c r="F24" i="12" s="1"/>
  <c r="E24" i="12"/>
  <c r="D25" i="12"/>
  <c r="E25" i="12"/>
  <c r="F25" i="12"/>
  <c r="D26" i="12"/>
  <c r="E26" i="12"/>
  <c r="F26" i="12"/>
  <c r="D27" i="12"/>
  <c r="F27" i="12" s="1"/>
  <c r="E27" i="12"/>
  <c r="D28" i="12"/>
  <c r="F28" i="12" s="1"/>
  <c r="E28" i="12"/>
  <c r="D29" i="12"/>
  <c r="E29" i="12"/>
  <c r="F29" i="12"/>
  <c r="D30" i="12"/>
  <c r="E30" i="12"/>
  <c r="F30" i="12"/>
  <c r="D31" i="12"/>
  <c r="F31" i="12" s="1"/>
  <c r="E31" i="12"/>
  <c r="D32" i="12"/>
  <c r="F32" i="12" s="1"/>
  <c r="E32" i="12"/>
  <c r="D33" i="12"/>
  <c r="E33" i="12"/>
  <c r="F33" i="12"/>
  <c r="D34" i="12"/>
  <c r="E34" i="12"/>
  <c r="F34" i="12"/>
  <c r="D35" i="12"/>
  <c r="F35" i="12" s="1"/>
  <c r="E35" i="12"/>
  <c r="D36" i="12"/>
  <c r="F36" i="12" s="1"/>
  <c r="E36" i="12"/>
  <c r="D37" i="12"/>
  <c r="E37" i="12"/>
  <c r="F37" i="12"/>
  <c r="D38" i="12"/>
  <c r="E38" i="12"/>
  <c r="F38" i="12"/>
  <c r="D39" i="12"/>
  <c r="F39" i="12" s="1"/>
  <c r="E39" i="12"/>
  <c r="D40" i="12"/>
  <c r="F40" i="12" s="1"/>
  <c r="E40" i="12"/>
  <c r="D41" i="12"/>
  <c r="E41" i="12"/>
  <c r="F41" i="12"/>
  <c r="D42" i="12"/>
  <c r="E42" i="12"/>
  <c r="F42" i="12"/>
  <c r="D43" i="12"/>
  <c r="F43" i="12" s="1"/>
  <c r="E43" i="12"/>
  <c r="D44" i="12"/>
  <c r="F44" i="12" s="1"/>
  <c r="E44" i="12"/>
  <c r="D45" i="12"/>
  <c r="E45" i="12"/>
  <c r="F45" i="12"/>
  <c r="D46" i="12"/>
  <c r="E46" i="12"/>
  <c r="F46" i="12"/>
  <c r="D47" i="12"/>
  <c r="F47" i="12" s="1"/>
  <c r="E47" i="12"/>
  <c r="D48" i="12"/>
  <c r="F48" i="12" s="1"/>
  <c r="E48" i="12"/>
  <c r="D49" i="12"/>
  <c r="E49" i="12"/>
  <c r="F49" i="12"/>
  <c r="D50" i="12"/>
  <c r="E50" i="12"/>
  <c r="F50" i="12"/>
  <c r="D51" i="12"/>
  <c r="F51" i="12" s="1"/>
  <c r="E51" i="12"/>
  <c r="D52" i="12"/>
  <c r="F52" i="12" s="1"/>
  <c r="E52" i="12"/>
  <c r="D53" i="12"/>
  <c r="E53" i="12"/>
  <c r="F53" i="12"/>
  <c r="D54" i="12"/>
  <c r="E54" i="12"/>
  <c r="F54" i="12"/>
  <c r="D55" i="12"/>
  <c r="F55" i="12" s="1"/>
  <c r="E55" i="12"/>
  <c r="D56" i="12"/>
  <c r="F56" i="12" s="1"/>
  <c r="E56" i="12"/>
  <c r="D57" i="12"/>
  <c r="E57" i="12"/>
  <c r="F57" i="12"/>
  <c r="D58" i="12"/>
  <c r="E58" i="12"/>
  <c r="F58" i="12"/>
  <c r="D59" i="12"/>
  <c r="F59" i="12" s="1"/>
  <c r="E59" i="12"/>
  <c r="D60" i="12"/>
  <c r="F60" i="12" s="1"/>
  <c r="E60" i="12"/>
  <c r="D61" i="12"/>
  <c r="E61" i="12"/>
  <c r="F61" i="12"/>
  <c r="D62" i="12"/>
  <c r="E62" i="12"/>
  <c r="F62" i="12"/>
  <c r="D63" i="12"/>
  <c r="F63" i="12" s="1"/>
  <c r="E63" i="12"/>
  <c r="D64" i="12"/>
  <c r="F64" i="12" s="1"/>
  <c r="E64" i="12"/>
  <c r="D65" i="12"/>
  <c r="E65" i="12"/>
  <c r="F65" i="12"/>
  <c r="D66" i="12"/>
  <c r="E66" i="12"/>
  <c r="F66" i="12"/>
  <c r="D67" i="12"/>
  <c r="F67" i="12" s="1"/>
  <c r="E67" i="12"/>
  <c r="D68" i="12"/>
  <c r="F68" i="12" s="1"/>
  <c r="E68" i="12"/>
  <c r="D69" i="12"/>
  <c r="E69" i="12"/>
  <c r="F69" i="12"/>
  <c r="D70" i="12"/>
  <c r="E70" i="12"/>
  <c r="F70" i="12"/>
  <c r="D71" i="12"/>
  <c r="F71" i="12" s="1"/>
  <c r="E71" i="12"/>
  <c r="D72" i="12"/>
  <c r="F72" i="12" s="1"/>
  <c r="E72" i="12"/>
  <c r="D2" i="11" l="1"/>
  <c r="E2" i="11"/>
  <c r="F2" i="11"/>
  <c r="D3" i="11"/>
  <c r="F3" i="11" s="1"/>
  <c r="E3" i="11"/>
  <c r="D4" i="11"/>
  <c r="F4" i="11" s="1"/>
  <c r="E4" i="11"/>
  <c r="D5" i="11"/>
  <c r="E5" i="11"/>
  <c r="F5" i="11"/>
  <c r="D6" i="11"/>
  <c r="E6" i="11"/>
  <c r="F6" i="11"/>
  <c r="D7" i="11"/>
  <c r="F7" i="11" s="1"/>
  <c r="E7" i="11"/>
  <c r="D8" i="11"/>
  <c r="F8" i="11" s="1"/>
  <c r="E8" i="11"/>
  <c r="D9" i="11"/>
  <c r="E9" i="11"/>
  <c r="F9" i="11"/>
  <c r="D10" i="11"/>
  <c r="E10" i="11"/>
  <c r="F10" i="11"/>
  <c r="D11" i="11"/>
  <c r="F11" i="11" s="1"/>
  <c r="E11" i="11"/>
  <c r="D12" i="11"/>
  <c r="F12" i="11" s="1"/>
  <c r="E12" i="11"/>
  <c r="D13" i="11"/>
  <c r="E13" i="11"/>
  <c r="F13" i="11"/>
  <c r="D14" i="11"/>
  <c r="E14" i="11"/>
  <c r="F14" i="11"/>
  <c r="D15" i="11"/>
  <c r="F15" i="11" s="1"/>
  <c r="E15" i="11"/>
  <c r="D16" i="11"/>
  <c r="F16" i="11" s="1"/>
  <c r="E16" i="11"/>
  <c r="D17" i="11"/>
  <c r="E17" i="11"/>
  <c r="F17" i="11"/>
  <c r="D18" i="11"/>
  <c r="E18" i="11"/>
  <c r="F18" i="11"/>
  <c r="D19" i="11"/>
  <c r="F19" i="11" s="1"/>
  <c r="E19" i="11"/>
  <c r="D20" i="11"/>
  <c r="F20" i="11" s="1"/>
  <c r="E20" i="11"/>
  <c r="D21" i="11"/>
  <c r="E21" i="11"/>
  <c r="F21" i="11"/>
  <c r="D22" i="11"/>
  <c r="E22" i="11"/>
  <c r="F22" i="11"/>
  <c r="D23" i="11"/>
  <c r="F23" i="11" s="1"/>
  <c r="E23" i="11"/>
  <c r="D24" i="11"/>
  <c r="F24" i="11" s="1"/>
  <c r="E24" i="11"/>
  <c r="D25" i="11"/>
  <c r="E25" i="11"/>
  <c r="F25" i="11"/>
  <c r="D26" i="11"/>
  <c r="E26" i="11"/>
  <c r="F26" i="11"/>
  <c r="D27" i="11"/>
  <c r="F27" i="11" s="1"/>
  <c r="E27" i="11"/>
  <c r="D28" i="11"/>
  <c r="F28" i="11" s="1"/>
  <c r="E28" i="11"/>
  <c r="D29" i="11"/>
  <c r="E29" i="11"/>
  <c r="F29" i="11"/>
  <c r="D30" i="11"/>
  <c r="E30" i="11"/>
  <c r="F30" i="11"/>
  <c r="D31" i="11"/>
  <c r="F31" i="11" s="1"/>
  <c r="E31" i="11"/>
  <c r="D32" i="11"/>
  <c r="F32" i="11" s="1"/>
  <c r="E32" i="11"/>
  <c r="D33" i="11"/>
  <c r="E33" i="11"/>
  <c r="F33" i="11"/>
  <c r="D34" i="11"/>
  <c r="E34" i="11"/>
  <c r="F34" i="11"/>
  <c r="D35" i="11"/>
  <c r="F35" i="11" s="1"/>
  <c r="E35" i="11"/>
  <c r="D36" i="11"/>
  <c r="F36" i="11" s="1"/>
  <c r="E36" i="11"/>
  <c r="D37" i="11"/>
  <c r="E37" i="11"/>
  <c r="F37" i="11"/>
  <c r="D38" i="11"/>
  <c r="E38" i="11"/>
  <c r="F38" i="11"/>
  <c r="D39" i="11"/>
  <c r="F39" i="11" s="1"/>
  <c r="E39" i="11"/>
  <c r="D40" i="11"/>
  <c r="F40" i="11" s="1"/>
  <c r="E40" i="11"/>
  <c r="D41" i="11"/>
  <c r="E41" i="11"/>
  <c r="F41" i="11"/>
  <c r="D42" i="11"/>
  <c r="E42" i="11"/>
  <c r="F42" i="11"/>
  <c r="D43" i="11"/>
  <c r="F43" i="11" s="1"/>
  <c r="E43" i="11"/>
  <c r="D44" i="11"/>
  <c r="F44" i="11" s="1"/>
  <c r="E44" i="11"/>
  <c r="D45" i="11"/>
  <c r="E45" i="11"/>
  <c r="F45" i="11"/>
  <c r="D46" i="11"/>
  <c r="E46" i="11"/>
  <c r="F46" i="11"/>
  <c r="D47" i="11"/>
  <c r="F47" i="11" s="1"/>
  <c r="E47" i="11"/>
  <c r="D48" i="11"/>
  <c r="F48" i="11" s="1"/>
  <c r="E48" i="11"/>
  <c r="D49" i="11"/>
  <c r="E49" i="11"/>
  <c r="F49" i="11"/>
  <c r="D50" i="11"/>
  <c r="E50" i="11"/>
  <c r="F50" i="11"/>
  <c r="D51" i="11"/>
  <c r="F51" i="11" s="1"/>
  <c r="E51" i="11"/>
  <c r="D52" i="11"/>
  <c r="F52" i="11" s="1"/>
  <c r="E52" i="11"/>
  <c r="D53" i="11"/>
  <c r="E53" i="11"/>
  <c r="F53" i="11"/>
  <c r="D54" i="11"/>
  <c r="E54" i="11"/>
  <c r="F54" i="11"/>
  <c r="D55" i="11"/>
  <c r="F55" i="11" s="1"/>
  <c r="E55" i="11"/>
  <c r="D56" i="11"/>
  <c r="F56" i="11" s="1"/>
  <c r="E56" i="11"/>
  <c r="D57" i="11"/>
  <c r="E57" i="11"/>
  <c r="F57" i="11"/>
  <c r="D58" i="11"/>
  <c r="E58" i="11"/>
  <c r="F58" i="11"/>
  <c r="D59" i="11"/>
  <c r="F59" i="11" s="1"/>
  <c r="E59" i="11"/>
  <c r="D60" i="11"/>
  <c r="F60" i="11" s="1"/>
  <c r="E60" i="11"/>
  <c r="D61" i="11"/>
  <c r="E61" i="11"/>
  <c r="F61" i="11"/>
  <c r="D62" i="11"/>
  <c r="E62" i="11"/>
  <c r="F62" i="11"/>
  <c r="D63" i="11"/>
  <c r="F63" i="11" s="1"/>
  <c r="E63" i="11"/>
  <c r="D64" i="11"/>
  <c r="F64" i="11" s="1"/>
  <c r="E64" i="11"/>
  <c r="D65" i="11"/>
  <c r="E65" i="11"/>
  <c r="F65" i="11"/>
  <c r="D66" i="11"/>
  <c r="E66" i="11"/>
  <c r="F66" i="11"/>
  <c r="D67" i="11"/>
  <c r="F67" i="11" s="1"/>
  <c r="E67" i="11"/>
  <c r="D68" i="11"/>
  <c r="F68" i="11" s="1"/>
  <c r="E68" i="11"/>
  <c r="D69" i="11"/>
  <c r="E69" i="11"/>
  <c r="F69" i="11"/>
  <c r="D70" i="11"/>
  <c r="E70" i="11"/>
  <c r="F70" i="11"/>
  <c r="D71" i="11"/>
  <c r="F71" i="11" s="1"/>
  <c r="E71" i="11"/>
  <c r="D2" i="10" l="1"/>
  <c r="E2" i="10"/>
  <c r="F2" i="10" s="1"/>
  <c r="D3" i="10"/>
  <c r="F3" i="10" s="1"/>
  <c r="E3" i="10"/>
  <c r="D4" i="10"/>
  <c r="F4" i="10" s="1"/>
  <c r="E4" i="10"/>
  <c r="D5" i="10"/>
  <c r="E5" i="10"/>
  <c r="F5" i="10"/>
  <c r="D6" i="10"/>
  <c r="E6" i="10"/>
  <c r="F6" i="10" s="1"/>
  <c r="D7" i="10"/>
  <c r="F7" i="10" s="1"/>
  <c r="E7" i="10"/>
  <c r="D8" i="10"/>
  <c r="F8" i="10" s="1"/>
  <c r="E8" i="10"/>
  <c r="D9" i="10"/>
  <c r="E9" i="10"/>
  <c r="F9" i="10"/>
  <c r="D10" i="10"/>
  <c r="E10" i="10"/>
  <c r="F10" i="10"/>
  <c r="D11" i="10"/>
  <c r="F11" i="10" s="1"/>
  <c r="E11" i="10"/>
  <c r="D12" i="10"/>
  <c r="F12" i="10" s="1"/>
  <c r="E12" i="10"/>
  <c r="D13" i="10"/>
  <c r="E13" i="10"/>
  <c r="F13" i="10"/>
  <c r="D14" i="10"/>
  <c r="E14" i="10"/>
  <c r="F14" i="10"/>
  <c r="D15" i="10"/>
  <c r="F15" i="10" s="1"/>
  <c r="E15" i="10"/>
  <c r="D16" i="10"/>
  <c r="F16" i="10" s="1"/>
  <c r="E16" i="10"/>
  <c r="D17" i="10"/>
  <c r="E17" i="10"/>
  <c r="F17" i="10"/>
  <c r="D18" i="10"/>
  <c r="E18" i="10"/>
  <c r="F18" i="10"/>
  <c r="D19" i="10"/>
  <c r="F19" i="10" s="1"/>
  <c r="E19" i="10"/>
  <c r="D20" i="10"/>
  <c r="F20" i="10" s="1"/>
  <c r="E20" i="10"/>
  <c r="D21" i="10"/>
  <c r="E21" i="10"/>
  <c r="F21" i="10"/>
  <c r="D22" i="10"/>
  <c r="E22" i="10"/>
  <c r="F22" i="10"/>
  <c r="D23" i="10"/>
  <c r="F23" i="10" s="1"/>
  <c r="E23" i="10"/>
  <c r="D24" i="10"/>
  <c r="F24" i="10" s="1"/>
  <c r="E24" i="10"/>
  <c r="D25" i="10"/>
  <c r="E25" i="10"/>
  <c r="F25" i="10"/>
  <c r="D26" i="10"/>
  <c r="E26" i="10"/>
  <c r="F26" i="10"/>
  <c r="D27" i="10"/>
  <c r="F27" i="10" s="1"/>
  <c r="E27" i="10"/>
  <c r="D28" i="10"/>
  <c r="E28" i="10"/>
  <c r="F28" i="10" s="1"/>
  <c r="D29" i="10"/>
  <c r="E29" i="10"/>
  <c r="F29" i="10"/>
  <c r="D30" i="10"/>
  <c r="F30" i="10" s="1"/>
  <c r="E30" i="10"/>
  <c r="D31" i="10"/>
  <c r="F31" i="10" s="1"/>
  <c r="E31" i="10"/>
  <c r="D32" i="10"/>
  <c r="E32" i="10"/>
  <c r="F32" i="10" s="1"/>
  <c r="D33" i="10"/>
  <c r="E33" i="10"/>
  <c r="F33" i="10"/>
  <c r="D34" i="10"/>
  <c r="F34" i="10" s="1"/>
  <c r="E34" i="10"/>
  <c r="D35" i="10"/>
  <c r="F35" i="10" s="1"/>
  <c r="E35" i="10"/>
  <c r="D36" i="10"/>
  <c r="E36" i="10"/>
  <c r="F36" i="10" s="1"/>
  <c r="D37" i="10"/>
  <c r="E37" i="10"/>
  <c r="F37" i="10"/>
  <c r="D38" i="10"/>
  <c r="F38" i="10" s="1"/>
  <c r="E38" i="10"/>
  <c r="D39" i="10"/>
  <c r="F39" i="10" s="1"/>
  <c r="E39" i="10"/>
  <c r="D40" i="10"/>
  <c r="E40" i="10"/>
  <c r="F40" i="10" s="1"/>
  <c r="D41" i="10"/>
  <c r="E41" i="10"/>
  <c r="F41" i="10"/>
  <c r="D42" i="10"/>
  <c r="F42" i="10" s="1"/>
  <c r="E42" i="10"/>
  <c r="D43" i="10"/>
  <c r="F43" i="10" s="1"/>
  <c r="E43" i="10"/>
  <c r="D44" i="10"/>
  <c r="E44" i="10"/>
  <c r="F44" i="10" s="1"/>
  <c r="D45" i="10"/>
  <c r="E45" i="10"/>
  <c r="F45" i="10"/>
  <c r="D46" i="10"/>
  <c r="F46" i="10" s="1"/>
  <c r="E46" i="10"/>
  <c r="D47" i="10"/>
  <c r="F47" i="10" s="1"/>
  <c r="E47" i="10"/>
  <c r="D48" i="10"/>
  <c r="E48" i="10"/>
  <c r="F48" i="10" s="1"/>
  <c r="D49" i="10"/>
  <c r="E49" i="10"/>
  <c r="F49" i="10"/>
  <c r="D50" i="10"/>
  <c r="F50" i="10" s="1"/>
  <c r="E50" i="10"/>
  <c r="D51" i="10"/>
  <c r="F51" i="10" s="1"/>
  <c r="E51" i="10"/>
  <c r="D52" i="10"/>
  <c r="E52" i="10"/>
  <c r="F52" i="10" s="1"/>
  <c r="D53" i="10"/>
  <c r="E53" i="10"/>
  <c r="F53" i="10"/>
  <c r="D54" i="10"/>
  <c r="F54" i="10" s="1"/>
  <c r="E54" i="10"/>
  <c r="D55" i="10"/>
  <c r="F55" i="10" s="1"/>
  <c r="E55" i="10"/>
  <c r="D56" i="10"/>
  <c r="E56" i="10"/>
  <c r="F56" i="10" s="1"/>
  <c r="D57" i="10"/>
  <c r="E57" i="10"/>
  <c r="F57" i="10"/>
  <c r="D58" i="10"/>
  <c r="F58" i="10" s="1"/>
  <c r="E58" i="10"/>
  <c r="D59" i="10"/>
  <c r="F59" i="10" s="1"/>
  <c r="E59" i="10"/>
  <c r="D60" i="10"/>
  <c r="E60" i="10"/>
  <c r="F60" i="10" s="1"/>
  <c r="D61" i="10"/>
  <c r="E61" i="10"/>
  <c r="F61" i="10"/>
  <c r="D62" i="10"/>
  <c r="F62" i="10" s="1"/>
  <c r="E62" i="10"/>
  <c r="D63" i="10"/>
  <c r="F63" i="10" s="1"/>
  <c r="E63" i="10"/>
  <c r="D64" i="10"/>
  <c r="E64" i="10"/>
  <c r="F64" i="10" s="1"/>
  <c r="D65" i="10"/>
  <c r="E65" i="10"/>
  <c r="F65" i="10"/>
  <c r="D66" i="10"/>
  <c r="F66" i="10" s="1"/>
  <c r="E66" i="10"/>
  <c r="D67" i="10"/>
  <c r="F67" i="10" s="1"/>
  <c r="E67" i="10"/>
  <c r="D68" i="10"/>
  <c r="E68" i="10"/>
  <c r="F68" i="10" s="1"/>
  <c r="D2" i="9" l="1"/>
  <c r="E2" i="9"/>
  <c r="F2" i="9"/>
  <c r="D3" i="9"/>
  <c r="F3" i="9" s="1"/>
  <c r="E3" i="9"/>
  <c r="D4" i="9"/>
  <c r="F4" i="9" s="1"/>
  <c r="E4" i="9"/>
  <c r="D5" i="9"/>
  <c r="E5" i="9"/>
  <c r="F5" i="9"/>
  <c r="D6" i="9"/>
  <c r="E6" i="9"/>
  <c r="F6" i="9"/>
  <c r="D7" i="9"/>
  <c r="F7" i="9" s="1"/>
  <c r="E7" i="9"/>
  <c r="D8" i="9"/>
  <c r="F8" i="9" s="1"/>
  <c r="E8" i="9"/>
  <c r="D9" i="9"/>
  <c r="E9" i="9"/>
  <c r="F9" i="9"/>
  <c r="D10" i="9"/>
  <c r="E10" i="9"/>
  <c r="F10" i="9"/>
  <c r="D11" i="9"/>
  <c r="F11" i="9" s="1"/>
  <c r="E11" i="9"/>
  <c r="D12" i="9"/>
  <c r="F12" i="9" s="1"/>
  <c r="E12" i="9"/>
  <c r="D13" i="9"/>
  <c r="E13" i="9"/>
  <c r="F13" i="9"/>
  <c r="D14" i="9"/>
  <c r="E14" i="9"/>
  <c r="F14" i="9"/>
  <c r="D15" i="9"/>
  <c r="F15" i="9" s="1"/>
  <c r="E15" i="9"/>
  <c r="D16" i="9"/>
  <c r="F16" i="9" s="1"/>
  <c r="E16" i="9"/>
  <c r="D17" i="9"/>
  <c r="E17" i="9"/>
  <c r="F17" i="9"/>
  <c r="D18" i="9"/>
  <c r="E18" i="9"/>
  <c r="F18" i="9"/>
  <c r="D19" i="9"/>
  <c r="F19" i="9" s="1"/>
  <c r="E19" i="9"/>
  <c r="D20" i="9"/>
  <c r="F20" i="9" s="1"/>
  <c r="E20" i="9"/>
  <c r="D21" i="9"/>
  <c r="E21" i="9"/>
  <c r="F21" i="9"/>
  <c r="D22" i="9"/>
  <c r="E22" i="9"/>
  <c r="F22" i="9"/>
  <c r="D23" i="9"/>
  <c r="F23" i="9" s="1"/>
  <c r="E23" i="9"/>
  <c r="D24" i="9"/>
  <c r="F24" i="9" s="1"/>
  <c r="E24" i="9"/>
  <c r="D25" i="9"/>
  <c r="E25" i="9"/>
  <c r="F25" i="9"/>
  <c r="D26" i="9"/>
  <c r="E26" i="9"/>
  <c r="F26" i="9"/>
  <c r="D27" i="9"/>
  <c r="F27" i="9" s="1"/>
  <c r="E27" i="9"/>
  <c r="D28" i="9"/>
  <c r="F28" i="9" s="1"/>
  <c r="E28" i="9"/>
  <c r="D29" i="9"/>
  <c r="E29" i="9"/>
  <c r="F29" i="9"/>
  <c r="D30" i="9"/>
  <c r="E30" i="9"/>
  <c r="F30" i="9"/>
  <c r="D31" i="9"/>
  <c r="F31" i="9" s="1"/>
  <c r="E31" i="9"/>
  <c r="D32" i="9"/>
  <c r="F32" i="9" s="1"/>
  <c r="E32" i="9"/>
  <c r="D33" i="9"/>
  <c r="E33" i="9"/>
  <c r="F33" i="9"/>
  <c r="D34" i="9"/>
  <c r="E34" i="9"/>
  <c r="F34" i="9"/>
  <c r="D35" i="9"/>
  <c r="F35" i="9" s="1"/>
  <c r="E35" i="9"/>
  <c r="D36" i="9"/>
  <c r="F36" i="9" s="1"/>
  <c r="E36" i="9"/>
  <c r="D37" i="9"/>
  <c r="E37" i="9"/>
  <c r="F37" i="9"/>
  <c r="D38" i="9"/>
  <c r="E38" i="9"/>
  <c r="F38" i="9"/>
  <c r="D39" i="9"/>
  <c r="F39" i="9" s="1"/>
  <c r="E39" i="9"/>
  <c r="D40" i="9"/>
  <c r="F40" i="9" s="1"/>
  <c r="E40" i="9"/>
  <c r="D41" i="9"/>
  <c r="E41" i="9"/>
  <c r="F41" i="9"/>
  <c r="D42" i="9"/>
  <c r="E42" i="9"/>
  <c r="F42" i="9"/>
  <c r="D43" i="9"/>
  <c r="F43" i="9" s="1"/>
  <c r="E43" i="9"/>
  <c r="D44" i="9"/>
  <c r="F44" i="9" s="1"/>
  <c r="E44" i="9"/>
  <c r="D45" i="9"/>
  <c r="E45" i="9"/>
  <c r="F45" i="9"/>
  <c r="D46" i="9"/>
  <c r="E46" i="9"/>
  <c r="F46" i="9"/>
  <c r="D47" i="9"/>
  <c r="F47" i="9" s="1"/>
  <c r="E47" i="9"/>
  <c r="D48" i="9"/>
  <c r="F48" i="9" s="1"/>
  <c r="E48" i="9"/>
  <c r="D49" i="9"/>
  <c r="E49" i="9"/>
  <c r="F49" i="9"/>
  <c r="D50" i="9"/>
  <c r="E50" i="9"/>
  <c r="F50" i="9"/>
  <c r="D51" i="9"/>
  <c r="F51" i="9" s="1"/>
  <c r="E51" i="9"/>
  <c r="D52" i="9"/>
  <c r="F52" i="9" s="1"/>
  <c r="E52" i="9"/>
  <c r="D53" i="9"/>
  <c r="E53" i="9"/>
  <c r="F53" i="9"/>
  <c r="D54" i="9"/>
  <c r="E54" i="9"/>
  <c r="F54" i="9"/>
  <c r="D55" i="9"/>
  <c r="F55" i="9" s="1"/>
  <c r="E55" i="9"/>
  <c r="D56" i="9"/>
  <c r="F56" i="9" s="1"/>
  <c r="E56" i="9"/>
  <c r="D57" i="9"/>
  <c r="E57" i="9"/>
  <c r="F57" i="9"/>
  <c r="D58" i="9"/>
  <c r="E58" i="9"/>
  <c r="F58" i="9"/>
  <c r="D59" i="9"/>
  <c r="F59" i="9" s="1"/>
  <c r="E59" i="9"/>
  <c r="D60" i="9"/>
  <c r="F60" i="9" s="1"/>
  <c r="E60" i="9"/>
  <c r="D61" i="9"/>
  <c r="E61" i="9"/>
  <c r="F61" i="9"/>
  <c r="D62" i="9"/>
  <c r="E62" i="9"/>
  <c r="F62" i="9"/>
  <c r="D63" i="9"/>
  <c r="F63" i="9" s="1"/>
  <c r="E63" i="9"/>
  <c r="D64" i="9"/>
  <c r="F64" i="9" s="1"/>
  <c r="E64" i="9"/>
  <c r="D65" i="9"/>
  <c r="E65" i="9"/>
  <c r="F65" i="9"/>
  <c r="D66" i="9"/>
  <c r="E66" i="9"/>
  <c r="F66" i="9"/>
  <c r="D2" i="8" l="1"/>
  <c r="E2" i="8"/>
  <c r="F2" i="8"/>
  <c r="D3" i="8"/>
  <c r="F3" i="8" s="1"/>
  <c r="E3" i="8"/>
  <c r="D4" i="8"/>
  <c r="F4" i="8" s="1"/>
  <c r="E4" i="8"/>
  <c r="D5" i="8"/>
  <c r="E5" i="8"/>
  <c r="F5" i="8"/>
  <c r="D6" i="8"/>
  <c r="E6" i="8"/>
  <c r="F6" i="8"/>
  <c r="D7" i="8"/>
  <c r="F7" i="8" s="1"/>
  <c r="E7" i="8"/>
  <c r="D8" i="8"/>
  <c r="F8" i="8" s="1"/>
  <c r="E8" i="8"/>
  <c r="D9" i="8"/>
  <c r="E9" i="8"/>
  <c r="F9" i="8"/>
  <c r="D10" i="8"/>
  <c r="E10" i="8"/>
  <c r="F10" i="8"/>
  <c r="D11" i="8"/>
  <c r="F11" i="8" s="1"/>
  <c r="E11" i="8"/>
  <c r="D12" i="8"/>
  <c r="F12" i="8" s="1"/>
  <c r="E12" i="8"/>
  <c r="D13" i="8"/>
  <c r="E13" i="8"/>
  <c r="F13" i="8"/>
  <c r="D14" i="8"/>
  <c r="E14" i="8"/>
  <c r="F14" i="8"/>
  <c r="D15" i="8"/>
  <c r="F15" i="8" s="1"/>
  <c r="E15" i="8"/>
  <c r="D16" i="8"/>
  <c r="F16" i="8" s="1"/>
  <c r="E16" i="8"/>
  <c r="D17" i="8"/>
  <c r="E17" i="8"/>
  <c r="F17" i="8"/>
  <c r="D18" i="8"/>
  <c r="E18" i="8"/>
  <c r="F18" i="8"/>
  <c r="D19" i="8"/>
  <c r="F19" i="8" s="1"/>
  <c r="E19" i="8"/>
  <c r="D20" i="8"/>
  <c r="F20" i="8" s="1"/>
  <c r="E20" i="8"/>
  <c r="D21" i="8"/>
  <c r="E21" i="8"/>
  <c r="F21" i="8"/>
  <c r="D22" i="8"/>
  <c r="E22" i="8"/>
  <c r="F22" i="8" s="1"/>
  <c r="D23" i="8"/>
  <c r="F23" i="8" s="1"/>
  <c r="E23" i="8"/>
  <c r="D24" i="8"/>
  <c r="F24" i="8" s="1"/>
  <c r="E24" i="8"/>
  <c r="D25" i="8"/>
  <c r="E25" i="8"/>
  <c r="F25" i="8"/>
  <c r="D26" i="8"/>
  <c r="E26" i="8"/>
  <c r="F26" i="8" s="1"/>
  <c r="D27" i="8"/>
  <c r="F27" i="8" s="1"/>
  <c r="E27" i="8"/>
  <c r="D28" i="8"/>
  <c r="F28" i="8" s="1"/>
  <c r="E28" i="8"/>
  <c r="D29" i="8"/>
  <c r="E29" i="8"/>
  <c r="F29" i="8"/>
  <c r="D30" i="8"/>
  <c r="E30" i="8"/>
  <c r="F30" i="8"/>
  <c r="D31" i="8"/>
  <c r="F31" i="8" s="1"/>
  <c r="E31" i="8"/>
  <c r="D32" i="8"/>
  <c r="E32" i="8"/>
  <c r="F32" i="8" s="1"/>
  <c r="D33" i="8"/>
  <c r="E33" i="8"/>
  <c r="F33" i="8"/>
  <c r="D34" i="8"/>
  <c r="F34" i="8" s="1"/>
  <c r="E34" i="8"/>
  <c r="D35" i="8"/>
  <c r="F35" i="8" s="1"/>
  <c r="E35" i="8"/>
  <c r="D36" i="8"/>
  <c r="E36" i="8"/>
  <c r="F36" i="8" s="1"/>
  <c r="D37" i="8"/>
  <c r="E37" i="8"/>
  <c r="F37" i="8"/>
  <c r="D38" i="8"/>
  <c r="F38" i="8" s="1"/>
  <c r="E38" i="8"/>
  <c r="D39" i="8"/>
  <c r="F39" i="8" s="1"/>
  <c r="E39" i="8"/>
  <c r="D40" i="8"/>
  <c r="E40" i="8"/>
  <c r="F40" i="8" s="1"/>
  <c r="D41" i="8"/>
  <c r="E41" i="8"/>
  <c r="F41" i="8"/>
  <c r="D42" i="8"/>
  <c r="F42" i="8" s="1"/>
  <c r="E42" i="8"/>
  <c r="D43" i="8"/>
  <c r="F43" i="8" s="1"/>
  <c r="E43" i="8"/>
  <c r="D44" i="8"/>
  <c r="E44" i="8"/>
  <c r="F44" i="8" s="1"/>
  <c r="D45" i="8"/>
  <c r="E45" i="8"/>
  <c r="F45" i="8"/>
  <c r="D46" i="8"/>
  <c r="F46" i="8" s="1"/>
  <c r="E46" i="8"/>
  <c r="D47" i="8"/>
  <c r="F47" i="8" s="1"/>
  <c r="E47" i="8"/>
  <c r="D48" i="8"/>
  <c r="E48" i="8"/>
  <c r="F48" i="8" s="1"/>
  <c r="D49" i="8"/>
  <c r="E49" i="8"/>
  <c r="F49" i="8"/>
  <c r="D50" i="8"/>
  <c r="F50" i="8" s="1"/>
  <c r="E50" i="8"/>
  <c r="D51" i="8"/>
  <c r="F51" i="8" s="1"/>
  <c r="E51" i="8"/>
  <c r="D52" i="8"/>
  <c r="E52" i="8"/>
  <c r="F52" i="8" s="1"/>
  <c r="D53" i="8"/>
  <c r="E53" i="8"/>
  <c r="F53" i="8"/>
  <c r="D54" i="8"/>
  <c r="F54" i="8" s="1"/>
  <c r="E54" i="8"/>
  <c r="D55" i="8"/>
  <c r="F55" i="8" s="1"/>
  <c r="E55" i="8"/>
  <c r="D56" i="8"/>
  <c r="E56" i="8"/>
  <c r="F56" i="8" s="1"/>
  <c r="D57" i="8"/>
  <c r="E57" i="8"/>
  <c r="F57" i="8"/>
  <c r="D58" i="8"/>
  <c r="F58" i="8" s="1"/>
  <c r="E58" i="8"/>
  <c r="D59" i="8"/>
  <c r="F59" i="8" s="1"/>
  <c r="E59" i="8"/>
  <c r="D60" i="8"/>
  <c r="E60" i="8"/>
  <c r="F60" i="8" s="1"/>
  <c r="D61" i="8"/>
  <c r="E61" i="8"/>
  <c r="F61" i="8"/>
  <c r="D62" i="8"/>
  <c r="F62" i="8" s="1"/>
  <c r="E62" i="8"/>
  <c r="D63" i="8"/>
  <c r="F63" i="8" s="1"/>
  <c r="E63" i="8"/>
  <c r="D64" i="8"/>
  <c r="E64" i="8"/>
  <c r="F64" i="8" s="1"/>
  <c r="D65" i="8"/>
  <c r="E65" i="8"/>
  <c r="F65" i="8"/>
  <c r="D66" i="8"/>
  <c r="E66" i="8"/>
  <c r="F66" i="8"/>
  <c r="D2" i="7" l="1"/>
  <c r="E2" i="7"/>
  <c r="F2" i="7"/>
  <c r="D3" i="7"/>
  <c r="F3" i="7" s="1"/>
  <c r="E3" i="7"/>
  <c r="D4" i="7"/>
  <c r="F4" i="7" s="1"/>
  <c r="E4" i="7"/>
  <c r="D5" i="7"/>
  <c r="E5" i="7"/>
  <c r="F5" i="7"/>
  <c r="D6" i="7"/>
  <c r="E6" i="7"/>
  <c r="F6" i="7"/>
  <c r="D7" i="7"/>
  <c r="F7" i="7" s="1"/>
  <c r="E7" i="7"/>
  <c r="D8" i="7"/>
  <c r="F8" i="7" s="1"/>
  <c r="E8" i="7"/>
  <c r="D9" i="7"/>
  <c r="E9" i="7"/>
  <c r="F9" i="7"/>
  <c r="D10" i="7"/>
  <c r="E10" i="7"/>
  <c r="F10" i="7"/>
  <c r="D11" i="7"/>
  <c r="F11" i="7" s="1"/>
  <c r="E11" i="7"/>
  <c r="D12" i="7"/>
  <c r="F12" i="7" s="1"/>
  <c r="E12" i="7"/>
  <c r="D13" i="7"/>
  <c r="E13" i="7"/>
  <c r="F13" i="7"/>
  <c r="D14" i="7"/>
  <c r="E14" i="7"/>
  <c r="F14" i="7"/>
  <c r="D15" i="7"/>
  <c r="F15" i="7" s="1"/>
  <c r="E15" i="7"/>
  <c r="D16" i="7"/>
  <c r="F16" i="7" s="1"/>
  <c r="E16" i="7"/>
  <c r="D17" i="7"/>
  <c r="E17" i="7"/>
  <c r="F17" i="7"/>
  <c r="D18" i="7"/>
  <c r="E18" i="7"/>
  <c r="F18" i="7"/>
  <c r="D19" i="7"/>
  <c r="F19" i="7" s="1"/>
  <c r="E19" i="7"/>
  <c r="D20" i="7"/>
  <c r="F20" i="7" s="1"/>
  <c r="E20" i="7"/>
  <c r="D21" i="7"/>
  <c r="E21" i="7"/>
  <c r="F21" i="7"/>
  <c r="D22" i="7"/>
  <c r="E22" i="7"/>
  <c r="F22" i="7"/>
  <c r="D23" i="7"/>
  <c r="F23" i="7" s="1"/>
  <c r="E23" i="7"/>
  <c r="D24" i="7"/>
  <c r="F24" i="7" s="1"/>
  <c r="E24" i="7"/>
  <c r="D25" i="7"/>
  <c r="E25" i="7"/>
  <c r="F25" i="7"/>
  <c r="D26" i="7"/>
  <c r="E26" i="7"/>
  <c r="F26" i="7"/>
  <c r="D27" i="7"/>
  <c r="F27" i="7" s="1"/>
  <c r="E27" i="7"/>
  <c r="D28" i="7"/>
  <c r="F28" i="7" s="1"/>
  <c r="E28" i="7"/>
  <c r="D29" i="7"/>
  <c r="E29" i="7"/>
  <c r="F29" i="7"/>
  <c r="D30" i="7"/>
  <c r="E30" i="7"/>
  <c r="F30" i="7"/>
  <c r="D31" i="7"/>
  <c r="F31" i="7" s="1"/>
  <c r="E31" i="7"/>
  <c r="D32" i="7"/>
  <c r="F32" i="7" s="1"/>
  <c r="E32" i="7"/>
  <c r="D33" i="7"/>
  <c r="E33" i="7"/>
  <c r="F33" i="7"/>
  <c r="D34" i="7"/>
  <c r="E34" i="7"/>
  <c r="F34" i="7"/>
  <c r="D35" i="7"/>
  <c r="F35" i="7" s="1"/>
  <c r="E35" i="7"/>
  <c r="D36" i="7"/>
  <c r="F36" i="7" s="1"/>
  <c r="E36" i="7"/>
  <c r="D37" i="7"/>
  <c r="E37" i="7"/>
  <c r="F37" i="7"/>
  <c r="D38" i="7"/>
  <c r="E38" i="7"/>
  <c r="F38" i="7"/>
  <c r="D39" i="7"/>
  <c r="F39" i="7" s="1"/>
  <c r="E39" i="7"/>
  <c r="D40" i="7"/>
  <c r="F40" i="7" s="1"/>
  <c r="E40" i="7"/>
  <c r="D41" i="7"/>
  <c r="E41" i="7"/>
  <c r="F41" i="7"/>
  <c r="F42" i="7"/>
  <c r="D44" i="7"/>
  <c r="E44" i="7"/>
  <c r="F44" i="7"/>
  <c r="D45" i="7"/>
  <c r="E45" i="7"/>
  <c r="F45" i="7"/>
  <c r="D46" i="7"/>
  <c r="F46" i="7" s="1"/>
  <c r="E46" i="7"/>
  <c r="D47" i="7"/>
  <c r="F47" i="7" s="1"/>
  <c r="E47" i="7"/>
  <c r="D48" i="7"/>
  <c r="E48" i="7"/>
  <c r="F48" i="7"/>
  <c r="D50" i="7"/>
  <c r="E50" i="7"/>
  <c r="F50" i="7"/>
  <c r="D51" i="7"/>
  <c r="F51" i="7" s="1"/>
  <c r="E51" i="7"/>
  <c r="D52" i="7"/>
  <c r="F52" i="7" s="1"/>
  <c r="E52" i="7"/>
  <c r="D53" i="7"/>
  <c r="E53" i="7"/>
  <c r="F53" i="7"/>
  <c r="D54" i="7"/>
  <c r="E54" i="7"/>
  <c r="F54" i="7"/>
  <c r="D55" i="7"/>
  <c r="F55" i="7" s="1"/>
  <c r="E55" i="7"/>
  <c r="D56" i="7"/>
  <c r="F56" i="7" s="1"/>
  <c r="E56" i="7"/>
  <c r="D57" i="7"/>
  <c r="E57" i="7"/>
  <c r="F57" i="7"/>
  <c r="D58" i="7"/>
  <c r="E58" i="7"/>
  <c r="F58" i="7"/>
  <c r="D59" i="7"/>
  <c r="F59" i="7" s="1"/>
  <c r="E59" i="7"/>
  <c r="D60" i="7"/>
  <c r="F60" i="7" s="1"/>
  <c r="E60" i="7"/>
  <c r="D61" i="7"/>
  <c r="E61" i="7"/>
  <c r="F61" i="7"/>
  <c r="D62" i="7"/>
  <c r="E62" i="7"/>
  <c r="F62" i="7"/>
  <c r="D63" i="7"/>
  <c r="F63" i="7" s="1"/>
  <c r="E63" i="7"/>
  <c r="D64" i="7"/>
  <c r="F64" i="7" s="1"/>
  <c r="E64" i="7"/>
  <c r="D65" i="7"/>
  <c r="E65" i="7"/>
  <c r="F65" i="7"/>
  <c r="D2" i="6" l="1"/>
  <c r="E2" i="6"/>
  <c r="F2" i="6"/>
  <c r="D3" i="6"/>
  <c r="F3" i="6" s="1"/>
  <c r="E3" i="6"/>
  <c r="D4" i="6"/>
  <c r="F4" i="6" s="1"/>
  <c r="E4" i="6"/>
  <c r="D5" i="6"/>
  <c r="E5" i="6"/>
  <c r="F5" i="6"/>
  <c r="D6" i="6"/>
  <c r="E6" i="6"/>
  <c r="F6" i="6"/>
  <c r="D7" i="6"/>
  <c r="F7" i="6" s="1"/>
  <c r="E7" i="6"/>
  <c r="D8" i="6"/>
  <c r="F8" i="6" s="1"/>
  <c r="E8" i="6"/>
  <c r="D9" i="6"/>
  <c r="E9" i="6"/>
  <c r="F9" i="6"/>
  <c r="D10" i="6"/>
  <c r="E10" i="6"/>
  <c r="F10" i="6"/>
  <c r="D11" i="6"/>
  <c r="F11" i="6" s="1"/>
  <c r="E11" i="6"/>
  <c r="D12" i="6"/>
  <c r="F12" i="6" s="1"/>
  <c r="E12" i="6"/>
  <c r="D13" i="6"/>
  <c r="E13" i="6"/>
  <c r="F13" i="6"/>
  <c r="D14" i="6"/>
  <c r="E14" i="6"/>
  <c r="F14" i="6"/>
  <c r="D15" i="6"/>
  <c r="F15" i="6" s="1"/>
  <c r="E15" i="6"/>
  <c r="D16" i="6"/>
  <c r="F16" i="6" s="1"/>
  <c r="E16" i="6"/>
  <c r="D17" i="6"/>
  <c r="E17" i="6"/>
  <c r="F17" i="6"/>
  <c r="D18" i="6"/>
  <c r="E18" i="6"/>
  <c r="F18" i="6"/>
  <c r="D19" i="6"/>
  <c r="F19" i="6" s="1"/>
  <c r="E19" i="6"/>
  <c r="D20" i="6"/>
  <c r="F20" i="6" s="1"/>
  <c r="E20" i="6"/>
  <c r="D21" i="6"/>
  <c r="E21" i="6"/>
  <c r="F21" i="6"/>
  <c r="D22" i="6"/>
  <c r="E22" i="6"/>
  <c r="F22" i="6"/>
  <c r="D23" i="6"/>
  <c r="F23" i="6" s="1"/>
  <c r="E23" i="6"/>
  <c r="D24" i="6"/>
  <c r="F24" i="6" s="1"/>
  <c r="E24" i="6"/>
  <c r="D25" i="6"/>
  <c r="E25" i="6"/>
  <c r="F25" i="6"/>
  <c r="D26" i="6"/>
  <c r="E26" i="6"/>
  <c r="F26" i="6"/>
  <c r="D27" i="6"/>
  <c r="F27" i="6" s="1"/>
  <c r="E27" i="6"/>
  <c r="D28" i="6"/>
  <c r="F28" i="6" s="1"/>
  <c r="E28" i="6"/>
  <c r="D29" i="6"/>
  <c r="E29" i="6"/>
  <c r="F29" i="6"/>
  <c r="D30" i="6"/>
  <c r="E30" i="6"/>
  <c r="F30" i="6"/>
  <c r="D31" i="6"/>
  <c r="F31" i="6" s="1"/>
  <c r="E31" i="6"/>
  <c r="D32" i="6"/>
  <c r="F32" i="6" s="1"/>
  <c r="E32" i="6"/>
  <c r="D33" i="6"/>
  <c r="E33" i="6"/>
  <c r="F33" i="6"/>
  <c r="D34" i="6"/>
  <c r="E34" i="6"/>
  <c r="F34" i="6"/>
  <c r="D35" i="6"/>
  <c r="F35" i="6" s="1"/>
  <c r="E35" i="6"/>
  <c r="D36" i="6"/>
  <c r="F36" i="6" s="1"/>
  <c r="E36" i="6"/>
  <c r="D37" i="6"/>
  <c r="E37" i="6"/>
  <c r="F37" i="6"/>
  <c r="D38" i="6"/>
  <c r="E38" i="6"/>
  <c r="F38" i="6"/>
  <c r="D39" i="6"/>
  <c r="F39" i="6" s="1"/>
  <c r="E39" i="6"/>
  <c r="D40" i="6"/>
  <c r="F40" i="6" s="1"/>
  <c r="E40" i="6"/>
  <c r="D41" i="6"/>
  <c r="E41" i="6"/>
  <c r="F41" i="6"/>
  <c r="D42" i="6"/>
  <c r="E42" i="6"/>
  <c r="F42" i="6"/>
  <c r="D43" i="6"/>
  <c r="F43" i="6" s="1"/>
  <c r="E43" i="6"/>
  <c r="D44" i="6"/>
  <c r="F44" i="6" s="1"/>
  <c r="E44" i="6"/>
  <c r="D45" i="6"/>
  <c r="E45" i="6"/>
  <c r="F45" i="6"/>
  <c r="D46" i="6"/>
  <c r="E46" i="6"/>
  <c r="F46" i="6"/>
  <c r="D47" i="6"/>
  <c r="F47" i="6" s="1"/>
  <c r="E47" i="6"/>
  <c r="D48" i="6"/>
  <c r="F48" i="6" s="1"/>
  <c r="E48" i="6"/>
  <c r="D49" i="6"/>
  <c r="E49" i="6"/>
  <c r="F49" i="6"/>
  <c r="D50" i="6"/>
  <c r="E50" i="6"/>
  <c r="F50" i="6"/>
  <c r="D51" i="6"/>
  <c r="F51" i="6" s="1"/>
  <c r="E51" i="6"/>
  <c r="D52" i="6"/>
  <c r="F52" i="6" s="1"/>
  <c r="E52" i="6"/>
  <c r="D53" i="6"/>
  <c r="E53" i="6"/>
  <c r="F53" i="6"/>
  <c r="D54" i="6"/>
  <c r="E54" i="6"/>
  <c r="F54" i="6"/>
  <c r="D55" i="6"/>
  <c r="F55" i="6" s="1"/>
  <c r="E55" i="6"/>
  <c r="D56" i="6"/>
  <c r="F56" i="6" s="1"/>
  <c r="E56" i="6"/>
  <c r="D57" i="6"/>
  <c r="E57" i="6"/>
  <c r="F57" i="6"/>
  <c r="D58" i="6"/>
  <c r="E58" i="6"/>
  <c r="F58" i="6"/>
  <c r="D59" i="6"/>
  <c r="F59" i="6" s="1"/>
  <c r="E59" i="6"/>
  <c r="D60" i="6"/>
  <c r="F60" i="6" s="1"/>
  <c r="E60" i="6"/>
  <c r="D61" i="6"/>
  <c r="E61" i="6"/>
  <c r="F61" i="6"/>
  <c r="D62" i="6"/>
  <c r="E62" i="6"/>
  <c r="F62" i="6"/>
  <c r="D2" i="5" l="1"/>
  <c r="E2" i="5"/>
  <c r="F2" i="5"/>
  <c r="D3" i="5"/>
  <c r="F3" i="5" s="1"/>
  <c r="E3" i="5"/>
  <c r="D4" i="5"/>
  <c r="F4" i="5" s="1"/>
  <c r="E4" i="5"/>
  <c r="D5" i="5"/>
  <c r="E5" i="5"/>
  <c r="F5" i="5"/>
  <c r="D6" i="5"/>
  <c r="E6" i="5"/>
  <c r="F6" i="5"/>
  <c r="D7" i="5"/>
  <c r="F7" i="5" s="1"/>
  <c r="E7" i="5"/>
  <c r="D8" i="5"/>
  <c r="F8" i="5" s="1"/>
  <c r="E8" i="5"/>
  <c r="D9" i="5"/>
  <c r="E9" i="5"/>
  <c r="F9" i="5"/>
  <c r="D10" i="5"/>
  <c r="E10" i="5"/>
  <c r="F10" i="5"/>
  <c r="D11" i="5"/>
  <c r="F11" i="5" s="1"/>
  <c r="E11" i="5"/>
  <c r="D12" i="5"/>
  <c r="F12" i="5" s="1"/>
  <c r="E12" i="5"/>
  <c r="D13" i="5"/>
  <c r="E13" i="5"/>
  <c r="F13" i="5"/>
  <c r="D14" i="5"/>
  <c r="E14" i="5"/>
  <c r="F14" i="5"/>
  <c r="D15" i="5"/>
  <c r="F15" i="5" s="1"/>
  <c r="E15" i="5"/>
  <c r="D16" i="5"/>
  <c r="F16" i="5" s="1"/>
  <c r="E16" i="5"/>
  <c r="D17" i="5"/>
  <c r="E17" i="5"/>
  <c r="F17" i="5"/>
  <c r="D18" i="5"/>
  <c r="E18" i="5"/>
  <c r="F18" i="5"/>
  <c r="D19" i="5"/>
  <c r="F19" i="5" s="1"/>
  <c r="E19" i="5"/>
  <c r="D20" i="5"/>
  <c r="F20" i="5" s="1"/>
  <c r="E20" i="5"/>
  <c r="D21" i="5"/>
  <c r="E21" i="5"/>
  <c r="F21" i="5"/>
  <c r="D22" i="5"/>
  <c r="E22" i="5"/>
  <c r="F22" i="5"/>
  <c r="D23" i="5"/>
  <c r="F23" i="5" s="1"/>
  <c r="E23" i="5"/>
  <c r="D24" i="5"/>
  <c r="F24" i="5" s="1"/>
  <c r="E24" i="5"/>
  <c r="D25" i="5"/>
  <c r="E25" i="5"/>
  <c r="F25" i="5"/>
  <c r="D26" i="5"/>
  <c r="E26" i="5"/>
  <c r="F26" i="5"/>
  <c r="D27" i="5"/>
  <c r="F27" i="5" s="1"/>
  <c r="E27" i="5"/>
  <c r="D28" i="5"/>
  <c r="F28" i="5" s="1"/>
  <c r="E28" i="5"/>
  <c r="D29" i="5"/>
  <c r="E29" i="5"/>
  <c r="F29" i="5"/>
  <c r="D30" i="5"/>
  <c r="E30" i="5"/>
  <c r="F30" i="5"/>
  <c r="D31" i="5"/>
  <c r="F31" i="5" s="1"/>
  <c r="E31" i="5"/>
  <c r="D32" i="5"/>
  <c r="F32" i="5" s="1"/>
  <c r="E32" i="5"/>
  <c r="D33" i="5"/>
  <c r="E33" i="5"/>
  <c r="F33" i="5"/>
  <c r="D34" i="5"/>
  <c r="E34" i="5"/>
  <c r="F34" i="5"/>
  <c r="D35" i="5"/>
  <c r="F35" i="5" s="1"/>
  <c r="E35" i="5"/>
  <c r="D36" i="5"/>
  <c r="F36" i="5" s="1"/>
  <c r="E36" i="5"/>
  <c r="D37" i="5"/>
  <c r="E37" i="5"/>
  <c r="F37" i="5"/>
  <c r="D38" i="5"/>
  <c r="E38" i="5"/>
  <c r="F38" i="5"/>
  <c r="D39" i="5"/>
  <c r="F39" i="5" s="1"/>
  <c r="E39" i="5"/>
  <c r="D40" i="5"/>
  <c r="F40" i="5" s="1"/>
  <c r="E40" i="5"/>
  <c r="D41" i="5"/>
  <c r="E41" i="5"/>
  <c r="F41" i="5"/>
  <c r="D42" i="5"/>
  <c r="E42" i="5"/>
  <c r="F42" i="5"/>
  <c r="D43" i="5"/>
  <c r="F43" i="5" s="1"/>
  <c r="E43" i="5"/>
  <c r="D44" i="5"/>
  <c r="F44" i="5" s="1"/>
  <c r="E44" i="5"/>
  <c r="D45" i="5"/>
  <c r="E45" i="5"/>
  <c r="F45" i="5"/>
  <c r="D46" i="5"/>
  <c r="E46" i="5"/>
  <c r="F46" i="5"/>
  <c r="D47" i="5"/>
  <c r="F47" i="5" s="1"/>
  <c r="E47" i="5"/>
  <c r="D48" i="5"/>
  <c r="F48" i="5" s="1"/>
  <c r="E48" i="5"/>
  <c r="D49" i="5"/>
  <c r="E49" i="5"/>
  <c r="F49" i="5"/>
  <c r="D50" i="5"/>
  <c r="E50" i="5"/>
  <c r="F50" i="5"/>
  <c r="D51" i="5"/>
  <c r="F51" i="5" s="1"/>
  <c r="E51" i="5"/>
  <c r="D52" i="5"/>
  <c r="F52" i="5" s="1"/>
  <c r="E52" i="5"/>
  <c r="D53" i="5"/>
  <c r="E53" i="5"/>
  <c r="F53" i="5"/>
  <c r="D54" i="5"/>
  <c r="E54" i="5"/>
  <c r="F54" i="5"/>
  <c r="D55" i="5"/>
  <c r="F55" i="5" s="1"/>
  <c r="E55" i="5"/>
  <c r="D56" i="5"/>
  <c r="F56" i="5" s="1"/>
  <c r="E56" i="5"/>
  <c r="D57" i="5"/>
  <c r="E57" i="5"/>
  <c r="F57" i="5"/>
  <c r="D58" i="5"/>
  <c r="E58" i="5"/>
  <c r="F58" i="5"/>
  <c r="D59" i="5"/>
  <c r="F59" i="5" s="1"/>
  <c r="E59" i="5"/>
  <c r="D60" i="5"/>
  <c r="F60" i="5" s="1"/>
  <c r="E60" i="5"/>
  <c r="D61" i="5"/>
  <c r="E61" i="5"/>
  <c r="F61" i="5"/>
  <c r="D2" i="4" l="1"/>
  <c r="E2" i="4"/>
  <c r="F2" i="4"/>
  <c r="D3" i="4"/>
  <c r="F3" i="4" s="1"/>
  <c r="E3" i="4"/>
  <c r="D4" i="4"/>
  <c r="F4" i="4" s="1"/>
  <c r="E4" i="4"/>
  <c r="D5" i="4"/>
  <c r="E5" i="4"/>
  <c r="F5" i="4"/>
  <c r="D6" i="4"/>
  <c r="E6" i="4"/>
  <c r="F6" i="4"/>
  <c r="D7" i="4"/>
  <c r="F7" i="4" s="1"/>
  <c r="E7" i="4"/>
  <c r="D8" i="4"/>
  <c r="F8" i="4" s="1"/>
  <c r="E8" i="4"/>
  <c r="D9" i="4"/>
  <c r="E9" i="4"/>
  <c r="F9" i="4"/>
  <c r="D10" i="4"/>
  <c r="E10" i="4"/>
  <c r="F10" i="4"/>
  <c r="D11" i="4"/>
  <c r="F11" i="4" s="1"/>
  <c r="E11" i="4"/>
  <c r="D12" i="4"/>
  <c r="F12" i="4" s="1"/>
  <c r="E12" i="4"/>
  <c r="D13" i="4"/>
  <c r="E13" i="4"/>
  <c r="F13" i="4"/>
  <c r="D14" i="4"/>
  <c r="E14" i="4"/>
  <c r="F14" i="4"/>
  <c r="D15" i="4"/>
  <c r="F15" i="4" s="1"/>
  <c r="E15" i="4"/>
  <c r="D16" i="4"/>
  <c r="F16" i="4" s="1"/>
  <c r="E16" i="4"/>
  <c r="D17" i="4"/>
  <c r="E17" i="4"/>
  <c r="F17" i="4"/>
  <c r="D18" i="4"/>
  <c r="E18" i="4"/>
  <c r="F18" i="4"/>
  <c r="D19" i="4"/>
  <c r="F19" i="4" s="1"/>
  <c r="E19" i="4"/>
  <c r="D20" i="4"/>
  <c r="F20" i="4" s="1"/>
  <c r="E20" i="4"/>
  <c r="D21" i="4"/>
  <c r="E21" i="4"/>
  <c r="F21" i="4"/>
  <c r="D22" i="4"/>
  <c r="E22" i="4"/>
  <c r="F22" i="4"/>
  <c r="D23" i="4"/>
  <c r="F23" i="4" s="1"/>
  <c r="E23" i="4"/>
  <c r="D24" i="4"/>
  <c r="F24" i="4" s="1"/>
  <c r="E24" i="4"/>
  <c r="D25" i="4"/>
  <c r="E25" i="4"/>
  <c r="F25" i="4"/>
  <c r="D26" i="4"/>
  <c r="E26" i="4"/>
  <c r="F26" i="4"/>
  <c r="D27" i="4"/>
  <c r="F27" i="4" s="1"/>
  <c r="E27" i="4"/>
  <c r="D28" i="4"/>
  <c r="F28" i="4" s="1"/>
  <c r="E28" i="4"/>
  <c r="D29" i="4"/>
  <c r="E29" i="4"/>
  <c r="F29" i="4"/>
  <c r="D30" i="4"/>
  <c r="E30" i="4"/>
  <c r="F30" i="4"/>
  <c r="D31" i="4"/>
  <c r="F31" i="4" s="1"/>
  <c r="E31" i="4"/>
  <c r="D32" i="4"/>
  <c r="F32" i="4" s="1"/>
  <c r="E32" i="4"/>
  <c r="D33" i="4"/>
  <c r="E33" i="4"/>
  <c r="F33" i="4"/>
  <c r="D34" i="4"/>
  <c r="E34" i="4"/>
  <c r="F34" i="4"/>
  <c r="D35" i="4"/>
  <c r="F35" i="4" s="1"/>
  <c r="E35" i="4"/>
  <c r="D36" i="4"/>
  <c r="F36" i="4" s="1"/>
  <c r="E36" i="4"/>
  <c r="D37" i="4"/>
  <c r="E37" i="4"/>
  <c r="F37" i="4"/>
  <c r="D38" i="4"/>
  <c r="E38" i="4"/>
  <c r="F38" i="4"/>
  <c r="D39" i="4"/>
  <c r="F39" i="4" s="1"/>
  <c r="E39" i="4"/>
  <c r="D40" i="4"/>
  <c r="F40" i="4" s="1"/>
  <c r="E40" i="4"/>
  <c r="D41" i="4"/>
  <c r="E41" i="4"/>
  <c r="F41" i="4"/>
  <c r="D42" i="4"/>
  <c r="E42" i="4"/>
  <c r="F42" i="4"/>
  <c r="D43" i="4"/>
  <c r="F43" i="4" s="1"/>
  <c r="E43" i="4"/>
  <c r="D44" i="4"/>
  <c r="F44" i="4" s="1"/>
  <c r="E44" i="4"/>
  <c r="D45" i="4"/>
  <c r="E45" i="4"/>
  <c r="F45" i="4"/>
  <c r="D46" i="4"/>
  <c r="E46" i="4"/>
  <c r="F46" i="4"/>
  <c r="D47" i="4"/>
  <c r="F47" i="4" s="1"/>
  <c r="E47" i="4"/>
  <c r="D48" i="4"/>
  <c r="F48" i="4" s="1"/>
  <c r="E48" i="4"/>
  <c r="D49" i="4"/>
  <c r="E49" i="4"/>
  <c r="F49" i="4"/>
  <c r="D50" i="4"/>
  <c r="E50" i="4"/>
  <c r="F50" i="4"/>
  <c r="D51" i="4"/>
  <c r="F51" i="4" s="1"/>
  <c r="E51" i="4"/>
  <c r="D52" i="4"/>
  <c r="F52" i="4" s="1"/>
  <c r="E52" i="4"/>
  <c r="D53" i="4"/>
  <c r="E53" i="4"/>
  <c r="F53" i="4"/>
  <c r="D54" i="4"/>
  <c r="E54" i="4"/>
  <c r="F54" i="4"/>
  <c r="D55" i="4"/>
  <c r="F55" i="4" s="1"/>
  <c r="E55" i="4"/>
  <c r="D56" i="4"/>
  <c r="F56" i="4" s="1"/>
  <c r="E56" i="4"/>
  <c r="D57" i="4"/>
  <c r="E57" i="4"/>
  <c r="F57" i="4"/>
  <c r="D58" i="4"/>
  <c r="E58" i="4"/>
  <c r="F58" i="4"/>
  <c r="D59" i="4"/>
  <c r="F59" i="4" s="1"/>
  <c r="E59" i="4"/>
  <c r="D2" i="3" l="1"/>
  <c r="E2" i="3"/>
  <c r="F2" i="3" s="1"/>
  <c r="D3" i="3"/>
  <c r="E3" i="3"/>
  <c r="F3" i="3"/>
  <c r="D4" i="3"/>
  <c r="F4" i="3" s="1"/>
  <c r="E4" i="3"/>
  <c r="D5" i="3"/>
  <c r="F5" i="3" s="1"/>
  <c r="E5" i="3"/>
  <c r="D6" i="3"/>
  <c r="E6" i="3"/>
  <c r="F6" i="3" s="1"/>
  <c r="D7" i="3"/>
  <c r="E7" i="3"/>
  <c r="F7" i="3"/>
  <c r="D8" i="3"/>
  <c r="F8" i="3" s="1"/>
  <c r="E8" i="3"/>
  <c r="D9" i="3"/>
  <c r="F9" i="3" s="1"/>
  <c r="E9" i="3"/>
  <c r="D10" i="3"/>
  <c r="E10" i="3"/>
  <c r="F10" i="3" s="1"/>
  <c r="D11" i="3"/>
  <c r="E11" i="3"/>
  <c r="F11" i="3"/>
  <c r="D12" i="3"/>
  <c r="F12" i="3" s="1"/>
  <c r="E12" i="3"/>
  <c r="D13" i="3"/>
  <c r="F13" i="3" s="1"/>
  <c r="E13" i="3"/>
  <c r="D14" i="3"/>
  <c r="E14" i="3"/>
  <c r="F14" i="3" s="1"/>
  <c r="D15" i="3"/>
  <c r="E15" i="3"/>
  <c r="F15" i="3"/>
  <c r="D16" i="3"/>
  <c r="F16" i="3" s="1"/>
  <c r="E16" i="3"/>
  <c r="D17" i="3"/>
  <c r="F17" i="3" s="1"/>
  <c r="E17" i="3"/>
  <c r="D18" i="3"/>
  <c r="E18" i="3"/>
  <c r="F18" i="3" s="1"/>
  <c r="D19" i="3"/>
  <c r="E19" i="3"/>
  <c r="F19" i="3"/>
  <c r="D20" i="3"/>
  <c r="F20" i="3" s="1"/>
  <c r="E20" i="3"/>
  <c r="D21" i="3"/>
  <c r="F21" i="3" s="1"/>
  <c r="E21" i="3"/>
  <c r="D22" i="3"/>
  <c r="E22" i="3"/>
  <c r="F22" i="3" s="1"/>
  <c r="D23" i="3"/>
  <c r="E23" i="3"/>
  <c r="F23" i="3"/>
  <c r="D24" i="3"/>
  <c r="F24" i="3" s="1"/>
  <c r="E24" i="3"/>
  <c r="D25" i="3"/>
  <c r="F25" i="3" s="1"/>
  <c r="E25" i="3"/>
  <c r="D26" i="3"/>
  <c r="E26" i="3"/>
  <c r="F26" i="3" s="1"/>
  <c r="D27" i="3"/>
  <c r="E27" i="3"/>
  <c r="F27" i="3"/>
  <c r="D28" i="3"/>
  <c r="E28" i="3"/>
  <c r="F28" i="3" s="1"/>
  <c r="D29" i="3"/>
  <c r="F29" i="3" s="1"/>
  <c r="E29" i="3"/>
  <c r="D30" i="3"/>
  <c r="F30" i="3" s="1"/>
  <c r="E30" i="3"/>
  <c r="D31" i="3"/>
  <c r="E31" i="3"/>
  <c r="F31" i="3"/>
  <c r="D32" i="3"/>
  <c r="E32" i="3"/>
  <c r="F32" i="3" s="1"/>
  <c r="D33" i="3"/>
  <c r="F33" i="3" s="1"/>
  <c r="E33" i="3"/>
  <c r="D34" i="3"/>
  <c r="F34" i="3" s="1"/>
  <c r="E34" i="3"/>
  <c r="D35" i="3"/>
  <c r="E35" i="3"/>
  <c r="F35" i="3"/>
  <c r="D36" i="3"/>
  <c r="E36" i="3"/>
  <c r="F36" i="3" s="1"/>
  <c r="D37" i="3"/>
  <c r="F37" i="3" s="1"/>
  <c r="E37" i="3"/>
  <c r="D38" i="3"/>
  <c r="F38" i="3" s="1"/>
  <c r="E38" i="3"/>
  <c r="D39" i="3"/>
  <c r="E39" i="3"/>
  <c r="F39" i="3"/>
  <c r="D40" i="3"/>
  <c r="E40" i="3"/>
  <c r="F40" i="3" s="1"/>
  <c r="D41" i="3"/>
  <c r="F41" i="3" s="1"/>
  <c r="E41" i="3"/>
  <c r="D42" i="3"/>
  <c r="F42" i="3" s="1"/>
  <c r="E42" i="3"/>
  <c r="D43" i="3"/>
  <c r="E43" i="3"/>
  <c r="F43" i="3"/>
  <c r="D44" i="3"/>
  <c r="E44" i="3"/>
  <c r="F44" i="3" s="1"/>
  <c r="D45" i="3"/>
  <c r="F45" i="3" s="1"/>
  <c r="E45" i="3"/>
  <c r="D46" i="3"/>
  <c r="F46" i="3" s="1"/>
  <c r="E46" i="3"/>
  <c r="D47" i="3"/>
  <c r="E47" i="3"/>
  <c r="F47" i="3"/>
  <c r="D48" i="3"/>
  <c r="E48" i="3"/>
  <c r="F48" i="3" s="1"/>
  <c r="D49" i="3"/>
  <c r="E49" i="3"/>
  <c r="F49" i="3"/>
  <c r="D50" i="3"/>
  <c r="F50" i="3" s="1"/>
  <c r="E50" i="3"/>
  <c r="D51" i="3"/>
  <c r="F51" i="3" s="1"/>
  <c r="E51" i="3"/>
  <c r="D52" i="3"/>
  <c r="E52" i="3"/>
  <c r="F52" i="3" s="1"/>
  <c r="D53" i="3"/>
  <c r="E53" i="3"/>
  <c r="F53" i="3"/>
  <c r="D54" i="3"/>
  <c r="F54" i="3" s="1"/>
  <c r="E54" i="3"/>
  <c r="D55" i="3"/>
  <c r="F55" i="3" s="1"/>
  <c r="E55" i="3"/>
  <c r="D56" i="3"/>
  <c r="E56" i="3"/>
  <c r="F56" i="3" s="1"/>
  <c r="D2" i="2" l="1"/>
  <c r="E2" i="2"/>
  <c r="F2" i="2"/>
  <c r="D3" i="2"/>
  <c r="F3" i="2" s="1"/>
  <c r="E3" i="2"/>
  <c r="D4" i="2"/>
  <c r="F4" i="2" s="1"/>
  <c r="E4" i="2"/>
  <c r="D5" i="2"/>
  <c r="E5" i="2"/>
  <c r="F5" i="2"/>
  <c r="D6" i="2"/>
  <c r="E6" i="2"/>
  <c r="F6" i="2"/>
  <c r="D7" i="2"/>
  <c r="F7" i="2" s="1"/>
  <c r="E7" i="2"/>
  <c r="D8" i="2"/>
  <c r="F8" i="2" s="1"/>
  <c r="E8" i="2"/>
  <c r="D9" i="2"/>
  <c r="E9" i="2"/>
  <c r="F9" i="2"/>
  <c r="D10" i="2"/>
  <c r="E10" i="2"/>
  <c r="F10" i="2"/>
  <c r="D11" i="2"/>
  <c r="F11" i="2" s="1"/>
  <c r="E11" i="2"/>
  <c r="E12" i="2"/>
  <c r="F12" i="2"/>
  <c r="D13" i="2"/>
  <c r="E13" i="2"/>
  <c r="F13" i="2"/>
  <c r="D14" i="2"/>
  <c r="F14" i="2" s="1"/>
  <c r="E14" i="2"/>
  <c r="D15" i="2"/>
  <c r="F15" i="2" s="1"/>
  <c r="E15" i="2"/>
  <c r="D16" i="2"/>
  <c r="E16" i="2"/>
  <c r="F16" i="2"/>
  <c r="D17" i="2"/>
  <c r="E17" i="2"/>
  <c r="F17" i="2"/>
  <c r="D18" i="2"/>
  <c r="F18" i="2" s="1"/>
  <c r="E18" i="2"/>
  <c r="D19" i="2"/>
  <c r="F19" i="2" s="1"/>
  <c r="E19" i="2"/>
  <c r="D20" i="2"/>
  <c r="E20" i="2"/>
  <c r="F20" i="2"/>
  <c r="D21" i="2"/>
  <c r="E21" i="2"/>
  <c r="F21" i="2"/>
  <c r="D22" i="2"/>
  <c r="F22" i="2" s="1"/>
  <c r="E22" i="2"/>
  <c r="D23" i="2"/>
  <c r="F23" i="2" s="1"/>
  <c r="E23" i="2"/>
  <c r="D24" i="2"/>
  <c r="E24" i="2"/>
  <c r="F24" i="2"/>
  <c r="D25" i="2"/>
  <c r="E25" i="2"/>
  <c r="F25" i="2"/>
  <c r="D26" i="2"/>
  <c r="F26" i="2" s="1"/>
  <c r="E26" i="2"/>
  <c r="D27" i="2"/>
  <c r="F27" i="2" s="1"/>
  <c r="E27" i="2"/>
  <c r="D28" i="2"/>
  <c r="E28" i="2"/>
  <c r="F28" i="2"/>
  <c r="D29" i="2"/>
  <c r="E29" i="2"/>
  <c r="F29" i="2"/>
  <c r="D30" i="2"/>
  <c r="F30" i="2" s="1"/>
  <c r="E30" i="2"/>
  <c r="D31" i="2"/>
  <c r="F31" i="2" s="1"/>
  <c r="E31" i="2"/>
  <c r="D32" i="2"/>
  <c r="E32" i="2"/>
  <c r="F32" i="2"/>
  <c r="D33" i="2"/>
  <c r="E33" i="2"/>
  <c r="F33" i="2"/>
  <c r="D34" i="2"/>
  <c r="F34" i="2" s="1"/>
  <c r="E34" i="2"/>
  <c r="D35" i="2"/>
  <c r="F35" i="2" s="1"/>
  <c r="E35" i="2"/>
  <c r="D36" i="2"/>
  <c r="E36" i="2"/>
  <c r="F36" i="2"/>
  <c r="D37" i="2"/>
  <c r="E37" i="2"/>
  <c r="F37" i="2"/>
  <c r="D38" i="2"/>
  <c r="F38" i="2" s="1"/>
  <c r="E38" i="2"/>
  <c r="D39" i="2"/>
  <c r="F39" i="2" s="1"/>
  <c r="E39" i="2"/>
  <c r="D40" i="2"/>
  <c r="E40" i="2"/>
  <c r="F40" i="2"/>
  <c r="D41" i="2"/>
  <c r="E41" i="2"/>
  <c r="F41" i="2"/>
  <c r="D42" i="2"/>
  <c r="F42" i="2" s="1"/>
  <c r="E42" i="2"/>
  <c r="D43" i="2"/>
  <c r="F43" i="2" s="1"/>
  <c r="E43" i="2"/>
  <c r="D44" i="2"/>
  <c r="E44" i="2"/>
  <c r="F44" i="2"/>
  <c r="D45" i="2"/>
  <c r="E45" i="2"/>
  <c r="F45" i="2"/>
  <c r="D46" i="2"/>
  <c r="F46" i="2" s="1"/>
  <c r="E46" i="2"/>
  <c r="D47" i="2"/>
  <c r="F47" i="2" s="1"/>
  <c r="E47" i="2"/>
  <c r="D48" i="2"/>
  <c r="E48" i="2"/>
  <c r="F48" i="2"/>
  <c r="D49" i="2"/>
  <c r="E49" i="2"/>
  <c r="F49" i="2"/>
  <c r="D50" i="2"/>
  <c r="F50" i="2" s="1"/>
  <c r="E50" i="2"/>
  <c r="D51" i="2"/>
  <c r="F51" i="2" s="1"/>
  <c r="E51" i="2"/>
  <c r="D52" i="2"/>
  <c r="E52" i="2"/>
  <c r="F52" i="2"/>
  <c r="D53" i="2"/>
  <c r="E53" i="2"/>
  <c r="F53" i="2"/>
  <c r="D54" i="2"/>
  <c r="F54" i="2" s="1"/>
  <c r="E54" i="2"/>
  <c r="D55" i="2"/>
  <c r="F55" i="2" s="1"/>
  <c r="E55" i="2"/>
  <c r="E45" i="1" l="1"/>
  <c r="D45" i="1"/>
  <c r="E38" i="1"/>
  <c r="D38" i="1"/>
  <c r="E49" i="1"/>
  <c r="D49" i="1"/>
  <c r="E48" i="1"/>
  <c r="D48" i="1"/>
  <c r="E14" i="1"/>
  <c r="D14" i="1"/>
  <c r="E28" i="1"/>
  <c r="D28" i="1"/>
  <c r="E32" i="1"/>
  <c r="D32" i="1"/>
  <c r="E21" i="1"/>
  <c r="D21" i="1"/>
  <c r="E43" i="1"/>
  <c r="D43" i="1"/>
  <c r="E8" i="1"/>
  <c r="D8" i="1"/>
  <c r="E20" i="1"/>
  <c r="D20" i="1"/>
  <c r="E19" i="1"/>
  <c r="D19" i="1"/>
  <c r="E44" i="1"/>
  <c r="D44" i="1"/>
  <c r="E9" i="1"/>
  <c r="D9" i="1"/>
  <c r="E18" i="1"/>
  <c r="D18" i="1"/>
  <c r="E11" i="1"/>
  <c r="D11" i="1"/>
  <c r="E24" i="1"/>
  <c r="D24" i="1"/>
  <c r="E15" i="1"/>
  <c r="D15" i="1"/>
  <c r="E4" i="1"/>
  <c r="D4" i="1"/>
  <c r="E29" i="1"/>
  <c r="D29" i="1"/>
  <c r="E7" i="1"/>
  <c r="D7" i="1"/>
  <c r="E35" i="1"/>
  <c r="D35" i="1"/>
  <c r="E13" i="1"/>
  <c r="D13" i="1"/>
  <c r="E17" i="1"/>
  <c r="D17" i="1"/>
  <c r="E47" i="1"/>
  <c r="D47" i="1"/>
  <c r="E25" i="1"/>
  <c r="D25" i="1"/>
  <c r="E46" i="1"/>
  <c r="D46" i="1"/>
  <c r="E31" i="1"/>
  <c r="D31" i="1"/>
  <c r="E39" i="1"/>
  <c r="D39" i="1"/>
  <c r="E36" i="1"/>
  <c r="D36" i="1"/>
  <c r="E40" i="1"/>
  <c r="D40" i="1"/>
  <c r="E6" i="1"/>
  <c r="D6" i="1"/>
  <c r="E12" i="1"/>
  <c r="D12" i="1"/>
  <c r="E5" i="1"/>
  <c r="D5" i="1"/>
  <c r="E22" i="1"/>
  <c r="D22" i="1"/>
  <c r="E2" i="1"/>
  <c r="D2" i="1"/>
  <c r="E16" i="1"/>
  <c r="D16" i="1"/>
  <c r="E10" i="1"/>
  <c r="D10" i="1"/>
  <c r="E26" i="1"/>
  <c r="D26" i="1"/>
  <c r="E3" i="1"/>
  <c r="D3" i="1"/>
  <c r="E33" i="1"/>
  <c r="D33" i="1"/>
  <c r="E27" i="1"/>
  <c r="D27" i="1"/>
  <c r="E23" i="1"/>
  <c r="D23" i="1"/>
  <c r="E41" i="1"/>
  <c r="D41" i="1"/>
  <c r="E34" i="1"/>
  <c r="D34" i="1"/>
  <c r="E30" i="1"/>
  <c r="D30" i="1"/>
  <c r="E37" i="1"/>
  <c r="D37" i="1"/>
  <c r="E42" i="1"/>
  <c r="D42" i="1"/>
  <c r="F34" i="1" l="1"/>
  <c r="F38" i="1"/>
  <c r="F49" i="1"/>
  <c r="F14" i="1"/>
  <c r="F32" i="1"/>
  <c r="F48" i="1"/>
  <c r="F40" i="1"/>
  <c r="F46" i="1"/>
  <c r="F25" i="1"/>
  <c r="F23" i="1"/>
  <c r="F27" i="1"/>
  <c r="F15" i="1"/>
  <c r="F4" i="1"/>
  <c r="F44" i="1"/>
  <c r="F5" i="1"/>
  <c r="F36" i="1"/>
  <c r="F31" i="1"/>
  <c r="F47" i="1"/>
  <c r="F30" i="1"/>
  <c r="F19" i="1" l="1"/>
  <c r="F20" i="1"/>
  <c r="F45" i="1"/>
  <c r="F35" i="1"/>
  <c r="F28" i="1"/>
  <c r="F10" i="1"/>
  <c r="F9" i="1"/>
  <c r="F18" i="1"/>
  <c r="F24" i="1"/>
  <c r="F29" i="1"/>
  <c r="F41" i="1"/>
  <c r="F13" i="1"/>
  <c r="F2" i="1"/>
  <c r="F22" i="1"/>
  <c r="F8" i="1"/>
  <c r="F11" i="1"/>
  <c r="F42" i="1"/>
  <c r="F37" i="1"/>
  <c r="F39" i="1"/>
  <c r="F7" i="1"/>
  <c r="F17" i="1"/>
  <c r="F33" i="1"/>
  <c r="F21" i="1"/>
  <c r="F43" i="1"/>
  <c r="F3" i="1"/>
  <c r="F26" i="1"/>
  <c r="F12" i="1"/>
  <c r="F6" i="1"/>
  <c r="F16" i="1"/>
</calcChain>
</file>

<file path=xl/sharedStrings.xml><?xml version="1.0" encoding="utf-8"?>
<sst xmlns="http://schemas.openxmlformats.org/spreadsheetml/2006/main" count="2744" uniqueCount="183">
  <si>
    <t>Rank</t>
  </si>
  <si>
    <t>Player</t>
  </si>
  <si>
    <t>Team</t>
  </si>
  <si>
    <t>Total Points</t>
  </si>
  <si>
    <t>Total Darts</t>
  </si>
  <si>
    <t>Total PPD</t>
  </si>
  <si>
    <t>Wks Played</t>
  </si>
  <si>
    <t>501 BP</t>
  </si>
  <si>
    <t>RON</t>
  </si>
  <si>
    <t xml:space="preserve"> MVP Pts</t>
  </si>
  <si>
    <t>Payout</t>
  </si>
  <si>
    <t>Richie Thomas</t>
  </si>
  <si>
    <t>Luigi's Loose Change</t>
  </si>
  <si>
    <t>Jeff Headley</t>
  </si>
  <si>
    <t>Pop-A-Top 1</t>
  </si>
  <si>
    <t>Ed Davis</t>
  </si>
  <si>
    <t>VFW 1589 Bad Monkeys</t>
  </si>
  <si>
    <t xml:space="preserve">Bob Fox </t>
  </si>
  <si>
    <t>Larry Jenkins</t>
  </si>
  <si>
    <t xml:space="preserve">Purple Cow 1  </t>
  </si>
  <si>
    <t>Pat Nabors</t>
  </si>
  <si>
    <t>Elks Wiseguys</t>
  </si>
  <si>
    <t>Jerry Shiflett</t>
  </si>
  <si>
    <t>Legion Post 174 Misfits</t>
  </si>
  <si>
    <t>Allen Collins</t>
  </si>
  <si>
    <t>Matt Nacarate</t>
  </si>
  <si>
    <t>Justin Smyth</t>
  </si>
  <si>
    <t>Seth Boyles</t>
  </si>
  <si>
    <t>Pop-A-Top 2</t>
  </si>
  <si>
    <t>Tim Rosati</t>
  </si>
  <si>
    <t>Steve Stockett</t>
  </si>
  <si>
    <t>Jimmy Smith</t>
  </si>
  <si>
    <t>Legion Post 174 Snipers</t>
  </si>
  <si>
    <t xml:space="preserve">Sam Powers </t>
  </si>
  <si>
    <t>Richard Whisler</t>
  </si>
  <si>
    <t>Josh Jenkins</t>
  </si>
  <si>
    <t>Beaver Galusky</t>
  </si>
  <si>
    <t>Rob Cicchino</t>
  </si>
  <si>
    <t>Billy Allen</t>
  </si>
  <si>
    <t>Jeff Schliffka</t>
  </si>
  <si>
    <t>Doug Tennant</t>
  </si>
  <si>
    <t>Tammy Allen</t>
  </si>
  <si>
    <t>Elks Jolly</t>
  </si>
  <si>
    <t>Zach Barlow</t>
  </si>
  <si>
    <t>Travis Ruckle</t>
  </si>
  <si>
    <t>John Powers</t>
  </si>
  <si>
    <t>Griffin Wilcox</t>
  </si>
  <si>
    <t>VFW 1589 Dissapointers</t>
  </si>
  <si>
    <t>Ryan Swaniger</t>
  </si>
  <si>
    <t>Nate Cope</t>
  </si>
  <si>
    <t>Jon Kline</t>
  </si>
  <si>
    <t>Michaela Headley</t>
  </si>
  <si>
    <t>Frank Mellie</t>
  </si>
  <si>
    <t>VFW 9916 Vets</t>
  </si>
  <si>
    <t>Gabbie Mellie</t>
  </si>
  <si>
    <t>Billy Anderson</t>
  </si>
  <si>
    <t>Barb Hardy</t>
  </si>
  <si>
    <t>Kevin Ruckle</t>
  </si>
  <si>
    <t>Alex Keenan</t>
  </si>
  <si>
    <t>BJ Trickett</t>
  </si>
  <si>
    <t>JL Brown</t>
  </si>
  <si>
    <t>Joe White</t>
  </si>
  <si>
    <t>Marshall Jenkins</t>
  </si>
  <si>
    <t>Alex Rice</t>
  </si>
  <si>
    <t>Bryant Losh</t>
  </si>
  <si>
    <t xml:space="preserve">Teams - Overall </t>
  </si>
  <si>
    <t>Wins</t>
  </si>
  <si>
    <t>Lose</t>
  </si>
  <si>
    <t>Points</t>
  </si>
  <si>
    <t>Weekly Payouts and Season High's</t>
  </si>
  <si>
    <t xml:space="preserve">Season Best Game 501:  </t>
  </si>
  <si>
    <t xml:space="preserve">PURPLE COW 1 </t>
  </si>
  <si>
    <t xml:space="preserve">High Average for Week:   </t>
  </si>
  <si>
    <t>VFW 1589 DISSAPOINTERS</t>
  </si>
  <si>
    <t xml:space="preserve">High in 301 for the week: </t>
  </si>
  <si>
    <t>POP A TOP 1</t>
  </si>
  <si>
    <t xml:space="preserve">High Out for the week: </t>
  </si>
  <si>
    <t>LUIGI'S LOOSE CHANGE</t>
  </si>
  <si>
    <t xml:space="preserve">Season High In for 301:  </t>
  </si>
  <si>
    <t>LEGION POST 174 MISFITS</t>
  </si>
  <si>
    <t xml:space="preserve">Season High Out:    </t>
  </si>
  <si>
    <t>ELKS WISEGUYS</t>
  </si>
  <si>
    <t>VFW 1589 BAD MONKEYS</t>
  </si>
  <si>
    <t>POP A TOP 2</t>
  </si>
  <si>
    <t>VFW 9916 VETS</t>
  </si>
  <si>
    <t>LEGION POST 174 SNIPERS</t>
  </si>
  <si>
    <t>ELKS JOLLY</t>
  </si>
  <si>
    <t>Teams - Division A</t>
  </si>
  <si>
    <t>Teams - Disivion B</t>
  </si>
  <si>
    <t>Teams - Division C</t>
  </si>
  <si>
    <t>John Sinclair</t>
  </si>
  <si>
    <t>Tie</t>
  </si>
  <si>
    <t>Stephen Thurbon</t>
  </si>
  <si>
    <t>Gary Daft</t>
  </si>
  <si>
    <t>Alwyn Thurbon</t>
  </si>
  <si>
    <t>Purple Cow Tippers</t>
  </si>
  <si>
    <t>Week 1</t>
  </si>
  <si>
    <t>Angela Bell</t>
  </si>
  <si>
    <t>Matt Nacarate 19.51</t>
  </si>
  <si>
    <t>Gary Daft 97 In</t>
  </si>
  <si>
    <t>Nate Cope 73 Out</t>
  </si>
  <si>
    <t>PURPLE COW TIPPERS</t>
  </si>
  <si>
    <t>Mark Taylor</t>
  </si>
  <si>
    <t>Marshall Jenkins 19 Dart Game</t>
  </si>
  <si>
    <t>Nate Cope 120 Out</t>
  </si>
  <si>
    <t>Griffin Wilcox 115 In</t>
  </si>
  <si>
    <t>Nate Cope 17.48</t>
  </si>
  <si>
    <t>Week 2</t>
  </si>
  <si>
    <t>Tom Gallegly</t>
  </si>
  <si>
    <t>Brian Keown</t>
  </si>
  <si>
    <t>Doug Himes</t>
  </si>
  <si>
    <t>Todd Wotring</t>
  </si>
  <si>
    <t>April Sphar</t>
  </si>
  <si>
    <t>Timmy Frymyer</t>
  </si>
  <si>
    <t>Beaver Galusky 132 Out</t>
  </si>
  <si>
    <t>Marshall Jenkins 114 In</t>
  </si>
  <si>
    <t>Beaver Galusky 17.28</t>
  </si>
  <si>
    <t>Week 3</t>
  </si>
  <si>
    <t>Steve Root</t>
  </si>
  <si>
    <t>Jerry Shiflett 149 Out</t>
  </si>
  <si>
    <t xml:space="preserve"> Jimmy Smith 103 In</t>
  </si>
  <si>
    <t>Sam Powers 20.31</t>
  </si>
  <si>
    <t>Marshall Jenkins/Sam Powers 19 Dart Game</t>
  </si>
  <si>
    <t>Week 4</t>
  </si>
  <si>
    <t>Mark Gregware</t>
  </si>
  <si>
    <t>Kim Mellie</t>
  </si>
  <si>
    <t>Rob Cicchino 96 Out</t>
  </si>
  <si>
    <t>Jon Kline 105 In</t>
  </si>
  <si>
    <t>Rob Cicchino 18.79</t>
  </si>
  <si>
    <t>Week 5</t>
  </si>
  <si>
    <t>Zack Myers</t>
  </si>
  <si>
    <t>Jim Scudiere</t>
  </si>
  <si>
    <t>Richie Thomas 120 In</t>
  </si>
  <si>
    <t>Seth Boyles 75 Out</t>
  </si>
  <si>
    <t>Matt Nacarate 18.79</t>
  </si>
  <si>
    <t>Week 6</t>
  </si>
  <si>
    <t>Kenny Goldsborough</t>
  </si>
  <si>
    <t>Richie Thomas/Griffin Wilcox/Nate Cope 120 In</t>
  </si>
  <si>
    <t>Tammy Allen 76 Out</t>
  </si>
  <si>
    <t>Griffin Wilcox/Nate Cope 120 In</t>
  </si>
  <si>
    <t>Ed Davis 18.79</t>
  </si>
  <si>
    <t>Week 7</t>
  </si>
  <si>
    <t>Everett Mulkeen</t>
  </si>
  <si>
    <t>Joe Dinkel</t>
  </si>
  <si>
    <t>Sharea Bishop</t>
  </si>
  <si>
    <t>Jacob Collins</t>
  </si>
  <si>
    <t>Allen Collins 98 Out</t>
  </si>
  <si>
    <t>Josh Jenkins 114 In</t>
  </si>
  <si>
    <t>Tom Gallegly 18.32</t>
  </si>
  <si>
    <t>Week 8</t>
  </si>
  <si>
    <t>Gary Daft 120 Out</t>
  </si>
  <si>
    <t>Ryan Swaniger 110 In</t>
  </si>
  <si>
    <t>Matt Nacarate 18.48</t>
  </si>
  <si>
    <t>Week 9</t>
  </si>
  <si>
    <t>Sam Powers 94 Out</t>
  </si>
  <si>
    <t>Matt Nacarate 105 In</t>
  </si>
  <si>
    <t>Matt Nacarate 20.59</t>
  </si>
  <si>
    <t>Week 10</t>
  </si>
  <si>
    <t>Dave Hlavsa</t>
  </si>
  <si>
    <t>Shawn Cole</t>
  </si>
  <si>
    <t>John Powers 152 In</t>
  </si>
  <si>
    <t>Joe White 100 Out</t>
  </si>
  <si>
    <t>Matt Nacarate 18.56</t>
  </si>
  <si>
    <t>Week 11</t>
  </si>
  <si>
    <t>Jeff Monroe</t>
  </si>
  <si>
    <t>Amy Fox</t>
  </si>
  <si>
    <t>Gary Bechdolt</t>
  </si>
  <si>
    <t>Stephen Thurbon 160 In</t>
  </si>
  <si>
    <t>John Powers 118 Out</t>
  </si>
  <si>
    <t>Larry Jenkins 17.48</t>
  </si>
  <si>
    <t>Week 12</t>
  </si>
  <si>
    <t>Rick Kelly</t>
  </si>
  <si>
    <t>Seth Boyles 138 Out</t>
  </si>
  <si>
    <t>Billy Allen 120 In</t>
  </si>
  <si>
    <t>Richie Thomas 18.11</t>
  </si>
  <si>
    <t>Week 13</t>
  </si>
  <si>
    <t>Dan Hill</t>
  </si>
  <si>
    <t>Jim Roten</t>
  </si>
  <si>
    <t>Tim Rosati 72 Out</t>
  </si>
  <si>
    <t>Matt Nacarate 101 In</t>
  </si>
  <si>
    <t>Sam Powers 17.87</t>
  </si>
  <si>
    <t>Week 14</t>
  </si>
  <si>
    <t>Carter Kline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</si>
</sst>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$-409]* #,##0.00_);_([$$-409]* \(#,##0.00\);_([$$-409]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textRotation="73"/>
    </xf>
    <xf numFmtId="0" fontId="1" fillId="2" borderId="1" xfId="0" applyFont="1" applyFill="1" applyBorder="1" applyAlignment="1">
      <alignment textRotation="73" wrapText="1"/>
    </xf>
    <xf numFmtId="0" fontId="2" fillId="0" borderId="2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10" xfId="0" applyFont="1" applyBorder="1"/>
    <xf numFmtId="0" fontId="3" fillId="0" borderId="2" xfId="0" applyFont="1" applyBorder="1"/>
    <xf numFmtId="0" fontId="1" fillId="0" borderId="5" xfId="0" applyFont="1" applyBorder="1"/>
    <xf numFmtId="0" fontId="1" fillId="0" borderId="18" xfId="0" applyFont="1" applyBorder="1"/>
    <xf numFmtId="0" fontId="3" fillId="0" borderId="18" xfId="0" applyFont="1" applyBorder="1"/>
    <xf numFmtId="0" fontId="1" fillId="0" borderId="20" xfId="0" applyFont="1" applyBorder="1"/>
    <xf numFmtId="0" fontId="1" fillId="4" borderId="21" xfId="0" applyFont="1" applyFill="1" applyBorder="1"/>
    <xf numFmtId="0" fontId="1" fillId="0" borderId="22" xfId="0" applyFont="1" applyBorder="1"/>
    <xf numFmtId="0" fontId="2" fillId="0" borderId="5" xfId="0" applyFont="1" applyBorder="1"/>
    <xf numFmtId="0" fontId="2" fillId="0" borderId="18" xfId="0" applyFont="1" applyBorder="1"/>
    <xf numFmtId="0" fontId="2" fillId="0" borderId="22" xfId="0" applyFont="1" applyBorder="1"/>
    <xf numFmtId="0" fontId="2" fillId="0" borderId="20" xfId="0" applyFont="1" applyBorder="1"/>
    <xf numFmtId="0" fontId="3" fillId="0" borderId="23" xfId="0" applyFont="1" applyBorder="1"/>
    <xf numFmtId="0" fontId="1" fillId="4" borderId="24" xfId="0" applyFont="1" applyFill="1" applyBorder="1"/>
    <xf numFmtId="0" fontId="1" fillId="4" borderId="25" xfId="0" applyFont="1" applyFill="1" applyBorder="1"/>
    <xf numFmtId="0" fontId="1" fillId="4" borderId="26" xfId="0" applyFont="1" applyFill="1" applyBorder="1"/>
    <xf numFmtId="0" fontId="1" fillId="4" borderId="27" xfId="0" applyFont="1" applyFill="1" applyBorder="1"/>
    <xf numFmtId="0" fontId="1" fillId="4" borderId="28" xfId="0" applyFont="1" applyFill="1" applyBorder="1"/>
    <xf numFmtId="0" fontId="1" fillId="4" borderId="29" xfId="0" applyFont="1" applyFill="1" applyBorder="1"/>
    <xf numFmtId="0" fontId="1" fillId="4" borderId="30" xfId="0" applyFont="1" applyFill="1" applyBorder="1"/>
    <xf numFmtId="0" fontId="1" fillId="4" borderId="31" xfId="0" applyFont="1" applyFill="1" applyBorder="1"/>
    <xf numFmtId="165" fontId="2" fillId="0" borderId="2" xfId="0" applyNumberFormat="1" applyFont="1" applyBorder="1" applyAlignment="1">
      <alignment horizontal="center"/>
    </xf>
    <xf numFmtId="0" fontId="3" fillId="0" borderId="32" xfId="0" applyFont="1" applyBorder="1"/>
    <xf numFmtId="0" fontId="1" fillId="0" borderId="4" xfId="0" applyFont="1" applyBorder="1"/>
    <xf numFmtId="0" fontId="3" fillId="0" borderId="22" xfId="0" applyFont="1" applyBorder="1"/>
    <xf numFmtId="0" fontId="1" fillId="3" borderId="19" xfId="0" applyFont="1" applyFill="1" applyBorder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4" xfId="0" applyFont="1" applyBorder="1"/>
    <xf numFmtId="0" fontId="1" fillId="0" borderId="32" xfId="0" applyFont="1" applyBorder="1"/>
    <xf numFmtId="0" fontId="2" fillId="0" borderId="3" xfId="0" applyFont="1" applyBorder="1"/>
    <xf numFmtId="0" fontId="1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1" fillId="0" borderId="40" xfId="0" applyFont="1" applyBorder="1"/>
    <xf numFmtId="0" fontId="1" fillId="0" borderId="14" xfId="0" applyFont="1" applyBorder="1"/>
    <xf numFmtId="0" fontId="2" fillId="0" borderId="34" xfId="0" applyFont="1" applyBorder="1"/>
    <xf numFmtId="0" fontId="1" fillId="0" borderId="6" xfId="0" applyFont="1" applyBorder="1"/>
    <xf numFmtId="0" fontId="1" fillId="0" borderId="34" xfId="0" applyFont="1" applyBorder="1"/>
    <xf numFmtId="0" fontId="3" fillId="0" borderId="6" xfId="0" applyFont="1" applyBorder="1"/>
    <xf numFmtId="0" fontId="2" fillId="0" borderId="41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2" xfId="0" applyFont="1" applyBorder="1"/>
    <xf numFmtId="0" fontId="3" fillId="0" borderId="43" xfId="0" applyFont="1" applyBorder="1"/>
    <xf numFmtId="0" fontId="2" fillId="0" borderId="44" xfId="0" applyFont="1" applyBorder="1"/>
    <xf numFmtId="0" fontId="1" fillId="0" borderId="45" xfId="0" applyFont="1" applyBorder="1"/>
    <xf numFmtId="0" fontId="1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workbookViewId="0">
      <pane ySplit="1" topLeftCell="A2" activePane="bottomLeft" state="frozen"/>
      <selection pane="bottomLeft" activeCell="N54" sqref="N54:R54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SUM(1444)</f>
        <v>1444</v>
      </c>
      <c r="E2" s="11">
        <f>SUM(74)</f>
        <v>74</v>
      </c>
      <c r="F2" s="12">
        <f t="shared" ref="F2:F49" si="0">SUM(D2/E2)</f>
        <v>19.513513513513512</v>
      </c>
      <c r="G2" s="11">
        <v>1</v>
      </c>
      <c r="H2" s="11">
        <v>1</v>
      </c>
      <c r="I2" s="11"/>
      <c r="J2" s="11"/>
      <c r="K2" s="11"/>
      <c r="L2" s="11">
        <v>3</v>
      </c>
      <c r="M2" s="13">
        <v>5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SUM(1360)</f>
        <v>1360</v>
      </c>
      <c r="E3" s="11">
        <f>SUM(71)</f>
        <v>71</v>
      </c>
      <c r="F3" s="12">
        <f t="shared" si="0"/>
        <v>19.154929577464788</v>
      </c>
      <c r="G3" s="11">
        <v>1</v>
      </c>
      <c r="H3" s="11"/>
      <c r="I3" s="11"/>
      <c r="J3" s="11"/>
      <c r="K3" s="11"/>
      <c r="L3" s="11">
        <v>3</v>
      </c>
      <c r="M3" s="13"/>
    </row>
    <row r="4" spans="1:13" ht="18.75" x14ac:dyDescent="0.3">
      <c r="A4" s="3">
        <v>3</v>
      </c>
      <c r="B4" s="3" t="s">
        <v>31</v>
      </c>
      <c r="C4" s="4" t="s">
        <v>32</v>
      </c>
      <c r="D4" s="11">
        <f>SUM(1503)</f>
        <v>1503</v>
      </c>
      <c r="E4" s="11">
        <f>SUM(79)</f>
        <v>79</v>
      </c>
      <c r="F4" s="12">
        <f t="shared" si="0"/>
        <v>19.025316455696203</v>
      </c>
      <c r="G4" s="11">
        <v>1</v>
      </c>
      <c r="H4" s="11">
        <v>1</v>
      </c>
      <c r="I4" s="11"/>
      <c r="J4" s="11"/>
      <c r="K4" s="11"/>
      <c r="L4" s="11">
        <v>4.5</v>
      </c>
      <c r="M4" s="13"/>
    </row>
    <row r="5" spans="1:13" ht="18.75" x14ac:dyDescent="0.3">
      <c r="A5" s="3">
        <v>4</v>
      </c>
      <c r="B5" s="4" t="s">
        <v>33</v>
      </c>
      <c r="C5" s="4" t="s">
        <v>16</v>
      </c>
      <c r="D5" s="11">
        <f>SUM(1464)</f>
        <v>1464</v>
      </c>
      <c r="E5" s="11">
        <f>SUM(83)</f>
        <v>83</v>
      </c>
      <c r="F5" s="12">
        <f t="shared" si="0"/>
        <v>17.638554216867469</v>
      </c>
      <c r="G5" s="11">
        <v>1</v>
      </c>
      <c r="H5" s="11">
        <v>1</v>
      </c>
      <c r="I5" s="11"/>
      <c r="J5" s="11"/>
      <c r="K5" s="11"/>
      <c r="L5" s="11">
        <v>3.5</v>
      </c>
      <c r="M5" s="13"/>
    </row>
    <row r="6" spans="1:13" ht="18.75" x14ac:dyDescent="0.3">
      <c r="A6" s="3">
        <v>5</v>
      </c>
      <c r="B6" s="15" t="s">
        <v>46</v>
      </c>
      <c r="C6" s="4" t="s">
        <v>47</v>
      </c>
      <c r="D6" s="11">
        <f>SUM(1503)</f>
        <v>1503</v>
      </c>
      <c r="E6" s="11">
        <f>SUM(87)</f>
        <v>87</v>
      </c>
      <c r="F6" s="12">
        <f t="shared" si="0"/>
        <v>17.275862068965516</v>
      </c>
      <c r="G6" s="11">
        <v>1</v>
      </c>
      <c r="H6" s="11">
        <v>1</v>
      </c>
      <c r="I6" s="11"/>
      <c r="J6" s="11"/>
      <c r="K6" s="11"/>
      <c r="L6" s="11">
        <v>5.5</v>
      </c>
      <c r="M6" s="13"/>
    </row>
    <row r="7" spans="1:13" ht="18.75" x14ac:dyDescent="0.3">
      <c r="A7" s="3">
        <v>6</v>
      </c>
      <c r="B7" s="4" t="s">
        <v>24</v>
      </c>
      <c r="C7" s="4" t="s">
        <v>23</v>
      </c>
      <c r="D7" s="11">
        <f>SUM(1501)</f>
        <v>1501</v>
      </c>
      <c r="E7" s="11">
        <f>SUM(87)</f>
        <v>87</v>
      </c>
      <c r="F7" s="12">
        <f t="shared" si="0"/>
        <v>17.25287356321839</v>
      </c>
      <c r="G7" s="11">
        <v>1</v>
      </c>
      <c r="H7" s="11">
        <v>1</v>
      </c>
      <c r="I7" s="11"/>
      <c r="J7" s="11"/>
      <c r="K7" s="11"/>
      <c r="L7" s="11">
        <v>2.5</v>
      </c>
      <c r="M7" s="13"/>
    </row>
    <row r="8" spans="1:13" ht="18.75" x14ac:dyDescent="0.3">
      <c r="A8" s="3">
        <v>7</v>
      </c>
      <c r="B8" s="4" t="s">
        <v>62</v>
      </c>
      <c r="C8" s="4" t="s">
        <v>19</v>
      </c>
      <c r="D8" s="11">
        <f>SUM(1290)</f>
        <v>1290</v>
      </c>
      <c r="E8" s="11">
        <f>SUM(76)</f>
        <v>76</v>
      </c>
      <c r="F8" s="12">
        <f t="shared" si="0"/>
        <v>16.973684210526315</v>
      </c>
      <c r="G8" s="11">
        <v>1</v>
      </c>
      <c r="H8" s="11"/>
      <c r="I8" s="11"/>
      <c r="J8" s="11"/>
      <c r="K8" s="11"/>
      <c r="L8" s="11">
        <v>3</v>
      </c>
      <c r="M8" s="13"/>
    </row>
    <row r="9" spans="1:13" ht="18.75" x14ac:dyDescent="0.3">
      <c r="A9" s="3">
        <v>8</v>
      </c>
      <c r="B9" s="4" t="s">
        <v>90</v>
      </c>
      <c r="C9" s="4" t="s">
        <v>12</v>
      </c>
      <c r="D9" s="11">
        <f>SUM(1361)</f>
        <v>1361</v>
      </c>
      <c r="E9" s="11">
        <f>SUM(83)</f>
        <v>83</v>
      </c>
      <c r="F9" s="12">
        <f t="shared" si="0"/>
        <v>16.397590361445783</v>
      </c>
      <c r="G9" s="11">
        <v>1</v>
      </c>
      <c r="H9" s="11">
        <v>1</v>
      </c>
      <c r="I9" s="11"/>
      <c r="J9" s="11"/>
      <c r="K9" s="11"/>
      <c r="L9" s="11">
        <v>2.5</v>
      </c>
      <c r="M9" s="13"/>
    </row>
    <row r="10" spans="1:13" ht="18.75" x14ac:dyDescent="0.3">
      <c r="A10" s="3">
        <v>9</v>
      </c>
      <c r="B10" s="4" t="s">
        <v>17</v>
      </c>
      <c r="C10" s="7" t="s">
        <v>14</v>
      </c>
      <c r="D10" s="11">
        <f>SUM(1280)</f>
        <v>1280</v>
      </c>
      <c r="E10" s="11">
        <f>SUM(79)</f>
        <v>79</v>
      </c>
      <c r="F10" s="12">
        <f t="shared" si="0"/>
        <v>16.202531645569621</v>
      </c>
      <c r="G10" s="11">
        <v>1</v>
      </c>
      <c r="H10" s="11"/>
      <c r="I10" s="11"/>
      <c r="J10" s="11"/>
      <c r="K10" s="11"/>
      <c r="L10" s="35">
        <v>2.5</v>
      </c>
      <c r="M10" s="13"/>
    </row>
    <row r="11" spans="1:13" ht="18.75" x14ac:dyDescent="0.3">
      <c r="A11" s="3">
        <v>10</v>
      </c>
      <c r="B11" s="4" t="s">
        <v>36</v>
      </c>
      <c r="C11" s="4" t="s">
        <v>12</v>
      </c>
      <c r="D11" s="11">
        <f>SUM(1503)</f>
        <v>1503</v>
      </c>
      <c r="E11" s="11">
        <f>SUM(93)</f>
        <v>93</v>
      </c>
      <c r="F11" s="12">
        <f t="shared" si="0"/>
        <v>16.161290322580644</v>
      </c>
      <c r="G11" s="11">
        <v>1</v>
      </c>
      <c r="H11" s="11">
        <v>1</v>
      </c>
      <c r="I11" s="11"/>
      <c r="J11" s="11"/>
      <c r="K11" s="11"/>
      <c r="L11" s="11">
        <v>4</v>
      </c>
      <c r="M11" s="13"/>
    </row>
    <row r="12" spans="1:13" ht="18.75" x14ac:dyDescent="0.3">
      <c r="A12" s="3">
        <v>11</v>
      </c>
      <c r="B12" s="4" t="s">
        <v>15</v>
      </c>
      <c r="C12" s="4" t="s">
        <v>16</v>
      </c>
      <c r="D12" s="11">
        <f>SUM(1503)</f>
        <v>1503</v>
      </c>
      <c r="E12" s="11">
        <f>SUM(94)</f>
        <v>94</v>
      </c>
      <c r="F12" s="12">
        <f t="shared" si="0"/>
        <v>15.98936170212766</v>
      </c>
      <c r="G12" s="11">
        <v>1</v>
      </c>
      <c r="H12" s="11">
        <v>1</v>
      </c>
      <c r="I12" s="11"/>
      <c r="J12" s="11"/>
      <c r="K12" s="11"/>
      <c r="L12" s="11">
        <v>4.5</v>
      </c>
      <c r="M12" s="13"/>
    </row>
    <row r="13" spans="1:13" ht="18.75" x14ac:dyDescent="0.3">
      <c r="A13" s="3">
        <v>12</v>
      </c>
      <c r="B13" s="15" t="s">
        <v>39</v>
      </c>
      <c r="C13" s="4" t="s">
        <v>23</v>
      </c>
      <c r="D13" s="11">
        <f>SUM(1332)</f>
        <v>1332</v>
      </c>
      <c r="E13" s="11">
        <f>SUM(84)</f>
        <v>84</v>
      </c>
      <c r="F13" s="12">
        <f t="shared" si="0"/>
        <v>15.857142857142858</v>
      </c>
      <c r="G13" s="11">
        <v>1</v>
      </c>
      <c r="H13" s="11"/>
      <c r="I13" s="11"/>
      <c r="J13" s="11"/>
      <c r="K13" s="11"/>
      <c r="L13" s="11">
        <v>1.5</v>
      </c>
      <c r="M13" s="13"/>
    </row>
    <row r="14" spans="1:13" ht="18.75" x14ac:dyDescent="0.3">
      <c r="A14" s="3">
        <v>13</v>
      </c>
      <c r="B14" s="15" t="s">
        <v>93</v>
      </c>
      <c r="C14" s="4" t="s">
        <v>42</v>
      </c>
      <c r="D14" s="11">
        <f>SUM(1481)</f>
        <v>1481</v>
      </c>
      <c r="E14" s="11">
        <f>SUM(97)</f>
        <v>97</v>
      </c>
      <c r="F14" s="12">
        <f t="shared" si="0"/>
        <v>15.268041237113403</v>
      </c>
      <c r="G14" s="11">
        <v>1</v>
      </c>
      <c r="H14" s="11">
        <v>1</v>
      </c>
      <c r="I14" s="11"/>
      <c r="J14" s="11"/>
      <c r="K14" s="11"/>
      <c r="L14" s="11">
        <v>3</v>
      </c>
      <c r="M14" s="13">
        <v>5</v>
      </c>
    </row>
    <row r="15" spans="1:13" ht="18.75" x14ac:dyDescent="0.3">
      <c r="A15" s="3">
        <v>14</v>
      </c>
      <c r="B15" s="15" t="s">
        <v>45</v>
      </c>
      <c r="C15" s="4" t="s">
        <v>32</v>
      </c>
      <c r="D15" s="11">
        <f>SUM(1503)</f>
        <v>1503</v>
      </c>
      <c r="E15" s="11">
        <f>SUM(100)</f>
        <v>100</v>
      </c>
      <c r="F15" s="12">
        <f t="shared" si="0"/>
        <v>15.03</v>
      </c>
      <c r="G15" s="11">
        <v>1</v>
      </c>
      <c r="H15" s="11">
        <v>1</v>
      </c>
      <c r="I15" s="11"/>
      <c r="J15" s="11"/>
      <c r="K15" s="11"/>
      <c r="L15" s="11">
        <v>5.5</v>
      </c>
      <c r="M15" s="13"/>
    </row>
    <row r="16" spans="1:13" ht="18.75" x14ac:dyDescent="0.3">
      <c r="A16" s="3">
        <v>15</v>
      </c>
      <c r="B16" s="4" t="s">
        <v>51</v>
      </c>
      <c r="C16" s="4" t="s">
        <v>14</v>
      </c>
      <c r="D16" s="11">
        <f>SUM(1394)</f>
        <v>1394</v>
      </c>
      <c r="E16" s="11">
        <f>SUM(93)</f>
        <v>93</v>
      </c>
      <c r="F16" s="12">
        <f t="shared" si="0"/>
        <v>14.989247311827956</v>
      </c>
      <c r="G16" s="11">
        <v>1</v>
      </c>
      <c r="H16" s="11"/>
      <c r="I16" s="11"/>
      <c r="J16" s="11"/>
      <c r="K16" s="11"/>
      <c r="L16" s="11">
        <v>1.5</v>
      </c>
      <c r="M16" s="13"/>
    </row>
    <row r="17" spans="1:13" ht="18.75" x14ac:dyDescent="0.3">
      <c r="A17" s="3">
        <v>16</v>
      </c>
      <c r="B17" s="4" t="s">
        <v>22</v>
      </c>
      <c r="C17" s="4" t="s">
        <v>23</v>
      </c>
      <c r="D17" s="11">
        <f>SUM(1499)</f>
        <v>1499</v>
      </c>
      <c r="E17" s="11">
        <f>SUM(101)</f>
        <v>101</v>
      </c>
      <c r="F17" s="12">
        <f t="shared" si="0"/>
        <v>14.841584158415841</v>
      </c>
      <c r="G17" s="11">
        <v>1</v>
      </c>
      <c r="H17" s="11">
        <v>1</v>
      </c>
      <c r="I17" s="11"/>
      <c r="J17" s="11"/>
      <c r="K17" s="11"/>
      <c r="L17" s="11">
        <v>3.5</v>
      </c>
      <c r="M17" s="13"/>
    </row>
    <row r="18" spans="1:13" ht="18.75" x14ac:dyDescent="0.3">
      <c r="A18" s="3">
        <v>17</v>
      </c>
      <c r="B18" s="4" t="s">
        <v>11</v>
      </c>
      <c r="C18" s="4" t="s">
        <v>12</v>
      </c>
      <c r="D18" s="11">
        <f>SUM(1494)</f>
        <v>1494</v>
      </c>
      <c r="E18" s="11">
        <f>SUM(102)</f>
        <v>102</v>
      </c>
      <c r="F18" s="12">
        <f t="shared" si="0"/>
        <v>14.647058823529411</v>
      </c>
      <c r="G18" s="11">
        <v>1</v>
      </c>
      <c r="H18" s="11">
        <v>1</v>
      </c>
      <c r="I18" s="11"/>
      <c r="J18" s="11"/>
      <c r="K18" s="11"/>
      <c r="L18" s="11">
        <v>2.5</v>
      </c>
      <c r="M18" s="13"/>
    </row>
    <row r="19" spans="1:13" ht="18.75" x14ac:dyDescent="0.3">
      <c r="A19" s="3">
        <v>18</v>
      </c>
      <c r="B19" s="4" t="s">
        <v>18</v>
      </c>
      <c r="C19" s="7" t="s">
        <v>19</v>
      </c>
      <c r="D19" s="11">
        <f>SUM(1403)</f>
        <v>1403</v>
      </c>
      <c r="E19" s="11">
        <f>SUM(96)</f>
        <v>96</v>
      </c>
      <c r="F19" s="12">
        <f t="shared" si="0"/>
        <v>14.614583333333334</v>
      </c>
      <c r="G19" s="11">
        <v>1</v>
      </c>
      <c r="H19" s="11"/>
      <c r="I19" s="11"/>
      <c r="J19" s="11"/>
      <c r="K19" s="11"/>
      <c r="L19" s="11">
        <v>2.5</v>
      </c>
      <c r="M19" s="13"/>
    </row>
    <row r="20" spans="1:13" ht="18.75" x14ac:dyDescent="0.3">
      <c r="A20" s="3">
        <v>19</v>
      </c>
      <c r="B20" s="4" t="s">
        <v>30</v>
      </c>
      <c r="C20" s="4" t="s">
        <v>19</v>
      </c>
      <c r="D20" s="11">
        <f>SUM(1434)</f>
        <v>1434</v>
      </c>
      <c r="E20" s="11">
        <f>SUM(100)</f>
        <v>100</v>
      </c>
      <c r="F20" s="12">
        <f t="shared" si="0"/>
        <v>14.34</v>
      </c>
      <c r="G20" s="11">
        <v>1</v>
      </c>
      <c r="H20" s="11"/>
      <c r="I20" s="11"/>
      <c r="J20" s="11"/>
      <c r="K20" s="11"/>
      <c r="L20" s="11">
        <v>3</v>
      </c>
      <c r="M20" s="13"/>
    </row>
    <row r="21" spans="1:13" ht="18.75" x14ac:dyDescent="0.3">
      <c r="A21" s="3">
        <v>20</v>
      </c>
      <c r="B21" s="4" t="s">
        <v>37</v>
      </c>
      <c r="C21" s="4" t="s">
        <v>21</v>
      </c>
      <c r="D21" s="11">
        <f>SUM(1501)</f>
        <v>1501</v>
      </c>
      <c r="E21" s="11">
        <f>SUM(106)</f>
        <v>106</v>
      </c>
      <c r="F21" s="12">
        <f t="shared" si="0"/>
        <v>14.160377358490566</v>
      </c>
      <c r="G21" s="11">
        <v>1</v>
      </c>
      <c r="H21" s="11">
        <v>1</v>
      </c>
      <c r="I21" s="11"/>
      <c r="J21" s="11"/>
      <c r="K21" s="11"/>
      <c r="L21" s="11">
        <v>4.5</v>
      </c>
      <c r="M21" s="13"/>
    </row>
    <row r="22" spans="1:13" ht="18.75" x14ac:dyDescent="0.3">
      <c r="A22" s="3">
        <v>21</v>
      </c>
      <c r="B22" s="4" t="s">
        <v>35</v>
      </c>
      <c r="C22" s="4" t="s">
        <v>16</v>
      </c>
      <c r="D22" s="11">
        <f>SUM(1471)</f>
        <v>1471</v>
      </c>
      <c r="E22" s="11">
        <f>SUM(104)</f>
        <v>104</v>
      </c>
      <c r="F22" s="12">
        <f t="shared" si="0"/>
        <v>14.14423076923077</v>
      </c>
      <c r="G22" s="11">
        <v>1</v>
      </c>
      <c r="H22" s="11">
        <v>1</v>
      </c>
      <c r="I22" s="11"/>
      <c r="J22" s="11"/>
      <c r="K22" s="11"/>
      <c r="L22" s="11">
        <v>3</v>
      </c>
      <c r="M22" s="13"/>
    </row>
    <row r="23" spans="1:13" ht="18.75" x14ac:dyDescent="0.3">
      <c r="A23" s="3">
        <v>22</v>
      </c>
      <c r="B23" s="15" t="s">
        <v>38</v>
      </c>
      <c r="C23" s="4" t="s">
        <v>28</v>
      </c>
      <c r="D23" s="11">
        <f>SUM(1503)</f>
        <v>1503</v>
      </c>
      <c r="E23" s="11">
        <f>SUM(107)</f>
        <v>107</v>
      </c>
      <c r="F23" s="12">
        <f t="shared" si="0"/>
        <v>14.046728971962617</v>
      </c>
      <c r="G23" s="11">
        <v>1</v>
      </c>
      <c r="H23" s="11">
        <v>1</v>
      </c>
      <c r="I23" s="11"/>
      <c r="J23" s="11"/>
      <c r="K23" s="11"/>
      <c r="L23" s="11">
        <v>4.5</v>
      </c>
      <c r="M23" s="13"/>
    </row>
    <row r="24" spans="1:13" ht="18.75" x14ac:dyDescent="0.3">
      <c r="A24" s="3">
        <v>23</v>
      </c>
      <c r="B24" s="4" t="s">
        <v>34</v>
      </c>
      <c r="C24" s="4" t="s">
        <v>32</v>
      </c>
      <c r="D24" s="11">
        <f>SUM(1204)</f>
        <v>1204</v>
      </c>
      <c r="E24" s="11">
        <f>SUM(88)</f>
        <v>88</v>
      </c>
      <c r="F24" s="12">
        <f t="shared" si="0"/>
        <v>13.681818181818182</v>
      </c>
      <c r="G24" s="11">
        <v>1</v>
      </c>
      <c r="H24" s="11"/>
      <c r="I24" s="11"/>
      <c r="J24" s="11"/>
      <c r="K24" s="11"/>
      <c r="L24" s="11">
        <v>3</v>
      </c>
      <c r="M24" s="13"/>
    </row>
    <row r="25" spans="1:13" ht="18.75" x14ac:dyDescent="0.3">
      <c r="A25" s="3">
        <v>24</v>
      </c>
      <c r="B25" s="15" t="s">
        <v>52</v>
      </c>
      <c r="C25" s="4" t="s">
        <v>53</v>
      </c>
      <c r="D25" s="11">
        <f>SUM(1503)</f>
        <v>1503</v>
      </c>
      <c r="E25" s="11">
        <f>SUM(111)</f>
        <v>111</v>
      </c>
      <c r="F25" s="12">
        <f t="shared" si="0"/>
        <v>13.54054054054054</v>
      </c>
      <c r="G25" s="11">
        <v>1</v>
      </c>
      <c r="H25" s="11">
        <v>1</v>
      </c>
      <c r="I25" s="11"/>
      <c r="J25" s="11"/>
      <c r="K25" s="11"/>
      <c r="L25" s="11">
        <v>3.5</v>
      </c>
      <c r="M25" s="13"/>
    </row>
    <row r="26" spans="1:13" ht="18.75" x14ac:dyDescent="0.3">
      <c r="A26" s="3">
        <v>25</v>
      </c>
      <c r="B26" s="4" t="s">
        <v>40</v>
      </c>
      <c r="C26" s="4" t="s">
        <v>14</v>
      </c>
      <c r="D26" s="11">
        <f>SUM(1351)</f>
        <v>1351</v>
      </c>
      <c r="E26" s="11">
        <f>SUM(100)</f>
        <v>100</v>
      </c>
      <c r="F26" s="12">
        <f t="shared" si="0"/>
        <v>13.51</v>
      </c>
      <c r="G26" s="11">
        <v>1</v>
      </c>
      <c r="H26" s="11"/>
      <c r="I26" s="11"/>
      <c r="J26" s="11"/>
      <c r="K26" s="11"/>
      <c r="L26" s="11">
        <v>3</v>
      </c>
      <c r="M26" s="13"/>
    </row>
    <row r="27" spans="1:13" ht="18.75" x14ac:dyDescent="0.3">
      <c r="A27" s="3">
        <v>26</v>
      </c>
      <c r="B27" s="4" t="s">
        <v>27</v>
      </c>
      <c r="C27" s="4" t="s">
        <v>28</v>
      </c>
      <c r="D27" s="11">
        <f>SUM(1471)</f>
        <v>1471</v>
      </c>
      <c r="E27" s="11">
        <f>SUM(111)</f>
        <v>111</v>
      </c>
      <c r="F27" s="12">
        <f t="shared" si="0"/>
        <v>13.252252252252251</v>
      </c>
      <c r="G27" s="11">
        <v>1</v>
      </c>
      <c r="H27" s="11">
        <v>1</v>
      </c>
      <c r="I27" s="11"/>
      <c r="J27" s="11"/>
      <c r="K27" s="11"/>
      <c r="L27" s="11">
        <v>4</v>
      </c>
      <c r="M27" s="13"/>
    </row>
    <row r="28" spans="1:13" ht="18.75" x14ac:dyDescent="0.3">
      <c r="A28" s="3">
        <v>27</v>
      </c>
      <c r="B28" s="3" t="s">
        <v>20</v>
      </c>
      <c r="C28" s="7" t="s">
        <v>21</v>
      </c>
      <c r="D28" s="11">
        <f>SUM(1243)</f>
        <v>1243</v>
      </c>
      <c r="E28" s="11">
        <f>SUM(94)</f>
        <v>94</v>
      </c>
      <c r="F28" s="12">
        <f t="shared" si="0"/>
        <v>13.223404255319149</v>
      </c>
      <c r="G28" s="11">
        <v>1</v>
      </c>
      <c r="H28" s="11"/>
      <c r="I28" s="11"/>
      <c r="J28" s="11"/>
      <c r="K28" s="11"/>
      <c r="L28" s="11">
        <v>2</v>
      </c>
      <c r="M28" s="13"/>
    </row>
    <row r="29" spans="1:13" ht="18.75" x14ac:dyDescent="0.3">
      <c r="A29" s="3">
        <v>28</v>
      </c>
      <c r="B29" s="3" t="s">
        <v>48</v>
      </c>
      <c r="C29" s="4" t="s">
        <v>32</v>
      </c>
      <c r="D29" s="11">
        <f>SUM(1239)</f>
        <v>1239</v>
      </c>
      <c r="E29" s="11">
        <f>SUM(95)</f>
        <v>95</v>
      </c>
      <c r="F29" s="12">
        <f t="shared" si="0"/>
        <v>13.042105263157895</v>
      </c>
      <c r="G29" s="11">
        <v>1</v>
      </c>
      <c r="H29" s="11"/>
      <c r="I29" s="11"/>
      <c r="J29" s="11"/>
      <c r="K29" s="11"/>
      <c r="L29" s="11">
        <v>3</v>
      </c>
      <c r="M29" s="13"/>
    </row>
    <row r="30" spans="1:13" ht="18.75" x14ac:dyDescent="0.3">
      <c r="A30" s="3">
        <v>29</v>
      </c>
      <c r="B30" s="7" t="s">
        <v>44</v>
      </c>
      <c r="C30" s="4" t="s">
        <v>95</v>
      </c>
      <c r="D30" s="11">
        <f>SUM(1375)</f>
        <v>1375</v>
      </c>
      <c r="E30" s="11">
        <f>SUM(106)</f>
        <v>106</v>
      </c>
      <c r="F30" s="12">
        <f t="shared" si="0"/>
        <v>12.971698113207546</v>
      </c>
      <c r="G30" s="11">
        <v>1</v>
      </c>
      <c r="H30" s="11"/>
      <c r="I30" s="11"/>
      <c r="J30" s="11"/>
      <c r="K30" s="11"/>
      <c r="L30" s="11">
        <v>2.5</v>
      </c>
      <c r="M30" s="13"/>
    </row>
    <row r="31" spans="1:13" ht="18.75" x14ac:dyDescent="0.3">
      <c r="A31" s="3">
        <v>30</v>
      </c>
      <c r="B31" s="9" t="s">
        <v>58</v>
      </c>
      <c r="C31" s="4" t="s">
        <v>53</v>
      </c>
      <c r="D31" s="11">
        <f>SUM(1098)</f>
        <v>1098</v>
      </c>
      <c r="E31" s="11">
        <f>SUM(87)</f>
        <v>87</v>
      </c>
      <c r="F31" s="12">
        <f t="shared" si="0"/>
        <v>12.620689655172415</v>
      </c>
      <c r="G31" s="11">
        <v>1</v>
      </c>
      <c r="H31" s="11"/>
      <c r="I31" s="11"/>
      <c r="J31" s="11"/>
      <c r="K31" s="11"/>
      <c r="L31" s="11">
        <v>1.5</v>
      </c>
      <c r="M31" s="13"/>
    </row>
    <row r="32" spans="1:13" ht="18.75" x14ac:dyDescent="0.3">
      <c r="A32" s="3">
        <v>31</v>
      </c>
      <c r="B32" s="9" t="s">
        <v>92</v>
      </c>
      <c r="C32" s="4" t="s">
        <v>42</v>
      </c>
      <c r="D32" s="11">
        <f>SUM(1319)</f>
        <v>1319</v>
      </c>
      <c r="E32" s="11">
        <f>SUM(106)</f>
        <v>106</v>
      </c>
      <c r="F32" s="12">
        <f t="shared" si="0"/>
        <v>12.443396226415095</v>
      </c>
      <c r="G32" s="11">
        <v>1</v>
      </c>
      <c r="H32" s="11"/>
      <c r="I32" s="11"/>
      <c r="J32" s="11"/>
      <c r="K32" s="11"/>
      <c r="L32" s="11">
        <v>3</v>
      </c>
      <c r="M32" s="13"/>
    </row>
    <row r="33" spans="1:13" ht="18.75" x14ac:dyDescent="0.3">
      <c r="A33" s="3">
        <v>32</v>
      </c>
      <c r="B33" s="7" t="s">
        <v>41</v>
      </c>
      <c r="C33" s="4" t="s">
        <v>28</v>
      </c>
      <c r="D33" s="11">
        <f>SUM(1487)</f>
        <v>1487</v>
      </c>
      <c r="E33" s="11">
        <f>SUM(120)</f>
        <v>120</v>
      </c>
      <c r="F33" s="12">
        <f t="shared" si="0"/>
        <v>12.391666666666667</v>
      </c>
      <c r="G33" s="11">
        <v>1</v>
      </c>
      <c r="H33" s="11"/>
      <c r="I33" s="11"/>
      <c r="J33" s="11"/>
      <c r="K33" s="11"/>
      <c r="L33" s="11">
        <v>2</v>
      </c>
      <c r="M33" s="13"/>
    </row>
    <row r="34" spans="1:13" ht="18.75" x14ac:dyDescent="0.3">
      <c r="A34" s="3">
        <v>33</v>
      </c>
      <c r="B34" s="9" t="s">
        <v>64</v>
      </c>
      <c r="C34" s="4" t="s">
        <v>95</v>
      </c>
      <c r="D34" s="11">
        <f>SUM(1503)</f>
        <v>1503</v>
      </c>
      <c r="E34" s="11">
        <f>SUM(123)</f>
        <v>123</v>
      </c>
      <c r="F34" s="12">
        <f t="shared" si="0"/>
        <v>12.219512195121951</v>
      </c>
      <c r="G34" s="11">
        <v>1</v>
      </c>
      <c r="H34" s="11">
        <v>1</v>
      </c>
      <c r="I34" s="11"/>
      <c r="J34" s="11"/>
      <c r="K34" s="11"/>
      <c r="L34" s="11">
        <v>4.5</v>
      </c>
      <c r="M34" s="13"/>
    </row>
    <row r="35" spans="1:13" ht="18.75" x14ac:dyDescent="0.3">
      <c r="A35" s="3">
        <v>34</v>
      </c>
      <c r="B35" s="9" t="s">
        <v>29</v>
      </c>
      <c r="C35" s="4" t="s">
        <v>23</v>
      </c>
      <c r="D35" s="11">
        <f>SUM(1204)</f>
        <v>1204</v>
      </c>
      <c r="E35" s="11">
        <f>SUM(99)</f>
        <v>99</v>
      </c>
      <c r="F35" s="12">
        <f t="shared" si="0"/>
        <v>12.161616161616161</v>
      </c>
      <c r="G35" s="11">
        <v>1</v>
      </c>
      <c r="H35" s="11"/>
      <c r="I35" s="11"/>
      <c r="J35" s="11"/>
      <c r="K35" s="11"/>
      <c r="L35" s="11">
        <v>0.5</v>
      </c>
      <c r="M35" s="13"/>
    </row>
    <row r="36" spans="1:13" ht="18.75" x14ac:dyDescent="0.3">
      <c r="A36" s="3">
        <v>35</v>
      </c>
      <c r="B36" s="37" t="s">
        <v>61</v>
      </c>
      <c r="C36" s="8" t="s">
        <v>47</v>
      </c>
      <c r="D36" s="11">
        <f>SUM(1322)</f>
        <v>1322</v>
      </c>
      <c r="E36" s="11">
        <f>SUM(111)</f>
        <v>111</v>
      </c>
      <c r="F36" s="12">
        <f t="shared" si="0"/>
        <v>11.90990990990991</v>
      </c>
      <c r="G36" s="11">
        <v>1</v>
      </c>
      <c r="H36" s="11"/>
      <c r="I36" s="11"/>
      <c r="J36" s="11"/>
      <c r="K36" s="11"/>
      <c r="L36" s="11">
        <v>1</v>
      </c>
      <c r="M36" s="13"/>
    </row>
    <row r="37" spans="1:13" ht="18.75" x14ac:dyDescent="0.3">
      <c r="A37" s="3">
        <v>36</v>
      </c>
      <c r="B37" s="7" t="s">
        <v>56</v>
      </c>
      <c r="C37" s="7" t="s">
        <v>95</v>
      </c>
      <c r="D37" s="11">
        <f>SUM(1248)</f>
        <v>1248</v>
      </c>
      <c r="E37" s="11">
        <f>SUM(105)</f>
        <v>105</v>
      </c>
      <c r="F37" s="12">
        <f t="shared" si="0"/>
        <v>11.885714285714286</v>
      </c>
      <c r="G37" s="11">
        <v>1</v>
      </c>
      <c r="H37" s="11"/>
      <c r="I37" s="11"/>
      <c r="J37" s="11"/>
      <c r="K37" s="11"/>
      <c r="L37" s="11">
        <v>1</v>
      </c>
      <c r="M37" s="13"/>
    </row>
    <row r="38" spans="1:13" ht="18.75" x14ac:dyDescent="0.3">
      <c r="A38" s="3">
        <v>37</v>
      </c>
      <c r="B38" s="10" t="s">
        <v>94</v>
      </c>
      <c r="C38" s="7" t="s">
        <v>42</v>
      </c>
      <c r="D38" s="11">
        <f>SUM(1484)</f>
        <v>1484</v>
      </c>
      <c r="E38" s="11">
        <f>SUM(126)</f>
        <v>126</v>
      </c>
      <c r="F38" s="12">
        <f t="shared" si="0"/>
        <v>11.777777777777779</v>
      </c>
      <c r="G38" s="11">
        <v>1</v>
      </c>
      <c r="H38" s="11"/>
      <c r="I38" s="11"/>
      <c r="J38" s="11"/>
      <c r="K38" s="11"/>
      <c r="L38" s="11">
        <v>2.5</v>
      </c>
      <c r="M38" s="13"/>
    </row>
    <row r="39" spans="1:13" ht="18.75" x14ac:dyDescent="0.3">
      <c r="A39" s="3">
        <v>38</v>
      </c>
      <c r="B39" s="16" t="s">
        <v>54</v>
      </c>
      <c r="C39" s="8" t="s">
        <v>47</v>
      </c>
      <c r="D39" s="11">
        <f>SUM(1478)</f>
        <v>1478</v>
      </c>
      <c r="E39" s="11">
        <f>SUM(126)</f>
        <v>126</v>
      </c>
      <c r="F39" s="12">
        <f t="shared" si="0"/>
        <v>11.730158730158729</v>
      </c>
      <c r="G39" s="11">
        <v>1</v>
      </c>
      <c r="H39" s="11">
        <v>1</v>
      </c>
      <c r="I39" s="11"/>
      <c r="J39" s="11"/>
      <c r="K39" s="11"/>
      <c r="L39" s="11">
        <v>4</v>
      </c>
      <c r="M39" s="13"/>
    </row>
    <row r="40" spans="1:13" ht="18.75" x14ac:dyDescent="0.3">
      <c r="A40" s="3">
        <v>39</v>
      </c>
      <c r="B40" s="10" t="s">
        <v>60</v>
      </c>
      <c r="C40" s="4" t="s">
        <v>47</v>
      </c>
      <c r="D40" s="11">
        <f>SUM(1477)</f>
        <v>1477</v>
      </c>
      <c r="E40" s="11">
        <f>SUM(126)</f>
        <v>126</v>
      </c>
      <c r="F40" s="12">
        <f t="shared" si="0"/>
        <v>11.722222222222221</v>
      </c>
      <c r="G40" s="11">
        <v>1</v>
      </c>
      <c r="H40" s="11"/>
      <c r="I40" s="11"/>
      <c r="J40" s="11"/>
      <c r="K40" s="11"/>
      <c r="L40" s="11">
        <v>2.5</v>
      </c>
      <c r="M40" s="13"/>
    </row>
    <row r="41" spans="1:13" ht="18.75" x14ac:dyDescent="0.3">
      <c r="A41" s="3">
        <v>40</v>
      </c>
      <c r="B41" s="10" t="s">
        <v>49</v>
      </c>
      <c r="C41" s="7" t="s">
        <v>28</v>
      </c>
      <c r="D41" s="11">
        <f>SUM(1503)</f>
        <v>1503</v>
      </c>
      <c r="E41" s="11">
        <f>SUM(129)</f>
        <v>129</v>
      </c>
      <c r="F41" s="12">
        <f t="shared" si="0"/>
        <v>11.651162790697674</v>
      </c>
      <c r="G41" s="11">
        <v>1</v>
      </c>
      <c r="H41" s="11">
        <v>1</v>
      </c>
      <c r="I41" s="11"/>
      <c r="J41" s="11"/>
      <c r="K41" s="11"/>
      <c r="L41" s="11">
        <v>4.5</v>
      </c>
      <c r="M41" s="13">
        <v>5</v>
      </c>
    </row>
    <row r="42" spans="1:13" ht="18.75" x14ac:dyDescent="0.3">
      <c r="A42" s="3">
        <v>41</v>
      </c>
      <c r="B42" s="16" t="s">
        <v>57</v>
      </c>
      <c r="C42" s="7" t="s">
        <v>95</v>
      </c>
      <c r="D42" s="11">
        <f>SUM(1463)</f>
        <v>1463</v>
      </c>
      <c r="E42" s="11">
        <f>SUM(126)</f>
        <v>126</v>
      </c>
      <c r="F42" s="12">
        <f t="shared" si="0"/>
        <v>11.611111111111111</v>
      </c>
      <c r="G42" s="11">
        <v>1</v>
      </c>
      <c r="H42" s="11"/>
      <c r="I42" s="11"/>
      <c r="J42" s="11"/>
      <c r="K42" s="11"/>
      <c r="L42" s="11">
        <v>1</v>
      </c>
      <c r="M42" s="13"/>
    </row>
    <row r="43" spans="1:13" ht="18.75" x14ac:dyDescent="0.3">
      <c r="A43" s="3">
        <v>42</v>
      </c>
      <c r="B43" s="16" t="s">
        <v>26</v>
      </c>
      <c r="C43" s="7" t="s">
        <v>19</v>
      </c>
      <c r="D43" s="11">
        <f>SUM(1480)</f>
        <v>1480</v>
      </c>
      <c r="E43" s="11">
        <f>SUM(128)</f>
        <v>128</v>
      </c>
      <c r="F43" s="12">
        <f t="shared" si="0"/>
        <v>11.5625</v>
      </c>
      <c r="G43" s="11">
        <v>1</v>
      </c>
      <c r="H43" s="11"/>
      <c r="I43" s="11"/>
      <c r="J43" s="11"/>
      <c r="K43" s="11"/>
      <c r="L43" s="11">
        <v>3.5</v>
      </c>
      <c r="M43" s="13"/>
    </row>
    <row r="44" spans="1:13" ht="18.75" x14ac:dyDescent="0.3">
      <c r="A44" s="3">
        <v>43</v>
      </c>
      <c r="B44" s="16" t="s">
        <v>43</v>
      </c>
      <c r="C44" s="7" t="s">
        <v>12</v>
      </c>
      <c r="D44" s="11">
        <f>SUM(1479)</f>
        <v>1479</v>
      </c>
      <c r="E44" s="11">
        <f>SUM(130)</f>
        <v>130</v>
      </c>
      <c r="F44" s="12">
        <f t="shared" si="0"/>
        <v>11.376923076923077</v>
      </c>
      <c r="G44" s="11">
        <v>1</v>
      </c>
      <c r="H44" s="11">
        <v>1</v>
      </c>
      <c r="I44" s="11"/>
      <c r="J44" s="11"/>
      <c r="K44" s="11"/>
      <c r="L44" s="11">
        <v>3</v>
      </c>
      <c r="M44" s="13"/>
    </row>
    <row r="45" spans="1:13" ht="18.75" x14ac:dyDescent="0.3">
      <c r="A45" s="3">
        <v>44</v>
      </c>
      <c r="B45" s="10" t="s">
        <v>102</v>
      </c>
      <c r="C45" s="7" t="s">
        <v>21</v>
      </c>
      <c r="D45" s="11">
        <f>SUM(1467)</f>
        <v>1467</v>
      </c>
      <c r="E45" s="11">
        <f>SUM(130)</f>
        <v>130</v>
      </c>
      <c r="F45" s="12">
        <f t="shared" si="0"/>
        <v>11.284615384615385</v>
      </c>
      <c r="G45" s="11">
        <v>1</v>
      </c>
      <c r="H45" s="11">
        <v>1</v>
      </c>
      <c r="I45" s="11"/>
      <c r="J45" s="11"/>
      <c r="K45" s="11"/>
      <c r="L45" s="11">
        <v>4</v>
      </c>
      <c r="M45" s="13"/>
    </row>
    <row r="46" spans="1:13" ht="18.75" x14ac:dyDescent="0.3">
      <c r="A46" s="3">
        <v>45</v>
      </c>
      <c r="B46" s="10" t="s">
        <v>59</v>
      </c>
      <c r="C46" s="4" t="s">
        <v>53</v>
      </c>
      <c r="D46" s="11">
        <f>SUM(1368)</f>
        <v>1368</v>
      </c>
      <c r="E46" s="11">
        <f>SUM(122)</f>
        <v>122</v>
      </c>
      <c r="F46" s="12">
        <f t="shared" si="0"/>
        <v>11.21311475409836</v>
      </c>
      <c r="G46" s="11">
        <v>1</v>
      </c>
      <c r="H46" s="11">
        <v>1</v>
      </c>
      <c r="I46" s="11"/>
      <c r="J46" s="11"/>
      <c r="K46" s="11"/>
      <c r="L46" s="11">
        <v>3.5</v>
      </c>
      <c r="M46" s="13"/>
    </row>
    <row r="47" spans="1:13" ht="18.75" x14ac:dyDescent="0.3">
      <c r="A47" s="3">
        <v>46</v>
      </c>
      <c r="B47" s="10" t="s">
        <v>55</v>
      </c>
      <c r="C47" s="7" t="s">
        <v>53</v>
      </c>
      <c r="D47" s="11">
        <f>SUM(1363)</f>
        <v>1363</v>
      </c>
      <c r="E47" s="11">
        <f>SUM(123)</f>
        <v>123</v>
      </c>
      <c r="F47" s="12">
        <f t="shared" si="0"/>
        <v>11.081300813008131</v>
      </c>
      <c r="G47" s="11">
        <v>1</v>
      </c>
      <c r="H47" s="11"/>
      <c r="I47" s="11"/>
      <c r="J47" s="11"/>
      <c r="K47" s="11"/>
      <c r="L47" s="11">
        <v>1.5</v>
      </c>
      <c r="M47" s="13"/>
    </row>
    <row r="48" spans="1:13" ht="18.75" x14ac:dyDescent="0.3">
      <c r="A48" s="3">
        <v>47</v>
      </c>
      <c r="B48" s="36" t="s">
        <v>50</v>
      </c>
      <c r="C48" s="4" t="s">
        <v>42</v>
      </c>
      <c r="D48" s="11">
        <f>SUM(1503)</f>
        <v>1503</v>
      </c>
      <c r="E48" s="11">
        <f>SUM(137)</f>
        <v>137</v>
      </c>
      <c r="F48" s="12">
        <f t="shared" si="0"/>
        <v>10.97080291970803</v>
      </c>
      <c r="G48" s="11">
        <v>1</v>
      </c>
      <c r="H48" s="11">
        <v>1</v>
      </c>
      <c r="I48" s="11"/>
      <c r="J48" s="11"/>
      <c r="K48" s="11"/>
      <c r="L48" s="11">
        <v>3.5</v>
      </c>
      <c r="M48" s="13"/>
    </row>
    <row r="49" spans="1:18" ht="18.75" x14ac:dyDescent="0.3">
      <c r="A49" s="3">
        <v>48</v>
      </c>
      <c r="B49" s="15" t="s">
        <v>63</v>
      </c>
      <c r="C49" s="4" t="s">
        <v>21</v>
      </c>
      <c r="D49" s="11">
        <f>SUM(1452)</f>
        <v>1452</v>
      </c>
      <c r="E49" s="11">
        <f>SUM(135)</f>
        <v>135</v>
      </c>
      <c r="F49" s="12">
        <f t="shared" si="0"/>
        <v>10.755555555555556</v>
      </c>
      <c r="G49" s="11">
        <v>1</v>
      </c>
      <c r="H49" s="11"/>
      <c r="I49" s="11"/>
      <c r="J49" s="11"/>
      <c r="K49" s="11"/>
      <c r="L49" s="11">
        <v>1.5</v>
      </c>
      <c r="M49" s="13"/>
    </row>
    <row r="50" spans="1:18" ht="18.75" x14ac:dyDescent="0.3">
      <c r="A50" s="3">
        <v>49</v>
      </c>
      <c r="B50" s="38" t="s">
        <v>97</v>
      </c>
      <c r="C50" s="7" t="s">
        <v>47</v>
      </c>
      <c r="D50" s="11"/>
      <c r="E50" s="11"/>
      <c r="F50" s="12"/>
      <c r="G50" s="11"/>
      <c r="H50" s="11"/>
      <c r="I50" s="11"/>
      <c r="J50" s="11"/>
      <c r="K50" s="11"/>
      <c r="L50" s="11">
        <v>1</v>
      </c>
      <c r="M50" s="13"/>
    </row>
    <row r="51" spans="1:18" ht="17.25" customHeight="1" thickBot="1" x14ac:dyDescent="0.3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8" ht="19.5" customHeight="1" thickBot="1" x14ac:dyDescent="0.35">
      <c r="A52" s="5"/>
      <c r="B52" s="39" t="s">
        <v>96</v>
      </c>
      <c r="C52" s="27" t="s">
        <v>65</v>
      </c>
      <c r="D52" s="28" t="s">
        <v>66</v>
      </c>
      <c r="E52" s="29" t="s">
        <v>67</v>
      </c>
      <c r="F52" s="20" t="s">
        <v>91</v>
      </c>
      <c r="G52" s="30" t="s">
        <v>68</v>
      </c>
      <c r="I52" s="50" t="s">
        <v>69</v>
      </c>
      <c r="J52" s="51"/>
      <c r="K52" s="51"/>
      <c r="L52" s="51"/>
      <c r="M52" s="51"/>
      <c r="N52" s="51"/>
      <c r="O52" s="51"/>
      <c r="P52" s="51"/>
      <c r="Q52" s="51"/>
      <c r="R52" s="52"/>
    </row>
    <row r="53" spans="1:18" ht="18.75" x14ac:dyDescent="0.3">
      <c r="A53" s="5"/>
      <c r="B53" s="40"/>
      <c r="C53" s="17" t="s">
        <v>85</v>
      </c>
      <c r="D53" s="7">
        <v>1</v>
      </c>
      <c r="E53" s="22">
        <v>0</v>
      </c>
      <c r="F53" s="15"/>
      <c r="G53" s="23">
        <v>16</v>
      </c>
      <c r="I53" s="42" t="s">
        <v>70</v>
      </c>
      <c r="J53" s="43"/>
      <c r="K53" s="43"/>
      <c r="L53" s="43"/>
      <c r="M53" s="43"/>
      <c r="N53" s="53" t="s">
        <v>103</v>
      </c>
      <c r="O53" s="53"/>
      <c r="P53" s="53"/>
      <c r="Q53" s="53"/>
      <c r="R53" s="54"/>
    </row>
    <row r="54" spans="1:18" ht="18.75" x14ac:dyDescent="0.3">
      <c r="A54" s="5"/>
      <c r="B54" s="40"/>
      <c r="C54" s="18" t="s">
        <v>83</v>
      </c>
      <c r="D54" s="9">
        <v>1</v>
      </c>
      <c r="E54" s="10">
        <v>0</v>
      </c>
      <c r="F54" s="15"/>
      <c r="G54" s="18">
        <v>15</v>
      </c>
      <c r="I54" s="44" t="s">
        <v>72</v>
      </c>
      <c r="J54" s="45"/>
      <c r="K54" s="45"/>
      <c r="L54" s="45"/>
      <c r="M54" s="45"/>
      <c r="N54" s="48" t="s">
        <v>98</v>
      </c>
      <c r="O54" s="48"/>
      <c r="P54" s="48"/>
      <c r="Q54" s="48"/>
      <c r="R54" s="49"/>
    </row>
    <row r="55" spans="1:18" ht="18.75" x14ac:dyDescent="0.3">
      <c r="A55" s="5"/>
      <c r="B55" s="40"/>
      <c r="C55" s="17" t="s">
        <v>82</v>
      </c>
      <c r="D55" s="7">
        <v>1</v>
      </c>
      <c r="E55" s="22">
        <v>0</v>
      </c>
      <c r="F55" s="15"/>
      <c r="G55" s="23">
        <v>14</v>
      </c>
      <c r="I55" s="44" t="s">
        <v>74</v>
      </c>
      <c r="J55" s="45"/>
      <c r="K55" s="45"/>
      <c r="L55" s="45"/>
      <c r="M55" s="45"/>
      <c r="N55" s="48" t="s">
        <v>99</v>
      </c>
      <c r="O55" s="48"/>
      <c r="P55" s="48"/>
      <c r="Q55" s="48"/>
      <c r="R55" s="49"/>
    </row>
    <row r="56" spans="1:18" ht="18.75" x14ac:dyDescent="0.3">
      <c r="A56" s="6"/>
      <c r="B56" s="40"/>
      <c r="C56" s="17" t="s">
        <v>73</v>
      </c>
      <c r="D56" s="7">
        <v>1</v>
      </c>
      <c r="E56" s="22">
        <v>0</v>
      </c>
      <c r="F56" s="15"/>
      <c r="G56" s="23">
        <v>14</v>
      </c>
      <c r="I56" s="44" t="s">
        <v>76</v>
      </c>
      <c r="J56" s="45"/>
      <c r="K56" s="45"/>
      <c r="L56" s="45"/>
      <c r="M56" s="45"/>
      <c r="N56" s="48" t="s">
        <v>100</v>
      </c>
      <c r="O56" s="48"/>
      <c r="P56" s="48"/>
      <c r="Q56" s="48"/>
      <c r="R56" s="49"/>
    </row>
    <row r="57" spans="1:18" ht="18" customHeight="1" x14ac:dyDescent="0.3">
      <c r="A57" s="6"/>
      <c r="B57" s="40"/>
      <c r="C57" s="17" t="s">
        <v>77</v>
      </c>
      <c r="D57" s="7">
        <v>1</v>
      </c>
      <c r="E57" s="22">
        <v>0</v>
      </c>
      <c r="F57" s="15"/>
      <c r="G57" s="23">
        <v>12</v>
      </c>
      <c r="I57" s="44" t="s">
        <v>78</v>
      </c>
      <c r="J57" s="45"/>
      <c r="K57" s="45"/>
      <c r="L57" s="45"/>
      <c r="M57" s="45"/>
      <c r="N57" s="48" t="s">
        <v>99</v>
      </c>
      <c r="O57" s="48"/>
      <c r="P57" s="48"/>
      <c r="Q57" s="48"/>
      <c r="R57" s="49"/>
    </row>
    <row r="58" spans="1:18" ht="18" customHeight="1" thickBot="1" x14ac:dyDescent="0.35">
      <c r="A58" s="6"/>
      <c r="B58" s="40"/>
      <c r="C58" s="18" t="s">
        <v>86</v>
      </c>
      <c r="D58" s="9">
        <v>1</v>
      </c>
      <c r="E58" s="10">
        <v>0</v>
      </c>
      <c r="F58" s="15"/>
      <c r="G58" s="18">
        <v>12</v>
      </c>
      <c r="I58" s="46" t="s">
        <v>80</v>
      </c>
      <c r="J58" s="47"/>
      <c r="K58" s="47"/>
      <c r="L58" s="47"/>
      <c r="M58" s="47"/>
      <c r="N58" s="48" t="s">
        <v>100</v>
      </c>
      <c r="O58" s="48"/>
      <c r="P58" s="48"/>
      <c r="Q58" s="48"/>
      <c r="R58" s="49"/>
    </row>
    <row r="59" spans="1:18" ht="18.75" x14ac:dyDescent="0.3">
      <c r="A59" s="6"/>
      <c r="B59" s="40"/>
      <c r="C59" s="17" t="s">
        <v>71</v>
      </c>
      <c r="D59" s="7">
        <v>0</v>
      </c>
      <c r="E59" s="16">
        <v>1</v>
      </c>
      <c r="F59" s="15"/>
      <c r="G59" s="17">
        <v>12</v>
      </c>
      <c r="H59" s="6"/>
      <c r="I59" s="6"/>
    </row>
    <row r="60" spans="1:18" ht="18.75" x14ac:dyDescent="0.3">
      <c r="A60" s="6"/>
      <c r="B60" s="40"/>
      <c r="C60" s="17" t="s">
        <v>81</v>
      </c>
      <c r="D60" s="7">
        <v>0</v>
      </c>
      <c r="E60" s="16">
        <v>1</v>
      </c>
      <c r="F60" s="15"/>
      <c r="G60" s="17">
        <v>12</v>
      </c>
      <c r="H60" s="6"/>
    </row>
    <row r="61" spans="1:18" ht="18.75" x14ac:dyDescent="0.3">
      <c r="B61" s="40"/>
      <c r="C61" s="17" t="s">
        <v>75</v>
      </c>
      <c r="D61" s="7">
        <v>0</v>
      </c>
      <c r="E61" s="22">
        <v>1</v>
      </c>
      <c r="F61" s="15"/>
      <c r="G61" s="23">
        <v>10</v>
      </c>
    </row>
    <row r="62" spans="1:18" ht="18.75" x14ac:dyDescent="0.3">
      <c r="B62" s="40"/>
      <c r="C62" s="18" t="s">
        <v>84</v>
      </c>
      <c r="D62" s="9">
        <v>0</v>
      </c>
      <c r="E62" s="10">
        <v>1</v>
      </c>
      <c r="F62" s="15"/>
      <c r="G62" s="18">
        <v>10</v>
      </c>
    </row>
    <row r="63" spans="1:18" ht="18.75" x14ac:dyDescent="0.3">
      <c r="B63" s="40"/>
      <c r="C63" s="19" t="s">
        <v>101</v>
      </c>
      <c r="D63" s="14">
        <v>0</v>
      </c>
      <c r="E63" s="21">
        <v>1</v>
      </c>
      <c r="F63" s="26"/>
      <c r="G63" s="19">
        <v>9</v>
      </c>
    </row>
    <row r="64" spans="1:18" ht="19.5" thickBot="1" x14ac:dyDescent="0.35">
      <c r="B64" s="41"/>
      <c r="C64" s="18" t="s">
        <v>79</v>
      </c>
      <c r="D64" s="9">
        <v>0</v>
      </c>
      <c r="E64" s="10">
        <v>1</v>
      </c>
      <c r="F64" s="15"/>
      <c r="G64" s="18">
        <v>8</v>
      </c>
    </row>
    <row r="65" spans="3:7" ht="15.75" thickBot="1" x14ac:dyDescent="0.3"/>
    <row r="66" spans="3:7" ht="19.5" thickBot="1" x14ac:dyDescent="0.35">
      <c r="C66" s="27" t="s">
        <v>87</v>
      </c>
      <c r="D66" s="28" t="s">
        <v>66</v>
      </c>
      <c r="E66" s="28" t="s">
        <v>67</v>
      </c>
      <c r="F66" s="20" t="s">
        <v>91</v>
      </c>
      <c r="G66" s="31" t="s">
        <v>68</v>
      </c>
    </row>
    <row r="67" spans="3:7" ht="18.75" x14ac:dyDescent="0.3">
      <c r="C67" s="14" t="s">
        <v>82</v>
      </c>
      <c r="D67" s="14">
        <v>1</v>
      </c>
      <c r="E67" s="24">
        <v>0</v>
      </c>
      <c r="F67" s="15"/>
      <c r="G67" s="25">
        <v>14</v>
      </c>
    </row>
    <row r="68" spans="3:7" ht="18.75" x14ac:dyDescent="0.3">
      <c r="C68" s="7" t="s">
        <v>77</v>
      </c>
      <c r="D68" s="7">
        <v>1</v>
      </c>
      <c r="E68" s="22">
        <v>0</v>
      </c>
      <c r="F68" s="15"/>
      <c r="G68" s="23">
        <v>12</v>
      </c>
    </row>
    <row r="69" spans="3:7" ht="18.75" x14ac:dyDescent="0.3">
      <c r="C69" s="14" t="s">
        <v>71</v>
      </c>
      <c r="D69" s="14">
        <v>0</v>
      </c>
      <c r="E69" s="21">
        <v>1</v>
      </c>
      <c r="F69" s="26"/>
      <c r="G69" s="19">
        <v>12</v>
      </c>
    </row>
    <row r="70" spans="3:7" ht="18.75" x14ac:dyDescent="0.3">
      <c r="C70" s="14" t="s">
        <v>75</v>
      </c>
      <c r="D70" s="14">
        <v>0</v>
      </c>
      <c r="E70" s="24">
        <v>1</v>
      </c>
      <c r="F70" s="26"/>
      <c r="G70" s="25">
        <v>10</v>
      </c>
    </row>
    <row r="71" spans="3:7" ht="15.75" thickBot="1" x14ac:dyDescent="0.3"/>
    <row r="72" spans="3:7" ht="19.5" thickBot="1" x14ac:dyDescent="0.35">
      <c r="C72" s="27" t="s">
        <v>88</v>
      </c>
      <c r="D72" s="28" t="s">
        <v>66</v>
      </c>
      <c r="E72" s="28" t="s">
        <v>67</v>
      </c>
      <c r="F72" s="20" t="s">
        <v>91</v>
      </c>
      <c r="G72" s="31" t="s">
        <v>68</v>
      </c>
    </row>
    <row r="73" spans="3:7" ht="18.75" x14ac:dyDescent="0.3">
      <c r="C73" s="7" t="s">
        <v>85</v>
      </c>
      <c r="D73" s="7">
        <v>1</v>
      </c>
      <c r="E73" s="22">
        <v>0</v>
      </c>
      <c r="F73" s="15"/>
      <c r="G73" s="23">
        <v>16</v>
      </c>
    </row>
    <row r="74" spans="3:7" ht="18.75" x14ac:dyDescent="0.3">
      <c r="C74" s="9" t="s">
        <v>83</v>
      </c>
      <c r="D74" s="9">
        <v>1</v>
      </c>
      <c r="E74" s="10">
        <v>0</v>
      </c>
      <c r="F74" s="15"/>
      <c r="G74" s="18">
        <v>15</v>
      </c>
    </row>
    <row r="75" spans="3:7" ht="18.75" x14ac:dyDescent="0.3">
      <c r="C75" s="14" t="s">
        <v>101</v>
      </c>
      <c r="D75" s="14">
        <v>0</v>
      </c>
      <c r="E75" s="21">
        <v>1</v>
      </c>
      <c r="F75" s="26"/>
      <c r="G75" s="19">
        <v>9</v>
      </c>
    </row>
    <row r="76" spans="3:7" ht="18.75" x14ac:dyDescent="0.3">
      <c r="C76" s="9" t="s">
        <v>79</v>
      </c>
      <c r="D76" s="9">
        <v>0</v>
      </c>
      <c r="E76" s="10">
        <v>1</v>
      </c>
      <c r="F76" s="15"/>
      <c r="G76" s="18">
        <v>8</v>
      </c>
    </row>
    <row r="77" spans="3:7" ht="15.75" thickBot="1" x14ac:dyDescent="0.3"/>
    <row r="78" spans="3:7" ht="19.5" thickBot="1" x14ac:dyDescent="0.35">
      <c r="C78" s="32" t="s">
        <v>89</v>
      </c>
      <c r="D78" s="33" t="s">
        <v>66</v>
      </c>
      <c r="E78" s="33" t="s">
        <v>67</v>
      </c>
      <c r="F78" s="20" t="s">
        <v>91</v>
      </c>
      <c r="G78" s="34" t="s">
        <v>68</v>
      </c>
    </row>
    <row r="79" spans="3:7" ht="18.75" x14ac:dyDescent="0.3">
      <c r="C79" s="14" t="s">
        <v>73</v>
      </c>
      <c r="D79" s="14">
        <v>1</v>
      </c>
      <c r="E79" s="24">
        <v>0</v>
      </c>
      <c r="F79" s="15"/>
      <c r="G79" s="25">
        <v>14</v>
      </c>
    </row>
    <row r="80" spans="3:7" ht="18.75" x14ac:dyDescent="0.3">
      <c r="C80" s="9" t="s">
        <v>86</v>
      </c>
      <c r="D80" s="9">
        <v>1</v>
      </c>
      <c r="E80" s="10">
        <v>0</v>
      </c>
      <c r="F80" s="15"/>
      <c r="G80" s="18">
        <v>12</v>
      </c>
    </row>
    <row r="81" spans="3:7" ht="18.75" x14ac:dyDescent="0.3">
      <c r="C81" s="7" t="s">
        <v>81</v>
      </c>
      <c r="D81" s="7">
        <v>0</v>
      </c>
      <c r="E81" s="16">
        <v>1</v>
      </c>
      <c r="F81" s="15"/>
      <c r="G81" s="17">
        <v>12</v>
      </c>
    </row>
    <row r="82" spans="3:7" ht="18.75" x14ac:dyDescent="0.3">
      <c r="C82" s="9" t="s">
        <v>84</v>
      </c>
      <c r="D82" s="9">
        <v>0</v>
      </c>
      <c r="E82" s="10">
        <v>1</v>
      </c>
      <c r="F82" s="15"/>
      <c r="G82" s="18">
        <v>10</v>
      </c>
    </row>
  </sheetData>
  <sortState ref="A2:M50">
    <sortCondition descending="1" ref="F2:F50"/>
  </sortState>
  <mergeCells count="14">
    <mergeCell ref="N58:R58"/>
    <mergeCell ref="I52:R52"/>
    <mergeCell ref="N53:R53"/>
    <mergeCell ref="N54:R54"/>
    <mergeCell ref="N55:R55"/>
    <mergeCell ref="N56:R56"/>
    <mergeCell ref="N57:R57"/>
    <mergeCell ref="B52:B64"/>
    <mergeCell ref="I53:M53"/>
    <mergeCell ref="I54:M54"/>
    <mergeCell ref="I55:M55"/>
    <mergeCell ref="I56:M56"/>
    <mergeCell ref="I57:M57"/>
    <mergeCell ref="I58:M5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pane ySplit="1" topLeftCell="A2" activePane="bottomLeft" state="frozen"/>
      <selection pane="bottomLeft" activeCell="C99" sqref="C99:G99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SUM(1444+1481+1503+1503+1471+1503+1471+1499+1495+1503)</f>
        <v>14873</v>
      </c>
      <c r="E2" s="11">
        <f>SUM(74+87+96+88+103+80+96+92+81+73)</f>
        <v>870</v>
      </c>
      <c r="F2" s="12">
        <f>SUM(D2/E2)</f>
        <v>17.095402298850576</v>
      </c>
      <c r="G2" s="11">
        <v>10</v>
      </c>
      <c r="H2" s="11">
        <v>9</v>
      </c>
      <c r="I2" s="11">
        <v>2</v>
      </c>
      <c r="J2" s="11"/>
      <c r="K2" s="11">
        <v>1</v>
      </c>
      <c r="L2" s="11">
        <v>42</v>
      </c>
      <c r="M2" s="13">
        <v>20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SUM(1360+1372+1443+1499+1503+1503+1493+1503)</f>
        <v>11676</v>
      </c>
      <c r="E3" s="11">
        <f>SUM(71+94+91+92+82+84+97+100)</f>
        <v>711</v>
      </c>
      <c r="F3" s="12">
        <f>SUM(D3/E3)</f>
        <v>16.421940928270043</v>
      </c>
      <c r="G3" s="11">
        <v>8</v>
      </c>
      <c r="H3" s="11">
        <v>6</v>
      </c>
      <c r="I3" s="11">
        <v>2</v>
      </c>
      <c r="J3" s="11"/>
      <c r="K3" s="11"/>
      <c r="L3" s="11">
        <v>32.5</v>
      </c>
      <c r="M3" s="13"/>
    </row>
    <row r="4" spans="1:13" ht="18.75" x14ac:dyDescent="0.3">
      <c r="A4" s="3">
        <v>3</v>
      </c>
      <c r="B4" s="4" t="s">
        <v>37</v>
      </c>
      <c r="C4" s="4" t="s">
        <v>21</v>
      </c>
      <c r="D4" s="11">
        <f>SUM(1501+1495+1314+1407+1503+1405+1426+1455+1372)</f>
        <v>12878</v>
      </c>
      <c r="E4" s="11">
        <f>SUM(106+86+87+95+80+84+86+83+81)</f>
        <v>788</v>
      </c>
      <c r="F4" s="12">
        <f>SUM(D4/E4)</f>
        <v>16.342639593908629</v>
      </c>
      <c r="G4" s="11">
        <v>9</v>
      </c>
      <c r="H4" s="11">
        <v>6</v>
      </c>
      <c r="I4" s="11"/>
      <c r="J4" s="11"/>
      <c r="K4" s="11"/>
      <c r="L4" s="11">
        <v>29.5</v>
      </c>
      <c r="M4" s="13">
        <v>10</v>
      </c>
    </row>
    <row r="5" spans="1:13" ht="18.75" x14ac:dyDescent="0.3">
      <c r="A5" s="3">
        <v>4</v>
      </c>
      <c r="B5" s="4" t="s">
        <v>33</v>
      </c>
      <c r="C5" s="4" t="s">
        <v>16</v>
      </c>
      <c r="D5" s="11">
        <f>SUM(1464+1483+1503+1503+1503+1496+1503+1503+1290+1437)</f>
        <v>14685</v>
      </c>
      <c r="E5" s="11">
        <f>SUM(83+89+91+74+88+135+92+97+83+77)</f>
        <v>909</v>
      </c>
      <c r="F5" s="12">
        <f>SUM(D5/E5)</f>
        <v>16.155115511551156</v>
      </c>
      <c r="G5" s="11">
        <v>10</v>
      </c>
      <c r="H5" s="11">
        <v>7</v>
      </c>
      <c r="I5" s="11">
        <v>1</v>
      </c>
      <c r="J5" s="11"/>
      <c r="K5" s="11"/>
      <c r="L5" s="11">
        <v>40.5</v>
      </c>
      <c r="M5" s="13">
        <v>10</v>
      </c>
    </row>
    <row r="6" spans="1:13" ht="18.75" x14ac:dyDescent="0.3">
      <c r="A6" s="3">
        <v>5</v>
      </c>
      <c r="B6" s="4" t="s">
        <v>15</v>
      </c>
      <c r="C6" s="4" t="s">
        <v>16</v>
      </c>
      <c r="D6" s="11">
        <f>SUM(1503+1503+1503+1489+1501+1503+1503+1479+1491+1503)</f>
        <v>14978</v>
      </c>
      <c r="E6" s="11">
        <f>SUM(94+109+90+95+131+81+80+82+99+90)</f>
        <v>951</v>
      </c>
      <c r="F6" s="12">
        <f>SUM(D6/E6)</f>
        <v>15.749737118822292</v>
      </c>
      <c r="G6" s="11">
        <v>10</v>
      </c>
      <c r="H6" s="11">
        <v>9</v>
      </c>
      <c r="I6" s="11"/>
      <c r="J6" s="11"/>
      <c r="K6" s="11"/>
      <c r="L6" s="11">
        <v>45</v>
      </c>
      <c r="M6" s="13">
        <v>5</v>
      </c>
    </row>
    <row r="7" spans="1:13" ht="18.75" x14ac:dyDescent="0.3">
      <c r="A7" s="3">
        <v>6</v>
      </c>
      <c r="B7" s="4" t="s">
        <v>17</v>
      </c>
      <c r="C7" s="4" t="s">
        <v>14</v>
      </c>
      <c r="D7" s="11">
        <f>SUM(1280+1503+1449+1503+1425+1321+1387)</f>
        <v>9868</v>
      </c>
      <c r="E7" s="11">
        <f>SUM(79+100+93+90+92+88+90)</f>
        <v>632</v>
      </c>
      <c r="F7" s="12">
        <f>SUM(D7/E7)</f>
        <v>15.613924050632912</v>
      </c>
      <c r="G7" s="11">
        <v>7</v>
      </c>
      <c r="H7" s="11">
        <v>3</v>
      </c>
      <c r="I7" s="11"/>
      <c r="J7" s="11"/>
      <c r="K7" s="11"/>
      <c r="L7" s="35">
        <v>19.5</v>
      </c>
      <c r="M7" s="13"/>
    </row>
    <row r="8" spans="1:13" ht="18.75" x14ac:dyDescent="0.3">
      <c r="A8" s="3">
        <v>7</v>
      </c>
      <c r="B8" s="4" t="s">
        <v>11</v>
      </c>
      <c r="C8" s="4" t="s">
        <v>12</v>
      </c>
      <c r="D8" s="11">
        <f>SUM(1494+1503+1413+1503+1470+1483+1489+1503+1503+1114)</f>
        <v>14475</v>
      </c>
      <c r="E8" s="11">
        <f>SUM(102+87+93+89+89+99+113+97+95+69)</f>
        <v>933</v>
      </c>
      <c r="F8" s="12">
        <f>SUM(D8/E8)</f>
        <v>15.514469453376206</v>
      </c>
      <c r="G8" s="11">
        <v>10</v>
      </c>
      <c r="H8" s="11">
        <v>9</v>
      </c>
      <c r="I8" s="11"/>
      <c r="J8" s="11"/>
      <c r="K8" s="11"/>
      <c r="L8" s="11">
        <v>40.5</v>
      </c>
      <c r="M8" s="13">
        <v>5</v>
      </c>
    </row>
    <row r="9" spans="1:13" ht="18.75" x14ac:dyDescent="0.3">
      <c r="A9" s="3">
        <v>8</v>
      </c>
      <c r="B9" s="15" t="s">
        <v>49</v>
      </c>
      <c r="C9" s="4" t="s">
        <v>28</v>
      </c>
      <c r="D9" s="11">
        <f>SUM(1503+1503+1426+1483+1290+1356+1296+1399+1503+1417)</f>
        <v>14176</v>
      </c>
      <c r="E9" s="11">
        <f>SUM(129+86+86+102+90+75+83+86+88+89)</f>
        <v>914</v>
      </c>
      <c r="F9" s="12">
        <f>SUM(D9/E9)</f>
        <v>15.50984682713348</v>
      </c>
      <c r="G9" s="11">
        <v>10</v>
      </c>
      <c r="H9" s="11">
        <v>6</v>
      </c>
      <c r="I9" s="11"/>
      <c r="J9" s="11"/>
      <c r="K9" s="11"/>
      <c r="L9" s="11">
        <v>31</v>
      </c>
      <c r="M9" s="13">
        <v>20</v>
      </c>
    </row>
    <row r="10" spans="1:13" ht="18.75" x14ac:dyDescent="0.3">
      <c r="A10" s="3">
        <v>9</v>
      </c>
      <c r="B10" s="15" t="s">
        <v>136</v>
      </c>
      <c r="C10" s="7" t="s">
        <v>12</v>
      </c>
      <c r="D10" s="11">
        <f>SUM(1375+1503)</f>
        <v>2878</v>
      </c>
      <c r="E10" s="11">
        <f>SUM(97+91)</f>
        <v>188</v>
      </c>
      <c r="F10" s="12">
        <f>SUM(D10/E10)</f>
        <v>15.308510638297872</v>
      </c>
      <c r="G10" s="11">
        <v>2</v>
      </c>
      <c r="H10" s="11">
        <v>1</v>
      </c>
      <c r="I10" s="11"/>
      <c r="J10" s="11"/>
      <c r="K10" s="11"/>
      <c r="L10" s="11">
        <v>8</v>
      </c>
      <c r="M10" s="13"/>
    </row>
    <row r="11" spans="1:13" ht="18.75" x14ac:dyDescent="0.3">
      <c r="A11" s="3">
        <v>10</v>
      </c>
      <c r="B11" s="15" t="s">
        <v>131</v>
      </c>
      <c r="C11" s="4" t="s">
        <v>32</v>
      </c>
      <c r="D11" s="11">
        <f>SUM(1419+1503)</f>
        <v>2922</v>
      </c>
      <c r="E11" s="11">
        <f>SUM(90+103)</f>
        <v>193</v>
      </c>
      <c r="F11" s="12">
        <f>SUM(D11/E11)</f>
        <v>15.139896373056995</v>
      </c>
      <c r="G11" s="11">
        <v>2</v>
      </c>
      <c r="H11" s="11">
        <v>1</v>
      </c>
      <c r="I11" s="11">
        <v>1</v>
      </c>
      <c r="J11" s="11"/>
      <c r="K11" s="11"/>
      <c r="L11" s="11">
        <v>6.5</v>
      </c>
      <c r="M11" s="13"/>
    </row>
    <row r="12" spans="1:13" ht="18.75" x14ac:dyDescent="0.3">
      <c r="A12" s="3">
        <v>11</v>
      </c>
      <c r="B12" s="4" t="s">
        <v>24</v>
      </c>
      <c r="C12" s="4" t="s">
        <v>23</v>
      </c>
      <c r="D12" s="11">
        <f>SUM(1501+1472+1503+1503+1503+1481+1363+1503+1503+1443)</f>
        <v>14775</v>
      </c>
      <c r="E12" s="11">
        <f>SUM(87+99+109+88+93+101+89+92+116+113)</f>
        <v>987</v>
      </c>
      <c r="F12" s="12">
        <f>SUM(D12/E12)</f>
        <v>14.969604863221884</v>
      </c>
      <c r="G12" s="11">
        <v>10</v>
      </c>
      <c r="H12" s="11">
        <v>6</v>
      </c>
      <c r="I12" s="11"/>
      <c r="J12" s="11"/>
      <c r="K12" s="11"/>
      <c r="L12" s="11">
        <v>35.5</v>
      </c>
      <c r="M12" s="13">
        <v>5</v>
      </c>
    </row>
    <row r="13" spans="1:13" ht="18.75" x14ac:dyDescent="0.3">
      <c r="A13" s="3">
        <v>12</v>
      </c>
      <c r="B13" s="4" t="s">
        <v>18</v>
      </c>
      <c r="C13" s="4" t="s">
        <v>19</v>
      </c>
      <c r="D13" s="11">
        <f>SUM(1403+1503+1328+1440+1487+1371+1467+1414+1500+1411)</f>
        <v>14324</v>
      </c>
      <c r="E13" s="11">
        <f>SUM(96+99+87+93+102+112+80+90+122+80)</f>
        <v>961</v>
      </c>
      <c r="F13" s="12">
        <f>SUM(D13/E13)</f>
        <v>14.905306971904267</v>
      </c>
      <c r="G13" s="11">
        <v>10</v>
      </c>
      <c r="H13" s="11">
        <v>4</v>
      </c>
      <c r="I13" s="11">
        <v>1</v>
      </c>
      <c r="J13" s="11"/>
      <c r="K13" s="11"/>
      <c r="L13" s="11">
        <v>29.5</v>
      </c>
      <c r="M13" s="13"/>
    </row>
    <row r="14" spans="1:13" ht="18.75" x14ac:dyDescent="0.3">
      <c r="A14" s="3">
        <v>13</v>
      </c>
      <c r="B14" s="4" t="s">
        <v>36</v>
      </c>
      <c r="C14" s="4" t="s">
        <v>12</v>
      </c>
      <c r="D14" s="11">
        <f>SUM(1503+1503+1503+1475+1483+1467+1479+1503+1471+1376)</f>
        <v>14763</v>
      </c>
      <c r="E14" s="11">
        <f>SUM(93+115+87+87+131+93+98+111+94+83)</f>
        <v>992</v>
      </c>
      <c r="F14" s="12">
        <f>SUM(D14/E14)</f>
        <v>14.882056451612904</v>
      </c>
      <c r="G14" s="11">
        <v>10</v>
      </c>
      <c r="H14" s="11">
        <v>8</v>
      </c>
      <c r="I14" s="11"/>
      <c r="J14" s="11"/>
      <c r="K14" s="11"/>
      <c r="L14" s="11">
        <v>40.5</v>
      </c>
      <c r="M14" s="13">
        <v>10</v>
      </c>
    </row>
    <row r="15" spans="1:13" ht="18.75" x14ac:dyDescent="0.3">
      <c r="A15" s="3">
        <v>14</v>
      </c>
      <c r="B15" s="15" t="s">
        <v>46</v>
      </c>
      <c r="C15" s="4" t="s">
        <v>47</v>
      </c>
      <c r="D15" s="11">
        <f>SUM(1503+1503+1427+1287+1279+1423+1463+1289+1480+1503)</f>
        <v>14157</v>
      </c>
      <c r="E15" s="11">
        <f>SUM(87+94+104+95+84+82+111+90+124+94)</f>
        <v>965</v>
      </c>
      <c r="F15" s="12">
        <f>SUM(D15/E15)</f>
        <v>14.670466321243524</v>
      </c>
      <c r="G15" s="11">
        <v>10</v>
      </c>
      <c r="H15" s="11">
        <v>4</v>
      </c>
      <c r="I15" s="11"/>
      <c r="J15" s="11"/>
      <c r="K15" s="11"/>
      <c r="L15" s="11">
        <v>27.5</v>
      </c>
      <c r="M15" s="13">
        <v>10</v>
      </c>
    </row>
    <row r="16" spans="1:13" ht="18.75" x14ac:dyDescent="0.3">
      <c r="A16" s="3">
        <v>15</v>
      </c>
      <c r="B16" s="4" t="s">
        <v>27</v>
      </c>
      <c r="C16" s="4" t="s">
        <v>28</v>
      </c>
      <c r="D16" s="11">
        <f>SUM(1471+1503+1503+1358+1473+1501+1372+1503+1503+1503)</f>
        <v>14690</v>
      </c>
      <c r="E16" s="11">
        <f>SUM(111+90+109+101+87+131+81+100+100+98)</f>
        <v>1008</v>
      </c>
      <c r="F16" s="12">
        <f>SUM(D16/E16)</f>
        <v>14.573412698412698</v>
      </c>
      <c r="G16" s="11">
        <v>10</v>
      </c>
      <c r="H16" s="11">
        <v>9</v>
      </c>
      <c r="I16" s="11"/>
      <c r="J16" s="11"/>
      <c r="K16" s="11"/>
      <c r="L16" s="11">
        <v>40.5</v>
      </c>
      <c r="M16" s="13">
        <v>5</v>
      </c>
    </row>
    <row r="17" spans="1:13" ht="18.75" x14ac:dyDescent="0.3">
      <c r="A17" s="3">
        <v>16</v>
      </c>
      <c r="B17" s="15" t="s">
        <v>92</v>
      </c>
      <c r="C17" s="4" t="s">
        <v>42</v>
      </c>
      <c r="D17" s="11">
        <f>SUM(1319+1334+1503+1297+1394+1360+1378+1358+1221)</f>
        <v>12164</v>
      </c>
      <c r="E17" s="11">
        <f>SUM(106+84+103+90+78+99+92+90+96)</f>
        <v>838</v>
      </c>
      <c r="F17" s="12">
        <f>SUM(D17/E17)</f>
        <v>14.515513126491646</v>
      </c>
      <c r="G17" s="11">
        <v>9</v>
      </c>
      <c r="H17" s="11">
        <v>1</v>
      </c>
      <c r="I17" s="11">
        <v>1</v>
      </c>
      <c r="J17" s="11"/>
      <c r="K17" s="11"/>
      <c r="L17" s="11">
        <v>19.5</v>
      </c>
      <c r="M17" s="13"/>
    </row>
    <row r="18" spans="1:13" ht="18.75" x14ac:dyDescent="0.3">
      <c r="A18" s="3">
        <v>17</v>
      </c>
      <c r="B18" s="4" t="s">
        <v>22</v>
      </c>
      <c r="C18" s="4" t="s">
        <v>23</v>
      </c>
      <c r="D18" s="11">
        <f>SUM(1499+1497+1503+1397+1272+1388+1340+1425+1503+1453)</f>
        <v>14277</v>
      </c>
      <c r="E18" s="11">
        <f>SUM(101+88+116+108+88+89+90+117+86+101)</f>
        <v>984</v>
      </c>
      <c r="F18" s="12">
        <f>SUM(D18/E18)</f>
        <v>14.509146341463415</v>
      </c>
      <c r="G18" s="11">
        <v>10</v>
      </c>
      <c r="H18" s="11">
        <v>6</v>
      </c>
      <c r="I18" s="11"/>
      <c r="J18" s="11"/>
      <c r="K18" s="11"/>
      <c r="L18" s="11">
        <v>33.5</v>
      </c>
      <c r="M18" s="13">
        <v>5</v>
      </c>
    </row>
    <row r="19" spans="1:13" ht="18.75" x14ac:dyDescent="0.3">
      <c r="A19" s="3">
        <v>18</v>
      </c>
      <c r="B19" s="3" t="s">
        <v>31</v>
      </c>
      <c r="C19" s="7" t="s">
        <v>32</v>
      </c>
      <c r="D19" s="11">
        <f>SUM(1503+1469+1417+1109+1503+1503+1495+1138)</f>
        <v>11137</v>
      </c>
      <c r="E19" s="11">
        <f>SUM(79+96+108+90+100+118+93+84)</f>
        <v>768</v>
      </c>
      <c r="F19" s="12">
        <f>SUM(D19/E19)</f>
        <v>14.501302083333334</v>
      </c>
      <c r="G19" s="11">
        <v>8</v>
      </c>
      <c r="H19" s="11">
        <v>4</v>
      </c>
      <c r="I19" s="11"/>
      <c r="J19" s="11"/>
      <c r="K19" s="11"/>
      <c r="L19" s="11">
        <v>27</v>
      </c>
      <c r="M19" s="13">
        <v>5</v>
      </c>
    </row>
    <row r="20" spans="1:13" ht="18.75" x14ac:dyDescent="0.3">
      <c r="A20" s="3">
        <v>19</v>
      </c>
      <c r="B20" s="4" t="s">
        <v>90</v>
      </c>
      <c r="C20" s="4" t="s">
        <v>12</v>
      </c>
      <c r="D20" s="11">
        <f>SUM(1361+1497+1376+1453+1379+1503+1313+1379)</f>
        <v>11261</v>
      </c>
      <c r="E20" s="11">
        <f>SUM(83+112+96+107+105+101+95+87)</f>
        <v>786</v>
      </c>
      <c r="F20" s="12">
        <f>SUM(D20/E20)</f>
        <v>14.326972010178118</v>
      </c>
      <c r="G20" s="11">
        <v>8</v>
      </c>
      <c r="H20" s="11">
        <v>4</v>
      </c>
      <c r="I20" s="11"/>
      <c r="J20" s="11"/>
      <c r="K20" s="11"/>
      <c r="L20" s="11">
        <v>23.5</v>
      </c>
      <c r="M20" s="13"/>
    </row>
    <row r="21" spans="1:13" ht="18.75" x14ac:dyDescent="0.3">
      <c r="A21" s="3">
        <v>20</v>
      </c>
      <c r="B21" s="15" t="s">
        <v>108</v>
      </c>
      <c r="C21" s="4" t="s">
        <v>19</v>
      </c>
      <c r="D21" s="11">
        <f>SUM(501+1503+1501+1455+1503+1411+1318)</f>
        <v>9192</v>
      </c>
      <c r="E21" s="11">
        <f>SUM(46+117+99+123+95+77+90)</f>
        <v>647</v>
      </c>
      <c r="F21" s="12">
        <f>SUM(D21/E21)</f>
        <v>14.207109737248841</v>
      </c>
      <c r="G21" s="11">
        <v>7</v>
      </c>
      <c r="H21" s="11">
        <v>4</v>
      </c>
      <c r="I21" s="11"/>
      <c r="J21" s="11">
        <v>1</v>
      </c>
      <c r="K21" s="11"/>
      <c r="L21" s="11">
        <v>27</v>
      </c>
      <c r="M21" s="13">
        <v>5</v>
      </c>
    </row>
    <row r="22" spans="1:13" ht="18.75" x14ac:dyDescent="0.3">
      <c r="A22" s="3">
        <v>21</v>
      </c>
      <c r="B22" s="15" t="s">
        <v>113</v>
      </c>
      <c r="C22" s="4" t="s">
        <v>16</v>
      </c>
      <c r="D22" s="11">
        <f>SUM(1503+1307+1309+1503+1487)</f>
        <v>7109</v>
      </c>
      <c r="E22" s="11">
        <f>SUM(104+111+88+99+103)</f>
        <v>505</v>
      </c>
      <c r="F22" s="12">
        <f>SUM(D22/E22)</f>
        <v>14.077227722772276</v>
      </c>
      <c r="G22" s="11">
        <v>5</v>
      </c>
      <c r="H22" s="11">
        <v>3</v>
      </c>
      <c r="I22" s="11"/>
      <c r="J22" s="11"/>
      <c r="K22" s="11"/>
      <c r="L22" s="11">
        <v>23.5</v>
      </c>
      <c r="M22" s="13"/>
    </row>
    <row r="23" spans="1:13" ht="18.75" x14ac:dyDescent="0.3">
      <c r="A23" s="3">
        <v>22</v>
      </c>
      <c r="B23" s="15" t="s">
        <v>45</v>
      </c>
      <c r="C23" s="4" t="s">
        <v>32</v>
      </c>
      <c r="D23" s="11">
        <f>SUM(1503+1471+1326+953+1326+1439+1503+1267+1329+1501)</f>
        <v>13618</v>
      </c>
      <c r="E23" s="11">
        <f>SUM(100+103+79+72+91+110+106+99+96+114)</f>
        <v>970</v>
      </c>
      <c r="F23" s="12">
        <f>SUM(D23/E23)</f>
        <v>14.039175257731959</v>
      </c>
      <c r="G23" s="11">
        <v>10</v>
      </c>
      <c r="H23" s="11">
        <v>5</v>
      </c>
      <c r="I23" s="11"/>
      <c r="J23" s="11"/>
      <c r="K23" s="11"/>
      <c r="L23" s="11">
        <v>32</v>
      </c>
      <c r="M23" s="13"/>
    </row>
    <row r="24" spans="1:13" ht="18.75" x14ac:dyDescent="0.3">
      <c r="A24" s="3">
        <v>23</v>
      </c>
      <c r="B24" s="15" t="s">
        <v>111</v>
      </c>
      <c r="C24" s="4" t="s">
        <v>21</v>
      </c>
      <c r="D24" s="11">
        <f>SUM(1274+1414+1428+1463+1495+1440+1495)</f>
        <v>10009</v>
      </c>
      <c r="E24" s="11">
        <f>SUM(111+106+96+113+95+105+88)</f>
        <v>714</v>
      </c>
      <c r="F24" s="12">
        <f>SUM(D24/E24)</f>
        <v>14.018207282913165</v>
      </c>
      <c r="G24" s="11">
        <v>7</v>
      </c>
      <c r="H24" s="11">
        <v>3</v>
      </c>
      <c r="I24" s="11"/>
      <c r="J24" s="11"/>
      <c r="K24" s="11"/>
      <c r="L24" s="11">
        <v>19.5</v>
      </c>
      <c r="M24" s="13"/>
    </row>
    <row r="25" spans="1:13" ht="18.75" x14ac:dyDescent="0.3">
      <c r="A25" s="3">
        <v>24</v>
      </c>
      <c r="B25" s="3" t="s">
        <v>48</v>
      </c>
      <c r="C25" s="4" t="s">
        <v>32</v>
      </c>
      <c r="D25" s="11">
        <f>SUM(1239+1483+1425+1350+1493+1434+1501+1503+1483+1460)</f>
        <v>14371</v>
      </c>
      <c r="E25" s="11">
        <f>SUM(95+93+104+96+128+96+113+99+113+91)</f>
        <v>1028</v>
      </c>
      <c r="F25" s="12">
        <f>SUM(D25/E25)</f>
        <v>13.979571984435797</v>
      </c>
      <c r="G25" s="11">
        <v>10</v>
      </c>
      <c r="H25" s="11">
        <v>5</v>
      </c>
      <c r="I25" s="11"/>
      <c r="J25" s="11"/>
      <c r="K25" s="11"/>
      <c r="L25" s="11">
        <v>33</v>
      </c>
      <c r="M25" s="13"/>
    </row>
    <row r="26" spans="1:13" ht="18.75" x14ac:dyDescent="0.3">
      <c r="A26" s="3">
        <v>25</v>
      </c>
      <c r="B26" s="4" t="s">
        <v>57</v>
      </c>
      <c r="C26" s="4" t="s">
        <v>95</v>
      </c>
      <c r="D26" s="11">
        <f>SUM(1463+1503+1503+1447+1363+1487+1262+1395)</f>
        <v>11423</v>
      </c>
      <c r="E26" s="11">
        <f>SUM(126+108+109+100+85+95+82+116)</f>
        <v>821</v>
      </c>
      <c r="F26" s="12">
        <f>SUM(D26/E26)</f>
        <v>13.913520097442143</v>
      </c>
      <c r="G26" s="11">
        <v>8</v>
      </c>
      <c r="H26" s="11">
        <v>5</v>
      </c>
      <c r="I26" s="11"/>
      <c r="J26" s="11"/>
      <c r="K26" s="11"/>
      <c r="L26" s="11">
        <v>25.5</v>
      </c>
      <c r="M26" s="13"/>
    </row>
    <row r="27" spans="1:13" ht="18.75" x14ac:dyDescent="0.3">
      <c r="A27" s="3">
        <v>26</v>
      </c>
      <c r="B27" s="4" t="s">
        <v>62</v>
      </c>
      <c r="C27" s="4" t="s">
        <v>19</v>
      </c>
      <c r="D27" s="11">
        <f>SUM(1290+1479+1300+1217+1308+1400+1216+1414+1503)</f>
        <v>12127</v>
      </c>
      <c r="E27" s="11">
        <f>SUM(76+107+93+86+99+80+99+114+119)</f>
        <v>873</v>
      </c>
      <c r="F27" s="12">
        <f>SUM(D27/E27)</f>
        <v>13.891179839633448</v>
      </c>
      <c r="G27" s="11">
        <v>9</v>
      </c>
      <c r="H27" s="11">
        <v>3</v>
      </c>
      <c r="I27" s="11"/>
      <c r="J27" s="11"/>
      <c r="K27" s="11"/>
      <c r="L27" s="11">
        <v>27.5</v>
      </c>
      <c r="M27" s="13">
        <v>5</v>
      </c>
    </row>
    <row r="28" spans="1:13" ht="18.75" x14ac:dyDescent="0.3">
      <c r="A28" s="3">
        <v>27</v>
      </c>
      <c r="B28" s="15" t="s">
        <v>93</v>
      </c>
      <c r="C28" s="7" t="s">
        <v>42</v>
      </c>
      <c r="D28" s="11">
        <f>SUM(1481+1499+1329+1503+1467+1487+1431+1465)</f>
        <v>11662</v>
      </c>
      <c r="E28" s="11">
        <f>SUM(97+130+104+115+90+99+90+115)</f>
        <v>840</v>
      </c>
      <c r="F28" s="12">
        <f>SUM(D28/E28)</f>
        <v>13.883333333333333</v>
      </c>
      <c r="G28" s="11">
        <v>8</v>
      </c>
      <c r="H28" s="11">
        <v>3</v>
      </c>
      <c r="I28" s="11"/>
      <c r="J28" s="11"/>
      <c r="K28" s="11"/>
      <c r="L28" s="11">
        <v>23.5</v>
      </c>
      <c r="M28" s="13">
        <v>5</v>
      </c>
    </row>
    <row r="29" spans="1:13" ht="18.75" x14ac:dyDescent="0.3">
      <c r="A29" s="3">
        <v>28</v>
      </c>
      <c r="B29" s="4" t="s">
        <v>35</v>
      </c>
      <c r="C29" s="4" t="s">
        <v>16</v>
      </c>
      <c r="D29" s="11">
        <f>SUM(1471+1503+1330+1362+1251)</f>
        <v>6917</v>
      </c>
      <c r="E29" s="11">
        <f>SUM(104+123+105+89+85)</f>
        <v>506</v>
      </c>
      <c r="F29" s="12">
        <f>SUM(D29/E29)</f>
        <v>13.669960474308301</v>
      </c>
      <c r="G29" s="11">
        <v>5</v>
      </c>
      <c r="H29" s="11">
        <v>3</v>
      </c>
      <c r="I29" s="11"/>
      <c r="J29" s="11"/>
      <c r="K29" s="11"/>
      <c r="L29" s="11">
        <v>15</v>
      </c>
      <c r="M29" s="13">
        <v>5</v>
      </c>
    </row>
    <row r="30" spans="1:13" ht="18.75" x14ac:dyDescent="0.3">
      <c r="A30" s="3">
        <v>29</v>
      </c>
      <c r="B30" s="7" t="s">
        <v>61</v>
      </c>
      <c r="C30" s="4" t="s">
        <v>47</v>
      </c>
      <c r="D30" s="11">
        <f>SUM(1322+1462+1409+1497+1486+1453+1329+1503+1503+1503)</f>
        <v>14467</v>
      </c>
      <c r="E30" s="11">
        <f>SUM(111+98+102+120+98+106+97+118+122+87)</f>
        <v>1059</v>
      </c>
      <c r="F30" s="12">
        <f>SUM(D30/E30)</f>
        <v>13.661000944287064</v>
      </c>
      <c r="G30" s="11">
        <v>10</v>
      </c>
      <c r="H30" s="11">
        <v>4</v>
      </c>
      <c r="I30" s="11"/>
      <c r="J30" s="11"/>
      <c r="K30" s="11"/>
      <c r="L30" s="11">
        <v>26.5</v>
      </c>
      <c r="M30" s="13"/>
    </row>
    <row r="31" spans="1:13" ht="18.75" x14ac:dyDescent="0.3">
      <c r="A31" s="3">
        <v>30</v>
      </c>
      <c r="B31" s="9" t="s">
        <v>39</v>
      </c>
      <c r="C31" s="4" t="s">
        <v>23</v>
      </c>
      <c r="D31" s="11">
        <f>SUM(1332+1373+1492+1499+1481+1245+1220+1503+1503+1503)</f>
        <v>14151</v>
      </c>
      <c r="E31" s="11">
        <f>SUM(84+96+119+109+119+86+78+117+105+124)</f>
        <v>1037</v>
      </c>
      <c r="F31" s="12">
        <f>SUM(D31/E31)</f>
        <v>13.646094503375121</v>
      </c>
      <c r="G31" s="11">
        <v>10</v>
      </c>
      <c r="H31" s="11">
        <v>4</v>
      </c>
      <c r="I31" s="11"/>
      <c r="J31" s="11"/>
      <c r="K31" s="11"/>
      <c r="L31" s="11">
        <v>31.5</v>
      </c>
      <c r="M31" s="13"/>
    </row>
    <row r="32" spans="1:13" ht="18.75" x14ac:dyDescent="0.3">
      <c r="A32" s="3">
        <v>31</v>
      </c>
      <c r="B32" s="7" t="s">
        <v>43</v>
      </c>
      <c r="C32" s="4" t="s">
        <v>12</v>
      </c>
      <c r="D32" s="11">
        <f>SUM(1479+1503+1483+1474+1349+1471+1503+1458+1493+1471)</f>
        <v>14684</v>
      </c>
      <c r="E32" s="11">
        <f>SUM(130+97+96+123+86+87+114+116+153+83)</f>
        <v>1085</v>
      </c>
      <c r="F32" s="12">
        <f>SUM(D32/E32)</f>
        <v>13.533640552995392</v>
      </c>
      <c r="G32" s="11">
        <v>10</v>
      </c>
      <c r="H32" s="11">
        <v>9</v>
      </c>
      <c r="I32" s="11"/>
      <c r="J32" s="11"/>
      <c r="K32" s="11"/>
      <c r="L32" s="11">
        <v>40.5</v>
      </c>
      <c r="M32" s="13"/>
    </row>
    <row r="33" spans="1:13" ht="18.75" x14ac:dyDescent="0.3">
      <c r="A33" s="3">
        <v>32</v>
      </c>
      <c r="B33" s="9" t="s">
        <v>159</v>
      </c>
      <c r="C33" s="4" t="s">
        <v>14</v>
      </c>
      <c r="D33" s="11">
        <f>SUM(1480)</f>
        <v>1480</v>
      </c>
      <c r="E33" s="11">
        <f>SUM(111)</f>
        <v>111</v>
      </c>
      <c r="F33" s="12">
        <f>SUM(D33/E33)</f>
        <v>13.333333333333334</v>
      </c>
      <c r="G33" s="11">
        <v>1</v>
      </c>
      <c r="H33" s="11"/>
      <c r="I33" s="11"/>
      <c r="J33" s="11"/>
      <c r="K33" s="11"/>
      <c r="L33" s="11">
        <v>2.5</v>
      </c>
      <c r="M33" s="13"/>
    </row>
    <row r="34" spans="1:13" ht="18.75" x14ac:dyDescent="0.3">
      <c r="A34" s="3">
        <v>33</v>
      </c>
      <c r="B34" s="9" t="s">
        <v>64</v>
      </c>
      <c r="C34" s="4" t="s">
        <v>95</v>
      </c>
      <c r="D34" s="11">
        <f>SUM(1503+1457+1466+1503+1408+1180+1418+1426+1495)</f>
        <v>12856</v>
      </c>
      <c r="E34" s="11">
        <f>SUM(123+117+121+103+121+81+107+105+89)</f>
        <v>967</v>
      </c>
      <c r="F34" s="12">
        <f>SUM(D34/E34)</f>
        <v>13.294725956566701</v>
      </c>
      <c r="G34" s="11">
        <v>9</v>
      </c>
      <c r="H34" s="11">
        <v>5</v>
      </c>
      <c r="I34" s="11"/>
      <c r="J34" s="11"/>
      <c r="K34" s="11"/>
      <c r="L34" s="11">
        <v>25.5</v>
      </c>
      <c r="M34" s="13"/>
    </row>
    <row r="35" spans="1:13" ht="18.75" x14ac:dyDescent="0.3">
      <c r="A35" s="3">
        <v>34</v>
      </c>
      <c r="B35" s="57" t="s">
        <v>20</v>
      </c>
      <c r="C35" s="4" t="s">
        <v>21</v>
      </c>
      <c r="D35" s="11">
        <f>SUM(1243+1262+1307+1213+1469+1468+1415+1376+1452)</f>
        <v>12205</v>
      </c>
      <c r="E35" s="11">
        <f>SUM(94+86+87+120+106+109+104+99+117)</f>
        <v>922</v>
      </c>
      <c r="F35" s="12">
        <f>SUM(D35/E35)</f>
        <v>13.237527114967461</v>
      </c>
      <c r="G35" s="11">
        <v>9</v>
      </c>
      <c r="H35" s="11">
        <v>2</v>
      </c>
      <c r="I35" s="11"/>
      <c r="J35" s="11"/>
      <c r="K35" s="11"/>
      <c r="L35" s="11">
        <v>19</v>
      </c>
      <c r="M35" s="13"/>
    </row>
    <row r="36" spans="1:13" ht="18.75" x14ac:dyDescent="0.3">
      <c r="A36" s="3">
        <v>35</v>
      </c>
      <c r="B36" s="55" t="s">
        <v>52</v>
      </c>
      <c r="C36" s="8" t="s">
        <v>53</v>
      </c>
      <c r="D36" s="11">
        <f>SUM(1503+1413+1348+1220+1173+1417+1195+1350+1147)</f>
        <v>11766</v>
      </c>
      <c r="E36" s="11">
        <f>SUM(111+108+106+105+81+114+93+114+87)</f>
        <v>919</v>
      </c>
      <c r="F36" s="12">
        <f>SUM(D36/E36)</f>
        <v>12.803046789989118</v>
      </c>
      <c r="G36" s="11">
        <v>9</v>
      </c>
      <c r="H36" s="11">
        <v>1</v>
      </c>
      <c r="I36" s="11"/>
      <c r="J36" s="11"/>
      <c r="K36" s="11"/>
      <c r="L36" s="11">
        <v>8</v>
      </c>
      <c r="M36" s="13"/>
    </row>
    <row r="37" spans="1:13" ht="18.75" x14ac:dyDescent="0.3">
      <c r="A37" s="3">
        <v>36</v>
      </c>
      <c r="B37" s="7" t="s">
        <v>44</v>
      </c>
      <c r="C37" s="7" t="s">
        <v>95</v>
      </c>
      <c r="D37" s="11">
        <f>SUM(1375+1355+1020+1503+1483+1440+1375+1415+1415+1463)</f>
        <v>13844</v>
      </c>
      <c r="E37" s="11">
        <f>SUM(106+108+111+122+121+116+105+92+101+100)</f>
        <v>1082</v>
      </c>
      <c r="F37" s="12">
        <f>SUM(D37/E37)</f>
        <v>12.794824399260628</v>
      </c>
      <c r="G37" s="11">
        <v>10</v>
      </c>
      <c r="H37" s="11">
        <v>7</v>
      </c>
      <c r="I37" s="11"/>
      <c r="J37" s="11"/>
      <c r="K37" s="11"/>
      <c r="L37" s="11">
        <v>26.5</v>
      </c>
      <c r="M37" s="13"/>
    </row>
    <row r="38" spans="1:13" ht="18.75" x14ac:dyDescent="0.3">
      <c r="A38" s="3">
        <v>37</v>
      </c>
      <c r="B38" s="10" t="s">
        <v>38</v>
      </c>
      <c r="C38" s="7" t="s">
        <v>28</v>
      </c>
      <c r="D38" s="11">
        <f>SUM(1503+1456+1500+1493+1179+1395+1495+1458+1492)</f>
        <v>12971</v>
      </c>
      <c r="E38" s="11">
        <f>SUM(107+134+103+122+81+108+127+113+127)</f>
        <v>1022</v>
      </c>
      <c r="F38" s="12">
        <f>SUM(D38/E38)</f>
        <v>12.691780821917808</v>
      </c>
      <c r="G38" s="11">
        <v>9</v>
      </c>
      <c r="H38" s="11">
        <v>7</v>
      </c>
      <c r="I38" s="11"/>
      <c r="J38" s="11"/>
      <c r="K38" s="11"/>
      <c r="L38" s="11">
        <v>28.5</v>
      </c>
      <c r="M38" s="13"/>
    </row>
    <row r="39" spans="1:13" ht="18.75" x14ac:dyDescent="0.3">
      <c r="A39" s="3">
        <v>38</v>
      </c>
      <c r="B39" s="16" t="s">
        <v>30</v>
      </c>
      <c r="C39" s="8" t="s">
        <v>19</v>
      </c>
      <c r="D39" s="11">
        <f>SUM(1434+1354+1503+1495+1363+1374+1503+1443)</f>
        <v>11469</v>
      </c>
      <c r="E39" s="11">
        <f>SUM(100+90+162+135+108+88+123+100)</f>
        <v>906</v>
      </c>
      <c r="F39" s="12">
        <f>SUM(D39/E39)</f>
        <v>12.658940397350994</v>
      </c>
      <c r="G39" s="11">
        <v>8</v>
      </c>
      <c r="H39" s="11">
        <v>4</v>
      </c>
      <c r="I39" s="11"/>
      <c r="J39" s="11"/>
      <c r="K39" s="11"/>
      <c r="L39" s="11">
        <v>25</v>
      </c>
      <c r="M39" s="13"/>
    </row>
    <row r="40" spans="1:13" ht="18.75" x14ac:dyDescent="0.3">
      <c r="A40" s="3">
        <v>39</v>
      </c>
      <c r="B40" s="16" t="s">
        <v>26</v>
      </c>
      <c r="C40" s="4" t="s">
        <v>19</v>
      </c>
      <c r="D40" s="11">
        <f>SUM(1480+1503+1495+1352+1496+1503)</f>
        <v>8829</v>
      </c>
      <c r="E40" s="11">
        <f>SUM(128+118+124+108+107+120)</f>
        <v>705</v>
      </c>
      <c r="F40" s="12">
        <f>SUM(D40/E40)</f>
        <v>12.523404255319148</v>
      </c>
      <c r="G40" s="11">
        <v>6</v>
      </c>
      <c r="H40" s="11">
        <v>3</v>
      </c>
      <c r="I40" s="11"/>
      <c r="J40" s="11"/>
      <c r="K40" s="11"/>
      <c r="L40" s="11">
        <v>25</v>
      </c>
      <c r="M40" s="13"/>
    </row>
    <row r="41" spans="1:13" ht="18.75" x14ac:dyDescent="0.3">
      <c r="A41" s="3">
        <v>40</v>
      </c>
      <c r="B41" s="16" t="s">
        <v>40</v>
      </c>
      <c r="C41" s="7" t="s">
        <v>14</v>
      </c>
      <c r="D41" s="11">
        <f>SUM(1351+1493+1429+1206+1475+1484+1478+1387+1424)</f>
        <v>12727</v>
      </c>
      <c r="E41" s="11">
        <f>SUM(100+138+96+96+129+115+149+96+99)</f>
        <v>1018</v>
      </c>
      <c r="F41" s="12">
        <f>SUM(D41/E41)</f>
        <v>12.50196463654224</v>
      </c>
      <c r="G41" s="11">
        <v>9</v>
      </c>
      <c r="H41" s="11">
        <v>2</v>
      </c>
      <c r="I41" s="11"/>
      <c r="J41" s="11"/>
      <c r="K41" s="11">
        <v>1</v>
      </c>
      <c r="L41" s="11">
        <v>26</v>
      </c>
      <c r="M41" s="13"/>
    </row>
    <row r="42" spans="1:13" ht="18.75" x14ac:dyDescent="0.3">
      <c r="A42" s="3">
        <v>41</v>
      </c>
      <c r="B42" s="16" t="s">
        <v>41</v>
      </c>
      <c r="C42" s="7" t="s">
        <v>28</v>
      </c>
      <c r="D42" s="11">
        <f>SUM(1487+1499+1483+1499+1503+1498+1463+1483+1483+1483)</f>
        <v>14881</v>
      </c>
      <c r="E42" s="11">
        <f>SUM(120+141+99+139+108+105+106+118+142+113)</f>
        <v>1191</v>
      </c>
      <c r="F42" s="12">
        <f>SUM(D42/E42)</f>
        <v>12.494542401343409</v>
      </c>
      <c r="G42" s="11">
        <v>10</v>
      </c>
      <c r="H42" s="11">
        <v>9</v>
      </c>
      <c r="I42" s="11"/>
      <c r="J42" s="11"/>
      <c r="K42" s="11"/>
      <c r="L42" s="11">
        <v>35</v>
      </c>
      <c r="M42" s="13">
        <v>5</v>
      </c>
    </row>
    <row r="43" spans="1:13" ht="18.75" x14ac:dyDescent="0.3">
      <c r="A43" s="3">
        <v>42</v>
      </c>
      <c r="B43" s="10" t="s">
        <v>29</v>
      </c>
      <c r="C43" s="7" t="s">
        <v>23</v>
      </c>
      <c r="D43" s="11">
        <f>SUM(1204+1459+1145+1498+1408+1456+1499+1480+1503)</f>
        <v>12652</v>
      </c>
      <c r="E43" s="11">
        <f>SUM(99+135+102+104+101+97+143+130+104)</f>
        <v>1015</v>
      </c>
      <c r="F43" s="12">
        <f>SUM(D43/E43)</f>
        <v>12.465024630541873</v>
      </c>
      <c r="G43" s="11">
        <v>9</v>
      </c>
      <c r="H43" s="11">
        <v>5</v>
      </c>
      <c r="I43" s="11"/>
      <c r="J43" s="11"/>
      <c r="K43" s="11"/>
      <c r="L43" s="11">
        <v>26.5</v>
      </c>
      <c r="M43" s="13"/>
    </row>
    <row r="44" spans="1:13" ht="18.75" x14ac:dyDescent="0.3">
      <c r="A44" s="3">
        <v>43</v>
      </c>
      <c r="B44" s="10" t="s">
        <v>50</v>
      </c>
      <c r="C44" s="7" t="s">
        <v>42</v>
      </c>
      <c r="D44" s="11">
        <f>SUM(1503+1083+1503+1401+1481+1497+1501+1196+1485+1363)</f>
        <v>14013</v>
      </c>
      <c r="E44" s="11">
        <f>SUM(137+81+126+109+117+135+149+91+99+92)</f>
        <v>1136</v>
      </c>
      <c r="F44" s="12">
        <f>SUM(D44/E44)</f>
        <v>12.335387323943662</v>
      </c>
      <c r="G44" s="11">
        <v>10</v>
      </c>
      <c r="H44" s="11">
        <v>5</v>
      </c>
      <c r="I44" s="11"/>
      <c r="J44" s="11"/>
      <c r="K44" s="11"/>
      <c r="L44" s="11">
        <v>31.5</v>
      </c>
      <c r="M44" s="13">
        <v>5</v>
      </c>
    </row>
    <row r="45" spans="1:13" ht="18.75" x14ac:dyDescent="0.3">
      <c r="A45" s="3">
        <v>44</v>
      </c>
      <c r="B45" s="16" t="s">
        <v>145</v>
      </c>
      <c r="C45" s="7" t="s">
        <v>23</v>
      </c>
      <c r="D45" s="11">
        <f>SUM(1173)</f>
        <v>1173</v>
      </c>
      <c r="E45" s="11">
        <f>SUM(96)</f>
        <v>96</v>
      </c>
      <c r="F45" s="12">
        <f>SUM(D45/E45)</f>
        <v>12.21875</v>
      </c>
      <c r="G45" s="11">
        <v>1</v>
      </c>
      <c r="H45" s="11"/>
      <c r="I45" s="11"/>
      <c r="J45" s="11"/>
      <c r="K45" s="11"/>
      <c r="L45" s="11"/>
      <c r="M45" s="13"/>
    </row>
    <row r="46" spans="1:13" ht="18.75" x14ac:dyDescent="0.3">
      <c r="A46" s="3">
        <v>45</v>
      </c>
      <c r="B46" s="16" t="s">
        <v>144</v>
      </c>
      <c r="C46" s="4" t="s">
        <v>53</v>
      </c>
      <c r="D46" s="11">
        <f>SUM(1244)</f>
        <v>1244</v>
      </c>
      <c r="E46" s="11">
        <f>SUM(102)</f>
        <v>102</v>
      </c>
      <c r="F46" s="12">
        <f>SUM(D46/E46)</f>
        <v>12.196078431372548</v>
      </c>
      <c r="G46" s="11">
        <v>1</v>
      </c>
      <c r="H46" s="11"/>
      <c r="I46" s="11"/>
      <c r="J46" s="11"/>
      <c r="K46" s="11"/>
      <c r="L46" s="11"/>
      <c r="M46" s="13"/>
    </row>
    <row r="47" spans="1:13" ht="18.75" x14ac:dyDescent="0.3">
      <c r="A47" s="3">
        <v>46</v>
      </c>
      <c r="B47" s="16" t="s">
        <v>34</v>
      </c>
      <c r="C47" s="7" t="s">
        <v>32</v>
      </c>
      <c r="D47" s="11">
        <f>SUM(1204+1501+1396+1414+1498+1481+1501+1483+1481+1490)</f>
        <v>14449</v>
      </c>
      <c r="E47" s="11">
        <f>SUM(88+140+97+90+105+117+158+129+130+138)</f>
        <v>1192</v>
      </c>
      <c r="F47" s="12">
        <f>SUM(D47/E47)</f>
        <v>12.121644295302014</v>
      </c>
      <c r="G47" s="11">
        <v>10</v>
      </c>
      <c r="H47" s="11">
        <v>5</v>
      </c>
      <c r="I47" s="11"/>
      <c r="J47" s="11"/>
      <c r="K47" s="11"/>
      <c r="L47" s="11">
        <v>33.5</v>
      </c>
      <c r="M47" s="13"/>
    </row>
    <row r="48" spans="1:13" ht="18.75" x14ac:dyDescent="0.3">
      <c r="A48" s="3">
        <v>47</v>
      </c>
      <c r="B48" s="36" t="s">
        <v>60</v>
      </c>
      <c r="C48" s="4" t="s">
        <v>47</v>
      </c>
      <c r="D48" s="11">
        <f>SUM(1477+1291+1469+1471+1480+1218+1331+1359+1415+1473)</f>
        <v>13984</v>
      </c>
      <c r="E48" s="11">
        <f>SUM(126+87+136+98+131+94+111+114+114+146)</f>
        <v>1157</v>
      </c>
      <c r="F48" s="12">
        <f>SUM(D48/E48)</f>
        <v>12.086430423509075</v>
      </c>
      <c r="G48" s="11">
        <v>10</v>
      </c>
      <c r="H48" s="11">
        <v>1</v>
      </c>
      <c r="I48" s="11"/>
      <c r="J48" s="11"/>
      <c r="K48" s="11"/>
      <c r="L48" s="11">
        <v>20</v>
      </c>
      <c r="M48" s="13"/>
    </row>
    <row r="49" spans="1:13" ht="18.75" x14ac:dyDescent="0.3">
      <c r="A49" s="3">
        <v>48</v>
      </c>
      <c r="B49" s="15" t="s">
        <v>58</v>
      </c>
      <c r="C49" s="4" t="s">
        <v>53</v>
      </c>
      <c r="D49" s="11">
        <f>SUM(1098+1207+1409+1390+1416+1444+1373+1009+1044+1057)</f>
        <v>12447</v>
      </c>
      <c r="E49" s="11">
        <f>SUM(87+93+129+99+124+132+113+105+81+81)</f>
        <v>1044</v>
      </c>
      <c r="F49" s="12">
        <f>SUM(D49/E49)</f>
        <v>11.922413793103448</v>
      </c>
      <c r="G49" s="11">
        <v>10</v>
      </c>
      <c r="H49" s="11"/>
      <c r="I49" s="11"/>
      <c r="J49" s="11"/>
      <c r="K49" s="11"/>
      <c r="L49" s="11">
        <v>9</v>
      </c>
      <c r="M49" s="13"/>
    </row>
    <row r="50" spans="1:13" ht="18.75" x14ac:dyDescent="0.3">
      <c r="A50" s="3">
        <v>49</v>
      </c>
      <c r="B50" s="15" t="s">
        <v>158</v>
      </c>
      <c r="C50" s="17" t="s">
        <v>14</v>
      </c>
      <c r="D50" s="11">
        <f>SUM(1479)</f>
        <v>1479</v>
      </c>
      <c r="E50" s="11">
        <f>SUM(125)</f>
        <v>125</v>
      </c>
      <c r="F50" s="12">
        <f>SUM(D50/E50)</f>
        <v>11.832000000000001</v>
      </c>
      <c r="G50" s="11">
        <v>1</v>
      </c>
      <c r="H50" s="11"/>
      <c r="I50" s="11"/>
      <c r="J50" s="11"/>
      <c r="K50" s="11"/>
      <c r="L50" s="11">
        <v>2.5</v>
      </c>
      <c r="M50" s="13"/>
    </row>
    <row r="51" spans="1:13" ht="18.75" x14ac:dyDescent="0.3">
      <c r="A51" s="3">
        <v>50</v>
      </c>
      <c r="B51" s="4" t="s">
        <v>143</v>
      </c>
      <c r="C51" s="4" t="s">
        <v>53</v>
      </c>
      <c r="D51" s="11">
        <f>SUM(1312)</f>
        <v>1312</v>
      </c>
      <c r="E51" s="11">
        <f>SUM(113)</f>
        <v>113</v>
      </c>
      <c r="F51" s="12">
        <f>SUM(D51/E51)</f>
        <v>11.610619469026549</v>
      </c>
      <c r="G51" s="11">
        <v>1</v>
      </c>
      <c r="H51" s="11"/>
      <c r="I51" s="11"/>
      <c r="J51" s="11"/>
      <c r="K51" s="11"/>
      <c r="L51" s="11">
        <v>1</v>
      </c>
      <c r="M51" s="13"/>
    </row>
    <row r="52" spans="1:13" ht="18.75" x14ac:dyDescent="0.3">
      <c r="A52" s="3">
        <v>51</v>
      </c>
      <c r="B52" s="15" t="s">
        <v>63</v>
      </c>
      <c r="C52" s="4" t="s">
        <v>21</v>
      </c>
      <c r="D52" s="11">
        <f>SUM(1452+1495+1498+1503+1492+1410)</f>
        <v>8850</v>
      </c>
      <c r="E52" s="11">
        <f>SUM(135+120+143+139+128+98)</f>
        <v>763</v>
      </c>
      <c r="F52" s="12">
        <f>SUM(D52/E52)</f>
        <v>11.598951507208389</v>
      </c>
      <c r="G52" s="11">
        <v>6</v>
      </c>
      <c r="H52" s="11">
        <v>2</v>
      </c>
      <c r="I52" s="11"/>
      <c r="J52" s="11"/>
      <c r="K52" s="11"/>
      <c r="L52" s="11">
        <v>16</v>
      </c>
      <c r="M52" s="13"/>
    </row>
    <row r="53" spans="1:13" ht="18.75" x14ac:dyDescent="0.3">
      <c r="A53" s="3">
        <v>52</v>
      </c>
      <c r="B53" s="4" t="s">
        <v>125</v>
      </c>
      <c r="C53" s="4" t="s">
        <v>53</v>
      </c>
      <c r="D53" s="11">
        <f>SUM(1341)</f>
        <v>1341</v>
      </c>
      <c r="E53" s="11">
        <f>SUM(117)</f>
        <v>117</v>
      </c>
      <c r="F53" s="12">
        <f>SUM(D53/E53)</f>
        <v>11.461538461538462</v>
      </c>
      <c r="G53" s="11">
        <v>1</v>
      </c>
      <c r="H53" s="11"/>
      <c r="I53" s="11"/>
      <c r="J53" s="11"/>
      <c r="K53" s="11"/>
      <c r="L53" s="11"/>
      <c r="M53" s="13"/>
    </row>
    <row r="54" spans="1:13" ht="18.75" x14ac:dyDescent="0.3">
      <c r="A54" s="3">
        <v>53</v>
      </c>
      <c r="B54" s="15" t="s">
        <v>102</v>
      </c>
      <c r="C54" s="4" t="s">
        <v>21</v>
      </c>
      <c r="D54" s="11">
        <f>SUM(1467)</f>
        <v>1467</v>
      </c>
      <c r="E54" s="11">
        <f>SUM(130)</f>
        <v>130</v>
      </c>
      <c r="F54" s="12">
        <f>SUM(D54/E54)</f>
        <v>11.284615384615385</v>
      </c>
      <c r="G54" s="11">
        <v>1</v>
      </c>
      <c r="H54" s="11">
        <v>1</v>
      </c>
      <c r="I54" s="11"/>
      <c r="J54" s="11"/>
      <c r="K54" s="11"/>
      <c r="L54" s="11">
        <v>4</v>
      </c>
      <c r="M54" s="13"/>
    </row>
    <row r="55" spans="1:13" ht="18.75" x14ac:dyDescent="0.3">
      <c r="A55" s="3">
        <v>54</v>
      </c>
      <c r="B55" s="4" t="s">
        <v>56</v>
      </c>
      <c r="C55" s="17" t="s">
        <v>95</v>
      </c>
      <c r="D55" s="11">
        <f>SUM(1248+1064+1400+1411+1387+1347+1413+1320)</f>
        <v>10590</v>
      </c>
      <c r="E55" s="11">
        <f>SUM(105+84+133+141+150+112+108+117)</f>
        <v>950</v>
      </c>
      <c r="F55" s="12">
        <f>SUM(D55/E55)</f>
        <v>11.147368421052631</v>
      </c>
      <c r="G55" s="11">
        <v>8</v>
      </c>
      <c r="H55" s="11"/>
      <c r="I55" s="11"/>
      <c r="J55" s="11"/>
      <c r="K55" s="11"/>
      <c r="L55" s="11">
        <v>11.5</v>
      </c>
      <c r="M55" s="13"/>
    </row>
    <row r="56" spans="1:13" ht="18.75" x14ac:dyDescent="0.3">
      <c r="A56" s="3">
        <v>55</v>
      </c>
      <c r="B56" s="15" t="s">
        <v>109</v>
      </c>
      <c r="C56" s="17" t="s">
        <v>53</v>
      </c>
      <c r="D56" s="11">
        <f>SUM(496+1498+1461+1497+1433+1359+1474)</f>
        <v>9218</v>
      </c>
      <c r="E56" s="11">
        <f>SUM(45+156+130+134+114+102+147)</f>
        <v>828</v>
      </c>
      <c r="F56" s="12">
        <f>SUM(D56/E56)</f>
        <v>11.132850241545894</v>
      </c>
      <c r="G56" s="11">
        <v>7</v>
      </c>
      <c r="H56" s="11">
        <v>2</v>
      </c>
      <c r="I56" s="11"/>
      <c r="J56" s="11"/>
      <c r="K56" s="11"/>
      <c r="L56" s="11">
        <v>13.5</v>
      </c>
      <c r="M56" s="13"/>
    </row>
    <row r="57" spans="1:13" ht="18.75" x14ac:dyDescent="0.3">
      <c r="A57" s="3">
        <v>56</v>
      </c>
      <c r="B57" s="4" t="s">
        <v>54</v>
      </c>
      <c r="C57" s="4" t="s">
        <v>47</v>
      </c>
      <c r="D57" s="11">
        <f>SUM(1478+1353+1503+1472+1448+1079+1478+1286)</f>
        <v>11097</v>
      </c>
      <c r="E57" s="11">
        <f>SUM(126+139+133+123+135+93+143+117)</f>
        <v>1009</v>
      </c>
      <c r="F57" s="12">
        <f>SUM(D57/E57)</f>
        <v>10.998017839444994</v>
      </c>
      <c r="G57" s="11">
        <v>8</v>
      </c>
      <c r="H57" s="11">
        <v>3</v>
      </c>
      <c r="I57" s="11"/>
      <c r="J57" s="11"/>
      <c r="K57" s="11"/>
      <c r="L57" s="11">
        <v>17</v>
      </c>
      <c r="M57" s="13"/>
    </row>
    <row r="58" spans="1:13" ht="18.75" x14ac:dyDescent="0.3">
      <c r="A58" s="3">
        <v>57</v>
      </c>
      <c r="B58" s="4" t="s">
        <v>51</v>
      </c>
      <c r="C58" s="7" t="s">
        <v>14</v>
      </c>
      <c r="D58" s="11">
        <f>SUM(1394+1122+1067+1482+1376+1498+1402+1456)</f>
        <v>10797</v>
      </c>
      <c r="E58" s="11">
        <f>SUM(93+86+81+162+144+145+150+125)</f>
        <v>986</v>
      </c>
      <c r="F58" s="12">
        <f>SUM(D58/E58)</f>
        <v>10.950304259634889</v>
      </c>
      <c r="G58" s="11">
        <v>8</v>
      </c>
      <c r="H58" s="11">
        <v>1</v>
      </c>
      <c r="I58" s="11"/>
      <c r="J58" s="11"/>
      <c r="K58" s="11"/>
      <c r="L58" s="11">
        <v>15.5</v>
      </c>
      <c r="M58" s="13"/>
    </row>
    <row r="59" spans="1:13" ht="18.75" x14ac:dyDescent="0.3">
      <c r="A59" s="3">
        <v>58</v>
      </c>
      <c r="B59" s="15" t="s">
        <v>112</v>
      </c>
      <c r="C59" s="4" t="s">
        <v>95</v>
      </c>
      <c r="D59" s="11">
        <f>SUM(1150+1237+1485+1478+1185)</f>
        <v>6535</v>
      </c>
      <c r="E59" s="11">
        <f>SUM(90+108+153+148+99)</f>
        <v>598</v>
      </c>
      <c r="F59" s="12">
        <f>SUM(D59/E59)</f>
        <v>10.92809364548495</v>
      </c>
      <c r="G59" s="11">
        <v>5</v>
      </c>
      <c r="H59" s="11">
        <v>1</v>
      </c>
      <c r="I59" s="11"/>
      <c r="J59" s="11"/>
      <c r="K59" s="11"/>
      <c r="L59" s="11">
        <v>8.5</v>
      </c>
      <c r="M59" s="13"/>
    </row>
    <row r="60" spans="1:13" ht="18.75" x14ac:dyDescent="0.3">
      <c r="A60" s="3">
        <v>59</v>
      </c>
      <c r="B60" s="15" t="s">
        <v>94</v>
      </c>
      <c r="C60" s="58" t="s">
        <v>42</v>
      </c>
      <c r="D60" s="11">
        <f>SUM(1484+1490+1474+1452+1499+1435+1499+1463+1469+1503)</f>
        <v>14768</v>
      </c>
      <c r="E60" s="11">
        <f>SUM(126+139+150+165+106+132+146+114+150+135)</f>
        <v>1363</v>
      </c>
      <c r="F60" s="12">
        <f>SUM(D60/E60)</f>
        <v>10.834922964049889</v>
      </c>
      <c r="G60" s="11">
        <v>10</v>
      </c>
      <c r="H60" s="11">
        <v>4</v>
      </c>
      <c r="I60" s="11"/>
      <c r="J60" s="11"/>
      <c r="K60" s="11"/>
      <c r="L60" s="11">
        <v>31.5</v>
      </c>
      <c r="M60" s="13"/>
    </row>
    <row r="61" spans="1:13" ht="18.75" x14ac:dyDescent="0.3">
      <c r="A61" s="3">
        <v>60</v>
      </c>
      <c r="B61" s="4" t="s">
        <v>124</v>
      </c>
      <c r="C61" s="4" t="s">
        <v>28</v>
      </c>
      <c r="D61" s="11">
        <f>SUM(1416)</f>
        <v>1416</v>
      </c>
      <c r="E61" s="11">
        <f>SUM(132)</f>
        <v>132</v>
      </c>
      <c r="F61" s="12">
        <f>SUM(D61/E61)</f>
        <v>10.727272727272727</v>
      </c>
      <c r="G61" s="11">
        <v>1</v>
      </c>
      <c r="H61" s="11"/>
      <c r="I61" s="11"/>
      <c r="J61" s="11"/>
      <c r="K61" s="11"/>
      <c r="L61" s="11">
        <v>1</v>
      </c>
      <c r="M61" s="13"/>
    </row>
    <row r="62" spans="1:13" ht="18.75" x14ac:dyDescent="0.3">
      <c r="A62" s="3">
        <v>61</v>
      </c>
      <c r="B62" s="15" t="s">
        <v>59</v>
      </c>
      <c r="C62" s="7" t="s">
        <v>53</v>
      </c>
      <c r="D62" s="11">
        <f>SUM(1368+1501)</f>
        <v>2869</v>
      </c>
      <c r="E62" s="11">
        <f>SUM(122+148)</f>
        <v>270</v>
      </c>
      <c r="F62" s="12">
        <f>SUM(D62/E62)</f>
        <v>10.625925925925927</v>
      </c>
      <c r="G62" s="11">
        <v>2</v>
      </c>
      <c r="H62" s="11">
        <v>2</v>
      </c>
      <c r="I62" s="11"/>
      <c r="J62" s="11"/>
      <c r="K62" s="11"/>
      <c r="L62" s="11">
        <v>6.5</v>
      </c>
      <c r="M62" s="13"/>
    </row>
    <row r="63" spans="1:13" ht="18.75" x14ac:dyDescent="0.3">
      <c r="A63" s="3">
        <v>62</v>
      </c>
      <c r="B63" s="4" t="s">
        <v>118</v>
      </c>
      <c r="C63" s="7" t="s">
        <v>42</v>
      </c>
      <c r="D63" s="11">
        <f>SUM(1477+1499+1258)</f>
        <v>4234</v>
      </c>
      <c r="E63" s="11">
        <f>SUM(152+138+111)</f>
        <v>401</v>
      </c>
      <c r="F63" s="12">
        <f>SUM(D63/E63)</f>
        <v>10.558603491271821</v>
      </c>
      <c r="G63" s="11">
        <v>3</v>
      </c>
      <c r="H63" s="11">
        <v>2</v>
      </c>
      <c r="I63" s="11"/>
      <c r="J63" s="11"/>
      <c r="K63" s="11"/>
      <c r="L63" s="11">
        <v>8</v>
      </c>
      <c r="M63" s="13"/>
    </row>
    <row r="64" spans="1:13" ht="18.75" x14ac:dyDescent="0.3">
      <c r="A64" s="3">
        <v>63</v>
      </c>
      <c r="B64" s="15" t="s">
        <v>110</v>
      </c>
      <c r="C64" s="7" t="s">
        <v>21</v>
      </c>
      <c r="D64" s="11">
        <f>SUM(1250+1503+1491+1315)</f>
        <v>5559</v>
      </c>
      <c r="E64" s="11">
        <f>SUM(109+145+155+119)</f>
        <v>528</v>
      </c>
      <c r="F64" s="12">
        <f>SUM(D64/E64)</f>
        <v>10.528409090909092</v>
      </c>
      <c r="G64" s="11">
        <v>4</v>
      </c>
      <c r="H64" s="11">
        <v>2</v>
      </c>
      <c r="I64" s="11"/>
      <c r="J64" s="11"/>
      <c r="K64" s="11"/>
      <c r="L64" s="11">
        <v>10</v>
      </c>
      <c r="M64" s="13"/>
    </row>
    <row r="65" spans="1:18" ht="18.75" x14ac:dyDescent="0.3">
      <c r="A65" s="3">
        <v>64</v>
      </c>
      <c r="B65" s="15" t="s">
        <v>55</v>
      </c>
      <c r="C65" s="7" t="s">
        <v>53</v>
      </c>
      <c r="D65" s="11">
        <f>SUM(1363+1275+1471+1473+1503+1072+1459+1448)</f>
        <v>11064</v>
      </c>
      <c r="E65" s="11">
        <f>SUM(123+117+156+148+117+87+131+174)</f>
        <v>1053</v>
      </c>
      <c r="F65" s="12">
        <f>SUM(D65/E65)</f>
        <v>10.507122507122507</v>
      </c>
      <c r="G65" s="11">
        <v>8</v>
      </c>
      <c r="H65" s="11">
        <v>3</v>
      </c>
      <c r="I65" s="11"/>
      <c r="J65" s="11"/>
      <c r="K65" s="11"/>
      <c r="L65" s="11">
        <v>16</v>
      </c>
      <c r="M65" s="13"/>
    </row>
    <row r="66" spans="1:18" ht="18.75" x14ac:dyDescent="0.3">
      <c r="A66" s="3">
        <v>65</v>
      </c>
      <c r="B66" s="15" t="s">
        <v>130</v>
      </c>
      <c r="C66" s="7" t="s">
        <v>14</v>
      </c>
      <c r="D66" s="11">
        <f>SUM(1489+1487)</f>
        <v>2976</v>
      </c>
      <c r="E66" s="11">
        <f>SUM(134+150)</f>
        <v>284</v>
      </c>
      <c r="F66" s="12">
        <f>SUM(D66/E66)</f>
        <v>10.47887323943662</v>
      </c>
      <c r="G66" s="11">
        <v>2</v>
      </c>
      <c r="H66" s="11">
        <v>2</v>
      </c>
      <c r="I66" s="11"/>
      <c r="J66" s="11"/>
      <c r="K66" s="11"/>
      <c r="L66" s="11">
        <v>8.5</v>
      </c>
      <c r="M66" s="13"/>
    </row>
    <row r="67" spans="1:18" ht="18.75" x14ac:dyDescent="0.3">
      <c r="A67" s="3">
        <v>66</v>
      </c>
      <c r="B67" s="15" t="s">
        <v>97</v>
      </c>
      <c r="C67" s="4" t="s">
        <v>47</v>
      </c>
      <c r="D67" s="11">
        <f>SUM(1376+1488)</f>
        <v>2864</v>
      </c>
      <c r="E67" s="11">
        <f>SUM(138+171)</f>
        <v>309</v>
      </c>
      <c r="F67" s="12">
        <f>SUM(D67/E67)</f>
        <v>9.2686084142394822</v>
      </c>
      <c r="G67" s="11">
        <v>2</v>
      </c>
      <c r="H67" s="11"/>
      <c r="I67" s="11"/>
      <c r="J67" s="11"/>
      <c r="K67" s="11"/>
      <c r="L67" s="11">
        <v>5</v>
      </c>
      <c r="M67" s="13"/>
    </row>
    <row r="68" spans="1:18" ht="18.75" x14ac:dyDescent="0.3">
      <c r="A68" s="3">
        <v>67</v>
      </c>
      <c r="B68" s="21" t="s">
        <v>142</v>
      </c>
      <c r="C68" s="14" t="s">
        <v>53</v>
      </c>
      <c r="D68" s="11">
        <f>SUM(1376)</f>
        <v>1376</v>
      </c>
      <c r="E68" s="11">
        <f>SUM(157)</f>
        <v>157</v>
      </c>
      <c r="F68" s="12">
        <f>SUM(D68/E68)</f>
        <v>8.7643312101910826</v>
      </c>
      <c r="G68" s="11">
        <v>1</v>
      </c>
      <c r="H68" s="11"/>
      <c r="I68" s="11"/>
      <c r="J68" s="11"/>
      <c r="K68" s="11"/>
      <c r="L68" s="11"/>
      <c r="M68" s="13"/>
    </row>
    <row r="69" spans="1:18" ht="17.25" customHeight="1" thickBot="1" x14ac:dyDescent="0.35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8" ht="19.5" customHeight="1" thickBot="1" x14ac:dyDescent="0.35">
      <c r="A70" s="5"/>
      <c r="B70" s="39" t="s">
        <v>157</v>
      </c>
      <c r="C70" s="27" t="s">
        <v>65</v>
      </c>
      <c r="D70" s="28" t="s">
        <v>66</v>
      </c>
      <c r="E70" s="29" t="s">
        <v>67</v>
      </c>
      <c r="F70" s="20" t="s">
        <v>91</v>
      </c>
      <c r="G70" s="30" t="s">
        <v>68</v>
      </c>
      <c r="I70" s="50" t="s">
        <v>69</v>
      </c>
      <c r="J70" s="51"/>
      <c r="K70" s="51"/>
      <c r="L70" s="51"/>
      <c r="M70" s="51"/>
      <c r="N70" s="51"/>
      <c r="O70" s="51"/>
      <c r="P70" s="51"/>
      <c r="Q70" s="51"/>
      <c r="R70" s="52"/>
    </row>
    <row r="71" spans="1:18" ht="18.75" x14ac:dyDescent="0.3">
      <c r="A71" s="5"/>
      <c r="B71" s="40"/>
      <c r="C71" s="17" t="s">
        <v>82</v>
      </c>
      <c r="D71" s="7">
        <v>10</v>
      </c>
      <c r="E71" s="22">
        <v>0</v>
      </c>
      <c r="F71" s="15"/>
      <c r="G71" s="23">
        <v>166</v>
      </c>
      <c r="I71" s="42" t="s">
        <v>70</v>
      </c>
      <c r="J71" s="43"/>
      <c r="K71" s="43"/>
      <c r="L71" s="43"/>
      <c r="M71" s="43"/>
      <c r="N71" s="53" t="s">
        <v>122</v>
      </c>
      <c r="O71" s="53"/>
      <c r="P71" s="53"/>
      <c r="Q71" s="53"/>
      <c r="R71" s="54"/>
    </row>
    <row r="72" spans="1:18" ht="18.75" x14ac:dyDescent="0.3">
      <c r="A72" s="5"/>
      <c r="B72" s="40"/>
      <c r="C72" s="17" t="s">
        <v>77</v>
      </c>
      <c r="D72" s="7">
        <v>9</v>
      </c>
      <c r="E72" s="22">
        <v>1</v>
      </c>
      <c r="F72" s="15"/>
      <c r="G72" s="23">
        <v>153</v>
      </c>
      <c r="I72" s="44" t="s">
        <v>72</v>
      </c>
      <c r="J72" s="45"/>
      <c r="K72" s="45"/>
      <c r="L72" s="45"/>
      <c r="M72" s="45"/>
      <c r="N72" s="48" t="s">
        <v>156</v>
      </c>
      <c r="O72" s="48"/>
      <c r="P72" s="48"/>
      <c r="Q72" s="48"/>
      <c r="R72" s="49"/>
    </row>
    <row r="73" spans="1:18" ht="18.75" x14ac:dyDescent="0.3">
      <c r="A73" s="5"/>
      <c r="B73" s="40"/>
      <c r="C73" s="18" t="s">
        <v>83</v>
      </c>
      <c r="D73" s="9">
        <v>7</v>
      </c>
      <c r="E73" s="10">
        <v>3</v>
      </c>
      <c r="F73" s="15"/>
      <c r="G73" s="18">
        <v>136</v>
      </c>
      <c r="I73" s="44" t="s">
        <v>74</v>
      </c>
      <c r="J73" s="45"/>
      <c r="K73" s="45"/>
      <c r="L73" s="45"/>
      <c r="M73" s="45"/>
      <c r="N73" s="48" t="s">
        <v>155</v>
      </c>
      <c r="O73" s="48"/>
      <c r="P73" s="48"/>
      <c r="Q73" s="48"/>
      <c r="R73" s="49"/>
    </row>
    <row r="74" spans="1:18" ht="18.75" x14ac:dyDescent="0.3">
      <c r="A74" s="6"/>
      <c r="B74" s="40"/>
      <c r="C74" s="17" t="s">
        <v>71</v>
      </c>
      <c r="D74" s="7">
        <v>6</v>
      </c>
      <c r="E74" s="16">
        <v>4</v>
      </c>
      <c r="F74" s="15"/>
      <c r="G74" s="17">
        <v>134</v>
      </c>
      <c r="I74" s="44" t="s">
        <v>76</v>
      </c>
      <c r="J74" s="45"/>
      <c r="K74" s="45"/>
      <c r="L74" s="45"/>
      <c r="M74" s="45"/>
      <c r="N74" s="48" t="s">
        <v>154</v>
      </c>
      <c r="O74" s="48"/>
      <c r="P74" s="48"/>
      <c r="Q74" s="48"/>
      <c r="R74" s="49"/>
    </row>
    <row r="75" spans="1:18" ht="18" customHeight="1" x14ac:dyDescent="0.3">
      <c r="A75" s="6"/>
      <c r="B75" s="40"/>
      <c r="C75" s="17" t="s">
        <v>85</v>
      </c>
      <c r="D75" s="7">
        <v>6</v>
      </c>
      <c r="E75" s="22">
        <v>4</v>
      </c>
      <c r="F75" s="15"/>
      <c r="G75" s="23">
        <v>132</v>
      </c>
      <c r="I75" s="44" t="s">
        <v>78</v>
      </c>
      <c r="J75" s="45"/>
      <c r="K75" s="45"/>
      <c r="L75" s="45"/>
      <c r="M75" s="45"/>
      <c r="N75" s="48" t="s">
        <v>132</v>
      </c>
      <c r="O75" s="48"/>
      <c r="P75" s="48"/>
      <c r="Q75" s="48"/>
      <c r="R75" s="49"/>
    </row>
    <row r="76" spans="1:18" ht="18" customHeight="1" thickBot="1" x14ac:dyDescent="0.35">
      <c r="A76" s="6"/>
      <c r="B76" s="40"/>
      <c r="C76" s="18" t="s">
        <v>79</v>
      </c>
      <c r="D76" s="9">
        <v>5</v>
      </c>
      <c r="E76" s="10">
        <v>5</v>
      </c>
      <c r="F76" s="15"/>
      <c r="G76" s="18">
        <v>127</v>
      </c>
      <c r="I76" s="46" t="s">
        <v>80</v>
      </c>
      <c r="J76" s="47"/>
      <c r="K76" s="47"/>
      <c r="L76" s="47"/>
      <c r="M76" s="47"/>
      <c r="N76" s="48" t="s">
        <v>119</v>
      </c>
      <c r="O76" s="48"/>
      <c r="P76" s="48"/>
      <c r="Q76" s="48"/>
      <c r="R76" s="49"/>
    </row>
    <row r="77" spans="1:18" ht="18.75" x14ac:dyDescent="0.3">
      <c r="A77" s="6"/>
      <c r="B77" s="40"/>
      <c r="C77" s="17" t="s">
        <v>75</v>
      </c>
      <c r="D77" s="7">
        <v>4</v>
      </c>
      <c r="E77" s="22">
        <v>5</v>
      </c>
      <c r="F77" s="15"/>
      <c r="G77" s="23">
        <v>107</v>
      </c>
      <c r="H77" s="6"/>
      <c r="I77" s="6"/>
    </row>
    <row r="78" spans="1:18" ht="18.75" x14ac:dyDescent="0.3">
      <c r="A78" s="6"/>
      <c r="B78" s="40"/>
      <c r="C78" s="18" t="s">
        <v>86</v>
      </c>
      <c r="D78" s="9">
        <v>4</v>
      </c>
      <c r="E78" s="10">
        <v>6</v>
      </c>
      <c r="F78" s="15"/>
      <c r="G78" s="18">
        <v>114</v>
      </c>
      <c r="H78" s="6"/>
    </row>
    <row r="79" spans="1:18" ht="18.75" x14ac:dyDescent="0.3">
      <c r="B79" s="40"/>
      <c r="C79" s="19" t="s">
        <v>101</v>
      </c>
      <c r="D79" s="14">
        <v>3</v>
      </c>
      <c r="E79" s="21">
        <v>7</v>
      </c>
      <c r="F79" s="26"/>
      <c r="G79" s="19">
        <v>99</v>
      </c>
    </row>
    <row r="80" spans="1:18" ht="18.75" x14ac:dyDescent="0.3">
      <c r="B80" s="40"/>
      <c r="C80" s="17" t="s">
        <v>73</v>
      </c>
      <c r="D80" s="7">
        <v>3</v>
      </c>
      <c r="E80" s="22">
        <v>7</v>
      </c>
      <c r="F80" s="15"/>
      <c r="G80" s="23">
        <v>96</v>
      </c>
    </row>
    <row r="81" spans="2:7" ht="18.75" x14ac:dyDescent="0.3">
      <c r="B81" s="40"/>
      <c r="C81" s="17" t="s">
        <v>81</v>
      </c>
      <c r="D81" s="7">
        <v>2</v>
      </c>
      <c r="E81" s="16">
        <v>7</v>
      </c>
      <c r="F81" s="15"/>
      <c r="G81" s="17">
        <v>98</v>
      </c>
    </row>
    <row r="82" spans="2:7" ht="19.5" thickBot="1" x14ac:dyDescent="0.35">
      <c r="B82" s="41"/>
      <c r="C82" s="18" t="s">
        <v>84</v>
      </c>
      <c r="D82" s="9">
        <v>0</v>
      </c>
      <c r="E82" s="10">
        <v>10</v>
      </c>
      <c r="F82" s="15"/>
      <c r="G82" s="18">
        <v>54</v>
      </c>
    </row>
    <row r="83" spans="2:7" ht="15.75" thickBot="1" x14ac:dyDescent="0.3"/>
    <row r="84" spans="2:7" ht="19.5" thickBot="1" x14ac:dyDescent="0.35">
      <c r="C84" s="27" t="s">
        <v>87</v>
      </c>
      <c r="D84" s="28" t="s">
        <v>66</v>
      </c>
      <c r="E84" s="28" t="s">
        <v>67</v>
      </c>
      <c r="F84" s="20" t="s">
        <v>91</v>
      </c>
      <c r="G84" s="31" t="s">
        <v>68</v>
      </c>
    </row>
    <row r="85" spans="2:7" ht="18.75" x14ac:dyDescent="0.3">
      <c r="C85" s="14" t="s">
        <v>82</v>
      </c>
      <c r="D85" s="14">
        <v>10</v>
      </c>
      <c r="E85" s="24">
        <v>0</v>
      </c>
      <c r="F85" s="15"/>
      <c r="G85" s="25">
        <v>166</v>
      </c>
    </row>
    <row r="86" spans="2:7" ht="18.75" x14ac:dyDescent="0.3">
      <c r="C86" s="7" t="s">
        <v>77</v>
      </c>
      <c r="D86" s="7">
        <v>9</v>
      </c>
      <c r="E86" s="22">
        <v>1</v>
      </c>
      <c r="F86" s="15"/>
      <c r="G86" s="23">
        <v>153</v>
      </c>
    </row>
    <row r="87" spans="2:7" ht="18.75" x14ac:dyDescent="0.3">
      <c r="C87" s="14" t="s">
        <v>71</v>
      </c>
      <c r="D87" s="14">
        <v>6</v>
      </c>
      <c r="E87" s="21">
        <v>4</v>
      </c>
      <c r="F87" s="26"/>
      <c r="G87" s="19">
        <v>134</v>
      </c>
    </row>
    <row r="88" spans="2:7" ht="18.75" x14ac:dyDescent="0.3">
      <c r="C88" s="14" t="s">
        <v>75</v>
      </c>
      <c r="D88" s="14">
        <v>4</v>
      </c>
      <c r="E88" s="24">
        <v>5</v>
      </c>
      <c r="F88" s="26"/>
      <c r="G88" s="25">
        <v>107</v>
      </c>
    </row>
    <row r="89" spans="2:7" ht="15.75" thickBot="1" x14ac:dyDescent="0.3"/>
    <row r="90" spans="2:7" ht="19.5" thickBot="1" x14ac:dyDescent="0.35">
      <c r="C90" s="27" t="s">
        <v>88</v>
      </c>
      <c r="D90" s="28" t="s">
        <v>66</v>
      </c>
      <c r="E90" s="28" t="s">
        <v>67</v>
      </c>
      <c r="F90" s="20" t="s">
        <v>91</v>
      </c>
      <c r="G90" s="31" t="s">
        <v>68</v>
      </c>
    </row>
    <row r="91" spans="2:7" ht="18.75" x14ac:dyDescent="0.3">
      <c r="C91" s="9" t="s">
        <v>83</v>
      </c>
      <c r="D91" s="9">
        <v>7</v>
      </c>
      <c r="E91" s="10">
        <v>3</v>
      </c>
      <c r="F91" s="15"/>
      <c r="G91" s="18">
        <v>136</v>
      </c>
    </row>
    <row r="92" spans="2:7" ht="18.75" x14ac:dyDescent="0.3">
      <c r="C92" s="7" t="s">
        <v>85</v>
      </c>
      <c r="D92" s="7">
        <v>6</v>
      </c>
      <c r="E92" s="22">
        <v>4</v>
      </c>
      <c r="F92" s="15"/>
      <c r="G92" s="23">
        <v>132</v>
      </c>
    </row>
    <row r="93" spans="2:7" ht="18.75" x14ac:dyDescent="0.3">
      <c r="C93" s="9" t="s">
        <v>79</v>
      </c>
      <c r="D93" s="9">
        <v>5</v>
      </c>
      <c r="E93" s="10">
        <v>5</v>
      </c>
      <c r="F93" s="15"/>
      <c r="G93" s="18">
        <v>127</v>
      </c>
    </row>
    <row r="94" spans="2:7" ht="18.75" x14ac:dyDescent="0.3">
      <c r="C94" s="14" t="s">
        <v>101</v>
      </c>
      <c r="D94" s="14">
        <v>3</v>
      </c>
      <c r="E94" s="21">
        <v>7</v>
      </c>
      <c r="F94" s="26"/>
      <c r="G94" s="19">
        <v>99</v>
      </c>
    </row>
    <row r="95" spans="2:7" ht="15.75" thickBot="1" x14ac:dyDescent="0.3"/>
    <row r="96" spans="2:7" ht="19.5" thickBot="1" x14ac:dyDescent="0.35">
      <c r="C96" s="32" t="s">
        <v>89</v>
      </c>
      <c r="D96" s="33" t="s">
        <v>66</v>
      </c>
      <c r="E96" s="33" t="s">
        <v>67</v>
      </c>
      <c r="F96" s="20" t="s">
        <v>91</v>
      </c>
      <c r="G96" s="34" t="s">
        <v>68</v>
      </c>
    </row>
    <row r="97" spans="3:7" ht="18.75" x14ac:dyDescent="0.3">
      <c r="C97" s="9" t="s">
        <v>86</v>
      </c>
      <c r="D97" s="9">
        <v>4</v>
      </c>
      <c r="E97" s="10">
        <v>6</v>
      </c>
      <c r="F97" s="15"/>
      <c r="G97" s="18">
        <v>114</v>
      </c>
    </row>
    <row r="98" spans="3:7" ht="18.75" x14ac:dyDescent="0.3">
      <c r="C98" s="14" t="s">
        <v>73</v>
      </c>
      <c r="D98" s="14">
        <v>3</v>
      </c>
      <c r="E98" s="24">
        <v>7</v>
      </c>
      <c r="F98" s="15"/>
      <c r="G98" s="25">
        <v>96</v>
      </c>
    </row>
    <row r="99" spans="3:7" ht="18.75" x14ac:dyDescent="0.3">
      <c r="C99" s="7" t="s">
        <v>81</v>
      </c>
      <c r="D99" s="7">
        <v>2</v>
      </c>
      <c r="E99" s="16">
        <v>7</v>
      </c>
      <c r="F99" s="15"/>
      <c r="G99" s="17">
        <v>98</v>
      </c>
    </row>
    <row r="100" spans="3:7" ht="18.75" x14ac:dyDescent="0.3">
      <c r="C100" s="9" t="s">
        <v>84</v>
      </c>
      <c r="D100" s="9">
        <v>0</v>
      </c>
      <c r="E100" s="10">
        <v>10</v>
      </c>
      <c r="F100" s="15"/>
      <c r="G100" s="18">
        <v>54</v>
      </c>
    </row>
  </sheetData>
  <mergeCells count="14">
    <mergeCell ref="N76:R76"/>
    <mergeCell ref="I70:R70"/>
    <mergeCell ref="N71:R71"/>
    <mergeCell ref="N72:R72"/>
    <mergeCell ref="N73:R73"/>
    <mergeCell ref="N74:R74"/>
    <mergeCell ref="N75:R75"/>
    <mergeCell ref="B70:B82"/>
    <mergeCell ref="I71:M71"/>
    <mergeCell ref="I72:M72"/>
    <mergeCell ref="I73:M73"/>
    <mergeCell ref="I74:M74"/>
    <mergeCell ref="I75:M75"/>
    <mergeCell ref="I76:M7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workbookViewId="0">
      <pane ySplit="1" topLeftCell="A89" activePane="bottomLeft" state="frozen"/>
      <selection pane="bottomLeft" activeCell="F13" sqref="F13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SUM(1444+1481+1503+1503+1471+1503+1471+1499+1495+1503+1503)</f>
        <v>16376</v>
      </c>
      <c r="E2" s="11">
        <f>SUM(74+87+96+88+103+80+96+92+81+73+81)</f>
        <v>951</v>
      </c>
      <c r="F2" s="12">
        <f>SUM(D2/E2)</f>
        <v>17.219768664563617</v>
      </c>
      <c r="G2" s="11">
        <v>11</v>
      </c>
      <c r="H2" s="11">
        <v>10</v>
      </c>
      <c r="I2" s="11">
        <v>2</v>
      </c>
      <c r="J2" s="11"/>
      <c r="K2" s="11">
        <v>1</v>
      </c>
      <c r="L2" s="11">
        <v>48</v>
      </c>
      <c r="M2" s="13">
        <v>25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SUM(1360+1372+1443+1499+1503+1503+1493+1503)</f>
        <v>11676</v>
      </c>
      <c r="E3" s="11">
        <f>SUM(71+94+91+92+82+84+97+100)</f>
        <v>711</v>
      </c>
      <c r="F3" s="12">
        <f>SUM(D3/E3)</f>
        <v>16.421940928270043</v>
      </c>
      <c r="G3" s="11">
        <v>8</v>
      </c>
      <c r="H3" s="11">
        <v>6</v>
      </c>
      <c r="I3" s="11">
        <v>2</v>
      </c>
      <c r="J3" s="11"/>
      <c r="K3" s="11"/>
      <c r="L3" s="11">
        <v>32.5</v>
      </c>
      <c r="M3" s="13"/>
    </row>
    <row r="4" spans="1:13" ht="18.75" x14ac:dyDescent="0.3">
      <c r="A4" s="3">
        <v>3</v>
      </c>
      <c r="B4" s="4" t="s">
        <v>37</v>
      </c>
      <c r="C4" s="4" t="s">
        <v>21</v>
      </c>
      <c r="D4" s="11">
        <f>SUM(1501+1495+1314+1407+1503+1405+1426+1455+1372+1417)</f>
        <v>14295</v>
      </c>
      <c r="E4" s="11">
        <f>SUM(106+86+87+95+80+84+86+83+81+84)</f>
        <v>872</v>
      </c>
      <c r="F4" s="12">
        <f>SUM(D4/E4)</f>
        <v>16.39334862385321</v>
      </c>
      <c r="G4" s="11">
        <v>10</v>
      </c>
      <c r="H4" s="11">
        <v>6</v>
      </c>
      <c r="I4" s="11">
        <v>1</v>
      </c>
      <c r="J4" s="11"/>
      <c r="K4" s="11"/>
      <c r="L4" s="11">
        <v>31.5</v>
      </c>
      <c r="M4" s="13">
        <v>10</v>
      </c>
    </row>
    <row r="5" spans="1:13" ht="18.75" x14ac:dyDescent="0.3">
      <c r="A5" s="3">
        <v>4</v>
      </c>
      <c r="B5" s="4" t="s">
        <v>33</v>
      </c>
      <c r="C5" s="4" t="s">
        <v>16</v>
      </c>
      <c r="D5" s="11">
        <f>SUM(1464+1483+1503+1503+1503+1496+1503+1503+1290+1437+1503)</f>
        <v>16188</v>
      </c>
      <c r="E5" s="11">
        <f>SUM(83+89+91+74+88+135+92+97+83+77+100)</f>
        <v>1009</v>
      </c>
      <c r="F5" s="12">
        <f>SUM(D5/E5)</f>
        <v>16.04360753221011</v>
      </c>
      <c r="G5" s="11">
        <v>11</v>
      </c>
      <c r="H5" s="11">
        <v>8</v>
      </c>
      <c r="I5" s="11">
        <v>1</v>
      </c>
      <c r="J5" s="11"/>
      <c r="K5" s="11"/>
      <c r="L5" s="11">
        <v>46.5</v>
      </c>
      <c r="M5" s="13">
        <v>10</v>
      </c>
    </row>
    <row r="6" spans="1:13" ht="18.75" x14ac:dyDescent="0.3">
      <c r="A6" s="3">
        <v>5</v>
      </c>
      <c r="B6" s="4" t="s">
        <v>17</v>
      </c>
      <c r="C6" s="4" t="s">
        <v>14</v>
      </c>
      <c r="D6" s="11">
        <f>SUM(1280+1503+1449+1503+1425+1321+1387+1489)</f>
        <v>11357</v>
      </c>
      <c r="E6" s="11">
        <f>SUM(79+100+93+90+92+88+90+89)</f>
        <v>721</v>
      </c>
      <c r="F6" s="12">
        <f>SUM(D6/E6)</f>
        <v>15.751733703190014</v>
      </c>
      <c r="G6" s="11">
        <v>8</v>
      </c>
      <c r="H6" s="11">
        <v>3</v>
      </c>
      <c r="I6" s="11"/>
      <c r="J6" s="11"/>
      <c r="K6" s="11"/>
      <c r="L6" s="35">
        <v>22</v>
      </c>
      <c r="M6" s="13"/>
    </row>
    <row r="7" spans="1:13" ht="18.75" x14ac:dyDescent="0.3">
      <c r="A7" s="3">
        <v>6</v>
      </c>
      <c r="B7" s="4" t="s">
        <v>15</v>
      </c>
      <c r="C7" s="4" t="s">
        <v>16</v>
      </c>
      <c r="D7" s="11">
        <f>SUM(1503+1503+1503+1489+1501+1503+1503+1479+1491+1503+1499)</f>
        <v>16477</v>
      </c>
      <c r="E7" s="11">
        <f>SUM(94+109+90+95+131+81+80+82+99+90+115)</f>
        <v>1066</v>
      </c>
      <c r="F7" s="12">
        <f>SUM(D7/E7)</f>
        <v>15.456848030018762</v>
      </c>
      <c r="G7" s="11">
        <v>11</v>
      </c>
      <c r="H7" s="11">
        <v>10</v>
      </c>
      <c r="I7" s="11"/>
      <c r="J7" s="11"/>
      <c r="K7" s="11"/>
      <c r="L7" s="11">
        <v>50</v>
      </c>
      <c r="M7" s="13">
        <v>5</v>
      </c>
    </row>
    <row r="8" spans="1:13" ht="18.75" x14ac:dyDescent="0.3">
      <c r="A8" s="3">
        <v>7</v>
      </c>
      <c r="B8" s="4" t="s">
        <v>11</v>
      </c>
      <c r="C8" s="4" t="s">
        <v>12</v>
      </c>
      <c r="D8" s="11">
        <f>SUM(1494+1503+1413+1503+1470+1483+1489+1503+1503+1114+1501)</f>
        <v>15976</v>
      </c>
      <c r="E8" s="11">
        <f>SUM(102+87+93+89+89+99+113+97+95+69+111)</f>
        <v>1044</v>
      </c>
      <c r="F8" s="12">
        <f>SUM(D8/E8)</f>
        <v>15.302681992337165</v>
      </c>
      <c r="G8" s="11">
        <v>11</v>
      </c>
      <c r="H8" s="11">
        <v>10</v>
      </c>
      <c r="I8" s="11"/>
      <c r="J8" s="11"/>
      <c r="K8" s="11"/>
      <c r="L8" s="11">
        <v>45</v>
      </c>
      <c r="M8" s="13">
        <v>5</v>
      </c>
    </row>
    <row r="9" spans="1:13" ht="18.75" x14ac:dyDescent="0.3">
      <c r="A9" s="3">
        <v>8</v>
      </c>
      <c r="B9" s="15" t="s">
        <v>49</v>
      </c>
      <c r="C9" s="4" t="s">
        <v>28</v>
      </c>
      <c r="D9" s="11">
        <f>SUM(1503+1503+1426+1483+1290+1356+1296+1399+1503+1417+1421)</f>
        <v>15597</v>
      </c>
      <c r="E9" s="11">
        <f>SUM(129+86+86+102+90+75+83+86+88+89+109)</f>
        <v>1023</v>
      </c>
      <c r="F9" s="12">
        <f>SUM(D9/E9)</f>
        <v>15.24633431085044</v>
      </c>
      <c r="G9" s="11">
        <v>11</v>
      </c>
      <c r="H9" s="11">
        <v>6</v>
      </c>
      <c r="I9" s="11"/>
      <c r="J9" s="11"/>
      <c r="K9" s="11"/>
      <c r="L9" s="11">
        <v>33.5</v>
      </c>
      <c r="M9" s="13">
        <v>20</v>
      </c>
    </row>
    <row r="10" spans="1:13" ht="18.75" x14ac:dyDescent="0.3">
      <c r="A10" s="3">
        <v>9</v>
      </c>
      <c r="B10" s="15" t="s">
        <v>131</v>
      </c>
      <c r="C10" s="7" t="s">
        <v>32</v>
      </c>
      <c r="D10" s="11">
        <f>SUM(1419+1503)</f>
        <v>2922</v>
      </c>
      <c r="E10" s="11">
        <f>SUM(90+103)</f>
        <v>193</v>
      </c>
      <c r="F10" s="12">
        <f>SUM(D10/E10)</f>
        <v>15.139896373056995</v>
      </c>
      <c r="G10" s="11">
        <v>2</v>
      </c>
      <c r="H10" s="11">
        <v>1</v>
      </c>
      <c r="I10" s="11">
        <v>1</v>
      </c>
      <c r="J10" s="11"/>
      <c r="K10" s="11"/>
      <c r="L10" s="11">
        <v>6.5</v>
      </c>
      <c r="M10" s="13"/>
    </row>
    <row r="11" spans="1:13" ht="18.75" x14ac:dyDescent="0.3">
      <c r="A11" s="3">
        <v>10</v>
      </c>
      <c r="B11" s="4" t="s">
        <v>24</v>
      </c>
      <c r="C11" s="4" t="s">
        <v>23</v>
      </c>
      <c r="D11" s="11">
        <f>SUM(1501+1472+1503+1503+1503+1481+1363+1503+1503+1443+1346)</f>
        <v>16121</v>
      </c>
      <c r="E11" s="11">
        <f>SUM(87+99+109+88+93+101+89+92+116+113+84)</f>
        <v>1071</v>
      </c>
      <c r="F11" s="12">
        <f>SUM(D11/E11)</f>
        <v>15.052287581699346</v>
      </c>
      <c r="G11" s="11">
        <v>11</v>
      </c>
      <c r="H11" s="11">
        <v>7</v>
      </c>
      <c r="I11" s="11"/>
      <c r="J11" s="11"/>
      <c r="K11" s="11"/>
      <c r="L11" s="11">
        <v>38.5</v>
      </c>
      <c r="M11" s="13">
        <v>5</v>
      </c>
    </row>
    <row r="12" spans="1:13" ht="18.75" x14ac:dyDescent="0.3">
      <c r="A12" s="3">
        <v>11</v>
      </c>
      <c r="B12" s="4" t="s">
        <v>18</v>
      </c>
      <c r="C12" s="4" t="s">
        <v>19</v>
      </c>
      <c r="D12" s="11">
        <f>SUM(1403+1503+1328+1440+1487+1371+1467+1414+1500+1411+1503)</f>
        <v>15827</v>
      </c>
      <c r="E12" s="11">
        <f>SUM(96+99+87+93+102+112+80+90+122+80+104)</f>
        <v>1065</v>
      </c>
      <c r="F12" s="12">
        <f>SUM(D12/E12)</f>
        <v>14.861032863849765</v>
      </c>
      <c r="G12" s="11">
        <v>11</v>
      </c>
      <c r="H12" s="11">
        <v>5</v>
      </c>
      <c r="I12" s="11">
        <v>1</v>
      </c>
      <c r="J12" s="11"/>
      <c r="K12" s="11"/>
      <c r="L12" s="11">
        <v>35</v>
      </c>
      <c r="M12" s="13"/>
    </row>
    <row r="13" spans="1:13" ht="18.75" x14ac:dyDescent="0.3">
      <c r="A13" s="3">
        <v>12</v>
      </c>
      <c r="B13" s="15" t="s">
        <v>46</v>
      </c>
      <c r="C13" s="4" t="s">
        <v>47</v>
      </c>
      <c r="D13" s="11">
        <f>SUM(1503+1503+1427+1287+1279+1423+1463+1289+1480+1503+1423)</f>
        <v>15580</v>
      </c>
      <c r="E13" s="11">
        <f>SUM(87+94+104+95+84+82+111+90+124+94+89)</f>
        <v>1054</v>
      </c>
      <c r="F13" s="12">
        <f>SUM(D13/E13)</f>
        <v>14.781783681214421</v>
      </c>
      <c r="G13" s="11">
        <v>11</v>
      </c>
      <c r="H13" s="11">
        <v>5</v>
      </c>
      <c r="I13" s="11"/>
      <c r="J13" s="11"/>
      <c r="K13" s="11"/>
      <c r="L13" s="11">
        <v>32</v>
      </c>
      <c r="M13" s="13">
        <v>10</v>
      </c>
    </row>
    <row r="14" spans="1:13" ht="18.75" x14ac:dyDescent="0.3">
      <c r="A14" s="3">
        <v>13</v>
      </c>
      <c r="B14" s="4" t="s">
        <v>22</v>
      </c>
      <c r="C14" s="4" t="s">
        <v>23</v>
      </c>
      <c r="D14" s="11">
        <f>SUM(1499+1497+1503+1397+1272+1388+1340+1425+1503+1453+1443)</f>
        <v>15720</v>
      </c>
      <c r="E14" s="11">
        <f>SUM(101+88+116+108+88+89+90+117+86+101+83)</f>
        <v>1067</v>
      </c>
      <c r="F14" s="12">
        <f>SUM(D14/E14)</f>
        <v>14.732895970009372</v>
      </c>
      <c r="G14" s="11">
        <v>11</v>
      </c>
      <c r="H14" s="11">
        <v>7</v>
      </c>
      <c r="I14" s="11"/>
      <c r="J14" s="11"/>
      <c r="K14" s="11"/>
      <c r="L14" s="11">
        <v>37.5</v>
      </c>
      <c r="M14" s="13">
        <v>5</v>
      </c>
    </row>
    <row r="15" spans="1:13" ht="18.75" x14ac:dyDescent="0.3">
      <c r="A15" s="3">
        <v>14</v>
      </c>
      <c r="B15" s="15" t="s">
        <v>108</v>
      </c>
      <c r="C15" s="4" t="s">
        <v>19</v>
      </c>
      <c r="D15" s="11">
        <f>SUM(501+1503+1501+1455+1503+1411+1318+1400)</f>
        <v>10592</v>
      </c>
      <c r="E15" s="11">
        <f>SUM(46+117+99+123+95+77+90+77)</f>
        <v>724</v>
      </c>
      <c r="F15" s="12">
        <f>SUM(D15/E15)</f>
        <v>14.629834254143647</v>
      </c>
      <c r="G15" s="11">
        <v>8</v>
      </c>
      <c r="H15" s="11">
        <v>4</v>
      </c>
      <c r="I15" s="11"/>
      <c r="J15" s="11">
        <v>1</v>
      </c>
      <c r="K15" s="11"/>
      <c r="L15" s="11">
        <v>29</v>
      </c>
      <c r="M15" s="13">
        <v>5</v>
      </c>
    </row>
    <row r="16" spans="1:13" ht="18.75" x14ac:dyDescent="0.3">
      <c r="A16" s="3">
        <v>15</v>
      </c>
      <c r="B16" s="4" t="s">
        <v>36</v>
      </c>
      <c r="C16" s="4" t="s">
        <v>12</v>
      </c>
      <c r="D16" s="11">
        <f>SUM(1503+1503+1503+1475+1483+1467+1479+1503+1471+1376+1488)</f>
        <v>16251</v>
      </c>
      <c r="E16" s="11">
        <f>SUM(93+115+87+87+131+93+98+111+94+83+126)</f>
        <v>1118</v>
      </c>
      <c r="F16" s="12">
        <f>SUM(D16/E16)</f>
        <v>14.535778175313059</v>
      </c>
      <c r="G16" s="11">
        <v>11</v>
      </c>
      <c r="H16" s="11">
        <v>8</v>
      </c>
      <c r="I16" s="11"/>
      <c r="J16" s="11"/>
      <c r="K16" s="11"/>
      <c r="L16" s="11">
        <v>42.5</v>
      </c>
      <c r="M16" s="13">
        <v>10</v>
      </c>
    </row>
    <row r="17" spans="1:13" ht="18.75" x14ac:dyDescent="0.3">
      <c r="A17" s="3">
        <v>16</v>
      </c>
      <c r="B17" s="15" t="s">
        <v>92</v>
      </c>
      <c r="C17" s="4" t="s">
        <v>42</v>
      </c>
      <c r="D17" s="11">
        <f>SUM(1319+1334+1503+1297+1394+1360+1378+1358+1221+1390)</f>
        <v>13554</v>
      </c>
      <c r="E17" s="11">
        <f>SUM(106+84+103+90+78+99+92+90+96+96)</f>
        <v>934</v>
      </c>
      <c r="F17" s="12">
        <f>SUM(D17/E17)</f>
        <v>14.511777301927195</v>
      </c>
      <c r="G17" s="11">
        <v>10</v>
      </c>
      <c r="H17" s="11">
        <v>1</v>
      </c>
      <c r="I17" s="11">
        <v>1</v>
      </c>
      <c r="J17" s="11"/>
      <c r="K17" s="11"/>
      <c r="L17" s="11">
        <v>20.5</v>
      </c>
      <c r="M17" s="13"/>
    </row>
    <row r="18" spans="1:13" ht="18.75" x14ac:dyDescent="0.3">
      <c r="A18" s="3">
        <v>17</v>
      </c>
      <c r="B18" s="4" t="s">
        <v>27</v>
      </c>
      <c r="C18" s="4" t="s">
        <v>28</v>
      </c>
      <c r="D18" s="11">
        <f>SUM(1471+1503+1503+1358+1473+1501+1372+1503+1503+1503+1503)</f>
        <v>16193</v>
      </c>
      <c r="E18" s="11">
        <f>SUM(111+90+109+101+87+131+81+100+100+98+111)</f>
        <v>1119</v>
      </c>
      <c r="F18" s="12">
        <f>SUM(D18/E18)</f>
        <v>14.470956210902592</v>
      </c>
      <c r="G18" s="11">
        <v>11</v>
      </c>
      <c r="H18" s="11">
        <v>10</v>
      </c>
      <c r="I18" s="11"/>
      <c r="J18" s="11"/>
      <c r="K18" s="11"/>
      <c r="L18" s="11">
        <v>44</v>
      </c>
      <c r="M18" s="13">
        <v>5</v>
      </c>
    </row>
    <row r="19" spans="1:13" ht="18.75" x14ac:dyDescent="0.3">
      <c r="A19" s="3">
        <v>18</v>
      </c>
      <c r="B19" s="15" t="s">
        <v>136</v>
      </c>
      <c r="C19" s="7" t="s">
        <v>12</v>
      </c>
      <c r="D19" s="11">
        <f>SUM(1375+1503+1372)</f>
        <v>4250</v>
      </c>
      <c r="E19" s="11">
        <f>SUM(97+91+108)</f>
        <v>296</v>
      </c>
      <c r="F19" s="12">
        <f>SUM(D19/E19)</f>
        <v>14.358108108108109</v>
      </c>
      <c r="G19" s="11">
        <v>3</v>
      </c>
      <c r="H19" s="11">
        <v>1</v>
      </c>
      <c r="I19" s="11"/>
      <c r="J19" s="11"/>
      <c r="K19" s="11"/>
      <c r="L19" s="11">
        <v>10</v>
      </c>
      <c r="M19" s="13"/>
    </row>
    <row r="20" spans="1:13" ht="18.75" x14ac:dyDescent="0.3">
      <c r="A20" s="3">
        <v>19</v>
      </c>
      <c r="B20" s="3" t="s">
        <v>31</v>
      </c>
      <c r="C20" s="4" t="s">
        <v>32</v>
      </c>
      <c r="D20" s="11">
        <f>SUM(1503+1469+1417+1109+1503+1503+1495+1138+1495)</f>
        <v>12632</v>
      </c>
      <c r="E20" s="11">
        <f>SUM(79+96+108+90+100+118+93+84+115)</f>
        <v>883</v>
      </c>
      <c r="F20" s="12">
        <f>SUM(D20/E20)</f>
        <v>14.305775764439412</v>
      </c>
      <c r="G20" s="11">
        <v>9</v>
      </c>
      <c r="H20" s="11">
        <v>5</v>
      </c>
      <c r="I20" s="11"/>
      <c r="J20" s="11"/>
      <c r="K20" s="11"/>
      <c r="L20" s="11">
        <v>31.5</v>
      </c>
      <c r="M20" s="13">
        <v>5</v>
      </c>
    </row>
    <row r="21" spans="1:13" ht="18.75" x14ac:dyDescent="0.3">
      <c r="A21" s="3">
        <v>20</v>
      </c>
      <c r="B21" s="15" t="s">
        <v>113</v>
      </c>
      <c r="C21" s="4" t="s">
        <v>16</v>
      </c>
      <c r="D21" s="11">
        <f>SUM(1503+1307+1309+1503+1487+1503)</f>
        <v>8612</v>
      </c>
      <c r="E21" s="11">
        <f>SUM(104+111+88+99+103+100)</f>
        <v>605</v>
      </c>
      <c r="F21" s="12">
        <f>SUM(D21/E21)</f>
        <v>14.234710743801653</v>
      </c>
      <c r="G21" s="11">
        <v>6</v>
      </c>
      <c r="H21" s="11">
        <v>4</v>
      </c>
      <c r="I21" s="11"/>
      <c r="J21" s="11"/>
      <c r="K21" s="11"/>
      <c r="L21" s="11">
        <v>29.5</v>
      </c>
      <c r="M21" s="13"/>
    </row>
    <row r="22" spans="1:13" ht="18.75" x14ac:dyDescent="0.3">
      <c r="A22" s="3">
        <v>21</v>
      </c>
      <c r="B22" s="15" t="s">
        <v>45</v>
      </c>
      <c r="C22" s="4" t="s">
        <v>32</v>
      </c>
      <c r="D22" s="11">
        <f>SUM(1503+1471+1326+953+1326+1439+1503+1267+1329+1501+1493)</f>
        <v>15111</v>
      </c>
      <c r="E22" s="11">
        <f>SUM(100+103+79+72+91+110+106+99+96+114+94)</f>
        <v>1064</v>
      </c>
      <c r="F22" s="12">
        <f>SUM(D22/E22)</f>
        <v>14.202067669172932</v>
      </c>
      <c r="G22" s="11">
        <v>11</v>
      </c>
      <c r="H22" s="11">
        <v>6</v>
      </c>
      <c r="I22" s="11"/>
      <c r="J22" s="11"/>
      <c r="K22" s="11"/>
      <c r="L22" s="11">
        <v>37</v>
      </c>
      <c r="M22" s="13">
        <v>5</v>
      </c>
    </row>
    <row r="23" spans="1:13" ht="18.75" x14ac:dyDescent="0.3">
      <c r="A23" s="3">
        <v>22</v>
      </c>
      <c r="B23" s="15" t="s">
        <v>93</v>
      </c>
      <c r="C23" s="4" t="s">
        <v>42</v>
      </c>
      <c r="D23" s="11">
        <f>SUM(1481+1499+1329+1503+1467+1487+1431+1465+1357)</f>
        <v>13019</v>
      </c>
      <c r="E23" s="11">
        <f>SUM(97+130+104+115+90+99+90+115+79)</f>
        <v>919</v>
      </c>
      <c r="F23" s="12">
        <f>SUM(D23/E23)</f>
        <v>14.166485310119695</v>
      </c>
      <c r="G23" s="11">
        <v>9</v>
      </c>
      <c r="H23" s="11">
        <v>4</v>
      </c>
      <c r="I23" s="11"/>
      <c r="J23" s="11"/>
      <c r="K23" s="11"/>
      <c r="L23" s="11">
        <v>26</v>
      </c>
      <c r="M23" s="13">
        <v>5</v>
      </c>
    </row>
    <row r="24" spans="1:13" ht="18.75" x14ac:dyDescent="0.3">
      <c r="A24" s="3">
        <v>23</v>
      </c>
      <c r="B24" s="4" t="s">
        <v>90</v>
      </c>
      <c r="C24" s="4" t="s">
        <v>12</v>
      </c>
      <c r="D24" s="11">
        <f>SUM(1361+1497+1376+1453+1379+1503+1313+1379+1501)</f>
        <v>12762</v>
      </c>
      <c r="E24" s="11">
        <f>SUM(83+112+96+107+105+101+95+87+115)</f>
        <v>901</v>
      </c>
      <c r="F24" s="12">
        <f>SUM(D24/E24)</f>
        <v>14.164261931187569</v>
      </c>
      <c r="G24" s="11">
        <v>9</v>
      </c>
      <c r="H24" s="11">
        <v>5</v>
      </c>
      <c r="I24" s="11"/>
      <c r="J24" s="11"/>
      <c r="K24" s="11"/>
      <c r="L24" s="11">
        <v>26.5</v>
      </c>
      <c r="M24" s="13"/>
    </row>
    <row r="25" spans="1:13" ht="18.75" x14ac:dyDescent="0.3">
      <c r="A25" s="3">
        <v>24</v>
      </c>
      <c r="B25" s="15" t="s">
        <v>111</v>
      </c>
      <c r="C25" s="4" t="s">
        <v>21</v>
      </c>
      <c r="D25" s="11">
        <f>SUM(1274+1414+1428+1463+1495+1440+1495)</f>
        <v>10009</v>
      </c>
      <c r="E25" s="11">
        <f>SUM(111+106+96+113+95+105+88)</f>
        <v>714</v>
      </c>
      <c r="F25" s="12">
        <f>SUM(D25/E25)</f>
        <v>14.018207282913165</v>
      </c>
      <c r="G25" s="11">
        <v>7</v>
      </c>
      <c r="H25" s="11">
        <v>3</v>
      </c>
      <c r="I25" s="11"/>
      <c r="J25" s="11"/>
      <c r="K25" s="11"/>
      <c r="L25" s="11">
        <v>19.5</v>
      </c>
      <c r="M25" s="13"/>
    </row>
    <row r="26" spans="1:13" ht="18.75" x14ac:dyDescent="0.3">
      <c r="A26" s="3">
        <v>25</v>
      </c>
      <c r="B26" s="3" t="s">
        <v>48</v>
      </c>
      <c r="C26" s="4" t="s">
        <v>32</v>
      </c>
      <c r="D26" s="11">
        <f>SUM(1239+1483+1425+1350+1493+1434+1501+1503+1483+1460+1409)</f>
        <v>15780</v>
      </c>
      <c r="E26" s="11">
        <f>SUM(95+93+104+96+128+96+113+99+113+91+99)</f>
        <v>1127</v>
      </c>
      <c r="F26" s="12">
        <f>SUM(D26/E26)</f>
        <v>14.001774622892635</v>
      </c>
      <c r="G26" s="11">
        <v>11</v>
      </c>
      <c r="H26" s="11">
        <v>6</v>
      </c>
      <c r="I26" s="11"/>
      <c r="J26" s="11"/>
      <c r="K26" s="11"/>
      <c r="L26" s="11">
        <v>37.5</v>
      </c>
      <c r="M26" s="13"/>
    </row>
    <row r="27" spans="1:13" ht="18.75" x14ac:dyDescent="0.3">
      <c r="A27" s="3">
        <v>26</v>
      </c>
      <c r="B27" s="4" t="s">
        <v>62</v>
      </c>
      <c r="C27" s="4" t="s">
        <v>19</v>
      </c>
      <c r="D27" s="11">
        <f>SUM(1290+1479+1300+1217+1308+1400+1216+1414+1503)</f>
        <v>12127</v>
      </c>
      <c r="E27" s="11">
        <f>SUM(76+107+93+86+99+80+99+114+119)</f>
        <v>873</v>
      </c>
      <c r="F27" s="12">
        <f>SUM(D27/E27)</f>
        <v>13.891179839633448</v>
      </c>
      <c r="G27" s="11">
        <v>9</v>
      </c>
      <c r="H27" s="11">
        <v>3</v>
      </c>
      <c r="I27" s="11"/>
      <c r="J27" s="11"/>
      <c r="K27" s="11"/>
      <c r="L27" s="11">
        <v>29.5</v>
      </c>
      <c r="M27" s="13">
        <v>5</v>
      </c>
    </row>
    <row r="28" spans="1:13" ht="18.75" x14ac:dyDescent="0.3">
      <c r="A28" s="3">
        <v>27</v>
      </c>
      <c r="B28" s="15" t="s">
        <v>39</v>
      </c>
      <c r="C28" s="7" t="s">
        <v>23</v>
      </c>
      <c r="D28" s="11">
        <f>SUM(1332+1373+1492+1499+1481+1245+1220+1503+1503+1503+1439)</f>
        <v>15590</v>
      </c>
      <c r="E28" s="11">
        <f>SUM(84+96+119+109+119+86+78+117+105+124+93)</f>
        <v>1130</v>
      </c>
      <c r="F28" s="12">
        <f>SUM(D28/E28)</f>
        <v>13.79646017699115</v>
      </c>
      <c r="G28" s="11">
        <v>11</v>
      </c>
      <c r="H28" s="11">
        <v>4</v>
      </c>
      <c r="I28" s="11"/>
      <c r="J28" s="11"/>
      <c r="K28" s="11"/>
      <c r="L28" s="11">
        <v>34.5</v>
      </c>
      <c r="M28" s="13"/>
    </row>
    <row r="29" spans="1:13" ht="18.75" x14ac:dyDescent="0.3">
      <c r="A29" s="3">
        <v>28</v>
      </c>
      <c r="B29" s="4" t="s">
        <v>57</v>
      </c>
      <c r="C29" s="4" t="s">
        <v>95</v>
      </c>
      <c r="D29" s="11">
        <f>SUM(1463+1503+1503+1447+1363+1487+1262+1395+1397)</f>
        <v>12820</v>
      </c>
      <c r="E29" s="11">
        <f>SUM(126+108+109+100+85+95+82+116+110)</f>
        <v>931</v>
      </c>
      <c r="F29" s="12">
        <f>SUM(D29/E29)</f>
        <v>13.770139634801289</v>
      </c>
      <c r="G29" s="11">
        <v>9</v>
      </c>
      <c r="H29" s="11">
        <v>5</v>
      </c>
      <c r="I29" s="11"/>
      <c r="J29" s="11"/>
      <c r="K29" s="11"/>
      <c r="L29" s="11">
        <v>27</v>
      </c>
      <c r="M29" s="13"/>
    </row>
    <row r="30" spans="1:13" ht="18.75" x14ac:dyDescent="0.3">
      <c r="A30" s="3">
        <v>29</v>
      </c>
      <c r="B30" s="7" t="s">
        <v>61</v>
      </c>
      <c r="C30" s="4" t="s">
        <v>47</v>
      </c>
      <c r="D30" s="11">
        <f>SUM(1322+1462+1409+1497+1486+1453+1329+1503+1503+1503+1432)</f>
        <v>15899</v>
      </c>
      <c r="E30" s="11">
        <f>SUM(111+98+102+120+98+106+97+118+122+87+98)</f>
        <v>1157</v>
      </c>
      <c r="F30" s="12">
        <f>SUM(D30/E30)</f>
        <v>13.741573033707866</v>
      </c>
      <c r="G30" s="11">
        <v>11</v>
      </c>
      <c r="H30" s="11">
        <v>4</v>
      </c>
      <c r="I30" s="11"/>
      <c r="J30" s="11"/>
      <c r="K30" s="11"/>
      <c r="L30" s="11">
        <v>29</v>
      </c>
      <c r="M30" s="13">
        <v>5</v>
      </c>
    </row>
    <row r="31" spans="1:13" ht="18.75" x14ac:dyDescent="0.3">
      <c r="A31" s="3">
        <v>30</v>
      </c>
      <c r="B31" s="7" t="s">
        <v>35</v>
      </c>
      <c r="C31" s="4" t="s">
        <v>16</v>
      </c>
      <c r="D31" s="11">
        <f>SUM(1471+1503+1330+1362+1251)</f>
        <v>6917</v>
      </c>
      <c r="E31" s="11">
        <f>SUM(104+123+105+89+85)</f>
        <v>506</v>
      </c>
      <c r="F31" s="12">
        <f>SUM(D31/E31)</f>
        <v>13.669960474308301</v>
      </c>
      <c r="G31" s="11">
        <v>5</v>
      </c>
      <c r="H31" s="11">
        <v>3</v>
      </c>
      <c r="I31" s="11"/>
      <c r="J31" s="11"/>
      <c r="K31" s="11"/>
      <c r="L31" s="11">
        <v>15</v>
      </c>
      <c r="M31" s="13">
        <v>5</v>
      </c>
    </row>
    <row r="32" spans="1:13" ht="18.75" x14ac:dyDescent="0.3">
      <c r="A32" s="3">
        <v>31</v>
      </c>
      <c r="B32" s="7" t="s">
        <v>43</v>
      </c>
      <c r="C32" s="4" t="s">
        <v>12</v>
      </c>
      <c r="D32" s="11">
        <f>SUM(1479+1503+1483+1474+1349+1471+1503+1458+1493+1471)</f>
        <v>14684</v>
      </c>
      <c r="E32" s="11">
        <f>SUM(130+97+96+123+86+87+114+116+153+83)</f>
        <v>1085</v>
      </c>
      <c r="F32" s="12">
        <f>SUM(D32/E32)</f>
        <v>13.533640552995392</v>
      </c>
      <c r="G32" s="11">
        <v>10</v>
      </c>
      <c r="H32" s="11">
        <v>9</v>
      </c>
      <c r="I32" s="11"/>
      <c r="J32" s="11"/>
      <c r="K32" s="11"/>
      <c r="L32" s="11">
        <v>41</v>
      </c>
      <c r="M32" s="13"/>
    </row>
    <row r="33" spans="1:13" ht="18.75" x14ac:dyDescent="0.3">
      <c r="A33" s="3">
        <v>32</v>
      </c>
      <c r="B33" s="57" t="s">
        <v>20</v>
      </c>
      <c r="C33" s="4" t="s">
        <v>21</v>
      </c>
      <c r="D33" s="11">
        <f>SUM(1243+1262+1307+1213+1469+1468+1415+1376+1452+1320)</f>
        <v>13525</v>
      </c>
      <c r="E33" s="11">
        <f>SUM(94+86+87+120+106+109+104+99+117+83)</f>
        <v>1005</v>
      </c>
      <c r="F33" s="12">
        <f>SUM(D33/E33)</f>
        <v>13.457711442786069</v>
      </c>
      <c r="G33" s="11">
        <v>10</v>
      </c>
      <c r="H33" s="11">
        <v>2</v>
      </c>
      <c r="I33" s="11"/>
      <c r="J33" s="11"/>
      <c r="K33" s="11"/>
      <c r="L33" s="11">
        <v>22</v>
      </c>
      <c r="M33" s="13"/>
    </row>
    <row r="34" spans="1:13" ht="18.75" x14ac:dyDescent="0.3">
      <c r="A34" s="3">
        <v>33</v>
      </c>
      <c r="B34" s="9" t="s">
        <v>159</v>
      </c>
      <c r="C34" s="4" t="s">
        <v>14</v>
      </c>
      <c r="D34" s="11">
        <f>SUM(1480)</f>
        <v>1480</v>
      </c>
      <c r="E34" s="11">
        <f>SUM(111)</f>
        <v>111</v>
      </c>
      <c r="F34" s="12">
        <f>SUM(D34/E34)</f>
        <v>13.333333333333334</v>
      </c>
      <c r="G34" s="11">
        <v>1</v>
      </c>
      <c r="H34" s="11"/>
      <c r="I34" s="11"/>
      <c r="J34" s="11"/>
      <c r="K34" s="11"/>
      <c r="L34" s="11">
        <v>2.5</v>
      </c>
      <c r="M34" s="13"/>
    </row>
    <row r="35" spans="1:13" ht="18.75" x14ac:dyDescent="0.3">
      <c r="A35" s="3">
        <v>34</v>
      </c>
      <c r="B35" s="9" t="s">
        <v>64</v>
      </c>
      <c r="C35" s="4" t="s">
        <v>95</v>
      </c>
      <c r="D35" s="11">
        <f>SUM(1503+1457+1466+1503+1408+1180+1418+1426+1495+1180)</f>
        <v>14036</v>
      </c>
      <c r="E35" s="11">
        <f>SUM(123+117+121+103+121+81+107+105+89+95)</f>
        <v>1062</v>
      </c>
      <c r="F35" s="12">
        <f>SUM(D35/E35)</f>
        <v>13.216572504708099</v>
      </c>
      <c r="G35" s="11">
        <v>10</v>
      </c>
      <c r="H35" s="11">
        <v>5</v>
      </c>
      <c r="I35" s="11"/>
      <c r="J35" s="11"/>
      <c r="K35" s="11"/>
      <c r="L35" s="11">
        <v>27</v>
      </c>
      <c r="M35" s="13"/>
    </row>
    <row r="36" spans="1:13" ht="18.75" x14ac:dyDescent="0.3">
      <c r="A36" s="3">
        <v>35</v>
      </c>
      <c r="B36" s="37" t="s">
        <v>44</v>
      </c>
      <c r="C36" s="8" t="s">
        <v>95</v>
      </c>
      <c r="D36" s="11">
        <f>SUM(1375+1355+1020+1503+1483+1440+1375+1415+1415+1463+1210)</f>
        <v>15054</v>
      </c>
      <c r="E36" s="11">
        <f>SUM(106+108+111+122+121+116+105+92+101+100+100)</f>
        <v>1182</v>
      </c>
      <c r="F36" s="12">
        <f>SUM(D36/E36)</f>
        <v>12.736040609137056</v>
      </c>
      <c r="G36" s="11">
        <v>11</v>
      </c>
      <c r="H36" s="11">
        <v>7</v>
      </c>
      <c r="I36" s="11"/>
      <c r="J36" s="11"/>
      <c r="K36" s="11"/>
      <c r="L36" s="11">
        <v>27.5</v>
      </c>
      <c r="M36" s="13"/>
    </row>
    <row r="37" spans="1:13" ht="18.75" x14ac:dyDescent="0.3">
      <c r="A37" s="3">
        <v>36</v>
      </c>
      <c r="B37" s="7" t="s">
        <v>30</v>
      </c>
      <c r="C37" s="7" t="s">
        <v>19</v>
      </c>
      <c r="D37" s="11">
        <f>SUM(1434+1354+1503+1495+1363+1374+1503+1443+1440)</f>
        <v>12909</v>
      </c>
      <c r="E37" s="11">
        <f>SUM(100+90+162+135+108+88+123+100+111)</f>
        <v>1017</v>
      </c>
      <c r="F37" s="12">
        <f>SUM(D37/E37)</f>
        <v>12.693215339233038</v>
      </c>
      <c r="G37" s="11">
        <v>9</v>
      </c>
      <c r="H37" s="11">
        <v>5</v>
      </c>
      <c r="I37" s="11"/>
      <c r="J37" s="11"/>
      <c r="K37" s="11"/>
      <c r="L37" s="11">
        <v>28</v>
      </c>
      <c r="M37" s="13"/>
    </row>
    <row r="38" spans="1:13" ht="18.75" x14ac:dyDescent="0.3">
      <c r="A38" s="3">
        <v>37</v>
      </c>
      <c r="B38" s="10" t="s">
        <v>52</v>
      </c>
      <c r="C38" s="7" t="s">
        <v>53</v>
      </c>
      <c r="D38" s="11">
        <f>SUM(1503+1413+1348+1220+1173+1417+1195+1350+1147+845)</f>
        <v>12611</v>
      </c>
      <c r="E38" s="11">
        <f>SUM(111+108+106+105+81+114+93+114+87+75)</f>
        <v>994</v>
      </c>
      <c r="F38" s="12">
        <f>SUM(D38/E38)</f>
        <v>12.687122736418511</v>
      </c>
      <c r="G38" s="11">
        <v>10</v>
      </c>
      <c r="H38" s="11">
        <v>1</v>
      </c>
      <c r="I38" s="11"/>
      <c r="J38" s="11"/>
      <c r="K38" s="11"/>
      <c r="L38" s="11">
        <v>8</v>
      </c>
      <c r="M38" s="13"/>
    </row>
    <row r="39" spans="1:13" ht="18.75" x14ac:dyDescent="0.3">
      <c r="A39" s="3">
        <v>38</v>
      </c>
      <c r="B39" s="10" t="s">
        <v>38</v>
      </c>
      <c r="C39" s="8" t="s">
        <v>28</v>
      </c>
      <c r="D39" s="11">
        <f>SUM(1503+1456+1500+1493+1179+1395+1495+1458+1492+1503)</f>
        <v>14474</v>
      </c>
      <c r="E39" s="11">
        <f>SUM(107+134+103+122+81+108+127+113+127+129)</f>
        <v>1151</v>
      </c>
      <c r="F39" s="12">
        <f>SUM(D39/E39)</f>
        <v>12.575152041702868</v>
      </c>
      <c r="G39" s="11">
        <v>10</v>
      </c>
      <c r="H39" s="11">
        <v>8</v>
      </c>
      <c r="I39" s="11"/>
      <c r="J39" s="11"/>
      <c r="K39" s="11"/>
      <c r="L39" s="11">
        <v>33</v>
      </c>
      <c r="M39" s="13"/>
    </row>
    <row r="40" spans="1:13" ht="18.75" x14ac:dyDescent="0.3">
      <c r="A40" s="3">
        <v>39</v>
      </c>
      <c r="B40" s="16" t="s">
        <v>40</v>
      </c>
      <c r="C40" s="4" t="s">
        <v>14</v>
      </c>
      <c r="D40" s="11">
        <f>SUM(1351+1493+1429+1206+1475+1484+1478+1387+1424+1353)</f>
        <v>14080</v>
      </c>
      <c r="E40" s="11">
        <f>SUM(100+138+96+96+129+115+149+96+99+103)</f>
        <v>1121</v>
      </c>
      <c r="F40" s="12">
        <f>SUM(D40/E40)</f>
        <v>12.560214094558431</v>
      </c>
      <c r="G40" s="11">
        <v>10</v>
      </c>
      <c r="H40" s="11">
        <v>3</v>
      </c>
      <c r="I40" s="11"/>
      <c r="J40" s="11"/>
      <c r="K40" s="11">
        <v>1</v>
      </c>
      <c r="L40" s="11">
        <v>28.5</v>
      </c>
      <c r="M40" s="13"/>
    </row>
    <row r="41" spans="1:13" ht="18.75" x14ac:dyDescent="0.3">
      <c r="A41" s="3">
        <v>40</v>
      </c>
      <c r="B41" s="16" t="s">
        <v>26</v>
      </c>
      <c r="C41" s="7" t="s">
        <v>19</v>
      </c>
      <c r="D41" s="11">
        <f>SUM(1480+1503+1495+1352+1496+1503+1501)</f>
        <v>10330</v>
      </c>
      <c r="E41" s="11">
        <f>SUM(128+118+124+108+107+120+119)</f>
        <v>824</v>
      </c>
      <c r="F41" s="12">
        <f>SUM(D41/E41)</f>
        <v>12.53640776699029</v>
      </c>
      <c r="G41" s="11">
        <v>7</v>
      </c>
      <c r="H41" s="11">
        <v>4</v>
      </c>
      <c r="I41" s="11"/>
      <c r="J41" s="11"/>
      <c r="K41" s="11"/>
      <c r="L41" s="11">
        <v>30.5</v>
      </c>
      <c r="M41" s="13"/>
    </row>
    <row r="42" spans="1:13" ht="18.75" x14ac:dyDescent="0.3">
      <c r="A42" s="3">
        <v>41</v>
      </c>
      <c r="B42" s="10" t="s">
        <v>29</v>
      </c>
      <c r="C42" s="7" t="s">
        <v>23</v>
      </c>
      <c r="D42" s="11">
        <f>SUM(1204+1459+1145+1498+1408+1456+1499+1480+1503)</f>
        <v>12652</v>
      </c>
      <c r="E42" s="11">
        <f>SUM(99+135+102+104+101+97+143+130+104)</f>
        <v>1015</v>
      </c>
      <c r="F42" s="12">
        <f>SUM(D42/E42)</f>
        <v>12.465024630541873</v>
      </c>
      <c r="G42" s="11">
        <v>9</v>
      </c>
      <c r="H42" s="11">
        <v>5</v>
      </c>
      <c r="I42" s="11"/>
      <c r="J42" s="11"/>
      <c r="K42" s="11"/>
      <c r="L42" s="11">
        <v>26.5</v>
      </c>
      <c r="M42" s="13"/>
    </row>
    <row r="43" spans="1:13" ht="18.75" x14ac:dyDescent="0.3">
      <c r="A43" s="3">
        <v>42</v>
      </c>
      <c r="B43" s="10" t="s">
        <v>50</v>
      </c>
      <c r="C43" s="7" t="s">
        <v>42</v>
      </c>
      <c r="D43" s="11">
        <f>SUM(1503+1083+1503+1401+1481+1497+1501+1196+1485+1363)</f>
        <v>14013</v>
      </c>
      <c r="E43" s="11">
        <f>SUM(137+81+126+109+117+135+149+91+99+92)</f>
        <v>1136</v>
      </c>
      <c r="F43" s="12">
        <f>SUM(D43/E43)</f>
        <v>12.335387323943662</v>
      </c>
      <c r="G43" s="11">
        <v>10</v>
      </c>
      <c r="H43" s="11">
        <v>5</v>
      </c>
      <c r="I43" s="11"/>
      <c r="J43" s="11"/>
      <c r="K43" s="11"/>
      <c r="L43" s="11">
        <v>31.5</v>
      </c>
      <c r="M43" s="13">
        <v>5</v>
      </c>
    </row>
    <row r="44" spans="1:13" ht="18.75" x14ac:dyDescent="0.3">
      <c r="A44" s="3">
        <v>43</v>
      </c>
      <c r="B44" s="16" t="s">
        <v>41</v>
      </c>
      <c r="C44" s="7" t="s">
        <v>28</v>
      </c>
      <c r="D44" s="11">
        <f>SUM(1487+1499+1483+1499+1503+1498+1463+1483+1483+1483+1237)</f>
        <v>16118</v>
      </c>
      <c r="E44" s="11">
        <f>SUM(120+141+99+139+108+105+106+118+142+113+117)</f>
        <v>1308</v>
      </c>
      <c r="F44" s="12">
        <f>SUM(D44/E44)</f>
        <v>12.32262996941896</v>
      </c>
      <c r="G44" s="11">
        <v>11</v>
      </c>
      <c r="H44" s="11">
        <v>9</v>
      </c>
      <c r="I44" s="11"/>
      <c r="J44" s="11"/>
      <c r="K44" s="11"/>
      <c r="L44" s="11">
        <v>36.5</v>
      </c>
      <c r="M44" s="13">
        <v>5</v>
      </c>
    </row>
    <row r="45" spans="1:13" ht="18.75" x14ac:dyDescent="0.3">
      <c r="A45" s="3">
        <v>44</v>
      </c>
      <c r="B45" s="16" t="s">
        <v>34</v>
      </c>
      <c r="C45" s="7" t="s">
        <v>32</v>
      </c>
      <c r="D45" s="11">
        <f>SUM(1204+1501+1396+1414+1498+1481+1501+1483+1481+1490+1503)</f>
        <v>15952</v>
      </c>
      <c r="E45" s="11">
        <f>SUM(88+140+97+90+105+117+158+129+130+138+108)</f>
        <v>1300</v>
      </c>
      <c r="F45" s="12">
        <f>SUM(D45/E45)</f>
        <v>12.270769230769231</v>
      </c>
      <c r="G45" s="11">
        <v>11</v>
      </c>
      <c r="H45" s="11">
        <v>6</v>
      </c>
      <c r="I45" s="11"/>
      <c r="J45" s="11"/>
      <c r="K45" s="11"/>
      <c r="L45" s="11">
        <v>39.5</v>
      </c>
      <c r="M45" s="13"/>
    </row>
    <row r="46" spans="1:13" ht="18.75" x14ac:dyDescent="0.3">
      <c r="A46" s="3">
        <v>45</v>
      </c>
      <c r="B46" s="16" t="s">
        <v>145</v>
      </c>
      <c r="C46" s="4" t="s">
        <v>23</v>
      </c>
      <c r="D46" s="11">
        <f>SUM(1173)</f>
        <v>1173</v>
      </c>
      <c r="E46" s="11">
        <f>SUM(96)</f>
        <v>96</v>
      </c>
      <c r="F46" s="12">
        <f>SUM(D46/E46)</f>
        <v>12.21875</v>
      </c>
      <c r="G46" s="11">
        <v>1</v>
      </c>
      <c r="H46" s="11"/>
      <c r="I46" s="11"/>
      <c r="J46" s="11"/>
      <c r="K46" s="11"/>
      <c r="L46" s="11"/>
      <c r="M46" s="13"/>
    </row>
    <row r="47" spans="1:13" ht="18.75" x14ac:dyDescent="0.3">
      <c r="A47" s="3">
        <v>46</v>
      </c>
      <c r="B47" s="16" t="s">
        <v>144</v>
      </c>
      <c r="C47" s="7" t="s">
        <v>53</v>
      </c>
      <c r="D47" s="11">
        <f>SUM(1244)</f>
        <v>1244</v>
      </c>
      <c r="E47" s="11">
        <f>SUM(102)</f>
        <v>102</v>
      </c>
      <c r="F47" s="12">
        <f>SUM(D47/E47)</f>
        <v>12.196078431372548</v>
      </c>
      <c r="G47" s="11">
        <v>1</v>
      </c>
      <c r="H47" s="11"/>
      <c r="I47" s="11"/>
      <c r="J47" s="11"/>
      <c r="K47" s="11"/>
      <c r="L47" s="11"/>
      <c r="M47" s="13"/>
    </row>
    <row r="48" spans="1:13" ht="18.75" x14ac:dyDescent="0.3">
      <c r="A48" s="3">
        <v>47</v>
      </c>
      <c r="B48" s="36" t="s">
        <v>58</v>
      </c>
      <c r="C48" s="4" t="s">
        <v>53</v>
      </c>
      <c r="D48" s="11">
        <f>SUM(1098+1207+1409+1390+1416+1444+1373+1009+1044+1057+1324)</f>
        <v>13771</v>
      </c>
      <c r="E48" s="11">
        <f>SUM(87+93+129+99+124+132+113+105+81+81+96)</f>
        <v>1140</v>
      </c>
      <c r="F48" s="12">
        <f>SUM(D48/E48)</f>
        <v>12.079824561403509</v>
      </c>
      <c r="G48" s="11">
        <v>11</v>
      </c>
      <c r="H48" s="11"/>
      <c r="I48" s="11"/>
      <c r="J48" s="11"/>
      <c r="K48" s="11"/>
      <c r="L48" s="11">
        <v>9</v>
      </c>
      <c r="M48" s="13"/>
    </row>
    <row r="49" spans="1:13" ht="18.75" x14ac:dyDescent="0.3">
      <c r="A49" s="3">
        <v>48</v>
      </c>
      <c r="B49" s="15" t="s">
        <v>63</v>
      </c>
      <c r="C49" s="4" t="s">
        <v>21</v>
      </c>
      <c r="D49" s="11">
        <f>SUM(1452+1495+1498+1503+1492+1410+1342)</f>
        <v>10192</v>
      </c>
      <c r="E49" s="11">
        <f>SUM(135+120+143+139+128+98+90)</f>
        <v>853</v>
      </c>
      <c r="F49" s="12">
        <f>SUM(D49/E49)</f>
        <v>11.948417350527549</v>
      </c>
      <c r="G49" s="11">
        <v>7</v>
      </c>
      <c r="H49" s="11">
        <v>3</v>
      </c>
      <c r="I49" s="11"/>
      <c r="J49" s="11"/>
      <c r="K49" s="11"/>
      <c r="L49" s="11">
        <v>20</v>
      </c>
      <c r="M49" s="13"/>
    </row>
    <row r="50" spans="1:13" ht="18.75" x14ac:dyDescent="0.3">
      <c r="A50" s="3">
        <v>49</v>
      </c>
      <c r="B50" s="15" t="s">
        <v>158</v>
      </c>
      <c r="C50" s="17" t="s">
        <v>14</v>
      </c>
      <c r="D50" s="11">
        <f>SUM(1479)</f>
        <v>1479</v>
      </c>
      <c r="E50" s="11">
        <f>SUM(125)</f>
        <v>125</v>
      </c>
      <c r="F50" s="12">
        <f>SUM(D50/E50)</f>
        <v>11.832000000000001</v>
      </c>
      <c r="G50" s="11">
        <v>1</v>
      </c>
      <c r="H50" s="11"/>
      <c r="I50" s="11"/>
      <c r="J50" s="11"/>
      <c r="K50" s="11"/>
      <c r="L50" s="11">
        <v>2.5</v>
      </c>
      <c r="M50" s="13"/>
    </row>
    <row r="51" spans="1:13" ht="18.75" x14ac:dyDescent="0.3">
      <c r="A51" s="3">
        <v>50</v>
      </c>
      <c r="B51" s="15" t="s">
        <v>60</v>
      </c>
      <c r="C51" s="4" t="s">
        <v>47</v>
      </c>
      <c r="D51" s="11">
        <f>SUM(1477+1291+1469+1471+1480+1218+1331+1359+1415+1473+1464)</f>
        <v>15448</v>
      </c>
      <c r="E51" s="11">
        <f>SUM(126+87+136+98+131+94+111+114+114+146+162)</f>
        <v>1319</v>
      </c>
      <c r="F51" s="12">
        <f>SUM(D51/E51)</f>
        <v>11.711902956785444</v>
      </c>
      <c r="G51" s="11">
        <v>11</v>
      </c>
      <c r="H51" s="11">
        <v>1</v>
      </c>
      <c r="I51" s="11"/>
      <c r="J51" s="11"/>
      <c r="K51" s="11"/>
      <c r="L51" s="11">
        <v>22.5</v>
      </c>
      <c r="M51" s="13"/>
    </row>
    <row r="52" spans="1:13" ht="18.75" x14ac:dyDescent="0.3">
      <c r="A52" s="3">
        <v>51</v>
      </c>
      <c r="B52" s="4" t="s">
        <v>143</v>
      </c>
      <c r="C52" s="4" t="s">
        <v>53</v>
      </c>
      <c r="D52" s="11">
        <f>SUM(1312)</f>
        <v>1312</v>
      </c>
      <c r="E52" s="11">
        <f>SUM(113)</f>
        <v>113</v>
      </c>
      <c r="F52" s="12">
        <f>SUM(D52/E52)</f>
        <v>11.610619469026549</v>
      </c>
      <c r="G52" s="11">
        <v>1</v>
      </c>
      <c r="H52" s="11"/>
      <c r="I52" s="11"/>
      <c r="J52" s="11"/>
      <c r="K52" s="11"/>
      <c r="L52" s="11">
        <v>1</v>
      </c>
      <c r="M52" s="13"/>
    </row>
    <row r="53" spans="1:13" ht="18.75" x14ac:dyDescent="0.3">
      <c r="A53" s="3">
        <v>52</v>
      </c>
      <c r="B53" s="4" t="s">
        <v>125</v>
      </c>
      <c r="C53" s="4" t="s">
        <v>53</v>
      </c>
      <c r="D53" s="11">
        <f>SUM(1341)</f>
        <v>1341</v>
      </c>
      <c r="E53" s="11">
        <f>SUM(117)</f>
        <v>117</v>
      </c>
      <c r="F53" s="12">
        <f>SUM(D53/E53)</f>
        <v>11.461538461538462</v>
      </c>
      <c r="G53" s="11">
        <v>1</v>
      </c>
      <c r="H53" s="11"/>
      <c r="I53" s="11"/>
      <c r="J53" s="11"/>
      <c r="K53" s="11"/>
      <c r="L53" s="11"/>
      <c r="M53" s="13"/>
    </row>
    <row r="54" spans="1:13" ht="18.75" x14ac:dyDescent="0.3">
      <c r="A54" s="3">
        <v>53</v>
      </c>
      <c r="B54" s="15" t="s">
        <v>59</v>
      </c>
      <c r="C54" s="4" t="s">
        <v>53</v>
      </c>
      <c r="D54" s="11">
        <f>SUM(1368+1501+1274)</f>
        <v>4143</v>
      </c>
      <c r="E54" s="11">
        <f>SUM(122+148+96)</f>
        <v>366</v>
      </c>
      <c r="F54" s="12">
        <f>SUM(D54/E54)</f>
        <v>11.319672131147541</v>
      </c>
      <c r="G54" s="11">
        <v>3</v>
      </c>
      <c r="H54" s="11">
        <v>2</v>
      </c>
      <c r="I54" s="11"/>
      <c r="J54" s="11"/>
      <c r="K54" s="11"/>
      <c r="L54" s="11">
        <v>6.5</v>
      </c>
      <c r="M54" s="13"/>
    </row>
    <row r="55" spans="1:13" ht="18.75" x14ac:dyDescent="0.3">
      <c r="A55" s="3">
        <v>54</v>
      </c>
      <c r="B55" s="15" t="s">
        <v>109</v>
      </c>
      <c r="C55" s="17" t="s">
        <v>53</v>
      </c>
      <c r="D55" s="11">
        <f>SUM(496+1498+1461+1497+1433+1359+1474+1409)</f>
        <v>10627</v>
      </c>
      <c r="E55" s="11">
        <f>SUM(45+156+130+134+114+102+147+112)</f>
        <v>940</v>
      </c>
      <c r="F55" s="12">
        <f>SUM(D55/E55)</f>
        <v>11.305319148936171</v>
      </c>
      <c r="G55" s="11">
        <v>8</v>
      </c>
      <c r="H55" s="11">
        <v>2</v>
      </c>
      <c r="I55" s="11"/>
      <c r="J55" s="11"/>
      <c r="K55" s="11"/>
      <c r="L55" s="11">
        <v>14.5</v>
      </c>
      <c r="M55" s="13"/>
    </row>
    <row r="56" spans="1:13" ht="18.75" x14ac:dyDescent="0.3">
      <c r="A56" s="3">
        <v>55</v>
      </c>
      <c r="B56" s="15" t="s">
        <v>102</v>
      </c>
      <c r="C56" s="17" t="s">
        <v>21</v>
      </c>
      <c r="D56" s="11">
        <f>SUM(1467)</f>
        <v>1467</v>
      </c>
      <c r="E56" s="11">
        <f>SUM(130)</f>
        <v>130</v>
      </c>
      <c r="F56" s="12">
        <f>SUM(D56/E56)</f>
        <v>11.284615384615385</v>
      </c>
      <c r="G56" s="11">
        <v>1</v>
      </c>
      <c r="H56" s="11">
        <v>1</v>
      </c>
      <c r="I56" s="11"/>
      <c r="J56" s="11"/>
      <c r="K56" s="11"/>
      <c r="L56" s="11">
        <v>4</v>
      </c>
      <c r="M56" s="13"/>
    </row>
    <row r="57" spans="1:13" ht="18.75" x14ac:dyDescent="0.3">
      <c r="A57" s="3">
        <v>56</v>
      </c>
      <c r="B57" s="4" t="s">
        <v>56</v>
      </c>
      <c r="C57" s="4" t="s">
        <v>95</v>
      </c>
      <c r="D57" s="11">
        <f>SUM(1248+1064+1400+1411+1387+1347+1413+1320+1224)</f>
        <v>11814</v>
      </c>
      <c r="E57" s="11">
        <f>SUM(105+84+133+141+150+112+108+117+113)</f>
        <v>1063</v>
      </c>
      <c r="F57" s="12">
        <f>SUM(D57/E57)</f>
        <v>11.113828786453434</v>
      </c>
      <c r="G57" s="11">
        <v>9</v>
      </c>
      <c r="H57" s="11"/>
      <c r="I57" s="11"/>
      <c r="J57" s="11"/>
      <c r="K57" s="11"/>
      <c r="L57" s="11">
        <v>11.5</v>
      </c>
      <c r="M57" s="13"/>
    </row>
    <row r="58" spans="1:13" ht="18.75" x14ac:dyDescent="0.3">
      <c r="A58" s="3">
        <v>57</v>
      </c>
      <c r="B58" s="4" t="s">
        <v>51</v>
      </c>
      <c r="C58" s="7" t="s">
        <v>14</v>
      </c>
      <c r="D58" s="11">
        <f>SUM(1394+1122+1067+1482+1376+1498+1402+1456)</f>
        <v>10797</v>
      </c>
      <c r="E58" s="11">
        <f>SUM(93+86+81+162+144+145+150+125)</f>
        <v>986</v>
      </c>
      <c r="F58" s="12">
        <f>SUM(D58/E58)</f>
        <v>10.950304259634889</v>
      </c>
      <c r="G58" s="11">
        <v>8</v>
      </c>
      <c r="H58" s="11">
        <v>1</v>
      </c>
      <c r="I58" s="11"/>
      <c r="J58" s="11"/>
      <c r="K58" s="11"/>
      <c r="L58" s="11">
        <v>15.5</v>
      </c>
      <c r="M58" s="13"/>
    </row>
    <row r="59" spans="1:13" ht="18.75" x14ac:dyDescent="0.3">
      <c r="A59" s="3">
        <v>58</v>
      </c>
      <c r="B59" s="15" t="s">
        <v>112</v>
      </c>
      <c r="C59" s="4" t="s">
        <v>95</v>
      </c>
      <c r="D59" s="11">
        <f>SUM(1150+1237+1485+1478+1185)</f>
        <v>6535</v>
      </c>
      <c r="E59" s="11">
        <f>SUM(90+108+153+148+99)</f>
        <v>598</v>
      </c>
      <c r="F59" s="12">
        <f>SUM(D59/E59)</f>
        <v>10.92809364548495</v>
      </c>
      <c r="G59" s="11">
        <v>5</v>
      </c>
      <c r="H59" s="11">
        <v>1</v>
      </c>
      <c r="I59" s="11"/>
      <c r="J59" s="11"/>
      <c r="K59" s="11"/>
      <c r="L59" s="11">
        <v>8.5</v>
      </c>
      <c r="M59" s="13"/>
    </row>
    <row r="60" spans="1:13" ht="18.75" x14ac:dyDescent="0.3">
      <c r="A60" s="3">
        <v>59</v>
      </c>
      <c r="B60" s="4" t="s">
        <v>166</v>
      </c>
      <c r="C60" s="58" t="s">
        <v>42</v>
      </c>
      <c r="D60" s="11">
        <f>SUM(1309)</f>
        <v>1309</v>
      </c>
      <c r="E60" s="11">
        <f>SUM(120)</f>
        <v>120</v>
      </c>
      <c r="F60" s="12">
        <f>SUM(D60/E60)</f>
        <v>10.908333333333333</v>
      </c>
      <c r="G60" s="11">
        <v>1</v>
      </c>
      <c r="H60" s="11"/>
      <c r="I60" s="11"/>
      <c r="J60" s="11"/>
      <c r="K60" s="11"/>
      <c r="L60" s="11">
        <v>0.5</v>
      </c>
      <c r="M60" s="13"/>
    </row>
    <row r="61" spans="1:13" ht="18.75" x14ac:dyDescent="0.3">
      <c r="A61" s="3">
        <v>60</v>
      </c>
      <c r="B61" s="15" t="s">
        <v>94</v>
      </c>
      <c r="C61" s="4" t="s">
        <v>42</v>
      </c>
      <c r="D61" s="11">
        <f>SUM(1484+1490+1474+1452+1499+1435+1499+1463+1469+1503+1254)</f>
        <v>16022</v>
      </c>
      <c r="E61" s="11">
        <f>SUM(126+139+150+165+106+132+146+114+150+135+108)</f>
        <v>1471</v>
      </c>
      <c r="F61" s="12">
        <f>SUM(D61/E61)</f>
        <v>10.891910265125764</v>
      </c>
      <c r="G61" s="11">
        <v>11</v>
      </c>
      <c r="H61" s="11">
        <v>4</v>
      </c>
      <c r="I61" s="11"/>
      <c r="J61" s="11"/>
      <c r="K61" s="11"/>
      <c r="L61" s="11">
        <v>33.5</v>
      </c>
      <c r="M61" s="13"/>
    </row>
    <row r="62" spans="1:13" ht="18.75" x14ac:dyDescent="0.3">
      <c r="A62" s="3">
        <v>61</v>
      </c>
      <c r="B62" s="4" t="s">
        <v>54</v>
      </c>
      <c r="C62" s="7" t="s">
        <v>47</v>
      </c>
      <c r="D62" s="11">
        <f>SUM(1478+1353+1503+1472+1448+1079+1478+1286+1374)</f>
        <v>12471</v>
      </c>
      <c r="E62" s="11">
        <f>SUM(126+139+133+123+135+93+143+117+144)</f>
        <v>1153</v>
      </c>
      <c r="F62" s="12">
        <f>SUM(D62/E62)</f>
        <v>10.816131830008674</v>
      </c>
      <c r="G62" s="11">
        <v>9</v>
      </c>
      <c r="H62" s="11">
        <v>3</v>
      </c>
      <c r="I62" s="11"/>
      <c r="J62" s="11"/>
      <c r="K62" s="11"/>
      <c r="L62" s="11">
        <v>20.5</v>
      </c>
      <c r="M62" s="13"/>
    </row>
    <row r="63" spans="1:13" ht="18.75" x14ac:dyDescent="0.3">
      <c r="A63" s="3">
        <v>62</v>
      </c>
      <c r="B63" s="4" t="s">
        <v>124</v>
      </c>
      <c r="C63" s="7" t="s">
        <v>28</v>
      </c>
      <c r="D63" s="11">
        <f>SUM(1416)</f>
        <v>1416</v>
      </c>
      <c r="E63" s="11">
        <f>SUM(132)</f>
        <v>132</v>
      </c>
      <c r="F63" s="12">
        <f>SUM(D63/E63)</f>
        <v>10.727272727272727</v>
      </c>
      <c r="G63" s="11">
        <v>1</v>
      </c>
      <c r="H63" s="11"/>
      <c r="I63" s="11"/>
      <c r="J63" s="11"/>
      <c r="K63" s="11"/>
      <c r="L63" s="11">
        <v>1</v>
      </c>
      <c r="M63" s="13"/>
    </row>
    <row r="64" spans="1:13" ht="18.75" x14ac:dyDescent="0.3">
      <c r="A64" s="3">
        <v>63</v>
      </c>
      <c r="B64" s="4" t="s">
        <v>165</v>
      </c>
      <c r="C64" s="7" t="s">
        <v>14</v>
      </c>
      <c r="D64" s="11">
        <f>SUM(1486)</f>
        <v>1486</v>
      </c>
      <c r="E64" s="11">
        <f>SUM(139)</f>
        <v>139</v>
      </c>
      <c r="F64" s="12">
        <f>SUM(D64/E64)</f>
        <v>10.690647482014388</v>
      </c>
      <c r="G64" s="11">
        <v>1</v>
      </c>
      <c r="H64" s="11">
        <v>1</v>
      </c>
      <c r="I64" s="11"/>
      <c r="J64" s="11"/>
      <c r="K64" s="11"/>
      <c r="L64" s="11">
        <v>3.5</v>
      </c>
      <c r="M64" s="13"/>
    </row>
    <row r="65" spans="1:18" ht="18.75" x14ac:dyDescent="0.3">
      <c r="A65" s="3">
        <v>64</v>
      </c>
      <c r="B65" s="4" t="s">
        <v>118</v>
      </c>
      <c r="C65" s="4" t="s">
        <v>42</v>
      </c>
      <c r="D65" s="11">
        <f>SUM(1477+1499+1258)</f>
        <v>4234</v>
      </c>
      <c r="E65" s="11">
        <f>SUM(152+138+111)</f>
        <v>401</v>
      </c>
      <c r="F65" s="12">
        <f>SUM(D65/E65)</f>
        <v>10.558603491271821</v>
      </c>
      <c r="G65" s="11">
        <v>3</v>
      </c>
      <c r="H65" s="11">
        <v>2</v>
      </c>
      <c r="I65" s="11"/>
      <c r="J65" s="11"/>
      <c r="K65" s="11"/>
      <c r="L65" s="11">
        <v>8</v>
      </c>
      <c r="M65" s="13"/>
    </row>
    <row r="66" spans="1:18" ht="18.75" x14ac:dyDescent="0.3">
      <c r="A66" s="3">
        <v>65</v>
      </c>
      <c r="B66" s="15" t="s">
        <v>55</v>
      </c>
      <c r="C66" s="7" t="s">
        <v>53</v>
      </c>
      <c r="D66" s="11">
        <f>SUM(1363+1275+1471+1473+1503+1072+1459+1448)</f>
        <v>11064</v>
      </c>
      <c r="E66" s="11">
        <f>SUM(123+117+156+148+117+87+131+174)</f>
        <v>1053</v>
      </c>
      <c r="F66" s="12">
        <f>SUM(D66/E66)</f>
        <v>10.507122507122507</v>
      </c>
      <c r="G66" s="11">
        <v>8</v>
      </c>
      <c r="H66" s="11">
        <v>3</v>
      </c>
      <c r="I66" s="11"/>
      <c r="J66" s="11"/>
      <c r="K66" s="11"/>
      <c r="L66" s="11">
        <v>16</v>
      </c>
      <c r="M66" s="13"/>
    </row>
    <row r="67" spans="1:18" ht="18.75" x14ac:dyDescent="0.3">
      <c r="A67" s="3">
        <v>66</v>
      </c>
      <c r="B67" s="15" t="s">
        <v>110</v>
      </c>
      <c r="C67" s="7" t="s">
        <v>21</v>
      </c>
      <c r="D67" s="11">
        <f>SUM(1250+1503+1491+1315+1503)</f>
        <v>7062</v>
      </c>
      <c r="E67" s="11">
        <f>SUM(109+145+155+119+159)</f>
        <v>687</v>
      </c>
      <c r="F67" s="12">
        <f>SUM(D67/E67)</f>
        <v>10.279475982532752</v>
      </c>
      <c r="G67" s="11">
        <v>5</v>
      </c>
      <c r="H67" s="11">
        <v>3</v>
      </c>
      <c r="I67" s="11"/>
      <c r="J67" s="11"/>
      <c r="K67" s="11"/>
      <c r="L67" s="11">
        <v>14</v>
      </c>
      <c r="M67" s="13"/>
    </row>
    <row r="68" spans="1:18" ht="18.75" x14ac:dyDescent="0.3">
      <c r="A68" s="3">
        <v>67</v>
      </c>
      <c r="B68" s="15" t="s">
        <v>130</v>
      </c>
      <c r="C68" s="7" t="s">
        <v>14</v>
      </c>
      <c r="D68" s="11">
        <f>SUM(1489+1487+1493)</f>
        <v>4469</v>
      </c>
      <c r="E68" s="11">
        <f>SUM(134+150+161)</f>
        <v>445</v>
      </c>
      <c r="F68" s="12">
        <f>SUM(D68/E68)</f>
        <v>10.042696629213482</v>
      </c>
      <c r="G68" s="11">
        <v>3</v>
      </c>
      <c r="H68" s="11">
        <v>3</v>
      </c>
      <c r="I68" s="11"/>
      <c r="J68" s="11"/>
      <c r="K68" s="11"/>
      <c r="L68" s="11">
        <v>11</v>
      </c>
      <c r="M68" s="13"/>
    </row>
    <row r="69" spans="1:18" ht="18.75" x14ac:dyDescent="0.3">
      <c r="A69" s="3">
        <v>68</v>
      </c>
      <c r="B69" s="15" t="s">
        <v>97</v>
      </c>
      <c r="C69" s="7" t="s">
        <v>47</v>
      </c>
      <c r="D69" s="11">
        <f>SUM(1376+1488)</f>
        <v>2864</v>
      </c>
      <c r="E69" s="11">
        <f>SUM(138+171)</f>
        <v>309</v>
      </c>
      <c r="F69" s="12">
        <f>SUM(D69/E69)</f>
        <v>9.2686084142394822</v>
      </c>
      <c r="G69" s="11">
        <v>2</v>
      </c>
      <c r="H69" s="11"/>
      <c r="I69" s="11"/>
      <c r="J69" s="11"/>
      <c r="K69" s="11"/>
      <c r="L69" s="11">
        <v>5</v>
      </c>
      <c r="M69" s="13"/>
    </row>
    <row r="70" spans="1:18" ht="18.75" x14ac:dyDescent="0.3">
      <c r="A70" s="3">
        <v>69</v>
      </c>
      <c r="B70" s="4" t="s">
        <v>142</v>
      </c>
      <c r="C70" s="4" t="s">
        <v>53</v>
      </c>
      <c r="D70" s="11">
        <f>SUM(1376)</f>
        <v>1376</v>
      </c>
      <c r="E70" s="11">
        <f>SUM(157)</f>
        <v>157</v>
      </c>
      <c r="F70" s="12">
        <f>SUM(D70/E70)</f>
        <v>8.7643312101910826</v>
      </c>
      <c r="G70" s="11">
        <v>1</v>
      </c>
      <c r="H70" s="11"/>
      <c r="I70" s="11"/>
      <c r="J70" s="11"/>
      <c r="K70" s="11"/>
      <c r="L70" s="11"/>
      <c r="M70" s="13"/>
    </row>
    <row r="71" spans="1:18" ht="18.75" x14ac:dyDescent="0.3">
      <c r="A71" s="3">
        <v>70</v>
      </c>
      <c r="B71" s="21" t="s">
        <v>164</v>
      </c>
      <c r="C71" s="14" t="s">
        <v>23</v>
      </c>
      <c r="D71" s="11">
        <f>SUM(1284)</f>
        <v>1284</v>
      </c>
      <c r="E71" s="11">
        <f>SUM(153)</f>
        <v>153</v>
      </c>
      <c r="F71" s="12">
        <f>SUM(D71/E71)</f>
        <v>8.3921568627450984</v>
      </c>
      <c r="G71" s="11">
        <v>1</v>
      </c>
      <c r="H71" s="11"/>
      <c r="I71" s="11"/>
      <c r="J71" s="11"/>
      <c r="K71" s="11"/>
      <c r="L71" s="11">
        <v>1</v>
      </c>
      <c r="M71" s="13"/>
    </row>
    <row r="72" spans="1:18" ht="17.25" customHeight="1" thickBot="1" x14ac:dyDescent="0.3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8" ht="19.5" customHeight="1" thickBot="1" x14ac:dyDescent="0.35">
      <c r="A73" s="5"/>
      <c r="B73" s="39" t="s">
        <v>163</v>
      </c>
      <c r="C73" s="27" t="s">
        <v>65</v>
      </c>
      <c r="D73" s="28" t="s">
        <v>66</v>
      </c>
      <c r="E73" s="29" t="s">
        <v>67</v>
      </c>
      <c r="F73" s="20" t="s">
        <v>91</v>
      </c>
      <c r="G73" s="30" t="s">
        <v>68</v>
      </c>
      <c r="I73" s="50" t="s">
        <v>69</v>
      </c>
      <c r="J73" s="51"/>
      <c r="K73" s="51"/>
      <c r="L73" s="51"/>
      <c r="M73" s="51"/>
      <c r="N73" s="51"/>
      <c r="O73" s="51"/>
      <c r="P73" s="51"/>
      <c r="Q73" s="51"/>
      <c r="R73" s="52"/>
    </row>
    <row r="74" spans="1:18" ht="18.75" x14ac:dyDescent="0.3">
      <c r="A74" s="5"/>
      <c r="B74" s="40"/>
      <c r="C74" s="17" t="s">
        <v>82</v>
      </c>
      <c r="D74" s="7">
        <v>11</v>
      </c>
      <c r="E74" s="22">
        <v>0</v>
      </c>
      <c r="F74" s="15"/>
      <c r="G74" s="23">
        <v>189</v>
      </c>
      <c r="I74" s="42" t="s">
        <v>70</v>
      </c>
      <c r="J74" s="43"/>
      <c r="K74" s="43"/>
      <c r="L74" s="43"/>
      <c r="M74" s="43"/>
      <c r="N74" s="53" t="s">
        <v>122</v>
      </c>
      <c r="O74" s="53"/>
      <c r="P74" s="53"/>
      <c r="Q74" s="53"/>
      <c r="R74" s="54"/>
    </row>
    <row r="75" spans="1:18" ht="18.75" x14ac:dyDescent="0.3">
      <c r="A75" s="5"/>
      <c r="B75" s="40"/>
      <c r="C75" s="17" t="s">
        <v>77</v>
      </c>
      <c r="D75" s="7">
        <v>9</v>
      </c>
      <c r="E75" s="22">
        <v>2</v>
      </c>
      <c r="F75" s="15"/>
      <c r="G75" s="23">
        <v>165</v>
      </c>
      <c r="I75" s="44" t="s">
        <v>72</v>
      </c>
      <c r="J75" s="45"/>
      <c r="K75" s="45"/>
      <c r="L75" s="45"/>
      <c r="M75" s="45"/>
      <c r="N75" s="48" t="s">
        <v>162</v>
      </c>
      <c r="O75" s="48"/>
      <c r="P75" s="48"/>
      <c r="Q75" s="48"/>
      <c r="R75" s="49"/>
    </row>
    <row r="76" spans="1:18" ht="18.75" x14ac:dyDescent="0.3">
      <c r="A76" s="5"/>
      <c r="B76" s="40"/>
      <c r="C76" s="18" t="s">
        <v>83</v>
      </c>
      <c r="D76" s="9">
        <v>8</v>
      </c>
      <c r="E76" s="10">
        <v>3</v>
      </c>
      <c r="F76" s="15"/>
      <c r="G76" s="18">
        <v>148</v>
      </c>
      <c r="I76" s="44" t="s">
        <v>74</v>
      </c>
      <c r="J76" s="45"/>
      <c r="K76" s="45"/>
      <c r="L76" s="45"/>
      <c r="M76" s="45"/>
      <c r="N76" s="48" t="s">
        <v>160</v>
      </c>
      <c r="O76" s="48"/>
      <c r="P76" s="48"/>
      <c r="Q76" s="48"/>
      <c r="R76" s="49"/>
    </row>
    <row r="77" spans="1:18" ht="18.75" x14ac:dyDescent="0.3">
      <c r="A77" s="6"/>
      <c r="B77" s="40"/>
      <c r="C77" s="17" t="s">
        <v>71</v>
      </c>
      <c r="D77" s="7">
        <v>7</v>
      </c>
      <c r="E77" s="16">
        <v>4</v>
      </c>
      <c r="F77" s="15"/>
      <c r="G77" s="17">
        <v>152</v>
      </c>
      <c r="I77" s="44" t="s">
        <v>76</v>
      </c>
      <c r="J77" s="45"/>
      <c r="K77" s="45"/>
      <c r="L77" s="45"/>
      <c r="M77" s="45"/>
      <c r="N77" s="48" t="s">
        <v>161</v>
      </c>
      <c r="O77" s="48"/>
      <c r="P77" s="48"/>
      <c r="Q77" s="48"/>
      <c r="R77" s="49"/>
    </row>
    <row r="78" spans="1:18" ht="18" customHeight="1" x14ac:dyDescent="0.3">
      <c r="A78" s="6"/>
      <c r="B78" s="40"/>
      <c r="C78" s="17" t="s">
        <v>85</v>
      </c>
      <c r="D78" s="7">
        <v>7</v>
      </c>
      <c r="E78" s="22">
        <v>4</v>
      </c>
      <c r="F78" s="15"/>
      <c r="G78" s="23">
        <v>152</v>
      </c>
      <c r="I78" s="44" t="s">
        <v>78</v>
      </c>
      <c r="J78" s="45"/>
      <c r="K78" s="45"/>
      <c r="L78" s="45"/>
      <c r="M78" s="45"/>
      <c r="N78" s="48" t="s">
        <v>160</v>
      </c>
      <c r="O78" s="48"/>
      <c r="P78" s="48"/>
      <c r="Q78" s="48"/>
      <c r="R78" s="49"/>
    </row>
    <row r="79" spans="1:18" ht="18" customHeight="1" thickBot="1" x14ac:dyDescent="0.35">
      <c r="A79" s="6"/>
      <c r="B79" s="40"/>
      <c r="C79" s="18" t="s">
        <v>79</v>
      </c>
      <c r="D79" s="9">
        <v>5</v>
      </c>
      <c r="E79" s="10">
        <v>6</v>
      </c>
      <c r="F79" s="15"/>
      <c r="G79" s="18">
        <v>138</v>
      </c>
      <c r="I79" s="46" t="s">
        <v>80</v>
      </c>
      <c r="J79" s="47"/>
      <c r="K79" s="47"/>
      <c r="L79" s="47"/>
      <c r="M79" s="47"/>
      <c r="N79" s="48" t="s">
        <v>119</v>
      </c>
      <c r="O79" s="48"/>
      <c r="P79" s="48"/>
      <c r="Q79" s="48"/>
      <c r="R79" s="49"/>
    </row>
    <row r="80" spans="1:18" ht="18.75" x14ac:dyDescent="0.3">
      <c r="A80" s="6"/>
      <c r="B80" s="40"/>
      <c r="C80" s="17" t="s">
        <v>75</v>
      </c>
      <c r="D80" s="7">
        <v>4</v>
      </c>
      <c r="E80" s="22">
        <v>7</v>
      </c>
      <c r="F80" s="15"/>
      <c r="G80" s="23">
        <v>130</v>
      </c>
      <c r="H80" s="6"/>
      <c r="I80" s="6"/>
    </row>
    <row r="81" spans="1:8" ht="18.75" x14ac:dyDescent="0.3">
      <c r="A81" s="6"/>
      <c r="B81" s="40"/>
      <c r="C81" s="17" t="s">
        <v>81</v>
      </c>
      <c r="D81" s="7">
        <v>4</v>
      </c>
      <c r="E81" s="16">
        <v>7</v>
      </c>
      <c r="F81" s="15"/>
      <c r="G81" s="17">
        <v>123</v>
      </c>
      <c r="H81" s="6"/>
    </row>
    <row r="82" spans="1:8" ht="18.75" x14ac:dyDescent="0.3">
      <c r="B82" s="40"/>
      <c r="C82" s="18" t="s">
        <v>86</v>
      </c>
      <c r="D82" s="9">
        <v>4</v>
      </c>
      <c r="E82" s="10">
        <v>7</v>
      </c>
      <c r="F82" s="15"/>
      <c r="G82" s="18">
        <v>120</v>
      </c>
    </row>
    <row r="83" spans="1:8" ht="18.75" x14ac:dyDescent="0.3">
      <c r="B83" s="40"/>
      <c r="C83" s="17" t="s">
        <v>73</v>
      </c>
      <c r="D83" s="7">
        <v>4</v>
      </c>
      <c r="E83" s="22">
        <v>7</v>
      </c>
      <c r="F83" s="15"/>
      <c r="G83" s="23">
        <v>109</v>
      </c>
    </row>
    <row r="84" spans="1:8" ht="18.75" x14ac:dyDescent="0.3">
      <c r="B84" s="40"/>
      <c r="C84" s="19" t="s">
        <v>101</v>
      </c>
      <c r="D84" s="14">
        <v>3</v>
      </c>
      <c r="E84" s="21">
        <v>8</v>
      </c>
      <c r="F84" s="26"/>
      <c r="G84" s="19">
        <v>103</v>
      </c>
    </row>
    <row r="85" spans="1:8" ht="19.5" thickBot="1" x14ac:dyDescent="0.35">
      <c r="B85" s="41"/>
      <c r="C85" s="18" t="s">
        <v>84</v>
      </c>
      <c r="D85" s="9">
        <v>0</v>
      </c>
      <c r="E85" s="10">
        <v>11</v>
      </c>
      <c r="F85" s="15"/>
      <c r="G85" s="18">
        <v>55</v>
      </c>
    </row>
    <row r="86" spans="1:8" ht="15.75" thickBot="1" x14ac:dyDescent="0.3"/>
    <row r="87" spans="1:8" ht="19.5" thickBot="1" x14ac:dyDescent="0.35">
      <c r="C87" s="27" t="s">
        <v>87</v>
      </c>
      <c r="D87" s="28" t="s">
        <v>66</v>
      </c>
      <c r="E87" s="28" t="s">
        <v>67</v>
      </c>
      <c r="F87" s="20" t="s">
        <v>91</v>
      </c>
      <c r="G87" s="31" t="s">
        <v>68</v>
      </c>
    </row>
    <row r="88" spans="1:8" ht="18.75" x14ac:dyDescent="0.3">
      <c r="C88" s="14" t="s">
        <v>82</v>
      </c>
      <c r="D88" s="14">
        <v>11</v>
      </c>
      <c r="E88" s="24">
        <v>0</v>
      </c>
      <c r="F88" s="15"/>
      <c r="G88" s="25">
        <v>189</v>
      </c>
    </row>
    <row r="89" spans="1:8" ht="18.75" x14ac:dyDescent="0.3">
      <c r="C89" s="7" t="s">
        <v>77</v>
      </c>
      <c r="D89" s="7">
        <v>9</v>
      </c>
      <c r="E89" s="22">
        <v>2</v>
      </c>
      <c r="F89" s="15"/>
      <c r="G89" s="23">
        <v>165</v>
      </c>
    </row>
    <row r="90" spans="1:8" ht="18.75" x14ac:dyDescent="0.3">
      <c r="C90" s="14" t="s">
        <v>71</v>
      </c>
      <c r="D90" s="14">
        <v>7</v>
      </c>
      <c r="E90" s="21">
        <v>4</v>
      </c>
      <c r="F90" s="26"/>
      <c r="G90" s="19">
        <v>152</v>
      </c>
    </row>
    <row r="91" spans="1:8" ht="18.75" x14ac:dyDescent="0.3">
      <c r="C91" s="14" t="s">
        <v>75</v>
      </c>
      <c r="D91" s="14">
        <v>4</v>
      </c>
      <c r="E91" s="24">
        <v>7</v>
      </c>
      <c r="F91" s="26"/>
      <c r="G91" s="25">
        <v>130</v>
      </c>
    </row>
    <row r="92" spans="1:8" ht="15.75" thickBot="1" x14ac:dyDescent="0.3"/>
    <row r="93" spans="1:8" ht="19.5" thickBot="1" x14ac:dyDescent="0.35">
      <c r="C93" s="27" t="s">
        <v>88</v>
      </c>
      <c r="D93" s="28" t="s">
        <v>66</v>
      </c>
      <c r="E93" s="28" t="s">
        <v>67</v>
      </c>
      <c r="F93" s="20" t="s">
        <v>91</v>
      </c>
      <c r="G93" s="31" t="s">
        <v>68</v>
      </c>
    </row>
    <row r="94" spans="1:8" ht="18.75" x14ac:dyDescent="0.3">
      <c r="C94" s="9" t="s">
        <v>83</v>
      </c>
      <c r="D94" s="9">
        <v>8</v>
      </c>
      <c r="E94" s="10">
        <v>3</v>
      </c>
      <c r="F94" s="15"/>
      <c r="G94" s="18">
        <v>148</v>
      </c>
    </row>
    <row r="95" spans="1:8" ht="18.75" x14ac:dyDescent="0.3">
      <c r="C95" s="7" t="s">
        <v>85</v>
      </c>
      <c r="D95" s="7">
        <v>7</v>
      </c>
      <c r="E95" s="22">
        <v>4</v>
      </c>
      <c r="F95" s="15"/>
      <c r="G95" s="23">
        <v>152</v>
      </c>
    </row>
    <row r="96" spans="1:8" ht="18.75" x14ac:dyDescent="0.3">
      <c r="C96" s="9" t="s">
        <v>79</v>
      </c>
      <c r="D96" s="9">
        <v>5</v>
      </c>
      <c r="E96" s="10">
        <v>6</v>
      </c>
      <c r="F96" s="15"/>
      <c r="G96" s="18">
        <v>138</v>
      </c>
    </row>
    <row r="97" spans="3:7" ht="18.75" x14ac:dyDescent="0.3">
      <c r="C97" s="14" t="s">
        <v>101</v>
      </c>
      <c r="D97" s="14">
        <v>3</v>
      </c>
      <c r="E97" s="21">
        <v>8</v>
      </c>
      <c r="F97" s="26"/>
      <c r="G97" s="19">
        <v>103</v>
      </c>
    </row>
    <row r="98" spans="3:7" ht="15.75" thickBot="1" x14ac:dyDescent="0.3"/>
    <row r="99" spans="3:7" ht="19.5" thickBot="1" x14ac:dyDescent="0.35">
      <c r="C99" s="32" t="s">
        <v>89</v>
      </c>
      <c r="D99" s="33" t="s">
        <v>66</v>
      </c>
      <c r="E99" s="33" t="s">
        <v>67</v>
      </c>
      <c r="F99" s="20" t="s">
        <v>91</v>
      </c>
      <c r="G99" s="34" t="s">
        <v>68</v>
      </c>
    </row>
    <row r="100" spans="3:7" ht="18.75" x14ac:dyDescent="0.3">
      <c r="C100" s="7" t="s">
        <v>81</v>
      </c>
      <c r="D100" s="7">
        <v>4</v>
      </c>
      <c r="E100" s="16">
        <v>7</v>
      </c>
      <c r="F100" s="15"/>
      <c r="G100" s="17">
        <v>123</v>
      </c>
    </row>
    <row r="101" spans="3:7" ht="18.75" x14ac:dyDescent="0.3">
      <c r="C101" s="9" t="s">
        <v>86</v>
      </c>
      <c r="D101" s="9">
        <v>4</v>
      </c>
      <c r="E101" s="10">
        <v>7</v>
      </c>
      <c r="F101" s="15"/>
      <c r="G101" s="18">
        <v>120</v>
      </c>
    </row>
    <row r="102" spans="3:7" ht="18.75" x14ac:dyDescent="0.3">
      <c r="C102" s="14" t="s">
        <v>73</v>
      </c>
      <c r="D102" s="14">
        <v>4</v>
      </c>
      <c r="E102" s="24">
        <v>7</v>
      </c>
      <c r="F102" s="15"/>
      <c r="G102" s="25">
        <v>109</v>
      </c>
    </row>
    <row r="103" spans="3:7" ht="18.75" x14ac:dyDescent="0.3">
      <c r="C103" s="9" t="s">
        <v>84</v>
      </c>
      <c r="D103" s="9">
        <v>0</v>
      </c>
      <c r="E103" s="10">
        <v>11</v>
      </c>
      <c r="F103" s="15"/>
      <c r="G103" s="18">
        <v>55</v>
      </c>
    </row>
  </sheetData>
  <mergeCells count="14">
    <mergeCell ref="B73:B85"/>
    <mergeCell ref="I74:M74"/>
    <mergeCell ref="I75:M75"/>
    <mergeCell ref="I76:M76"/>
    <mergeCell ref="I77:M77"/>
    <mergeCell ref="I78:M78"/>
    <mergeCell ref="I79:M79"/>
    <mergeCell ref="N79:R79"/>
    <mergeCell ref="I73:R73"/>
    <mergeCell ref="N74:R74"/>
    <mergeCell ref="N75:R75"/>
    <mergeCell ref="N76:R76"/>
    <mergeCell ref="N77:R77"/>
    <mergeCell ref="N78:R7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workbookViewId="0">
      <pane ySplit="1" topLeftCell="A2" activePane="bottomLeft" state="frozen"/>
      <selection pane="bottomLeft" activeCell="N77" sqref="N77:R77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SUM(1444+1481+1503+1503+1471+1503+1471+1499+1495+1503+1503+1503)</f>
        <v>17879</v>
      </c>
      <c r="E2" s="11">
        <f>SUM(74+87+96+88+103+80+96+92+81+73+81+99)</f>
        <v>1050</v>
      </c>
      <c r="F2" s="12">
        <f>SUM(D2/E2)</f>
        <v>17.027619047619048</v>
      </c>
      <c r="G2" s="11">
        <v>12</v>
      </c>
      <c r="H2" s="11">
        <v>11</v>
      </c>
      <c r="I2" s="11">
        <v>2</v>
      </c>
      <c r="J2" s="11"/>
      <c r="K2" s="11">
        <v>1</v>
      </c>
      <c r="L2" s="11">
        <v>52.5</v>
      </c>
      <c r="M2" s="13">
        <v>25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SUM(1360+1372+1443+1499+1503+1503+1493+1503)</f>
        <v>11676</v>
      </c>
      <c r="E3" s="11">
        <f>SUM(71+94+91+92+82+84+97+100)</f>
        <v>711</v>
      </c>
      <c r="F3" s="12">
        <f>SUM(D3/E3)</f>
        <v>16.421940928270043</v>
      </c>
      <c r="G3" s="11">
        <v>8</v>
      </c>
      <c r="H3" s="11">
        <v>6</v>
      </c>
      <c r="I3" s="11">
        <v>2</v>
      </c>
      <c r="J3" s="11"/>
      <c r="K3" s="11"/>
      <c r="L3" s="11">
        <v>32.5</v>
      </c>
      <c r="M3" s="13"/>
    </row>
    <row r="4" spans="1:13" ht="18.75" x14ac:dyDescent="0.3">
      <c r="A4" s="3">
        <v>3</v>
      </c>
      <c r="B4" s="4" t="s">
        <v>37</v>
      </c>
      <c r="C4" s="4" t="s">
        <v>21</v>
      </c>
      <c r="D4" s="11">
        <f>SUM(1501+1495+1314+1407+1503+1405+1426+1455+1372+1417+1476)</f>
        <v>15771</v>
      </c>
      <c r="E4" s="11">
        <f>SUM(106+86+87+95+80+84+86+83+81+84+106)</f>
        <v>978</v>
      </c>
      <c r="F4" s="12">
        <f>SUM(D4/E4)</f>
        <v>16.125766871165645</v>
      </c>
      <c r="G4" s="11">
        <v>11</v>
      </c>
      <c r="H4" s="11">
        <v>6</v>
      </c>
      <c r="I4" s="11">
        <v>1</v>
      </c>
      <c r="J4" s="11"/>
      <c r="K4" s="11"/>
      <c r="L4" s="11">
        <v>33.5</v>
      </c>
      <c r="M4" s="13">
        <v>10</v>
      </c>
    </row>
    <row r="5" spans="1:13" ht="18.75" x14ac:dyDescent="0.3">
      <c r="A5" s="3">
        <v>4</v>
      </c>
      <c r="B5" s="4" t="s">
        <v>33</v>
      </c>
      <c r="C5" s="4" t="s">
        <v>16</v>
      </c>
      <c r="D5" s="11">
        <f>SUM(1464+1483+1503+1503+1503+1496+1503+1503+1290+1437+1503+1443)</f>
        <v>17631</v>
      </c>
      <c r="E5" s="11">
        <f>SUM(83+89+91+74+88+135+92+97+83+77+100+93)</f>
        <v>1102</v>
      </c>
      <c r="F5" s="12">
        <f>SUM(D5/E5)</f>
        <v>15.999092558983666</v>
      </c>
      <c r="G5" s="11">
        <v>12</v>
      </c>
      <c r="H5" s="11">
        <v>8</v>
      </c>
      <c r="I5" s="11">
        <v>1</v>
      </c>
      <c r="J5" s="11"/>
      <c r="K5" s="11"/>
      <c r="L5" s="11">
        <v>50.5</v>
      </c>
      <c r="M5" s="13">
        <v>10</v>
      </c>
    </row>
    <row r="6" spans="1:13" ht="18.75" x14ac:dyDescent="0.3">
      <c r="A6" s="3">
        <v>5</v>
      </c>
      <c r="B6" s="4" t="s">
        <v>17</v>
      </c>
      <c r="C6" s="4" t="s">
        <v>14</v>
      </c>
      <c r="D6" s="11">
        <f>SUM(1280+1503+1449+1503+1425+1321+1387+1489+1344)</f>
        <v>12701</v>
      </c>
      <c r="E6" s="11">
        <f>SUM(79+100+93+90+92+88+90+89+84)</f>
        <v>805</v>
      </c>
      <c r="F6" s="12">
        <f>SUM(D6/E6)</f>
        <v>15.777639751552796</v>
      </c>
      <c r="G6" s="11">
        <v>9</v>
      </c>
      <c r="H6" s="11">
        <v>4</v>
      </c>
      <c r="I6" s="11"/>
      <c r="J6" s="11"/>
      <c r="K6" s="11"/>
      <c r="L6" s="35">
        <v>25.5</v>
      </c>
      <c r="M6" s="13"/>
    </row>
    <row r="7" spans="1:13" ht="18.75" x14ac:dyDescent="0.3">
      <c r="A7" s="3">
        <v>6</v>
      </c>
      <c r="B7" s="4" t="s">
        <v>11</v>
      </c>
      <c r="C7" s="4" t="s">
        <v>12</v>
      </c>
      <c r="D7" s="11">
        <f>SUM(1494+1503+1413+1503+1470+1483+1489+1503+1503+1114+1501+1483)</f>
        <v>17459</v>
      </c>
      <c r="E7" s="11">
        <f>SUM(102+87+93+89+89+99+113+97+95+69+111+85)</f>
        <v>1129</v>
      </c>
      <c r="F7" s="12">
        <f>SUM(D7/E7)</f>
        <v>15.464127546501329</v>
      </c>
      <c r="G7" s="11">
        <v>12</v>
      </c>
      <c r="H7" s="11">
        <v>10</v>
      </c>
      <c r="I7" s="11"/>
      <c r="J7" s="11"/>
      <c r="K7" s="11"/>
      <c r="L7" s="11">
        <v>47.5</v>
      </c>
      <c r="M7" s="13">
        <v>5</v>
      </c>
    </row>
    <row r="8" spans="1:13" ht="18.75" x14ac:dyDescent="0.3">
      <c r="A8" s="3">
        <v>7</v>
      </c>
      <c r="B8" s="4" t="s">
        <v>15</v>
      </c>
      <c r="C8" s="4" t="s">
        <v>16</v>
      </c>
      <c r="D8" s="11">
        <f>SUM(1503+1503+1503+1489+1501+1503+1503+1479+1491+1503+1499+1491)</f>
        <v>17968</v>
      </c>
      <c r="E8" s="11">
        <f>SUM(94+109+90+95+131+81+80+82+99+90+115+120)</f>
        <v>1186</v>
      </c>
      <c r="F8" s="12">
        <f>SUM(D8/E8)</f>
        <v>15.150084317032041</v>
      </c>
      <c r="G8" s="11">
        <v>12</v>
      </c>
      <c r="H8" s="11">
        <v>10</v>
      </c>
      <c r="I8" s="11"/>
      <c r="J8" s="11"/>
      <c r="K8" s="11"/>
      <c r="L8" s="11">
        <v>52</v>
      </c>
      <c r="M8" s="13">
        <v>5</v>
      </c>
    </row>
    <row r="9" spans="1:13" ht="18.75" x14ac:dyDescent="0.3">
      <c r="A9" s="3">
        <v>8</v>
      </c>
      <c r="B9" s="4" t="s">
        <v>24</v>
      </c>
      <c r="C9" s="4" t="s">
        <v>23</v>
      </c>
      <c r="D9" s="11">
        <f>SUM(1501+1472+1503+1503+1503+1481+1363+1503+1503+1443+1346+1354)</f>
        <v>17475</v>
      </c>
      <c r="E9" s="11">
        <f>SUM(87+99+109+88+93+101+89+92+116+113+84+87)</f>
        <v>1158</v>
      </c>
      <c r="F9" s="12">
        <f>SUM(D9/E9)</f>
        <v>15.090673575129534</v>
      </c>
      <c r="G9" s="11">
        <v>12</v>
      </c>
      <c r="H9" s="11">
        <v>7</v>
      </c>
      <c r="I9" s="11"/>
      <c r="J9" s="11"/>
      <c r="K9" s="11"/>
      <c r="L9" s="11">
        <v>39.5</v>
      </c>
      <c r="M9" s="13">
        <v>5</v>
      </c>
    </row>
    <row r="10" spans="1:13" ht="18.75" x14ac:dyDescent="0.3">
      <c r="A10" s="3">
        <v>9</v>
      </c>
      <c r="B10" s="4" t="s">
        <v>18</v>
      </c>
      <c r="C10" s="7" t="s">
        <v>19</v>
      </c>
      <c r="D10" s="11">
        <f>SUM(1403+1503+1328+1440+1487+1371+1467+1414+1500+1411+1503+1503)</f>
        <v>17330</v>
      </c>
      <c r="E10" s="11">
        <f>SUM(96+99+87+93+102+112+80+90+122+80+104+86)</f>
        <v>1151</v>
      </c>
      <c r="F10" s="12">
        <f>SUM(D10/E10)</f>
        <v>15.056472632493485</v>
      </c>
      <c r="G10" s="11">
        <v>12</v>
      </c>
      <c r="H10" s="11">
        <v>6</v>
      </c>
      <c r="I10" s="11">
        <v>1</v>
      </c>
      <c r="J10" s="11"/>
      <c r="K10" s="11"/>
      <c r="L10" s="11">
        <v>40</v>
      </c>
      <c r="M10" s="13">
        <v>5</v>
      </c>
    </row>
    <row r="11" spans="1:13" ht="18.75" x14ac:dyDescent="0.3">
      <c r="A11" s="3">
        <v>10</v>
      </c>
      <c r="B11" s="15" t="s">
        <v>49</v>
      </c>
      <c r="C11" s="4" t="s">
        <v>28</v>
      </c>
      <c r="D11" s="11">
        <f>SUM(1503+1503+1426+1483+1290+1356+1296+1399+1503+1417+1421+1503)</f>
        <v>17100</v>
      </c>
      <c r="E11" s="11">
        <f>SUM(129+86+86+102+90+75+83+86+88+89+109+133)</f>
        <v>1156</v>
      </c>
      <c r="F11" s="12">
        <f>SUM(D11/E11)</f>
        <v>14.792387543252595</v>
      </c>
      <c r="G11" s="11">
        <v>12</v>
      </c>
      <c r="H11" s="11">
        <v>7</v>
      </c>
      <c r="I11" s="11">
        <v>1</v>
      </c>
      <c r="J11" s="11"/>
      <c r="K11" s="11"/>
      <c r="L11" s="11">
        <v>39</v>
      </c>
      <c r="M11" s="13">
        <v>20</v>
      </c>
    </row>
    <row r="12" spans="1:13" ht="18.75" x14ac:dyDescent="0.3">
      <c r="A12" s="3">
        <v>11</v>
      </c>
      <c r="B12" s="15" t="s">
        <v>131</v>
      </c>
      <c r="C12" s="4" t="s">
        <v>32</v>
      </c>
      <c r="D12" s="11">
        <f>SUM(1419+1503+1500)</f>
        <v>4422</v>
      </c>
      <c r="E12" s="11">
        <f>SUM(90+103+106)</f>
        <v>299</v>
      </c>
      <c r="F12" s="12">
        <f>SUM(D12/E12)</f>
        <v>14.789297658862877</v>
      </c>
      <c r="G12" s="11">
        <v>3</v>
      </c>
      <c r="H12" s="11">
        <v>2</v>
      </c>
      <c r="I12" s="11">
        <v>1</v>
      </c>
      <c r="J12" s="11"/>
      <c r="K12" s="11"/>
      <c r="L12" s="11">
        <v>8.5</v>
      </c>
      <c r="M12" s="13"/>
    </row>
    <row r="13" spans="1:13" ht="18.75" x14ac:dyDescent="0.3">
      <c r="A13" s="3">
        <v>12</v>
      </c>
      <c r="B13" s="4" t="s">
        <v>22</v>
      </c>
      <c r="C13" s="4" t="s">
        <v>23</v>
      </c>
      <c r="D13" s="11">
        <f>SUM(1499+1497+1503+1397+1272+1388+1340+1425+1503+1453+1443+1461)</f>
        <v>17181</v>
      </c>
      <c r="E13" s="11">
        <f>SUM(101+88+116+108+88+89+90+117+86+101+83+96)</f>
        <v>1163</v>
      </c>
      <c r="F13" s="12">
        <f>SUM(D13/E13)</f>
        <v>14.773000859845228</v>
      </c>
      <c r="G13" s="11">
        <v>12</v>
      </c>
      <c r="H13" s="11">
        <v>7</v>
      </c>
      <c r="I13" s="11"/>
      <c r="J13" s="11"/>
      <c r="K13" s="11"/>
      <c r="L13" s="11">
        <v>39.5</v>
      </c>
      <c r="M13" s="13">
        <v>5</v>
      </c>
    </row>
    <row r="14" spans="1:13" ht="18.75" x14ac:dyDescent="0.3">
      <c r="A14" s="3">
        <v>13</v>
      </c>
      <c r="B14" s="15" t="s">
        <v>108</v>
      </c>
      <c r="C14" s="4" t="s">
        <v>19</v>
      </c>
      <c r="D14" s="11">
        <f>SUM(501+1503+1501+1455+1503+1411+1318+1400+1471)</f>
        <v>12063</v>
      </c>
      <c r="E14" s="11">
        <f>SUM(46+117+99+123+95+77+90+77+94)</f>
        <v>818</v>
      </c>
      <c r="F14" s="12">
        <f>SUM(D14/E14)</f>
        <v>14.746943765281173</v>
      </c>
      <c r="G14" s="11">
        <v>9</v>
      </c>
      <c r="H14" s="11">
        <v>5</v>
      </c>
      <c r="I14" s="11"/>
      <c r="J14" s="11">
        <v>1</v>
      </c>
      <c r="K14" s="11"/>
      <c r="L14" s="11">
        <v>32</v>
      </c>
      <c r="M14" s="13">
        <v>5</v>
      </c>
    </row>
    <row r="15" spans="1:13" ht="18.75" x14ac:dyDescent="0.3">
      <c r="A15" s="3">
        <v>14</v>
      </c>
      <c r="B15" s="15" t="s">
        <v>46</v>
      </c>
      <c r="C15" s="4" t="s">
        <v>47</v>
      </c>
      <c r="D15" s="11">
        <f>SUM(1503+1503+1427+1287+1279+1423+1463+1289+1480+1503+1423+1383)</f>
        <v>16963</v>
      </c>
      <c r="E15" s="11">
        <f>SUM(87+94+104+95+84+82+111+90+124+94+89+104)</f>
        <v>1158</v>
      </c>
      <c r="F15" s="12">
        <f>SUM(D15/E15)</f>
        <v>14.648531951640759</v>
      </c>
      <c r="G15" s="11">
        <v>12</v>
      </c>
      <c r="H15" s="11">
        <v>5</v>
      </c>
      <c r="I15" s="11"/>
      <c r="J15" s="11"/>
      <c r="K15" s="11"/>
      <c r="L15" s="11">
        <v>34.5</v>
      </c>
      <c r="M15" s="13">
        <v>10</v>
      </c>
    </row>
    <row r="16" spans="1:13" ht="18.75" x14ac:dyDescent="0.3">
      <c r="A16" s="3">
        <v>15</v>
      </c>
      <c r="B16" s="15" t="s">
        <v>92</v>
      </c>
      <c r="C16" s="4" t="s">
        <v>42</v>
      </c>
      <c r="D16" s="11">
        <f>SUM(1319+1334+1503+1297+1394+1360+1378+1358+1221+1390+1270)</f>
        <v>14824</v>
      </c>
      <c r="E16" s="11">
        <f>SUM(106+84+103+90+78+99+92+90+96+96+90)</f>
        <v>1024</v>
      </c>
      <c r="F16" s="12">
        <f>SUM(D16/E16)</f>
        <v>14.4765625</v>
      </c>
      <c r="G16" s="11">
        <v>11</v>
      </c>
      <c r="H16" s="11">
        <v>1</v>
      </c>
      <c r="I16" s="11">
        <v>1</v>
      </c>
      <c r="J16" s="11"/>
      <c r="K16" s="11"/>
      <c r="L16" s="11">
        <v>22.5</v>
      </c>
      <c r="M16" s="13">
        <v>5</v>
      </c>
    </row>
    <row r="17" spans="1:13" ht="18.75" x14ac:dyDescent="0.3">
      <c r="A17" s="3">
        <v>16</v>
      </c>
      <c r="B17" s="4" t="s">
        <v>36</v>
      </c>
      <c r="C17" s="4" t="s">
        <v>12</v>
      </c>
      <c r="D17" s="11">
        <f>SUM(1503+1503+1503+1475+1483+1467+1479+1503+1471+1376+1488+1503)</f>
        <v>17754</v>
      </c>
      <c r="E17" s="11">
        <f>SUM(93+115+87+87+131+93+98+111+94+83+126+111)</f>
        <v>1229</v>
      </c>
      <c r="F17" s="12">
        <f>SUM(D17/E17)</f>
        <v>14.445890968266884</v>
      </c>
      <c r="G17" s="11">
        <v>12</v>
      </c>
      <c r="H17" s="11">
        <v>9</v>
      </c>
      <c r="I17" s="11"/>
      <c r="J17" s="11"/>
      <c r="K17" s="11"/>
      <c r="L17" s="11">
        <v>48.5</v>
      </c>
      <c r="M17" s="13">
        <v>10</v>
      </c>
    </row>
    <row r="18" spans="1:13" ht="18.75" x14ac:dyDescent="0.3">
      <c r="A18" s="3">
        <v>17</v>
      </c>
      <c r="B18" s="3" t="s">
        <v>31</v>
      </c>
      <c r="C18" s="4" t="s">
        <v>32</v>
      </c>
      <c r="D18" s="11">
        <f>SUM(1503+1469+1417+1109+1503+1503+1495+1138+1495+1487)</f>
        <v>14119</v>
      </c>
      <c r="E18" s="11">
        <f>SUM(79+96+108+90+100+118+93+84+115+100)</f>
        <v>983</v>
      </c>
      <c r="F18" s="12">
        <f>SUM(D18/E18)</f>
        <v>14.363173957273652</v>
      </c>
      <c r="G18" s="11">
        <v>10</v>
      </c>
      <c r="H18" s="11">
        <v>6</v>
      </c>
      <c r="I18" s="11"/>
      <c r="J18" s="11"/>
      <c r="K18" s="11"/>
      <c r="L18" s="11">
        <v>35</v>
      </c>
      <c r="M18" s="13">
        <v>5</v>
      </c>
    </row>
    <row r="19" spans="1:13" ht="18.75" x14ac:dyDescent="0.3">
      <c r="A19" s="3">
        <v>18</v>
      </c>
      <c r="B19" s="15" t="s">
        <v>136</v>
      </c>
      <c r="C19" s="7" t="s">
        <v>12</v>
      </c>
      <c r="D19" s="11">
        <f>SUM(1375+1503+1372)</f>
        <v>4250</v>
      </c>
      <c r="E19" s="11">
        <f>SUM(97+91+108)</f>
        <v>296</v>
      </c>
      <c r="F19" s="12">
        <f>SUM(D19/E19)</f>
        <v>14.358108108108109</v>
      </c>
      <c r="G19" s="11">
        <v>3</v>
      </c>
      <c r="H19" s="11">
        <v>1</v>
      </c>
      <c r="I19" s="11"/>
      <c r="J19" s="11"/>
      <c r="K19" s="11"/>
      <c r="L19" s="11">
        <v>10</v>
      </c>
      <c r="M19" s="13"/>
    </row>
    <row r="20" spans="1:13" ht="18.75" x14ac:dyDescent="0.3">
      <c r="A20" s="3">
        <v>19</v>
      </c>
      <c r="B20" s="15" t="s">
        <v>93</v>
      </c>
      <c r="C20" s="4" t="s">
        <v>42</v>
      </c>
      <c r="D20" s="11">
        <f>SUM(1481+1499+1329+1503+1467+1487+1431+1465+1357+1465)</f>
        <v>14484</v>
      </c>
      <c r="E20" s="11">
        <f>SUM(97+130+104+115+90+99+90+115+79+92)</f>
        <v>1011</v>
      </c>
      <c r="F20" s="12">
        <f>SUM(D20/E20)</f>
        <v>14.326409495548962</v>
      </c>
      <c r="G20" s="11">
        <v>10</v>
      </c>
      <c r="H20" s="11">
        <v>5</v>
      </c>
      <c r="I20" s="11"/>
      <c r="J20" s="11"/>
      <c r="K20" s="11"/>
      <c r="L20" s="11">
        <v>29.5</v>
      </c>
      <c r="M20" s="13">
        <v>5</v>
      </c>
    </row>
    <row r="21" spans="1:13" ht="18.75" x14ac:dyDescent="0.3">
      <c r="A21" s="3">
        <v>20</v>
      </c>
      <c r="B21" s="4" t="s">
        <v>27</v>
      </c>
      <c r="C21" s="4" t="s">
        <v>28</v>
      </c>
      <c r="D21" s="11">
        <f>SUM(1471+1503+1503+1358+1473+1501+1372+1503+1503+1503+1503+1501)</f>
        <v>17694</v>
      </c>
      <c r="E21" s="11">
        <f>SUM(111+90+109+101+87+131+81+100+100+98+111+120)</f>
        <v>1239</v>
      </c>
      <c r="F21" s="12">
        <f>SUM(D21/E21)</f>
        <v>14.280871670702179</v>
      </c>
      <c r="G21" s="11">
        <v>12</v>
      </c>
      <c r="H21" s="11">
        <v>11</v>
      </c>
      <c r="I21" s="11"/>
      <c r="J21" s="11"/>
      <c r="K21" s="11"/>
      <c r="L21" s="11">
        <v>49</v>
      </c>
      <c r="M21" s="13">
        <v>5</v>
      </c>
    </row>
    <row r="22" spans="1:13" ht="18.75" x14ac:dyDescent="0.3">
      <c r="A22" s="3">
        <v>21</v>
      </c>
      <c r="B22" s="15" t="s">
        <v>45</v>
      </c>
      <c r="C22" s="4" t="s">
        <v>32</v>
      </c>
      <c r="D22" s="11">
        <f>SUM(1503+1471+1326+953+1326+1439+1503+1267+1329+1501+1493+1469)</f>
        <v>16580</v>
      </c>
      <c r="E22" s="11">
        <f>SUM(100+103+79+72+91+110+106+99+96+114+94+102)</f>
        <v>1166</v>
      </c>
      <c r="F22" s="12">
        <f>SUM(D22/E22)</f>
        <v>14.219554030874786</v>
      </c>
      <c r="G22" s="11">
        <v>12</v>
      </c>
      <c r="H22" s="11">
        <v>6</v>
      </c>
      <c r="I22" s="11"/>
      <c r="J22" s="11"/>
      <c r="K22" s="11"/>
      <c r="L22" s="11">
        <v>40.5</v>
      </c>
      <c r="M22" s="13">
        <v>10</v>
      </c>
    </row>
    <row r="23" spans="1:13" ht="18.75" x14ac:dyDescent="0.3">
      <c r="A23" s="3">
        <v>22</v>
      </c>
      <c r="B23" s="15" t="s">
        <v>111</v>
      </c>
      <c r="C23" s="4" t="s">
        <v>21</v>
      </c>
      <c r="D23" s="11">
        <f>SUM(1274+1414+1428+1463+1495+1440+1495+1492)</f>
        <v>11501</v>
      </c>
      <c r="E23" s="11">
        <f>SUM(111+106+96+113+95+105+88+99)</f>
        <v>813</v>
      </c>
      <c r="F23" s="12">
        <f>SUM(D23/E23)</f>
        <v>14.146371463714637</v>
      </c>
      <c r="G23" s="11">
        <v>8</v>
      </c>
      <c r="H23" s="11">
        <v>3</v>
      </c>
      <c r="I23" s="11"/>
      <c r="J23" s="11"/>
      <c r="K23" s="11"/>
      <c r="L23" s="11">
        <v>21</v>
      </c>
      <c r="M23" s="13"/>
    </row>
    <row r="24" spans="1:13" ht="18.75" x14ac:dyDescent="0.3">
      <c r="A24" s="3">
        <v>23</v>
      </c>
      <c r="B24" s="15" t="s">
        <v>113</v>
      </c>
      <c r="C24" s="4" t="s">
        <v>16</v>
      </c>
      <c r="D24" s="11">
        <f>SUM(1503+1307+1309+1503+1487+1503+1503)</f>
        <v>10115</v>
      </c>
      <c r="E24" s="11">
        <f>SUM(104+111+88+99+103+100+113)</f>
        <v>718</v>
      </c>
      <c r="F24" s="12">
        <f>SUM(D24/E24)</f>
        <v>14.087743732590528</v>
      </c>
      <c r="G24" s="11">
        <v>7</v>
      </c>
      <c r="H24" s="11">
        <v>5</v>
      </c>
      <c r="I24" s="11"/>
      <c r="J24" s="11"/>
      <c r="K24" s="11"/>
      <c r="L24" s="11">
        <v>34</v>
      </c>
      <c r="M24" s="13"/>
    </row>
    <row r="25" spans="1:13" ht="18.75" x14ac:dyDescent="0.3">
      <c r="A25" s="3">
        <v>24</v>
      </c>
      <c r="B25" s="4" t="s">
        <v>90</v>
      </c>
      <c r="C25" s="4" t="s">
        <v>12</v>
      </c>
      <c r="D25" s="11">
        <f>SUM(1361+1497+1376+1453+1379+1503+1313+1379+1501+1499)</f>
        <v>14261</v>
      </c>
      <c r="E25" s="11">
        <f>SUM(83+112+96+107+105+101+95+87+115+118)</f>
        <v>1019</v>
      </c>
      <c r="F25" s="12">
        <f>SUM(D25/E25)</f>
        <v>13.995093228655545</v>
      </c>
      <c r="G25" s="11">
        <v>10</v>
      </c>
      <c r="H25" s="11">
        <v>6</v>
      </c>
      <c r="I25" s="11"/>
      <c r="J25" s="11"/>
      <c r="K25" s="11"/>
      <c r="L25" s="11">
        <v>31.5</v>
      </c>
      <c r="M25" s="13"/>
    </row>
    <row r="26" spans="1:13" ht="18.75" x14ac:dyDescent="0.3">
      <c r="A26" s="3">
        <v>25</v>
      </c>
      <c r="B26" s="3" t="s">
        <v>48</v>
      </c>
      <c r="C26" s="4" t="s">
        <v>32</v>
      </c>
      <c r="D26" s="11">
        <f>SUM(1239+1483+1425+1350+1493+1434+1501+1503+1483+1460+1409+1499)</f>
        <v>17279</v>
      </c>
      <c r="E26" s="11">
        <f>SUM(95+93+104+96+128+96+113+99+113+91+99+112)</f>
        <v>1239</v>
      </c>
      <c r="F26" s="12">
        <f>SUM(D26/E26)</f>
        <v>13.94592413236481</v>
      </c>
      <c r="G26" s="11">
        <v>12</v>
      </c>
      <c r="H26" s="11">
        <v>7</v>
      </c>
      <c r="I26" s="11"/>
      <c r="J26" s="11"/>
      <c r="K26" s="11"/>
      <c r="L26" s="11">
        <v>41</v>
      </c>
      <c r="M26" s="13"/>
    </row>
    <row r="27" spans="1:13" ht="18.75" x14ac:dyDescent="0.3">
      <c r="A27" s="3">
        <v>26</v>
      </c>
      <c r="B27" s="4" t="s">
        <v>62</v>
      </c>
      <c r="C27" s="4" t="s">
        <v>19</v>
      </c>
      <c r="D27" s="11">
        <f>SUM(1290+1479+1300+1217+1308+1400+1216+1414+1503)</f>
        <v>12127</v>
      </c>
      <c r="E27" s="11">
        <f>SUM(76+107+93+86+99+80+99+114+119)</f>
        <v>873</v>
      </c>
      <c r="F27" s="12">
        <f>SUM(D27/E27)</f>
        <v>13.891179839633448</v>
      </c>
      <c r="G27" s="11">
        <v>9</v>
      </c>
      <c r="H27" s="11">
        <v>3</v>
      </c>
      <c r="I27" s="11"/>
      <c r="J27" s="11"/>
      <c r="K27" s="11"/>
      <c r="L27" s="11">
        <v>31.5</v>
      </c>
      <c r="M27" s="13">
        <v>5</v>
      </c>
    </row>
    <row r="28" spans="1:13" ht="18.75" x14ac:dyDescent="0.3">
      <c r="A28" s="3">
        <v>27</v>
      </c>
      <c r="B28" s="15" t="s">
        <v>39</v>
      </c>
      <c r="C28" s="7" t="s">
        <v>23</v>
      </c>
      <c r="D28" s="11">
        <f>SUM(1332+1373+1492+1499+1481+1245+1220+1503+1503+1503+1439+1432)</f>
        <v>17022</v>
      </c>
      <c r="E28" s="11">
        <f>SUM(84+96+119+109+119+86+78+117+105+124+93+100)</f>
        <v>1230</v>
      </c>
      <c r="F28" s="12">
        <f>SUM(D28/E28)</f>
        <v>13.839024390243903</v>
      </c>
      <c r="G28" s="11">
        <v>12</v>
      </c>
      <c r="H28" s="11">
        <v>4</v>
      </c>
      <c r="I28" s="11"/>
      <c r="J28" s="11"/>
      <c r="K28" s="11"/>
      <c r="L28" s="11">
        <v>36.5</v>
      </c>
      <c r="M28" s="13"/>
    </row>
    <row r="29" spans="1:13" ht="18.75" x14ac:dyDescent="0.3">
      <c r="A29" s="3">
        <v>28</v>
      </c>
      <c r="B29" s="4" t="s">
        <v>61</v>
      </c>
      <c r="C29" s="4" t="s">
        <v>47</v>
      </c>
      <c r="D29" s="11">
        <f>SUM(1322+1462+1409+1497+1486+1453+1329+1503+1503+1503+1432+1382)</f>
        <v>17281</v>
      </c>
      <c r="E29" s="11">
        <f>SUM(111+98+102+120+98+106+97+118+122+87+98+93)</f>
        <v>1250</v>
      </c>
      <c r="F29" s="12">
        <f>SUM(D29/E29)</f>
        <v>13.8248</v>
      </c>
      <c r="G29" s="11">
        <v>12</v>
      </c>
      <c r="H29" s="11">
        <v>4</v>
      </c>
      <c r="I29" s="11"/>
      <c r="J29" s="11"/>
      <c r="K29" s="11"/>
      <c r="L29" s="11">
        <v>30</v>
      </c>
      <c r="M29" s="13">
        <v>5</v>
      </c>
    </row>
    <row r="30" spans="1:13" ht="18.75" x14ac:dyDescent="0.3">
      <c r="A30" s="3">
        <v>29</v>
      </c>
      <c r="B30" s="7" t="s">
        <v>57</v>
      </c>
      <c r="C30" s="4" t="s">
        <v>95</v>
      </c>
      <c r="D30" s="11">
        <f>SUM(1463+1503+1503+1447+1363+1487+1262+1395+1397+1479)</f>
        <v>14299</v>
      </c>
      <c r="E30" s="11">
        <f>SUM(126+108+109+100+85+95+82+116+110+104)</f>
        <v>1035</v>
      </c>
      <c r="F30" s="12">
        <f>SUM(D30/E30)</f>
        <v>13.815458937198068</v>
      </c>
      <c r="G30" s="11">
        <v>10</v>
      </c>
      <c r="H30" s="11">
        <v>6</v>
      </c>
      <c r="I30" s="11"/>
      <c r="J30" s="11"/>
      <c r="K30" s="11"/>
      <c r="L30" s="11">
        <v>30.5</v>
      </c>
      <c r="M30" s="13"/>
    </row>
    <row r="31" spans="1:13" ht="18.75" x14ac:dyDescent="0.3">
      <c r="A31" s="3">
        <v>30</v>
      </c>
      <c r="B31" s="7" t="s">
        <v>35</v>
      </c>
      <c r="C31" s="4" t="s">
        <v>16</v>
      </c>
      <c r="D31" s="11">
        <f>SUM(1471+1503+1330+1362+1251)</f>
        <v>6917</v>
      </c>
      <c r="E31" s="11">
        <f>SUM(104+123+105+89+85)</f>
        <v>506</v>
      </c>
      <c r="F31" s="12">
        <f>SUM(D31/E31)</f>
        <v>13.669960474308301</v>
      </c>
      <c r="G31" s="11">
        <v>5</v>
      </c>
      <c r="H31" s="11">
        <v>3</v>
      </c>
      <c r="I31" s="11"/>
      <c r="J31" s="11"/>
      <c r="K31" s="11"/>
      <c r="L31" s="11">
        <v>16</v>
      </c>
      <c r="M31" s="13">
        <v>5</v>
      </c>
    </row>
    <row r="32" spans="1:13" ht="18.75" x14ac:dyDescent="0.3">
      <c r="A32" s="3">
        <v>31</v>
      </c>
      <c r="B32" s="7" t="s">
        <v>43</v>
      </c>
      <c r="C32" s="4" t="s">
        <v>12</v>
      </c>
      <c r="D32" s="11">
        <f>SUM(1479+1503+1483+1474+1349+1471+1503+1458+1493+1471+1500)</f>
        <v>16184</v>
      </c>
      <c r="E32" s="11">
        <f>SUM(130+97+96+123+86+87+114+116+153+83+107)</f>
        <v>1192</v>
      </c>
      <c r="F32" s="12">
        <f>SUM(D32/E32)</f>
        <v>13.577181208053691</v>
      </c>
      <c r="G32" s="11">
        <v>11</v>
      </c>
      <c r="H32" s="11">
        <v>10</v>
      </c>
      <c r="I32" s="11"/>
      <c r="J32" s="11"/>
      <c r="K32" s="11"/>
      <c r="L32" s="11">
        <v>44.5</v>
      </c>
      <c r="M32" s="13"/>
    </row>
    <row r="33" spans="1:13" ht="18.75" x14ac:dyDescent="0.3">
      <c r="A33" s="3">
        <v>32</v>
      </c>
      <c r="B33" s="57" t="s">
        <v>20</v>
      </c>
      <c r="C33" s="4" t="s">
        <v>21</v>
      </c>
      <c r="D33" s="11">
        <f>SUM(1243+1262+1307+1213+1469+1468+1415+1376+1452+1320)</f>
        <v>13525</v>
      </c>
      <c r="E33" s="11">
        <f>SUM(94+86+87+120+106+109+104+99+117+83)</f>
        <v>1005</v>
      </c>
      <c r="F33" s="12">
        <f>SUM(D33/E33)</f>
        <v>13.457711442786069</v>
      </c>
      <c r="G33" s="11">
        <v>10</v>
      </c>
      <c r="H33" s="11">
        <v>2</v>
      </c>
      <c r="I33" s="11"/>
      <c r="J33" s="11"/>
      <c r="K33" s="11"/>
      <c r="L33" s="11">
        <v>22.5</v>
      </c>
      <c r="M33" s="13"/>
    </row>
    <row r="34" spans="1:13" ht="18.75" x14ac:dyDescent="0.3">
      <c r="A34" s="3">
        <v>33</v>
      </c>
      <c r="B34" s="9" t="s">
        <v>64</v>
      </c>
      <c r="C34" s="4" t="s">
        <v>95</v>
      </c>
      <c r="D34" s="11">
        <f>SUM(1503+1457+1466+1503+1408+1180+1418+1426+1495+1180+1503)</f>
        <v>15539</v>
      </c>
      <c r="E34" s="11">
        <f>SUM(123+117+121+103+121+81+107+105+89+95+95)</f>
        <v>1157</v>
      </c>
      <c r="F34" s="12">
        <f>SUM(D34/E34)</f>
        <v>13.430423509075194</v>
      </c>
      <c r="G34" s="11">
        <v>11</v>
      </c>
      <c r="H34" s="11">
        <v>6</v>
      </c>
      <c r="I34" s="11"/>
      <c r="J34" s="11"/>
      <c r="K34" s="11"/>
      <c r="L34" s="11">
        <v>32</v>
      </c>
      <c r="M34" s="13"/>
    </row>
    <row r="35" spans="1:13" ht="18.75" x14ac:dyDescent="0.3">
      <c r="A35" s="3">
        <v>34</v>
      </c>
      <c r="B35" s="7" t="s">
        <v>30</v>
      </c>
      <c r="C35" s="4" t="s">
        <v>19</v>
      </c>
      <c r="D35" s="11">
        <f>SUM(1434+1354+1503+1495+1363+1374+1503+1443+1440+1499)</f>
        <v>14408</v>
      </c>
      <c r="E35" s="11">
        <f>SUM(100+90+162+135+108+88+123+100+111+99)</f>
        <v>1116</v>
      </c>
      <c r="F35" s="12">
        <f>SUM(D35/E35)</f>
        <v>12.910394265232975</v>
      </c>
      <c r="G35" s="11">
        <v>10</v>
      </c>
      <c r="H35" s="11">
        <v>6</v>
      </c>
      <c r="I35" s="11"/>
      <c r="J35" s="11"/>
      <c r="K35" s="11"/>
      <c r="L35" s="11">
        <v>31</v>
      </c>
      <c r="M35" s="13"/>
    </row>
    <row r="36" spans="1:13" ht="18.75" x14ac:dyDescent="0.3">
      <c r="A36" s="3">
        <v>35</v>
      </c>
      <c r="B36" s="37" t="s">
        <v>26</v>
      </c>
      <c r="C36" s="8" t="s">
        <v>19</v>
      </c>
      <c r="D36" s="11">
        <f>SUM(1480+1503+1495+1352+1496+1503+1501+1465)</f>
        <v>11795</v>
      </c>
      <c r="E36" s="11">
        <f>SUM(128+118+124+108+107+120+119+94)</f>
        <v>918</v>
      </c>
      <c r="F36" s="12">
        <f>SUM(D36/E36)</f>
        <v>12.848583877995642</v>
      </c>
      <c r="G36" s="11">
        <v>8</v>
      </c>
      <c r="H36" s="11">
        <v>5</v>
      </c>
      <c r="I36" s="11"/>
      <c r="J36" s="11"/>
      <c r="K36" s="11"/>
      <c r="L36" s="11">
        <v>34.5</v>
      </c>
      <c r="M36" s="13"/>
    </row>
    <row r="37" spans="1:13" ht="18.75" x14ac:dyDescent="0.3">
      <c r="A37" s="3">
        <v>36</v>
      </c>
      <c r="B37" s="9" t="s">
        <v>29</v>
      </c>
      <c r="C37" s="7" t="s">
        <v>23</v>
      </c>
      <c r="D37" s="11">
        <f>SUM(1204+1459+1145+1498+1408+1456+1499+1480+1503+1465)</f>
        <v>14117</v>
      </c>
      <c r="E37" s="11">
        <f>SUM(99+135+102+104+101+97+143+130+104+93)</f>
        <v>1108</v>
      </c>
      <c r="F37" s="12">
        <f>SUM(D37/E37)</f>
        <v>12.740974729241877</v>
      </c>
      <c r="G37" s="11">
        <v>10</v>
      </c>
      <c r="H37" s="11">
        <v>5</v>
      </c>
      <c r="I37" s="11"/>
      <c r="J37" s="11"/>
      <c r="K37" s="11"/>
      <c r="L37" s="11">
        <v>28.5</v>
      </c>
      <c r="M37" s="13"/>
    </row>
    <row r="38" spans="1:13" ht="18.75" x14ac:dyDescent="0.3">
      <c r="A38" s="3">
        <v>37</v>
      </c>
      <c r="B38" s="10" t="s">
        <v>38</v>
      </c>
      <c r="C38" s="7" t="s">
        <v>28</v>
      </c>
      <c r="D38" s="11">
        <f>SUM(1503+1456+1500+1493+1179+1395+1495+1458+1492+1503+1308)</f>
        <v>15782</v>
      </c>
      <c r="E38" s="11">
        <f>SUM(107+134+103+122+81+108+127+113+127+129+109)</f>
        <v>1260</v>
      </c>
      <c r="F38" s="12">
        <f>SUM(D38/E38)</f>
        <v>12.525396825396825</v>
      </c>
      <c r="G38" s="11">
        <v>11</v>
      </c>
      <c r="H38" s="11">
        <v>8</v>
      </c>
      <c r="I38" s="11"/>
      <c r="J38" s="11"/>
      <c r="K38" s="11"/>
      <c r="L38" s="11">
        <v>37</v>
      </c>
      <c r="M38" s="13"/>
    </row>
    <row r="39" spans="1:13" ht="18.75" x14ac:dyDescent="0.3">
      <c r="A39" s="3">
        <v>38</v>
      </c>
      <c r="B39" s="10" t="s">
        <v>158</v>
      </c>
      <c r="C39" s="8" t="s">
        <v>14</v>
      </c>
      <c r="D39" s="11">
        <f>SUM(1479+1405)</f>
        <v>2884</v>
      </c>
      <c r="E39" s="11">
        <f>SUM(125+106)</f>
        <v>231</v>
      </c>
      <c r="F39" s="12">
        <f>SUM(D39/E39)</f>
        <v>12.484848484848484</v>
      </c>
      <c r="G39" s="11">
        <v>2</v>
      </c>
      <c r="H39" s="11"/>
      <c r="I39" s="11"/>
      <c r="J39" s="11"/>
      <c r="K39" s="11"/>
      <c r="L39" s="11">
        <v>3.5</v>
      </c>
      <c r="M39" s="13"/>
    </row>
    <row r="40" spans="1:13" ht="18.75" x14ac:dyDescent="0.3">
      <c r="A40" s="3">
        <v>39</v>
      </c>
      <c r="B40" s="16" t="s">
        <v>40</v>
      </c>
      <c r="C40" s="4" t="s">
        <v>14</v>
      </c>
      <c r="D40" s="11">
        <f>SUM(1351+1493+1429+1206+1475+1484+1478+1387+1424+1353+1373)</f>
        <v>15453</v>
      </c>
      <c r="E40" s="11">
        <f>SUM(100+138+96+96+129+115+149+96+99+103+118)</f>
        <v>1239</v>
      </c>
      <c r="F40" s="12">
        <f>SUM(D40/E40)</f>
        <v>12.472154963680387</v>
      </c>
      <c r="G40" s="11">
        <v>11</v>
      </c>
      <c r="H40" s="11">
        <v>3</v>
      </c>
      <c r="I40" s="11"/>
      <c r="J40" s="11"/>
      <c r="K40" s="11">
        <v>1</v>
      </c>
      <c r="L40" s="11">
        <v>29.5</v>
      </c>
      <c r="M40" s="13"/>
    </row>
    <row r="41" spans="1:13" ht="18.75" x14ac:dyDescent="0.3">
      <c r="A41" s="3">
        <v>40</v>
      </c>
      <c r="B41" s="16" t="s">
        <v>41</v>
      </c>
      <c r="C41" s="7" t="s">
        <v>28</v>
      </c>
      <c r="D41" s="11">
        <f>SUM(1487+1499+1483+1499+1503+1498+1463+1483+1483+1483+1237+1503)</f>
        <v>17621</v>
      </c>
      <c r="E41" s="11">
        <f>SUM(120+141+99+139+108+105+106+118+142+113+117+110)</f>
        <v>1418</v>
      </c>
      <c r="F41" s="12">
        <f>SUM(D41/E41)</f>
        <v>12.426657263751762</v>
      </c>
      <c r="G41" s="11">
        <v>12</v>
      </c>
      <c r="H41" s="11">
        <v>10</v>
      </c>
      <c r="I41" s="11"/>
      <c r="J41" s="11"/>
      <c r="K41" s="11"/>
      <c r="L41" s="11">
        <v>42</v>
      </c>
      <c r="M41" s="13">
        <v>5</v>
      </c>
    </row>
    <row r="42" spans="1:13" ht="18.75" x14ac:dyDescent="0.3">
      <c r="A42" s="3">
        <v>41</v>
      </c>
      <c r="B42" s="16" t="s">
        <v>44</v>
      </c>
      <c r="C42" s="7" t="s">
        <v>95</v>
      </c>
      <c r="D42" s="11">
        <f>SUM(1375+1355+1020+1503+1483+1440+1375+1415+1415+1463+1210+1491)</f>
        <v>16545</v>
      </c>
      <c r="E42" s="11">
        <f>SUM(106+108+111+122+121+116+105+92+101+100+100+153)</f>
        <v>1335</v>
      </c>
      <c r="F42" s="12">
        <f>SUM(D42/E42)</f>
        <v>12.393258426966293</v>
      </c>
      <c r="G42" s="11">
        <v>12</v>
      </c>
      <c r="H42" s="11">
        <v>7</v>
      </c>
      <c r="I42" s="11"/>
      <c r="J42" s="11"/>
      <c r="K42" s="11"/>
      <c r="L42" s="11">
        <v>30.5</v>
      </c>
      <c r="M42" s="13"/>
    </row>
    <row r="43" spans="1:13" ht="18.75" x14ac:dyDescent="0.3">
      <c r="A43" s="3">
        <v>42</v>
      </c>
      <c r="B43" s="10" t="s">
        <v>50</v>
      </c>
      <c r="C43" s="7" t="s">
        <v>42</v>
      </c>
      <c r="D43" s="11">
        <f>SUM(1503+1083+1503+1401+1481+1497+1501+1196+1485+1363+1499)</f>
        <v>15512</v>
      </c>
      <c r="E43" s="11">
        <f>SUM(137+81+126+109+117+135+149+91+99+92+117)</f>
        <v>1253</v>
      </c>
      <c r="F43" s="12">
        <f>SUM(D43/E43)</f>
        <v>12.379888268156424</v>
      </c>
      <c r="G43" s="11">
        <v>11</v>
      </c>
      <c r="H43" s="11">
        <v>6</v>
      </c>
      <c r="I43" s="11"/>
      <c r="J43" s="11">
        <v>1</v>
      </c>
      <c r="K43" s="11"/>
      <c r="L43" s="11">
        <v>33.5</v>
      </c>
      <c r="M43" s="13">
        <v>5</v>
      </c>
    </row>
    <row r="44" spans="1:13" ht="18.75" x14ac:dyDescent="0.3">
      <c r="A44" s="3">
        <v>43</v>
      </c>
      <c r="B44" s="10" t="s">
        <v>52</v>
      </c>
      <c r="C44" s="7" t="s">
        <v>53</v>
      </c>
      <c r="D44" s="11">
        <f>SUM(1503+1413+1348+1220+1173+1417+1195+1350+1147+845+1226)</f>
        <v>13837</v>
      </c>
      <c r="E44" s="11">
        <f>SUM(111+108+106+105+81+114+93+114+87+75+129)</f>
        <v>1123</v>
      </c>
      <c r="F44" s="12">
        <f>SUM(D44/E44)</f>
        <v>12.321460373998219</v>
      </c>
      <c r="G44" s="11">
        <v>11</v>
      </c>
      <c r="H44" s="11">
        <v>1</v>
      </c>
      <c r="I44" s="11"/>
      <c r="J44" s="11"/>
      <c r="K44" s="11"/>
      <c r="L44" s="11">
        <v>8.5</v>
      </c>
      <c r="M44" s="13"/>
    </row>
    <row r="45" spans="1:13" ht="18.75" x14ac:dyDescent="0.3">
      <c r="A45" s="3">
        <v>44</v>
      </c>
      <c r="B45" s="16" t="s">
        <v>34</v>
      </c>
      <c r="C45" s="7" t="s">
        <v>32</v>
      </c>
      <c r="D45" s="11">
        <f>SUM(1204+1501+1396+1414+1498+1481+1501+1483+1481+1490+1503)</f>
        <v>15952</v>
      </c>
      <c r="E45" s="11">
        <f>SUM(88+140+97+90+105+117+158+129+130+138+108)</f>
        <v>1300</v>
      </c>
      <c r="F45" s="12">
        <f>SUM(D45/E45)</f>
        <v>12.270769230769231</v>
      </c>
      <c r="G45" s="11">
        <v>11</v>
      </c>
      <c r="H45" s="11">
        <v>6</v>
      </c>
      <c r="I45" s="11"/>
      <c r="J45" s="11"/>
      <c r="K45" s="11"/>
      <c r="L45" s="11">
        <v>41</v>
      </c>
      <c r="M45" s="13"/>
    </row>
    <row r="46" spans="1:13" ht="18.75" x14ac:dyDescent="0.3">
      <c r="A46" s="3">
        <v>45</v>
      </c>
      <c r="B46" s="16" t="s">
        <v>145</v>
      </c>
      <c r="C46" s="4" t="s">
        <v>23</v>
      </c>
      <c r="D46" s="11">
        <f>SUM(1173)</f>
        <v>1173</v>
      </c>
      <c r="E46" s="11">
        <f>SUM(96)</f>
        <v>96</v>
      </c>
      <c r="F46" s="12">
        <f>SUM(D46/E46)</f>
        <v>12.21875</v>
      </c>
      <c r="G46" s="11">
        <v>1</v>
      </c>
      <c r="H46" s="11"/>
      <c r="I46" s="11"/>
      <c r="J46" s="11"/>
      <c r="K46" s="11"/>
      <c r="L46" s="11"/>
      <c r="M46" s="13"/>
    </row>
    <row r="47" spans="1:13" ht="18.75" x14ac:dyDescent="0.3">
      <c r="A47" s="3">
        <v>46</v>
      </c>
      <c r="B47" s="10" t="s">
        <v>58</v>
      </c>
      <c r="C47" s="7" t="s">
        <v>53</v>
      </c>
      <c r="D47" s="11">
        <f>SUM(1098+1207+1409+1390+1416+1444+1373+1009+1044+1057+1324+1455)</f>
        <v>15226</v>
      </c>
      <c r="E47" s="11">
        <f>SUM(87+93+129+99+124+132+113+105+81+81+96+107)</f>
        <v>1247</v>
      </c>
      <c r="F47" s="12">
        <f>SUM(D47/E47)</f>
        <v>12.210104250200482</v>
      </c>
      <c r="G47" s="11">
        <v>12</v>
      </c>
      <c r="H47" s="11"/>
      <c r="I47" s="11"/>
      <c r="J47" s="11"/>
      <c r="K47" s="11"/>
      <c r="L47" s="11">
        <v>10</v>
      </c>
      <c r="M47" s="13"/>
    </row>
    <row r="48" spans="1:13" ht="18.75" x14ac:dyDescent="0.3">
      <c r="A48" s="3">
        <v>47</v>
      </c>
      <c r="B48" s="56" t="s">
        <v>144</v>
      </c>
      <c r="C48" s="4" t="s">
        <v>53</v>
      </c>
      <c r="D48" s="11">
        <f>SUM(1244)</f>
        <v>1244</v>
      </c>
      <c r="E48" s="11">
        <f>SUM(102)</f>
        <v>102</v>
      </c>
      <c r="F48" s="12">
        <f>SUM(D48/E48)</f>
        <v>12.196078431372548</v>
      </c>
      <c r="G48" s="11">
        <v>1</v>
      </c>
      <c r="H48" s="11"/>
      <c r="I48" s="11"/>
      <c r="J48" s="11"/>
      <c r="K48" s="11"/>
      <c r="L48" s="11"/>
      <c r="M48" s="13"/>
    </row>
    <row r="49" spans="1:13" ht="18.75" x14ac:dyDescent="0.3">
      <c r="A49" s="3">
        <v>48</v>
      </c>
      <c r="B49" s="15" t="s">
        <v>159</v>
      </c>
      <c r="C49" s="4" t="s">
        <v>14</v>
      </c>
      <c r="D49" s="11">
        <f>SUM(1480+1178)</f>
        <v>2658</v>
      </c>
      <c r="E49" s="11">
        <f>SUM(111+108)</f>
        <v>219</v>
      </c>
      <c r="F49" s="12">
        <f>SUM(D49/E49)</f>
        <v>12.136986301369863</v>
      </c>
      <c r="G49" s="11">
        <v>2</v>
      </c>
      <c r="H49" s="11"/>
      <c r="I49" s="11"/>
      <c r="J49" s="11"/>
      <c r="K49" s="11"/>
      <c r="L49" s="11">
        <v>4</v>
      </c>
      <c r="M49" s="13"/>
    </row>
    <row r="50" spans="1:13" ht="18.75" x14ac:dyDescent="0.3">
      <c r="A50" s="3">
        <v>49</v>
      </c>
      <c r="B50" s="15" t="s">
        <v>63</v>
      </c>
      <c r="C50" s="17" t="s">
        <v>21</v>
      </c>
      <c r="D50" s="11">
        <f>SUM(1452+1495+1498+1503+1492+1410+1342+1280)</f>
        <v>11472</v>
      </c>
      <c r="E50" s="11">
        <f>SUM(135+120+143+139+128+98+90+99)</f>
        <v>952</v>
      </c>
      <c r="F50" s="12">
        <f>SUM(D50/E50)</f>
        <v>12.050420168067227</v>
      </c>
      <c r="G50" s="11">
        <v>8</v>
      </c>
      <c r="H50" s="11">
        <v>4</v>
      </c>
      <c r="I50" s="11"/>
      <c r="J50" s="11"/>
      <c r="K50" s="11"/>
      <c r="L50" s="11">
        <v>23.5</v>
      </c>
      <c r="M50" s="13"/>
    </row>
    <row r="51" spans="1:13" ht="18.75" x14ac:dyDescent="0.3">
      <c r="A51" s="3">
        <v>50</v>
      </c>
      <c r="B51" s="4" t="s">
        <v>143</v>
      </c>
      <c r="C51" s="4" t="s">
        <v>53</v>
      </c>
      <c r="D51" s="11">
        <f>SUM(1312)</f>
        <v>1312</v>
      </c>
      <c r="E51" s="11">
        <f>SUM(113)</f>
        <v>113</v>
      </c>
      <c r="F51" s="12">
        <f>SUM(D51/E51)</f>
        <v>11.610619469026549</v>
      </c>
      <c r="G51" s="11">
        <v>1</v>
      </c>
      <c r="H51" s="11"/>
      <c r="I51" s="11"/>
      <c r="J51" s="11"/>
      <c r="K51" s="11"/>
      <c r="L51" s="11">
        <v>1</v>
      </c>
      <c r="M51" s="13"/>
    </row>
    <row r="52" spans="1:13" ht="18.75" x14ac:dyDescent="0.3">
      <c r="A52" s="3">
        <v>51</v>
      </c>
      <c r="B52" s="15" t="s">
        <v>60</v>
      </c>
      <c r="C52" s="4" t="s">
        <v>47</v>
      </c>
      <c r="D52" s="11">
        <f>SUM(1477+1291+1469+1471+1480+1218+1331+1359+1415+1473+1464+1498)</f>
        <v>16946</v>
      </c>
      <c r="E52" s="11">
        <f>SUM(126+87+136+98+131+94+111+114+114+146+162+154)</f>
        <v>1473</v>
      </c>
      <c r="F52" s="12">
        <f>SUM(D52/E52)</f>
        <v>11.504412763068567</v>
      </c>
      <c r="G52" s="11">
        <v>12</v>
      </c>
      <c r="H52" s="11">
        <v>2</v>
      </c>
      <c r="I52" s="11"/>
      <c r="J52" s="11"/>
      <c r="K52" s="11"/>
      <c r="L52" s="11">
        <v>25.5</v>
      </c>
      <c r="M52" s="13"/>
    </row>
    <row r="53" spans="1:13" ht="18.75" x14ac:dyDescent="0.3">
      <c r="A53" s="3">
        <v>52</v>
      </c>
      <c r="B53" s="4" t="s">
        <v>125</v>
      </c>
      <c r="C53" s="4" t="s">
        <v>53</v>
      </c>
      <c r="D53" s="11">
        <f>SUM(1341)</f>
        <v>1341</v>
      </c>
      <c r="E53" s="11">
        <f>SUM(117)</f>
        <v>117</v>
      </c>
      <c r="F53" s="12">
        <f>SUM(D53/E53)</f>
        <v>11.461538461538462</v>
      </c>
      <c r="G53" s="11">
        <v>1</v>
      </c>
      <c r="H53" s="11"/>
      <c r="I53" s="11"/>
      <c r="J53" s="11"/>
      <c r="K53" s="11"/>
      <c r="L53" s="11"/>
      <c r="M53" s="13"/>
    </row>
    <row r="54" spans="1:13" ht="18.75" x14ac:dyDescent="0.3">
      <c r="A54" s="3">
        <v>53</v>
      </c>
      <c r="B54" s="15" t="s">
        <v>59</v>
      </c>
      <c r="C54" s="4" t="s">
        <v>53</v>
      </c>
      <c r="D54" s="11">
        <f>SUM(1368+1501+1274)</f>
        <v>4143</v>
      </c>
      <c r="E54" s="11">
        <f>SUM(122+148+96)</f>
        <v>366</v>
      </c>
      <c r="F54" s="12">
        <f>SUM(D54/E54)</f>
        <v>11.319672131147541</v>
      </c>
      <c r="G54" s="11">
        <v>3</v>
      </c>
      <c r="H54" s="11">
        <v>2</v>
      </c>
      <c r="I54" s="11"/>
      <c r="J54" s="11"/>
      <c r="K54" s="11"/>
      <c r="L54" s="11">
        <v>6.5</v>
      </c>
      <c r="M54" s="13"/>
    </row>
    <row r="55" spans="1:13" ht="18.75" x14ac:dyDescent="0.3">
      <c r="A55" s="3">
        <v>54</v>
      </c>
      <c r="B55" s="15" t="s">
        <v>109</v>
      </c>
      <c r="C55" s="17" t="s">
        <v>53</v>
      </c>
      <c r="D55" s="11">
        <f>SUM(496+1498+1461+1497+1433+1359+1474+1409)</f>
        <v>10627</v>
      </c>
      <c r="E55" s="11">
        <f>SUM(45+156+130+134+114+102+147+112)</f>
        <v>940</v>
      </c>
      <c r="F55" s="12">
        <f>SUM(D55/E55)</f>
        <v>11.305319148936171</v>
      </c>
      <c r="G55" s="11">
        <v>8</v>
      </c>
      <c r="H55" s="11">
        <v>2</v>
      </c>
      <c r="I55" s="11"/>
      <c r="J55" s="11"/>
      <c r="K55" s="11"/>
      <c r="L55" s="11">
        <v>14.5</v>
      </c>
      <c r="M55" s="13"/>
    </row>
    <row r="56" spans="1:13" ht="18.75" x14ac:dyDescent="0.3">
      <c r="A56" s="3">
        <v>55</v>
      </c>
      <c r="B56" s="15" t="s">
        <v>102</v>
      </c>
      <c r="C56" s="17" t="s">
        <v>21</v>
      </c>
      <c r="D56" s="11">
        <f>SUM(1467)</f>
        <v>1467</v>
      </c>
      <c r="E56" s="11">
        <f>SUM(130)</f>
        <v>130</v>
      </c>
      <c r="F56" s="12">
        <f>SUM(D56/E56)</f>
        <v>11.284615384615385</v>
      </c>
      <c r="G56" s="11">
        <v>1</v>
      </c>
      <c r="H56" s="11">
        <v>1</v>
      </c>
      <c r="I56" s="11"/>
      <c r="J56" s="11"/>
      <c r="K56" s="11"/>
      <c r="L56" s="11">
        <v>4</v>
      </c>
      <c r="M56" s="13"/>
    </row>
    <row r="57" spans="1:13" ht="18.75" x14ac:dyDescent="0.3">
      <c r="A57" s="3">
        <v>56</v>
      </c>
      <c r="B57" s="15" t="s">
        <v>94</v>
      </c>
      <c r="C57" s="4" t="s">
        <v>42</v>
      </c>
      <c r="D57" s="11">
        <f>SUM(1484+1490+1474+1452+1499+1435+1499+1463+1469+1503+1254+1403)</f>
        <v>17425</v>
      </c>
      <c r="E57" s="11">
        <f>SUM(126+139+150+165+106+132+146+114+150+135+108+108)</f>
        <v>1579</v>
      </c>
      <c r="F57" s="12">
        <f>SUM(D57/E57)</f>
        <v>11.035465484483851</v>
      </c>
      <c r="G57" s="11">
        <v>12</v>
      </c>
      <c r="H57" s="11">
        <v>4</v>
      </c>
      <c r="I57" s="11"/>
      <c r="J57" s="11"/>
      <c r="K57" s="11"/>
      <c r="L57" s="11">
        <v>34</v>
      </c>
      <c r="M57" s="13"/>
    </row>
    <row r="58" spans="1:13" ht="18.75" x14ac:dyDescent="0.3">
      <c r="A58" s="3">
        <v>57</v>
      </c>
      <c r="B58" s="4" t="s">
        <v>51</v>
      </c>
      <c r="C58" s="7" t="s">
        <v>14</v>
      </c>
      <c r="D58" s="11">
        <f>SUM(1394+1122+1067+1482+1376+1498+1402+1456)</f>
        <v>10797</v>
      </c>
      <c r="E58" s="11">
        <f>SUM(93+86+81+162+144+145+150+125)</f>
        <v>986</v>
      </c>
      <c r="F58" s="12">
        <f>SUM(D58/E58)</f>
        <v>10.950304259634889</v>
      </c>
      <c r="G58" s="11">
        <v>8</v>
      </c>
      <c r="H58" s="11">
        <v>1</v>
      </c>
      <c r="I58" s="11"/>
      <c r="J58" s="11"/>
      <c r="K58" s="11"/>
      <c r="L58" s="11">
        <v>15.5</v>
      </c>
      <c r="M58" s="13"/>
    </row>
    <row r="59" spans="1:13" ht="18.75" x14ac:dyDescent="0.3">
      <c r="A59" s="3">
        <v>58</v>
      </c>
      <c r="B59" s="15" t="s">
        <v>112</v>
      </c>
      <c r="C59" s="4" t="s">
        <v>95</v>
      </c>
      <c r="D59" s="11">
        <f>SUM(1150+1237+1485+1478+1185)</f>
        <v>6535</v>
      </c>
      <c r="E59" s="11">
        <f>SUM(90+108+153+148+99)</f>
        <v>598</v>
      </c>
      <c r="F59" s="12">
        <f>SUM(D59/E59)</f>
        <v>10.92809364548495</v>
      </c>
      <c r="G59" s="11">
        <v>5</v>
      </c>
      <c r="H59" s="11">
        <v>1</v>
      </c>
      <c r="I59" s="11"/>
      <c r="J59" s="11"/>
      <c r="K59" s="11"/>
      <c r="L59" s="11">
        <v>8.5</v>
      </c>
      <c r="M59" s="13"/>
    </row>
    <row r="60" spans="1:13" ht="18.75" x14ac:dyDescent="0.3">
      <c r="A60" s="3">
        <v>59</v>
      </c>
      <c r="B60" s="4" t="s">
        <v>166</v>
      </c>
      <c r="C60" s="58" t="s">
        <v>42</v>
      </c>
      <c r="D60" s="11">
        <f>SUM(1309)</f>
        <v>1309</v>
      </c>
      <c r="E60" s="11">
        <f>SUM(120)</f>
        <v>120</v>
      </c>
      <c r="F60" s="12">
        <f>SUM(D60/E60)</f>
        <v>10.908333333333333</v>
      </c>
      <c r="G60" s="11">
        <v>1</v>
      </c>
      <c r="H60" s="11"/>
      <c r="I60" s="11"/>
      <c r="J60" s="11"/>
      <c r="K60" s="11"/>
      <c r="L60" s="11">
        <v>0.5</v>
      </c>
      <c r="M60" s="13"/>
    </row>
    <row r="61" spans="1:13" ht="18.75" x14ac:dyDescent="0.3">
      <c r="A61" s="3">
        <v>60</v>
      </c>
      <c r="B61" s="4" t="s">
        <v>56</v>
      </c>
      <c r="C61" s="4" t="s">
        <v>95</v>
      </c>
      <c r="D61" s="11">
        <f>SUM(1248+1064+1400+1411+1387+1347+1413+1320+1224+1440)</f>
        <v>13254</v>
      </c>
      <c r="E61" s="11">
        <f>SUM(105+84+133+141+150+112+108+117+113+153)</f>
        <v>1216</v>
      </c>
      <c r="F61" s="12">
        <f>SUM(D61/E61)</f>
        <v>10.899671052631579</v>
      </c>
      <c r="G61" s="11">
        <v>10</v>
      </c>
      <c r="H61" s="11"/>
      <c r="I61" s="11"/>
      <c r="J61" s="11"/>
      <c r="K61" s="11"/>
      <c r="L61" s="11">
        <v>14</v>
      </c>
      <c r="M61" s="13"/>
    </row>
    <row r="62" spans="1:13" ht="18.75" x14ac:dyDescent="0.3">
      <c r="A62" s="3">
        <v>61</v>
      </c>
      <c r="B62" s="15" t="s">
        <v>55</v>
      </c>
      <c r="C62" s="7" t="s">
        <v>53</v>
      </c>
      <c r="D62" s="11">
        <f>SUM(1363+1275+1471+1473+1503+1072+1459+1448+1449)</f>
        <v>12513</v>
      </c>
      <c r="E62" s="11">
        <f>SUM(123+117+156+148+117+87+131+174+110)</f>
        <v>1163</v>
      </c>
      <c r="F62" s="12">
        <f>SUM(D62/E62)</f>
        <v>10.759243336199484</v>
      </c>
      <c r="G62" s="11">
        <v>9</v>
      </c>
      <c r="H62" s="11">
        <v>4</v>
      </c>
      <c r="I62" s="11"/>
      <c r="J62" s="11"/>
      <c r="K62" s="11"/>
      <c r="L62" s="11">
        <v>18.5</v>
      </c>
      <c r="M62" s="13"/>
    </row>
    <row r="63" spans="1:13" ht="18.75" x14ac:dyDescent="0.3">
      <c r="A63" s="3">
        <v>62</v>
      </c>
      <c r="B63" s="4" t="s">
        <v>124</v>
      </c>
      <c r="C63" s="7" t="s">
        <v>28</v>
      </c>
      <c r="D63" s="11">
        <f>SUM(1416)</f>
        <v>1416</v>
      </c>
      <c r="E63" s="11">
        <f>SUM(132)</f>
        <v>132</v>
      </c>
      <c r="F63" s="12">
        <f>SUM(D63/E63)</f>
        <v>10.727272727272727</v>
      </c>
      <c r="G63" s="11">
        <v>1</v>
      </c>
      <c r="H63" s="11"/>
      <c r="I63" s="11"/>
      <c r="J63" s="11"/>
      <c r="K63" s="11"/>
      <c r="L63" s="11">
        <v>1</v>
      </c>
      <c r="M63" s="13"/>
    </row>
    <row r="64" spans="1:13" ht="18.75" x14ac:dyDescent="0.3">
      <c r="A64" s="3">
        <v>63</v>
      </c>
      <c r="B64" s="15" t="s">
        <v>110</v>
      </c>
      <c r="C64" s="7" t="s">
        <v>21</v>
      </c>
      <c r="D64" s="11">
        <f>SUM(1250+1503+1491+1315+1503+1431)</f>
        <v>8493</v>
      </c>
      <c r="E64" s="11">
        <f>SUM(109+145+155+119+159+106)</f>
        <v>793</v>
      </c>
      <c r="F64" s="12">
        <f>SUM(D64/E64)</f>
        <v>10.709962168978562</v>
      </c>
      <c r="G64" s="11">
        <v>6</v>
      </c>
      <c r="H64" s="11">
        <v>3</v>
      </c>
      <c r="I64" s="11"/>
      <c r="J64" s="11"/>
      <c r="K64" s="11"/>
      <c r="L64" s="11">
        <v>15.5</v>
      </c>
      <c r="M64" s="13"/>
    </row>
    <row r="65" spans="1:18" ht="18.75" x14ac:dyDescent="0.3">
      <c r="A65" s="3">
        <v>64</v>
      </c>
      <c r="B65" s="4" t="s">
        <v>54</v>
      </c>
      <c r="C65" s="4" t="s">
        <v>47</v>
      </c>
      <c r="D65" s="11">
        <f>SUM(1478+1353+1503+1472+1448+1079+1478+1286+1374+1483)</f>
        <v>13954</v>
      </c>
      <c r="E65" s="11">
        <f>SUM(126+139+133+123+135+93+143+117+144+150)</f>
        <v>1303</v>
      </c>
      <c r="F65" s="12">
        <f>SUM(D65/E65)</f>
        <v>10.709132770529548</v>
      </c>
      <c r="G65" s="11">
        <v>10</v>
      </c>
      <c r="H65" s="11">
        <v>4</v>
      </c>
      <c r="I65" s="11"/>
      <c r="J65" s="11"/>
      <c r="K65" s="11"/>
      <c r="L65" s="11">
        <v>23.5</v>
      </c>
      <c r="M65" s="13"/>
    </row>
    <row r="66" spans="1:18" ht="18.75" x14ac:dyDescent="0.3">
      <c r="A66" s="3">
        <v>65</v>
      </c>
      <c r="B66" s="4" t="s">
        <v>165</v>
      </c>
      <c r="C66" s="7" t="s">
        <v>14</v>
      </c>
      <c r="D66" s="11">
        <f>SUM(1486)</f>
        <v>1486</v>
      </c>
      <c r="E66" s="11">
        <f>SUM(139)</f>
        <v>139</v>
      </c>
      <c r="F66" s="12">
        <f>SUM(D66/E66)</f>
        <v>10.690647482014388</v>
      </c>
      <c r="G66" s="11">
        <v>1</v>
      </c>
      <c r="H66" s="11">
        <v>1</v>
      </c>
      <c r="I66" s="11"/>
      <c r="J66" s="11"/>
      <c r="K66" s="11"/>
      <c r="L66" s="11">
        <v>3.5</v>
      </c>
      <c r="M66" s="13"/>
    </row>
    <row r="67" spans="1:18" ht="18.75" x14ac:dyDescent="0.3">
      <c r="A67" s="3">
        <v>66</v>
      </c>
      <c r="B67" s="4" t="s">
        <v>118</v>
      </c>
      <c r="C67" s="7" t="s">
        <v>42</v>
      </c>
      <c r="D67" s="11">
        <f>SUM(1477+1499+1258)</f>
        <v>4234</v>
      </c>
      <c r="E67" s="11">
        <f>SUM(152+138+111)</f>
        <v>401</v>
      </c>
      <c r="F67" s="12">
        <f>SUM(D67/E67)</f>
        <v>10.558603491271821</v>
      </c>
      <c r="G67" s="11">
        <v>3</v>
      </c>
      <c r="H67" s="11">
        <v>2</v>
      </c>
      <c r="I67" s="11"/>
      <c r="J67" s="11"/>
      <c r="K67" s="11"/>
      <c r="L67" s="11">
        <v>8</v>
      </c>
      <c r="M67" s="13"/>
    </row>
    <row r="68" spans="1:18" ht="18.75" x14ac:dyDescent="0.3">
      <c r="A68" s="3">
        <v>67</v>
      </c>
      <c r="B68" s="15" t="s">
        <v>171</v>
      </c>
      <c r="C68" s="7" t="s">
        <v>53</v>
      </c>
      <c r="D68" s="11">
        <f>SUM(1129)</f>
        <v>1129</v>
      </c>
      <c r="E68" s="11">
        <f>SUM(108)</f>
        <v>108</v>
      </c>
      <c r="F68" s="12">
        <f>SUM(D68/E68)</f>
        <v>10.453703703703704</v>
      </c>
      <c r="G68" s="11">
        <v>1</v>
      </c>
      <c r="H68" s="11"/>
      <c r="I68" s="11"/>
      <c r="J68" s="11"/>
      <c r="K68" s="11"/>
      <c r="L68" s="11"/>
      <c r="M68" s="13"/>
    </row>
    <row r="69" spans="1:18" ht="18.75" x14ac:dyDescent="0.3">
      <c r="A69" s="3">
        <v>68</v>
      </c>
      <c r="B69" s="15" t="s">
        <v>130</v>
      </c>
      <c r="C69" s="7" t="s">
        <v>14</v>
      </c>
      <c r="D69" s="11">
        <f>SUM(1489+1487+1493)</f>
        <v>4469</v>
      </c>
      <c r="E69" s="11">
        <f>SUM(134+150+161)</f>
        <v>445</v>
      </c>
      <c r="F69" s="12">
        <f>SUM(D69/E69)</f>
        <v>10.042696629213482</v>
      </c>
      <c r="G69" s="11">
        <v>3</v>
      </c>
      <c r="H69" s="11">
        <v>3</v>
      </c>
      <c r="I69" s="11"/>
      <c r="J69" s="11"/>
      <c r="K69" s="11"/>
      <c r="L69" s="11">
        <v>11</v>
      </c>
      <c r="M69" s="13"/>
    </row>
    <row r="70" spans="1:18" ht="18.75" x14ac:dyDescent="0.3">
      <c r="A70" s="3">
        <v>69</v>
      </c>
      <c r="B70" s="15" t="s">
        <v>97</v>
      </c>
      <c r="C70" s="4" t="s">
        <v>47</v>
      </c>
      <c r="D70" s="11">
        <f>SUM(1376+1488)</f>
        <v>2864</v>
      </c>
      <c r="E70" s="11">
        <f>SUM(138+171)</f>
        <v>309</v>
      </c>
      <c r="F70" s="12">
        <f>SUM(D70/E70)</f>
        <v>9.2686084142394822</v>
      </c>
      <c r="G70" s="11">
        <v>2</v>
      </c>
      <c r="H70" s="11"/>
      <c r="I70" s="11"/>
      <c r="J70" s="11"/>
      <c r="K70" s="11"/>
      <c r="L70" s="11">
        <v>5.5</v>
      </c>
      <c r="M70" s="13"/>
    </row>
    <row r="71" spans="1:18" ht="18.75" x14ac:dyDescent="0.3">
      <c r="A71" s="3">
        <v>70</v>
      </c>
      <c r="B71" s="4" t="s">
        <v>142</v>
      </c>
      <c r="C71" s="4" t="s">
        <v>53</v>
      </c>
      <c r="D71" s="11">
        <f>SUM(1376)</f>
        <v>1376</v>
      </c>
      <c r="E71" s="11">
        <f>SUM(157)</f>
        <v>157</v>
      </c>
      <c r="F71" s="12">
        <f>SUM(D71/E71)</f>
        <v>8.7643312101910826</v>
      </c>
      <c r="G71" s="11">
        <v>1</v>
      </c>
      <c r="H71" s="11"/>
      <c r="I71" s="11"/>
      <c r="J71" s="11"/>
      <c r="K71" s="11"/>
      <c r="L71" s="11"/>
      <c r="M71" s="13"/>
    </row>
    <row r="72" spans="1:18" ht="18.75" x14ac:dyDescent="0.3">
      <c r="A72" s="3">
        <v>71</v>
      </c>
      <c r="B72" s="21" t="s">
        <v>164</v>
      </c>
      <c r="C72" s="14" t="s">
        <v>23</v>
      </c>
      <c r="D72" s="11">
        <f>SUM(1284)</f>
        <v>1284</v>
      </c>
      <c r="E72" s="11">
        <f>SUM(153)</f>
        <v>153</v>
      </c>
      <c r="F72" s="12">
        <f>SUM(D72/E72)</f>
        <v>8.3921568627450984</v>
      </c>
      <c r="G72" s="11">
        <v>1</v>
      </c>
      <c r="H72" s="11"/>
      <c r="I72" s="11"/>
      <c r="J72" s="11"/>
      <c r="K72" s="11"/>
      <c r="L72" s="11">
        <v>1</v>
      </c>
      <c r="M72" s="13"/>
    </row>
    <row r="73" spans="1:18" ht="17.25" customHeight="1" thickBot="1" x14ac:dyDescent="0.3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8" ht="19.5" customHeight="1" thickBot="1" x14ac:dyDescent="0.35">
      <c r="A74" s="5"/>
      <c r="B74" s="39" t="s">
        <v>170</v>
      </c>
      <c r="C74" s="27" t="s">
        <v>65</v>
      </c>
      <c r="D74" s="28" t="s">
        <v>66</v>
      </c>
      <c r="E74" s="29" t="s">
        <v>67</v>
      </c>
      <c r="F74" s="20" t="s">
        <v>91</v>
      </c>
      <c r="G74" s="30" t="s">
        <v>68</v>
      </c>
      <c r="I74" s="50" t="s">
        <v>69</v>
      </c>
      <c r="J74" s="51"/>
      <c r="K74" s="51"/>
      <c r="L74" s="51"/>
      <c r="M74" s="51"/>
      <c r="N74" s="51"/>
      <c r="O74" s="51"/>
      <c r="P74" s="51"/>
      <c r="Q74" s="51"/>
      <c r="R74" s="52"/>
    </row>
    <row r="75" spans="1:18" ht="18.75" x14ac:dyDescent="0.3">
      <c r="A75" s="5"/>
      <c r="B75" s="40"/>
      <c r="C75" s="17" t="s">
        <v>82</v>
      </c>
      <c r="D75" s="7">
        <v>12</v>
      </c>
      <c r="E75" s="22">
        <v>0</v>
      </c>
      <c r="F75" s="15"/>
      <c r="G75" s="23">
        <v>205</v>
      </c>
      <c r="I75" s="42" t="s">
        <v>70</v>
      </c>
      <c r="J75" s="43"/>
      <c r="K75" s="43"/>
      <c r="L75" s="43"/>
      <c r="M75" s="43"/>
      <c r="N75" s="53" t="s">
        <v>122</v>
      </c>
      <c r="O75" s="53"/>
      <c r="P75" s="53"/>
      <c r="Q75" s="53"/>
      <c r="R75" s="54"/>
    </row>
    <row r="76" spans="1:18" ht="18.75" x14ac:dyDescent="0.3">
      <c r="A76" s="5"/>
      <c r="B76" s="40"/>
      <c r="C76" s="17" t="s">
        <v>77</v>
      </c>
      <c r="D76" s="7">
        <v>10</v>
      </c>
      <c r="E76" s="22">
        <v>2</v>
      </c>
      <c r="F76" s="15"/>
      <c r="G76" s="23">
        <v>182</v>
      </c>
      <c r="I76" s="44" t="s">
        <v>72</v>
      </c>
      <c r="J76" s="45"/>
      <c r="K76" s="45"/>
      <c r="L76" s="45"/>
      <c r="M76" s="45"/>
      <c r="N76" s="48" t="s">
        <v>169</v>
      </c>
      <c r="O76" s="48"/>
      <c r="P76" s="48"/>
      <c r="Q76" s="48"/>
      <c r="R76" s="49"/>
    </row>
    <row r="77" spans="1:18" ht="18.75" x14ac:dyDescent="0.3">
      <c r="A77" s="5"/>
      <c r="B77" s="40"/>
      <c r="C77" s="18" t="s">
        <v>83</v>
      </c>
      <c r="D77" s="9">
        <v>9</v>
      </c>
      <c r="E77" s="10">
        <v>3</v>
      </c>
      <c r="F77" s="15"/>
      <c r="G77" s="18">
        <v>168</v>
      </c>
      <c r="I77" s="44" t="s">
        <v>74</v>
      </c>
      <c r="J77" s="45"/>
      <c r="K77" s="45"/>
      <c r="L77" s="45"/>
      <c r="M77" s="45"/>
      <c r="N77" s="48" t="s">
        <v>167</v>
      </c>
      <c r="O77" s="48"/>
      <c r="P77" s="48"/>
      <c r="Q77" s="48"/>
      <c r="R77" s="49"/>
    </row>
    <row r="78" spans="1:18" ht="18.75" x14ac:dyDescent="0.3">
      <c r="A78" s="6"/>
      <c r="B78" s="40"/>
      <c r="C78" s="17" t="s">
        <v>71</v>
      </c>
      <c r="D78" s="7">
        <v>8</v>
      </c>
      <c r="E78" s="16">
        <v>4</v>
      </c>
      <c r="F78" s="15"/>
      <c r="G78" s="17">
        <v>169</v>
      </c>
      <c r="I78" s="44" t="s">
        <v>76</v>
      </c>
      <c r="J78" s="45"/>
      <c r="K78" s="45"/>
      <c r="L78" s="45"/>
      <c r="M78" s="45"/>
      <c r="N78" s="48" t="s">
        <v>168</v>
      </c>
      <c r="O78" s="48"/>
      <c r="P78" s="48"/>
      <c r="Q78" s="48"/>
      <c r="R78" s="49"/>
    </row>
    <row r="79" spans="1:18" ht="18" customHeight="1" x14ac:dyDescent="0.3">
      <c r="A79" s="6"/>
      <c r="B79" s="40"/>
      <c r="C79" s="17" t="s">
        <v>85</v>
      </c>
      <c r="D79" s="7">
        <v>8</v>
      </c>
      <c r="E79" s="22">
        <v>4</v>
      </c>
      <c r="F79" s="15"/>
      <c r="G79" s="23">
        <v>167</v>
      </c>
      <c r="I79" s="44" t="s">
        <v>78</v>
      </c>
      <c r="J79" s="45"/>
      <c r="K79" s="45"/>
      <c r="L79" s="45"/>
      <c r="M79" s="45"/>
      <c r="N79" s="48" t="s">
        <v>167</v>
      </c>
      <c r="O79" s="48"/>
      <c r="P79" s="48"/>
      <c r="Q79" s="48"/>
      <c r="R79" s="49"/>
    </row>
    <row r="80" spans="1:18" ht="18" customHeight="1" thickBot="1" x14ac:dyDescent="0.35">
      <c r="A80" s="6"/>
      <c r="B80" s="40"/>
      <c r="C80" s="18" t="s">
        <v>79</v>
      </c>
      <c r="D80" s="9">
        <v>5</v>
      </c>
      <c r="E80" s="10">
        <v>7</v>
      </c>
      <c r="F80" s="15"/>
      <c r="G80" s="18">
        <v>145</v>
      </c>
      <c r="I80" s="46" t="s">
        <v>80</v>
      </c>
      <c r="J80" s="47"/>
      <c r="K80" s="47"/>
      <c r="L80" s="47"/>
      <c r="M80" s="47"/>
      <c r="N80" s="48" t="s">
        <v>119</v>
      </c>
      <c r="O80" s="48"/>
      <c r="P80" s="48"/>
      <c r="Q80" s="48"/>
      <c r="R80" s="49"/>
    </row>
    <row r="81" spans="1:9" ht="18.75" x14ac:dyDescent="0.3">
      <c r="A81" s="6"/>
      <c r="B81" s="40"/>
      <c r="C81" s="17" t="s">
        <v>75</v>
      </c>
      <c r="D81" s="7">
        <v>4</v>
      </c>
      <c r="E81" s="22">
        <v>8</v>
      </c>
      <c r="F81" s="15"/>
      <c r="G81" s="23">
        <v>137</v>
      </c>
      <c r="H81" s="6"/>
      <c r="I81" s="6"/>
    </row>
    <row r="82" spans="1:9" ht="18.75" x14ac:dyDescent="0.3">
      <c r="A82" s="6"/>
      <c r="B82" s="40"/>
      <c r="C82" s="17" t="s">
        <v>81</v>
      </c>
      <c r="D82" s="7">
        <v>4</v>
      </c>
      <c r="E82" s="16">
        <v>8</v>
      </c>
      <c r="F82" s="15"/>
      <c r="G82" s="17">
        <v>132</v>
      </c>
      <c r="H82" s="6"/>
    </row>
    <row r="83" spans="1:9" ht="18.75" x14ac:dyDescent="0.3">
      <c r="B83" s="40"/>
      <c r="C83" s="18" t="s">
        <v>86</v>
      </c>
      <c r="D83" s="9">
        <v>4</v>
      </c>
      <c r="E83" s="10">
        <v>8</v>
      </c>
      <c r="F83" s="15"/>
      <c r="G83" s="18">
        <v>128</v>
      </c>
    </row>
    <row r="84" spans="1:9" ht="18.75" x14ac:dyDescent="0.3">
      <c r="B84" s="40"/>
      <c r="C84" s="17" t="s">
        <v>73</v>
      </c>
      <c r="D84" s="7">
        <v>4</v>
      </c>
      <c r="E84" s="22">
        <v>8</v>
      </c>
      <c r="F84" s="15"/>
      <c r="G84" s="23">
        <v>119</v>
      </c>
    </row>
    <row r="85" spans="1:9" ht="18.75" x14ac:dyDescent="0.3">
      <c r="B85" s="40"/>
      <c r="C85" s="19" t="s">
        <v>101</v>
      </c>
      <c r="D85" s="14">
        <v>4</v>
      </c>
      <c r="E85" s="21">
        <v>8</v>
      </c>
      <c r="F85" s="26"/>
      <c r="G85" s="19">
        <v>117</v>
      </c>
    </row>
    <row r="86" spans="1:9" ht="19.5" thickBot="1" x14ac:dyDescent="0.35">
      <c r="B86" s="41"/>
      <c r="C86" s="18" t="s">
        <v>84</v>
      </c>
      <c r="D86" s="9">
        <v>0</v>
      </c>
      <c r="E86" s="10">
        <v>12</v>
      </c>
      <c r="F86" s="15"/>
      <c r="G86" s="18">
        <v>59</v>
      </c>
    </row>
    <row r="87" spans="1:9" ht="15.75" thickBot="1" x14ac:dyDescent="0.3"/>
    <row r="88" spans="1:9" ht="19.5" thickBot="1" x14ac:dyDescent="0.35">
      <c r="C88" s="27" t="s">
        <v>87</v>
      </c>
      <c r="D88" s="28" t="s">
        <v>66</v>
      </c>
      <c r="E88" s="28" t="s">
        <v>67</v>
      </c>
      <c r="F88" s="20" t="s">
        <v>91</v>
      </c>
      <c r="G88" s="31" t="s">
        <v>68</v>
      </c>
    </row>
    <row r="89" spans="1:9" ht="18.75" x14ac:dyDescent="0.3">
      <c r="C89" s="14" t="s">
        <v>82</v>
      </c>
      <c r="D89" s="14">
        <v>12</v>
      </c>
      <c r="E89" s="24">
        <v>0</v>
      </c>
      <c r="F89" s="15"/>
      <c r="G89" s="25">
        <v>205</v>
      </c>
    </row>
    <row r="90" spans="1:9" ht="18.75" x14ac:dyDescent="0.3">
      <c r="C90" s="7" t="s">
        <v>77</v>
      </c>
      <c r="D90" s="7">
        <v>10</v>
      </c>
      <c r="E90" s="22">
        <v>2</v>
      </c>
      <c r="F90" s="15"/>
      <c r="G90" s="23">
        <v>182</v>
      </c>
    </row>
    <row r="91" spans="1:9" ht="18.75" x14ac:dyDescent="0.3">
      <c r="C91" s="14" t="s">
        <v>71</v>
      </c>
      <c r="D91" s="14">
        <v>8</v>
      </c>
      <c r="E91" s="21">
        <v>4</v>
      </c>
      <c r="F91" s="26"/>
      <c r="G91" s="19">
        <v>169</v>
      </c>
    </row>
    <row r="92" spans="1:9" ht="18.75" x14ac:dyDescent="0.3">
      <c r="C92" s="14" t="s">
        <v>75</v>
      </c>
      <c r="D92" s="14">
        <v>4</v>
      </c>
      <c r="E92" s="24">
        <v>8</v>
      </c>
      <c r="F92" s="26"/>
      <c r="G92" s="25">
        <v>137</v>
      </c>
    </row>
    <row r="93" spans="1:9" ht="15.75" thickBot="1" x14ac:dyDescent="0.3"/>
    <row r="94" spans="1:9" ht="19.5" thickBot="1" x14ac:dyDescent="0.35">
      <c r="C94" s="27" t="s">
        <v>88</v>
      </c>
      <c r="D94" s="28" t="s">
        <v>66</v>
      </c>
      <c r="E94" s="28" t="s">
        <v>67</v>
      </c>
      <c r="F94" s="20" t="s">
        <v>91</v>
      </c>
      <c r="G94" s="31" t="s">
        <v>68</v>
      </c>
    </row>
    <row r="95" spans="1:9" ht="18.75" x14ac:dyDescent="0.3">
      <c r="C95" s="9" t="s">
        <v>83</v>
      </c>
      <c r="D95" s="9">
        <v>9</v>
      </c>
      <c r="E95" s="10">
        <v>3</v>
      </c>
      <c r="F95" s="15"/>
      <c r="G95" s="18">
        <v>168</v>
      </c>
    </row>
    <row r="96" spans="1:9" ht="18.75" x14ac:dyDescent="0.3">
      <c r="C96" s="7" t="s">
        <v>85</v>
      </c>
      <c r="D96" s="7">
        <v>8</v>
      </c>
      <c r="E96" s="22">
        <v>4</v>
      </c>
      <c r="F96" s="15"/>
      <c r="G96" s="23">
        <v>167</v>
      </c>
    </row>
    <row r="97" spans="3:7" ht="18.75" x14ac:dyDescent="0.3">
      <c r="C97" s="9" t="s">
        <v>79</v>
      </c>
      <c r="D97" s="9">
        <v>5</v>
      </c>
      <c r="E97" s="10">
        <v>7</v>
      </c>
      <c r="F97" s="15"/>
      <c r="G97" s="18">
        <v>145</v>
      </c>
    </row>
    <row r="98" spans="3:7" ht="18.75" x14ac:dyDescent="0.3">
      <c r="C98" s="14" t="s">
        <v>101</v>
      </c>
      <c r="D98" s="14">
        <v>4</v>
      </c>
      <c r="E98" s="21">
        <v>8</v>
      </c>
      <c r="F98" s="26"/>
      <c r="G98" s="19">
        <v>117</v>
      </c>
    </row>
    <row r="99" spans="3:7" ht="15.75" thickBot="1" x14ac:dyDescent="0.3"/>
    <row r="100" spans="3:7" ht="19.5" thickBot="1" x14ac:dyDescent="0.35">
      <c r="C100" s="32" t="s">
        <v>89</v>
      </c>
      <c r="D100" s="33" t="s">
        <v>66</v>
      </c>
      <c r="E100" s="33" t="s">
        <v>67</v>
      </c>
      <c r="F100" s="20" t="s">
        <v>91</v>
      </c>
      <c r="G100" s="34" t="s">
        <v>68</v>
      </c>
    </row>
    <row r="101" spans="3:7" ht="18.75" x14ac:dyDescent="0.3">
      <c r="C101" s="7" t="s">
        <v>81</v>
      </c>
      <c r="D101" s="7">
        <v>4</v>
      </c>
      <c r="E101" s="16">
        <v>8</v>
      </c>
      <c r="F101" s="15"/>
      <c r="G101" s="17">
        <v>132</v>
      </c>
    </row>
    <row r="102" spans="3:7" ht="18.75" x14ac:dyDescent="0.3">
      <c r="C102" s="9" t="s">
        <v>86</v>
      </c>
      <c r="D102" s="9">
        <v>4</v>
      </c>
      <c r="E102" s="10">
        <v>8</v>
      </c>
      <c r="F102" s="15"/>
      <c r="G102" s="18">
        <v>128</v>
      </c>
    </row>
    <row r="103" spans="3:7" ht="18.75" x14ac:dyDescent="0.3">
      <c r="C103" s="14" t="s">
        <v>73</v>
      </c>
      <c r="D103" s="14">
        <v>4</v>
      </c>
      <c r="E103" s="24">
        <v>8</v>
      </c>
      <c r="F103" s="15"/>
      <c r="G103" s="25">
        <v>119</v>
      </c>
    </row>
    <row r="104" spans="3:7" ht="18.75" x14ac:dyDescent="0.3">
      <c r="C104" s="9" t="s">
        <v>84</v>
      </c>
      <c r="D104" s="9">
        <v>0</v>
      </c>
      <c r="E104" s="10">
        <v>12</v>
      </c>
      <c r="F104" s="15"/>
      <c r="G104" s="18">
        <v>59</v>
      </c>
    </row>
  </sheetData>
  <mergeCells count="14">
    <mergeCell ref="N80:R80"/>
    <mergeCell ref="I74:R74"/>
    <mergeCell ref="N75:R75"/>
    <mergeCell ref="N76:R76"/>
    <mergeCell ref="N77:R77"/>
    <mergeCell ref="N78:R78"/>
    <mergeCell ref="N79:R79"/>
    <mergeCell ref="B74:B86"/>
    <mergeCell ref="I75:M75"/>
    <mergeCell ref="I76:M76"/>
    <mergeCell ref="I77:M77"/>
    <mergeCell ref="I78:M78"/>
    <mergeCell ref="I79:M79"/>
    <mergeCell ref="I80:M8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workbookViewId="0">
      <pane ySplit="1" topLeftCell="A2" activePane="bottomLeft" state="frozen"/>
      <selection pane="bottomLeft" activeCell="E43" sqref="E43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SUM(1444+1481+1503+1503+1471+1503+1471+1499+1495+1503+1503+1503+1449)</f>
        <v>19328</v>
      </c>
      <c r="E2" s="11">
        <f>SUM(74+87+96+88+103+80+96+92+81+73+81+99+100)</f>
        <v>1150</v>
      </c>
      <c r="F2" s="12">
        <f>SUM(D2/E2)</f>
        <v>16.806956521739131</v>
      </c>
      <c r="G2" s="11">
        <v>13</v>
      </c>
      <c r="H2" s="11">
        <v>11</v>
      </c>
      <c r="I2" s="11">
        <v>2</v>
      </c>
      <c r="J2" s="11"/>
      <c r="K2" s="11">
        <v>1</v>
      </c>
      <c r="L2" s="11">
        <v>56.5</v>
      </c>
      <c r="M2" s="13">
        <v>25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SUM(1360+1372+1443+1499+1503+1503+1493+1503)</f>
        <v>11676</v>
      </c>
      <c r="E3" s="11">
        <f>SUM(71+94+91+92+82+84+97+100)</f>
        <v>711</v>
      </c>
      <c r="F3" s="12">
        <f>SUM(D3/E3)</f>
        <v>16.421940928270043</v>
      </c>
      <c r="G3" s="11">
        <v>8</v>
      </c>
      <c r="H3" s="11">
        <v>6</v>
      </c>
      <c r="I3" s="11">
        <v>2</v>
      </c>
      <c r="J3" s="11"/>
      <c r="K3" s="11"/>
      <c r="L3" s="11">
        <v>32.5</v>
      </c>
      <c r="M3" s="13"/>
    </row>
    <row r="4" spans="1:13" ht="18.75" x14ac:dyDescent="0.3">
      <c r="A4" s="3">
        <v>3</v>
      </c>
      <c r="B4" s="4" t="s">
        <v>37</v>
      </c>
      <c r="C4" s="4" t="s">
        <v>21</v>
      </c>
      <c r="D4" s="11">
        <f>SUM(1501+1495+1314+1407+1503+1405+1426+1455+1372+1417+1476+1503)</f>
        <v>17274</v>
      </c>
      <c r="E4" s="11">
        <f>SUM(106+86+87+95+80+84+86+83+81+84+106+118)</f>
        <v>1096</v>
      </c>
      <c r="F4" s="12">
        <f>SUM(D4/E4)</f>
        <v>15.760948905109489</v>
      </c>
      <c r="G4" s="11">
        <v>12</v>
      </c>
      <c r="H4" s="11">
        <v>7</v>
      </c>
      <c r="I4" s="11">
        <v>1</v>
      </c>
      <c r="J4" s="11"/>
      <c r="K4" s="11"/>
      <c r="L4" s="11">
        <v>37.5</v>
      </c>
      <c r="M4" s="13">
        <v>10</v>
      </c>
    </row>
    <row r="5" spans="1:13" ht="18.75" x14ac:dyDescent="0.3">
      <c r="A5" s="3">
        <v>4</v>
      </c>
      <c r="B5" s="4" t="s">
        <v>11</v>
      </c>
      <c r="C5" s="4" t="s">
        <v>12</v>
      </c>
      <c r="D5" s="11">
        <f>SUM(1494+1503+1413+1503+1470+1483+1489+1503+1503+1114+1501+1483+1449)</f>
        <v>18908</v>
      </c>
      <c r="E5" s="11">
        <f>SUM(102+87+93+89+89+99+113+97+95+69+111+85+80)</f>
        <v>1209</v>
      </c>
      <c r="F5" s="12">
        <f>SUM(D5/E5)</f>
        <v>15.639371381306866</v>
      </c>
      <c r="G5" s="11">
        <v>13</v>
      </c>
      <c r="H5" s="11">
        <v>11</v>
      </c>
      <c r="I5" s="11"/>
      <c r="J5" s="11"/>
      <c r="K5" s="11"/>
      <c r="L5" s="11">
        <v>52</v>
      </c>
      <c r="M5" s="13">
        <v>10</v>
      </c>
    </row>
    <row r="6" spans="1:13" ht="18.75" x14ac:dyDescent="0.3">
      <c r="A6" s="3">
        <v>5</v>
      </c>
      <c r="B6" s="4" t="s">
        <v>33</v>
      </c>
      <c r="C6" s="4" t="s">
        <v>16</v>
      </c>
      <c r="D6" s="11">
        <f>SUM(1464+1483+1503+1503+1503+1496+1503+1503+1290+1437+1503+1443+1475)</f>
        <v>19106</v>
      </c>
      <c r="E6" s="11">
        <f>SUM(83+89+91+74+88+135+92+97+83+77+100+93+122)</f>
        <v>1224</v>
      </c>
      <c r="F6" s="12">
        <f>SUM(D6/E6)</f>
        <v>15.609477124183007</v>
      </c>
      <c r="G6" s="11">
        <v>13</v>
      </c>
      <c r="H6" s="11">
        <v>9</v>
      </c>
      <c r="I6" s="11">
        <v>1</v>
      </c>
      <c r="J6" s="11"/>
      <c r="K6" s="11"/>
      <c r="L6" s="11">
        <v>55</v>
      </c>
      <c r="M6" s="13">
        <v>10</v>
      </c>
    </row>
    <row r="7" spans="1:13" ht="18.75" x14ac:dyDescent="0.3">
      <c r="A7" s="3">
        <v>6</v>
      </c>
      <c r="B7" s="4" t="s">
        <v>17</v>
      </c>
      <c r="C7" s="4" t="s">
        <v>14</v>
      </c>
      <c r="D7" s="11">
        <f>SUM(1280+1503+1449+1503+1425+1321+1387+1489+1344+1487)</f>
        <v>14188</v>
      </c>
      <c r="E7" s="11">
        <f>SUM(79+100+93+90+92+88+90+89+84+105)</f>
        <v>910</v>
      </c>
      <c r="F7" s="12">
        <f>SUM(D7/E7)</f>
        <v>15.591208791208791</v>
      </c>
      <c r="G7" s="11">
        <v>10</v>
      </c>
      <c r="H7" s="11">
        <v>5</v>
      </c>
      <c r="I7" s="11"/>
      <c r="J7" s="11"/>
      <c r="K7" s="11"/>
      <c r="L7" s="35">
        <v>27.5</v>
      </c>
      <c r="M7" s="13"/>
    </row>
    <row r="8" spans="1:13" ht="18.75" x14ac:dyDescent="0.3">
      <c r="A8" s="3">
        <v>7</v>
      </c>
      <c r="B8" s="4" t="s">
        <v>15</v>
      </c>
      <c r="C8" s="4" t="s">
        <v>16</v>
      </c>
      <c r="D8" s="11">
        <f>SUM(1503+1503+1503+1489+1501+1503+1503+1479+1491+1503+1499+1491+1503)</f>
        <v>19471</v>
      </c>
      <c r="E8" s="11">
        <f>SUM(94+109+90+95+131+81+80+82+99+90+115+120+80)</f>
        <v>1266</v>
      </c>
      <c r="F8" s="12">
        <f>SUM(D8/E8)</f>
        <v>15.379936808846761</v>
      </c>
      <c r="G8" s="11">
        <v>13</v>
      </c>
      <c r="H8" s="11">
        <v>11</v>
      </c>
      <c r="I8" s="11"/>
      <c r="J8" s="11"/>
      <c r="K8" s="11"/>
      <c r="L8" s="11">
        <v>58</v>
      </c>
      <c r="M8" s="13">
        <v>5</v>
      </c>
    </row>
    <row r="9" spans="1:13" ht="18.75" x14ac:dyDescent="0.3">
      <c r="A9" s="3">
        <v>8</v>
      </c>
      <c r="B9" s="4" t="s">
        <v>18</v>
      </c>
      <c r="C9" s="4" t="s">
        <v>19</v>
      </c>
      <c r="D9" s="11">
        <f>SUM(1403+1503+1328+1440+1487+1371+1467+1414+1500+1411+1503+1503+1346)</f>
        <v>18676</v>
      </c>
      <c r="E9" s="11">
        <f>SUM(96+99+87+93+102+112+80+90+122+80+104+86+81)</f>
        <v>1232</v>
      </c>
      <c r="F9" s="12">
        <f>SUM(D9/E9)</f>
        <v>15.159090909090908</v>
      </c>
      <c r="G9" s="11">
        <v>13</v>
      </c>
      <c r="H9" s="11">
        <v>6</v>
      </c>
      <c r="I9" s="11">
        <v>1</v>
      </c>
      <c r="J9" s="11"/>
      <c r="K9" s="11"/>
      <c r="L9" s="11">
        <v>41.5</v>
      </c>
      <c r="M9" s="13">
        <v>5</v>
      </c>
    </row>
    <row r="10" spans="1:13" ht="18.75" x14ac:dyDescent="0.3">
      <c r="A10" s="3">
        <v>9</v>
      </c>
      <c r="B10" s="4" t="s">
        <v>24</v>
      </c>
      <c r="C10" s="7" t="s">
        <v>23</v>
      </c>
      <c r="D10" s="11">
        <f>SUM(1501+1472+1503+1503+1503+1481+1363+1503+1503+1443+1346+1354)</f>
        <v>17475</v>
      </c>
      <c r="E10" s="11">
        <f>SUM(87+99+109+88+93+101+89+92+116+113+84+87)</f>
        <v>1158</v>
      </c>
      <c r="F10" s="12">
        <f>SUM(D10/E10)</f>
        <v>15.090673575129534</v>
      </c>
      <c r="G10" s="11">
        <v>12</v>
      </c>
      <c r="H10" s="11">
        <v>7</v>
      </c>
      <c r="I10" s="11"/>
      <c r="J10" s="11"/>
      <c r="K10" s="11"/>
      <c r="L10" s="11">
        <v>39.5</v>
      </c>
      <c r="M10" s="13">
        <v>5</v>
      </c>
    </row>
    <row r="11" spans="1:13" ht="18.75" x14ac:dyDescent="0.3">
      <c r="A11" s="3">
        <v>10</v>
      </c>
      <c r="B11" s="15" t="s">
        <v>49</v>
      </c>
      <c r="C11" s="4" t="s">
        <v>28</v>
      </c>
      <c r="D11" s="11">
        <f>SUM(1503+1503+1426+1483+1290+1356+1296+1399+1503+1417+1421+1503+1443)</f>
        <v>18543</v>
      </c>
      <c r="E11" s="11">
        <f>SUM(129+86+86+102+90+75+83+86+88+89+109+133+96)</f>
        <v>1252</v>
      </c>
      <c r="F11" s="12">
        <f>SUM(D11/E11)</f>
        <v>14.810702875399361</v>
      </c>
      <c r="G11" s="11">
        <v>13</v>
      </c>
      <c r="H11" s="11">
        <v>7</v>
      </c>
      <c r="I11" s="11">
        <v>1</v>
      </c>
      <c r="J11" s="11"/>
      <c r="K11" s="11"/>
      <c r="L11" s="11">
        <v>41.5</v>
      </c>
      <c r="M11" s="13">
        <v>20</v>
      </c>
    </row>
    <row r="12" spans="1:13" ht="18.75" x14ac:dyDescent="0.3">
      <c r="A12" s="3">
        <v>11</v>
      </c>
      <c r="B12" s="15" t="s">
        <v>131</v>
      </c>
      <c r="C12" s="4" t="s">
        <v>32</v>
      </c>
      <c r="D12" s="11">
        <f>SUM(1419+1503+1500)</f>
        <v>4422</v>
      </c>
      <c r="E12" s="11">
        <f>SUM(90+103+106)</f>
        <v>299</v>
      </c>
      <c r="F12" s="12">
        <f>SUM(D12/E12)</f>
        <v>14.789297658862877</v>
      </c>
      <c r="G12" s="11">
        <v>3</v>
      </c>
      <c r="H12" s="11">
        <v>2</v>
      </c>
      <c r="I12" s="11">
        <v>1</v>
      </c>
      <c r="J12" s="11"/>
      <c r="K12" s="11"/>
      <c r="L12" s="11">
        <v>8.5</v>
      </c>
      <c r="M12" s="13"/>
    </row>
    <row r="13" spans="1:13" ht="18.75" x14ac:dyDescent="0.3">
      <c r="A13" s="3">
        <v>12</v>
      </c>
      <c r="B13" s="15" t="s">
        <v>108</v>
      </c>
      <c r="C13" s="4" t="s">
        <v>19</v>
      </c>
      <c r="D13" s="11">
        <f>SUM(501+1503+1501+1455+1503+1411+1318+1400+1471+1463)</f>
        <v>13526</v>
      </c>
      <c r="E13" s="11">
        <f>SUM(46+117+99+123+95+77+90+77+94+98)</f>
        <v>916</v>
      </c>
      <c r="F13" s="12">
        <f>SUM(D13/E13)</f>
        <v>14.766375545851528</v>
      </c>
      <c r="G13" s="11">
        <v>10</v>
      </c>
      <c r="H13" s="11">
        <v>6</v>
      </c>
      <c r="I13" s="11"/>
      <c r="J13" s="11">
        <v>1</v>
      </c>
      <c r="K13" s="11"/>
      <c r="L13" s="11">
        <v>34.5</v>
      </c>
      <c r="M13" s="13">
        <v>5</v>
      </c>
    </row>
    <row r="14" spans="1:13" ht="18.75" x14ac:dyDescent="0.3">
      <c r="A14" s="3">
        <v>13</v>
      </c>
      <c r="B14" s="4" t="s">
        <v>22</v>
      </c>
      <c r="C14" s="4" t="s">
        <v>23</v>
      </c>
      <c r="D14" s="11">
        <f>SUM(1499+1497+1503+1397+1272+1388+1340+1425+1503+1453+1443+1461+1479)</f>
        <v>18660</v>
      </c>
      <c r="E14" s="11">
        <f>SUM(101+88+116+108+88+89+90+117+86+101+83+96+105)</f>
        <v>1268</v>
      </c>
      <c r="F14" s="12">
        <f>SUM(D14/E14)</f>
        <v>14.71608832807571</v>
      </c>
      <c r="G14" s="11">
        <v>13</v>
      </c>
      <c r="H14" s="11">
        <v>8</v>
      </c>
      <c r="I14" s="11"/>
      <c r="J14" s="11"/>
      <c r="K14" s="11"/>
      <c r="L14" s="11">
        <v>42</v>
      </c>
      <c r="M14" s="13">
        <v>5</v>
      </c>
    </row>
    <row r="15" spans="1:13" ht="18.75" x14ac:dyDescent="0.3">
      <c r="A15" s="3">
        <v>14</v>
      </c>
      <c r="B15" s="4" t="s">
        <v>36</v>
      </c>
      <c r="C15" s="4" t="s">
        <v>12</v>
      </c>
      <c r="D15" s="11">
        <f>SUM(1503+1503+1503+1475+1483+1467+1479+1503+1471+1376+1488+1503+1491)</f>
        <v>19245</v>
      </c>
      <c r="E15" s="11">
        <f>SUM(93+115+87+87+131+93+98+111+94+83+126+111+100)</f>
        <v>1329</v>
      </c>
      <c r="F15" s="12">
        <f>SUM(D15/E15)</f>
        <v>14.480812641083521</v>
      </c>
      <c r="G15" s="11">
        <v>13</v>
      </c>
      <c r="H15" s="11">
        <v>9</v>
      </c>
      <c r="I15" s="11"/>
      <c r="J15" s="11"/>
      <c r="K15" s="11"/>
      <c r="L15" s="11">
        <v>51.5</v>
      </c>
      <c r="M15" s="13">
        <v>10</v>
      </c>
    </row>
    <row r="16" spans="1:13" ht="18.75" x14ac:dyDescent="0.3">
      <c r="A16" s="3">
        <v>15</v>
      </c>
      <c r="B16" s="15" t="s">
        <v>46</v>
      </c>
      <c r="C16" s="4" t="s">
        <v>47</v>
      </c>
      <c r="D16" s="11">
        <f>SUM(1503+1503+1427+1287+1279+1423+1463+1289+1480+1503+1423+1383+1503)</f>
        <v>18466</v>
      </c>
      <c r="E16" s="11">
        <f>SUM(87+94+104+95+84+82+111+90+124+94+89+104+124)</f>
        <v>1282</v>
      </c>
      <c r="F16" s="12">
        <f>SUM(D16/E16)</f>
        <v>14.404056162246491</v>
      </c>
      <c r="G16" s="11">
        <v>13</v>
      </c>
      <c r="H16" s="11">
        <v>6</v>
      </c>
      <c r="I16" s="11"/>
      <c r="J16" s="11"/>
      <c r="K16" s="11"/>
      <c r="L16" s="11">
        <v>39</v>
      </c>
      <c r="M16" s="13">
        <v>10</v>
      </c>
    </row>
    <row r="17" spans="1:13" ht="18.75" x14ac:dyDescent="0.3">
      <c r="A17" s="3">
        <v>16</v>
      </c>
      <c r="B17" s="15" t="s">
        <v>136</v>
      </c>
      <c r="C17" s="4" t="s">
        <v>12</v>
      </c>
      <c r="D17" s="11">
        <f>SUM(1375+1503+1372)</f>
        <v>4250</v>
      </c>
      <c r="E17" s="11">
        <f>SUM(97+91+108)</f>
        <v>296</v>
      </c>
      <c r="F17" s="12">
        <f>SUM(D17/E17)</f>
        <v>14.358108108108109</v>
      </c>
      <c r="G17" s="11">
        <v>3</v>
      </c>
      <c r="H17" s="11">
        <v>1</v>
      </c>
      <c r="I17" s="11"/>
      <c r="J17" s="11"/>
      <c r="K17" s="11"/>
      <c r="L17" s="11">
        <v>10</v>
      </c>
      <c r="M17" s="13"/>
    </row>
    <row r="18" spans="1:13" ht="18.75" x14ac:dyDescent="0.3">
      <c r="A18" s="3">
        <v>17</v>
      </c>
      <c r="B18" s="4" t="s">
        <v>27</v>
      </c>
      <c r="C18" s="4" t="s">
        <v>28</v>
      </c>
      <c r="D18" s="11">
        <f>SUM(1471+1503+1503+1358+1473+1501+1372+1503+1503+1503+1503+1501+1503)</f>
        <v>19197</v>
      </c>
      <c r="E18" s="11">
        <f>SUM(111+90+109+101+87+131+81+100+100+98+111+120+102)</f>
        <v>1341</v>
      </c>
      <c r="F18" s="12">
        <f>SUM(D18/E18)</f>
        <v>14.315436241610739</v>
      </c>
      <c r="G18" s="11">
        <v>13</v>
      </c>
      <c r="H18" s="11">
        <v>12</v>
      </c>
      <c r="I18" s="11"/>
      <c r="J18" s="11"/>
      <c r="K18" s="11"/>
      <c r="L18" s="11">
        <v>53.5</v>
      </c>
      <c r="M18" s="13">
        <v>10</v>
      </c>
    </row>
    <row r="19" spans="1:13" ht="18.75" x14ac:dyDescent="0.3">
      <c r="A19" s="3">
        <v>18</v>
      </c>
      <c r="B19" s="3" t="s">
        <v>31</v>
      </c>
      <c r="C19" s="7" t="s">
        <v>32</v>
      </c>
      <c r="D19" s="11">
        <f>SUM(1503+1469+1417+1109+1503+1503+1495+1138+1495+1487+1444)</f>
        <v>15563</v>
      </c>
      <c r="E19" s="11">
        <f>SUM(79+96+108+90+100+118+93+84+115+100+106)</f>
        <v>1089</v>
      </c>
      <c r="F19" s="12">
        <f>SUM(D19/E19)</f>
        <v>14.291092745638201</v>
      </c>
      <c r="G19" s="11">
        <v>11</v>
      </c>
      <c r="H19" s="11">
        <v>6</v>
      </c>
      <c r="I19" s="11"/>
      <c r="J19" s="11"/>
      <c r="K19" s="11"/>
      <c r="L19" s="11">
        <v>38.5</v>
      </c>
      <c r="M19" s="13">
        <v>5</v>
      </c>
    </row>
    <row r="20" spans="1:13" ht="18.75" x14ac:dyDescent="0.3">
      <c r="A20" s="3">
        <v>19</v>
      </c>
      <c r="B20" s="15" t="s">
        <v>45</v>
      </c>
      <c r="C20" s="4" t="s">
        <v>32</v>
      </c>
      <c r="D20" s="11">
        <f>SUM(1503+1471+1326+953+1326+1439+1503+1267+1329+1501+1493+1469+1433)</f>
        <v>18013</v>
      </c>
      <c r="E20" s="11">
        <f>SUM(100+103+79+72+91+110+106+99+96+114+94+102+106)</f>
        <v>1272</v>
      </c>
      <c r="F20" s="12">
        <f>SUM(D20/E20)</f>
        <v>14.161163522012579</v>
      </c>
      <c r="G20" s="11">
        <v>13</v>
      </c>
      <c r="H20" s="11">
        <v>7</v>
      </c>
      <c r="I20" s="11"/>
      <c r="J20" s="11"/>
      <c r="K20" s="11"/>
      <c r="L20" s="11">
        <v>45</v>
      </c>
      <c r="M20" s="13">
        <v>10</v>
      </c>
    </row>
    <row r="21" spans="1:13" ht="18.75" x14ac:dyDescent="0.3">
      <c r="A21" s="3">
        <v>20</v>
      </c>
      <c r="B21" s="15" t="s">
        <v>92</v>
      </c>
      <c r="C21" s="4" t="s">
        <v>42</v>
      </c>
      <c r="D21" s="11">
        <f>SUM(1319+1334+1503+1297+1394+1360+1378+1358+1221+1390+1270+1370)</f>
        <v>16194</v>
      </c>
      <c r="E21" s="11">
        <f>SUM(106+84+103+90+78+99+92+90+96+96+90+120)</f>
        <v>1144</v>
      </c>
      <c r="F21" s="12">
        <f>SUM(D21/E21)</f>
        <v>14.155594405594405</v>
      </c>
      <c r="G21" s="11">
        <v>12</v>
      </c>
      <c r="H21" s="11">
        <v>1</v>
      </c>
      <c r="I21" s="11">
        <v>1</v>
      </c>
      <c r="J21" s="11"/>
      <c r="K21" s="11"/>
      <c r="L21" s="11">
        <v>23.5</v>
      </c>
      <c r="M21" s="13">
        <v>5</v>
      </c>
    </row>
    <row r="22" spans="1:13" ht="18.75" x14ac:dyDescent="0.3">
      <c r="A22" s="3">
        <v>21</v>
      </c>
      <c r="B22" s="15" t="s">
        <v>111</v>
      </c>
      <c r="C22" s="4" t="s">
        <v>21</v>
      </c>
      <c r="D22" s="11">
        <f>SUM(1274+1414+1428+1463+1495+1440+1495+1492+1463)</f>
        <v>12964</v>
      </c>
      <c r="E22" s="11">
        <f>SUM(111+106+96+113+95+105+88+99+107)</f>
        <v>920</v>
      </c>
      <c r="F22" s="12">
        <f>SUM(D22/E22)</f>
        <v>14.091304347826087</v>
      </c>
      <c r="G22" s="11">
        <v>9</v>
      </c>
      <c r="H22" s="11">
        <v>3</v>
      </c>
      <c r="I22" s="11"/>
      <c r="J22" s="11"/>
      <c r="K22" s="11"/>
      <c r="L22" s="11">
        <v>24</v>
      </c>
      <c r="M22" s="13"/>
    </row>
    <row r="23" spans="1:13" ht="18.75" x14ac:dyDescent="0.3">
      <c r="A23" s="3">
        <v>22</v>
      </c>
      <c r="B23" s="3" t="s">
        <v>48</v>
      </c>
      <c r="C23" s="4" t="s">
        <v>32</v>
      </c>
      <c r="D23" s="11">
        <f>SUM(1239+1483+1425+1350+1493+1434+1501+1503+1483+1460+1409+1499+1499)</f>
        <v>18778</v>
      </c>
      <c r="E23" s="11">
        <f>SUM(95+93+104+96+128+96+113+99+113+91+99+112+97)</f>
        <v>1336</v>
      </c>
      <c r="F23" s="12">
        <f>SUM(D23/E23)</f>
        <v>14.055389221556887</v>
      </c>
      <c r="G23" s="11">
        <v>13</v>
      </c>
      <c r="H23" s="11">
        <v>8</v>
      </c>
      <c r="I23" s="11"/>
      <c r="J23" s="11"/>
      <c r="K23" s="11"/>
      <c r="L23" s="11">
        <v>45.5</v>
      </c>
      <c r="M23" s="13"/>
    </row>
    <row r="24" spans="1:13" ht="18.75" x14ac:dyDescent="0.3">
      <c r="A24" s="3">
        <v>23</v>
      </c>
      <c r="B24" s="15" t="s">
        <v>113</v>
      </c>
      <c r="C24" s="4" t="s">
        <v>16</v>
      </c>
      <c r="D24" s="11">
        <f>SUM(1503+1307+1309+1503+1487+1503+1503+1493)</f>
        <v>11608</v>
      </c>
      <c r="E24" s="11">
        <f>SUM(104+111+88+99+103+100+113+110)</f>
        <v>828</v>
      </c>
      <c r="F24" s="12">
        <f>SUM(D24/E24)</f>
        <v>14.019323671497585</v>
      </c>
      <c r="G24" s="11">
        <v>8</v>
      </c>
      <c r="H24" s="11">
        <v>6</v>
      </c>
      <c r="I24" s="11"/>
      <c r="J24" s="11"/>
      <c r="K24" s="11"/>
      <c r="L24" s="11">
        <v>38.5</v>
      </c>
      <c r="M24" s="13"/>
    </row>
    <row r="25" spans="1:13" ht="18.75" x14ac:dyDescent="0.3">
      <c r="A25" s="3">
        <v>24</v>
      </c>
      <c r="B25" s="15" t="s">
        <v>93</v>
      </c>
      <c r="C25" s="4" t="s">
        <v>42</v>
      </c>
      <c r="D25" s="11">
        <f>SUM(1481+1499+1329+1503+1467+1487+1431+1465+1357+1465+1499)</f>
        <v>15983</v>
      </c>
      <c r="E25" s="11">
        <f>SUM(97+130+104+115+90+99+90+115+79+92+131)</f>
        <v>1142</v>
      </c>
      <c r="F25" s="12">
        <f>SUM(D25/E25)</f>
        <v>13.995621716287216</v>
      </c>
      <c r="G25" s="11">
        <v>11</v>
      </c>
      <c r="H25" s="11">
        <v>6</v>
      </c>
      <c r="I25" s="11"/>
      <c r="J25" s="11"/>
      <c r="K25" s="11"/>
      <c r="L25" s="11">
        <v>32.5</v>
      </c>
      <c r="M25" s="13">
        <v>5</v>
      </c>
    </row>
    <row r="26" spans="1:13" ht="18.75" x14ac:dyDescent="0.3">
      <c r="A26" s="3">
        <v>25</v>
      </c>
      <c r="B26" s="4" t="s">
        <v>62</v>
      </c>
      <c r="C26" s="4" t="s">
        <v>19</v>
      </c>
      <c r="D26" s="11">
        <f>SUM(1290+1479+1300+1217+1308+1400+1216+1414+1503)</f>
        <v>12127</v>
      </c>
      <c r="E26" s="11">
        <f>SUM(76+107+93+86+99+80+99+114+119)</f>
        <v>873</v>
      </c>
      <c r="F26" s="12">
        <f>SUM(D26/E26)</f>
        <v>13.891179839633448</v>
      </c>
      <c r="G26" s="11">
        <v>9</v>
      </c>
      <c r="H26" s="11">
        <v>3</v>
      </c>
      <c r="I26" s="11"/>
      <c r="J26" s="11"/>
      <c r="K26" s="11"/>
      <c r="L26" s="11">
        <v>32.5</v>
      </c>
      <c r="M26" s="13">
        <v>5</v>
      </c>
    </row>
    <row r="27" spans="1:13" ht="18.75" x14ac:dyDescent="0.3">
      <c r="A27" s="3">
        <v>26</v>
      </c>
      <c r="B27" s="4" t="s">
        <v>57</v>
      </c>
      <c r="C27" s="4" t="s">
        <v>95</v>
      </c>
      <c r="D27" s="11">
        <f>SUM(1463+1503+1503+1447+1363+1487+1262+1395+1397+1479+1406)</f>
        <v>15705</v>
      </c>
      <c r="E27" s="11">
        <f>SUM(126+108+109+100+85+95+82+116+110+104+96)</f>
        <v>1131</v>
      </c>
      <c r="F27" s="12">
        <f>SUM(D27/E27)</f>
        <v>13.885941644562335</v>
      </c>
      <c r="G27" s="11">
        <v>11</v>
      </c>
      <c r="H27" s="11">
        <v>7</v>
      </c>
      <c r="I27" s="11"/>
      <c r="J27" s="11"/>
      <c r="K27" s="11"/>
      <c r="L27" s="11">
        <v>33</v>
      </c>
      <c r="M27" s="13"/>
    </row>
    <row r="28" spans="1:13" ht="18.75" x14ac:dyDescent="0.3">
      <c r="A28" s="3">
        <v>27</v>
      </c>
      <c r="B28" s="15" t="s">
        <v>39</v>
      </c>
      <c r="C28" s="7" t="s">
        <v>23</v>
      </c>
      <c r="D28" s="11">
        <f>SUM(1332+1373+1492+1499+1481+1245+1220+1503+1503+1503+1439+1432+1487)</f>
        <v>18509</v>
      </c>
      <c r="E28" s="11">
        <f>SUM(84+96+119+109+119+86+78+117+105+124+93+100+103)</f>
        <v>1333</v>
      </c>
      <c r="F28" s="12">
        <f>SUM(D28/E28)</f>
        <v>13.885221305326331</v>
      </c>
      <c r="G28" s="11">
        <v>13</v>
      </c>
      <c r="H28" s="11">
        <v>4</v>
      </c>
      <c r="I28" s="11"/>
      <c r="J28" s="11"/>
      <c r="K28" s="11"/>
      <c r="L28" s="11">
        <v>38</v>
      </c>
      <c r="M28" s="13"/>
    </row>
    <row r="29" spans="1:13" ht="18.75" x14ac:dyDescent="0.3">
      <c r="A29" s="3">
        <v>28</v>
      </c>
      <c r="B29" s="4" t="s">
        <v>90</v>
      </c>
      <c r="C29" s="4" t="s">
        <v>12</v>
      </c>
      <c r="D29" s="11">
        <f>SUM(1361+1497+1376+1453+1379+1503+1313+1379+1501+1499+1453)</f>
        <v>15714</v>
      </c>
      <c r="E29" s="11">
        <f>SUM(83+112+96+107+105+101+95+87+115+118+115)</f>
        <v>1134</v>
      </c>
      <c r="F29" s="12">
        <f>SUM(D29/E29)</f>
        <v>13.857142857142858</v>
      </c>
      <c r="G29" s="11">
        <v>11</v>
      </c>
      <c r="H29" s="11">
        <v>6</v>
      </c>
      <c r="I29" s="11"/>
      <c r="J29" s="11"/>
      <c r="K29" s="11"/>
      <c r="L29" s="11">
        <v>34.5</v>
      </c>
      <c r="M29" s="13"/>
    </row>
    <row r="30" spans="1:13" ht="18.75" x14ac:dyDescent="0.3">
      <c r="A30" s="3">
        <v>29</v>
      </c>
      <c r="B30" s="7" t="s">
        <v>43</v>
      </c>
      <c r="C30" s="4" t="s">
        <v>12</v>
      </c>
      <c r="D30" s="11">
        <f>SUM(1479+1503+1483+1474+1349+1471+1503+1458+1493+1471+1500+1459)</f>
        <v>17643</v>
      </c>
      <c r="E30" s="11">
        <f>SUM(130+97+96+123+86+87+114+116+153+83+107+90)</f>
        <v>1282</v>
      </c>
      <c r="F30" s="12">
        <f>SUM(D30/E30)</f>
        <v>13.762090483619344</v>
      </c>
      <c r="G30" s="11">
        <v>12</v>
      </c>
      <c r="H30" s="11">
        <v>10</v>
      </c>
      <c r="I30" s="11"/>
      <c r="J30" s="11"/>
      <c r="K30" s="11"/>
      <c r="L30" s="11">
        <v>48</v>
      </c>
      <c r="M30" s="13"/>
    </row>
    <row r="31" spans="1:13" ht="18.75" x14ac:dyDescent="0.3">
      <c r="A31" s="3">
        <v>30</v>
      </c>
      <c r="B31" s="7" t="s">
        <v>35</v>
      </c>
      <c r="C31" s="4" t="s">
        <v>16</v>
      </c>
      <c r="D31" s="11">
        <f>SUM(1471+1503+1330+1362+1251)</f>
        <v>6917</v>
      </c>
      <c r="E31" s="11">
        <f>SUM(104+123+105+89+85)</f>
        <v>506</v>
      </c>
      <c r="F31" s="12">
        <f>SUM(D31/E31)</f>
        <v>13.669960474308301</v>
      </c>
      <c r="G31" s="11">
        <v>5</v>
      </c>
      <c r="H31" s="11">
        <v>3</v>
      </c>
      <c r="I31" s="11"/>
      <c r="J31" s="11"/>
      <c r="K31" s="11"/>
      <c r="L31" s="11">
        <v>16</v>
      </c>
      <c r="M31" s="13">
        <v>5</v>
      </c>
    </row>
    <row r="32" spans="1:13" ht="18.75" x14ac:dyDescent="0.3">
      <c r="A32" s="3">
        <v>31</v>
      </c>
      <c r="B32" s="7" t="s">
        <v>61</v>
      </c>
      <c r="C32" s="4" t="s">
        <v>47</v>
      </c>
      <c r="D32" s="11">
        <f>SUM(1322+1462+1409+1497+1486+1453+1329+1503+1503+1503+1432+1382+1483)</f>
        <v>18764</v>
      </c>
      <c r="E32" s="11">
        <f>SUM(111+98+102+120+98+106+97+118+122+87+98+93+127)</f>
        <v>1377</v>
      </c>
      <c r="F32" s="12">
        <f>SUM(D32/E32)</f>
        <v>13.626724763979666</v>
      </c>
      <c r="G32" s="11">
        <v>13</v>
      </c>
      <c r="H32" s="11">
        <v>4</v>
      </c>
      <c r="I32" s="11"/>
      <c r="J32" s="11"/>
      <c r="K32" s="11"/>
      <c r="L32" s="11">
        <v>33</v>
      </c>
      <c r="M32" s="13">
        <v>5</v>
      </c>
    </row>
    <row r="33" spans="1:13" ht="18.75" x14ac:dyDescent="0.3">
      <c r="A33" s="3">
        <v>32</v>
      </c>
      <c r="B33" s="9" t="s">
        <v>64</v>
      </c>
      <c r="C33" s="4" t="s">
        <v>95</v>
      </c>
      <c r="D33" s="11">
        <f>SUM(1503+1457+1466+1503+1408+1180+1418+1426+1495+1180+1503+1436)</f>
        <v>16975</v>
      </c>
      <c r="E33" s="11">
        <f>SUM(123+117+121+103+121+81+107+105+89+95+95+101)</f>
        <v>1258</v>
      </c>
      <c r="F33" s="12">
        <f>SUM(D33/E33)</f>
        <v>13.493640699523052</v>
      </c>
      <c r="G33" s="11">
        <v>12</v>
      </c>
      <c r="H33" s="11">
        <v>6</v>
      </c>
      <c r="I33" s="11"/>
      <c r="J33" s="11"/>
      <c r="K33" s="11"/>
      <c r="L33" s="11">
        <v>33.5</v>
      </c>
      <c r="M33" s="13"/>
    </row>
    <row r="34" spans="1:13" ht="18.75" x14ac:dyDescent="0.3">
      <c r="A34" s="3">
        <v>33</v>
      </c>
      <c r="B34" s="57" t="s">
        <v>20</v>
      </c>
      <c r="C34" s="4" t="s">
        <v>21</v>
      </c>
      <c r="D34" s="11">
        <f>SUM(1243+1262+1307+1213+1469+1468+1415+1376+1452+1320+1455)</f>
        <v>14980</v>
      </c>
      <c r="E34" s="11">
        <f>SUM(94+86+87+120+106+109+104+99+117+83+106)</f>
        <v>1111</v>
      </c>
      <c r="F34" s="12">
        <f>SUM(D34/E34)</f>
        <v>13.483348334833483</v>
      </c>
      <c r="G34" s="11">
        <v>11</v>
      </c>
      <c r="H34" s="11">
        <v>3</v>
      </c>
      <c r="I34" s="11"/>
      <c r="J34" s="11"/>
      <c r="K34" s="11"/>
      <c r="L34" s="11">
        <v>27</v>
      </c>
      <c r="M34" s="13"/>
    </row>
    <row r="35" spans="1:13" ht="18.75" x14ac:dyDescent="0.3">
      <c r="A35" s="3">
        <v>34</v>
      </c>
      <c r="B35" s="7" t="s">
        <v>26</v>
      </c>
      <c r="C35" s="4" t="s">
        <v>19</v>
      </c>
      <c r="D35" s="11">
        <f>SUM(1480+1503+1495+1352+1496+1503+1501+1465+1501)</f>
        <v>13296</v>
      </c>
      <c r="E35" s="11">
        <f>SUM(128+118+124+108+107+120+119+94+94)</f>
        <v>1012</v>
      </c>
      <c r="F35" s="12">
        <f>SUM(D35/E35)</f>
        <v>13.138339920948617</v>
      </c>
      <c r="G35" s="11">
        <v>9</v>
      </c>
      <c r="H35" s="11">
        <v>6</v>
      </c>
      <c r="I35" s="11"/>
      <c r="J35" s="11"/>
      <c r="K35" s="11"/>
      <c r="L35" s="11">
        <v>36.5</v>
      </c>
      <c r="M35" s="13"/>
    </row>
    <row r="36" spans="1:13" ht="18.75" x14ac:dyDescent="0.3">
      <c r="A36" s="3">
        <v>35</v>
      </c>
      <c r="B36" s="55" t="s">
        <v>159</v>
      </c>
      <c r="C36" s="8" t="s">
        <v>14</v>
      </c>
      <c r="D36" s="11">
        <f>SUM(1480+1178+1148)</f>
        <v>3806</v>
      </c>
      <c r="E36" s="11">
        <f>SUM(111+108+75)</f>
        <v>294</v>
      </c>
      <c r="F36" s="12">
        <f>SUM(D36/E36)</f>
        <v>12.945578231292517</v>
      </c>
      <c r="G36" s="11">
        <v>3</v>
      </c>
      <c r="H36" s="11"/>
      <c r="I36" s="11"/>
      <c r="J36" s="11"/>
      <c r="K36" s="11"/>
      <c r="L36" s="11">
        <v>4.5</v>
      </c>
      <c r="M36" s="13"/>
    </row>
    <row r="37" spans="1:13" ht="18.75" x14ac:dyDescent="0.3">
      <c r="A37" s="3">
        <v>36</v>
      </c>
      <c r="B37" s="7" t="s">
        <v>30</v>
      </c>
      <c r="C37" s="7" t="s">
        <v>19</v>
      </c>
      <c r="D37" s="11">
        <f>SUM(1434+1354+1503+1495+1363+1374+1503+1443+1440+1499+1501)</f>
        <v>15909</v>
      </c>
      <c r="E37" s="11">
        <f>SUM(100+90+162+135+108+88+123+100+111+99+121)</f>
        <v>1237</v>
      </c>
      <c r="F37" s="12">
        <f>SUM(D37/E37)</f>
        <v>12.860953920776071</v>
      </c>
      <c r="G37" s="11">
        <v>11</v>
      </c>
      <c r="H37" s="11">
        <v>7</v>
      </c>
      <c r="I37" s="11"/>
      <c r="J37" s="11"/>
      <c r="K37" s="11"/>
      <c r="L37" s="11">
        <v>34</v>
      </c>
      <c r="M37" s="13"/>
    </row>
    <row r="38" spans="1:13" ht="18.75" x14ac:dyDescent="0.3">
      <c r="A38" s="3">
        <v>37</v>
      </c>
      <c r="B38" s="10" t="s">
        <v>29</v>
      </c>
      <c r="C38" s="7" t="s">
        <v>23</v>
      </c>
      <c r="D38" s="11">
        <f>SUM(1204+1459+1145+1498+1408+1456+1499+1480+1503+1465+1309)</f>
        <v>15426</v>
      </c>
      <c r="E38" s="11">
        <f>SUM(99+135+102+104+101+97+143+130+104+93+96)</f>
        <v>1204</v>
      </c>
      <c r="F38" s="12">
        <f>SUM(D38/E38)</f>
        <v>12.812292358803987</v>
      </c>
      <c r="G38" s="11">
        <v>11</v>
      </c>
      <c r="H38" s="11">
        <v>5</v>
      </c>
      <c r="I38" s="11"/>
      <c r="J38" s="11"/>
      <c r="K38" s="11"/>
      <c r="L38" s="11">
        <v>30</v>
      </c>
      <c r="M38" s="13"/>
    </row>
    <row r="39" spans="1:13" ht="18.75" x14ac:dyDescent="0.3">
      <c r="A39" s="3">
        <v>38</v>
      </c>
      <c r="B39" s="16" t="s">
        <v>41</v>
      </c>
      <c r="C39" s="8" t="s">
        <v>28</v>
      </c>
      <c r="D39" s="11">
        <f>SUM(1487+1499+1483+1499+1503+1498+1463+1483+1483+1483+1237+1503+1503)</f>
        <v>19124</v>
      </c>
      <c r="E39" s="11">
        <f>SUM(120+141+99+139+108+105+106+118+142+113+117+110+109)</f>
        <v>1527</v>
      </c>
      <c r="F39" s="12">
        <f>SUM(D39/E39)</f>
        <v>12.523903077930584</v>
      </c>
      <c r="G39" s="11">
        <v>13</v>
      </c>
      <c r="H39" s="11">
        <v>11</v>
      </c>
      <c r="I39" s="11"/>
      <c r="J39" s="11"/>
      <c r="K39" s="11"/>
      <c r="L39" s="11">
        <v>47.5</v>
      </c>
      <c r="M39" s="13">
        <v>5</v>
      </c>
    </row>
    <row r="40" spans="1:13" ht="18.75" x14ac:dyDescent="0.3">
      <c r="A40" s="3">
        <v>39</v>
      </c>
      <c r="B40" s="10" t="s">
        <v>158</v>
      </c>
      <c r="C40" s="4" t="s">
        <v>14</v>
      </c>
      <c r="D40" s="11">
        <f>SUM(1479+1405)</f>
        <v>2884</v>
      </c>
      <c r="E40" s="11">
        <f>SUM(125+106)</f>
        <v>231</v>
      </c>
      <c r="F40" s="12">
        <f>SUM(D40/E40)</f>
        <v>12.484848484848484</v>
      </c>
      <c r="G40" s="11">
        <v>2</v>
      </c>
      <c r="H40" s="11"/>
      <c r="I40" s="11"/>
      <c r="J40" s="11"/>
      <c r="K40" s="11"/>
      <c r="L40" s="11">
        <v>3.5</v>
      </c>
      <c r="M40" s="13"/>
    </row>
    <row r="41" spans="1:13" ht="18.75" x14ac:dyDescent="0.3">
      <c r="A41" s="3">
        <v>40</v>
      </c>
      <c r="B41" s="16" t="s">
        <v>40</v>
      </c>
      <c r="C41" s="7" t="s">
        <v>14</v>
      </c>
      <c r="D41" s="11">
        <f>SUM(1351+1493+1429+1206+1475+1484+1478+1387+1424+1353+1373+1480)</f>
        <v>16933</v>
      </c>
      <c r="E41" s="11">
        <f>SUM(100+138+96+96+129+115+149+96+99+103+118+121)</f>
        <v>1360</v>
      </c>
      <c r="F41" s="12">
        <f>SUM(D41/E41)</f>
        <v>12.450735294117647</v>
      </c>
      <c r="G41" s="11">
        <v>12</v>
      </c>
      <c r="H41" s="11">
        <v>3</v>
      </c>
      <c r="I41" s="11"/>
      <c r="J41" s="11"/>
      <c r="K41" s="11">
        <v>1</v>
      </c>
      <c r="L41" s="11">
        <v>31</v>
      </c>
      <c r="M41" s="13"/>
    </row>
    <row r="42" spans="1:13" ht="18.75" x14ac:dyDescent="0.3">
      <c r="A42" s="3">
        <v>41</v>
      </c>
      <c r="B42" s="10" t="s">
        <v>38</v>
      </c>
      <c r="C42" s="7" t="s">
        <v>28</v>
      </c>
      <c r="D42" s="11">
        <f>SUM(1503+1456+1500+1493+1179+1395+1495+1458+1492+1503+1308+1425)</f>
        <v>17207</v>
      </c>
      <c r="E42" s="11">
        <f>SUM(107+134+103+122+81+108+127+113+127+129+109+135)</f>
        <v>1395</v>
      </c>
      <c r="F42" s="12">
        <f>SUM(D42/E42)</f>
        <v>12.334767025089606</v>
      </c>
      <c r="G42" s="11">
        <v>12</v>
      </c>
      <c r="H42" s="11">
        <v>9</v>
      </c>
      <c r="I42" s="11"/>
      <c r="J42" s="11"/>
      <c r="K42" s="11"/>
      <c r="L42" s="11">
        <v>41.5</v>
      </c>
      <c r="M42" s="13">
        <v>5</v>
      </c>
    </row>
    <row r="43" spans="1:13" ht="18.75" x14ac:dyDescent="0.3">
      <c r="A43" s="3">
        <v>42</v>
      </c>
      <c r="B43" s="10" t="s">
        <v>52</v>
      </c>
      <c r="C43" s="7" t="s">
        <v>53</v>
      </c>
      <c r="D43" s="11">
        <f>SUM(1503+1413+1348+1220+1173+1417+1195+1350+1147+845+1226+1435)</f>
        <v>15272</v>
      </c>
      <c r="E43" s="11">
        <f>SUM(111+108+106+105+81+114+93+114+87+75+129+117)</f>
        <v>1240</v>
      </c>
      <c r="F43" s="12">
        <f>SUM(D43/E43)</f>
        <v>12.316129032258065</v>
      </c>
      <c r="G43" s="11">
        <v>12</v>
      </c>
      <c r="H43" s="11">
        <v>1</v>
      </c>
      <c r="I43" s="11"/>
      <c r="J43" s="11"/>
      <c r="K43" s="11"/>
      <c r="L43" s="11">
        <v>9.5</v>
      </c>
      <c r="M43" s="13"/>
    </row>
    <row r="44" spans="1:13" ht="18.75" x14ac:dyDescent="0.3">
      <c r="A44" s="3">
        <v>43</v>
      </c>
      <c r="B44" s="16" t="s">
        <v>44</v>
      </c>
      <c r="C44" s="7" t="s">
        <v>95</v>
      </c>
      <c r="D44" s="11">
        <f>SUM(1375+1355+1020+1503+1483+1440+1375+1415+1415+1463+1210+1491+1483)</f>
        <v>18028</v>
      </c>
      <c r="E44" s="11">
        <f>SUM(106+108+111+122+121+116+105+92+101+100+100+153+130)</f>
        <v>1465</v>
      </c>
      <c r="F44" s="12">
        <f>SUM(D44/E44)</f>
        <v>12.305802047781571</v>
      </c>
      <c r="G44" s="11">
        <v>13</v>
      </c>
      <c r="H44" s="11">
        <v>7</v>
      </c>
      <c r="I44" s="11"/>
      <c r="J44" s="11"/>
      <c r="K44" s="11"/>
      <c r="L44" s="11">
        <v>33</v>
      </c>
      <c r="M44" s="13"/>
    </row>
    <row r="45" spans="1:13" ht="18.75" x14ac:dyDescent="0.3">
      <c r="A45" s="3">
        <v>44</v>
      </c>
      <c r="B45" s="10" t="s">
        <v>58</v>
      </c>
      <c r="C45" s="7" t="s">
        <v>53</v>
      </c>
      <c r="D45" s="11">
        <f>SUM(1098+1207+1409+1390+1416+1444+1373+1009+1044+1057+1324+1455+1498)</f>
        <v>16724</v>
      </c>
      <c r="E45" s="11">
        <f>SUM(87+93+129+99+124+132+113+105+81+81+96+107+114)</f>
        <v>1361</v>
      </c>
      <c r="F45" s="12">
        <f>SUM(D45/E45)</f>
        <v>12.288023512123438</v>
      </c>
      <c r="G45" s="11">
        <v>13</v>
      </c>
      <c r="H45" s="11">
        <v>1</v>
      </c>
      <c r="I45" s="11"/>
      <c r="J45" s="11"/>
      <c r="K45" s="11"/>
      <c r="L45" s="11">
        <v>12.5</v>
      </c>
      <c r="M45" s="13"/>
    </row>
    <row r="46" spans="1:13" ht="18.75" x14ac:dyDescent="0.3">
      <c r="A46" s="3">
        <v>45</v>
      </c>
      <c r="B46" s="16" t="s">
        <v>34</v>
      </c>
      <c r="C46" s="4" t="s">
        <v>32</v>
      </c>
      <c r="D46" s="11">
        <f>SUM(1204+1501+1396+1414+1498+1481+1501+1483+1481+1490+1503+1500)</f>
        <v>17452</v>
      </c>
      <c r="E46" s="11">
        <f>SUM(88+140+97+90+105+117+158+129+130+138+108+121)</f>
        <v>1421</v>
      </c>
      <c r="F46" s="12">
        <f>SUM(D46/E46)</f>
        <v>12.28149190710767</v>
      </c>
      <c r="G46" s="11">
        <v>12</v>
      </c>
      <c r="H46" s="11">
        <v>7</v>
      </c>
      <c r="I46" s="11"/>
      <c r="J46" s="11"/>
      <c r="K46" s="11"/>
      <c r="L46" s="11">
        <v>45.5</v>
      </c>
      <c r="M46" s="13"/>
    </row>
    <row r="47" spans="1:13" ht="18.75" x14ac:dyDescent="0.3">
      <c r="A47" s="3">
        <v>46</v>
      </c>
      <c r="B47" s="10" t="s">
        <v>177</v>
      </c>
      <c r="C47" s="7" t="s">
        <v>14</v>
      </c>
      <c r="D47" s="11">
        <f>SUM(1359)</f>
        <v>1359</v>
      </c>
      <c r="E47" s="11">
        <f>SUM(111)</f>
        <v>111</v>
      </c>
      <c r="F47" s="12">
        <f>SUM(D47/E47)</f>
        <v>12.243243243243244</v>
      </c>
      <c r="G47" s="11">
        <v>1</v>
      </c>
      <c r="H47" s="11"/>
      <c r="I47" s="11"/>
      <c r="J47" s="11"/>
      <c r="K47" s="11"/>
      <c r="L47" s="11">
        <v>1</v>
      </c>
      <c r="M47" s="13"/>
    </row>
    <row r="48" spans="1:13" ht="18.75" x14ac:dyDescent="0.3">
      <c r="A48" s="3">
        <v>47</v>
      </c>
      <c r="B48" s="36" t="s">
        <v>50</v>
      </c>
      <c r="C48" s="4" t="s">
        <v>42</v>
      </c>
      <c r="D48" s="11">
        <f>SUM(1503+1083+1503+1401+1481+1497+1501+1196+1485+1363+1499+1388)</f>
        <v>16900</v>
      </c>
      <c r="E48" s="11">
        <f>SUM(137+81+126+109+117+135+149+91+99+92+117+130)</f>
        <v>1383</v>
      </c>
      <c r="F48" s="12">
        <f>SUM(D48/E48)</f>
        <v>12.219812002892263</v>
      </c>
      <c r="G48" s="11">
        <v>12</v>
      </c>
      <c r="H48" s="11">
        <v>6</v>
      </c>
      <c r="I48" s="11"/>
      <c r="J48" s="11">
        <v>1</v>
      </c>
      <c r="K48" s="11"/>
      <c r="L48" s="11">
        <v>35</v>
      </c>
      <c r="M48" s="13">
        <v>5</v>
      </c>
    </row>
    <row r="49" spans="1:13" ht="18.75" x14ac:dyDescent="0.3">
      <c r="A49" s="3">
        <v>48</v>
      </c>
      <c r="B49" s="4" t="s">
        <v>145</v>
      </c>
      <c r="C49" s="4" t="s">
        <v>23</v>
      </c>
      <c r="D49" s="11">
        <f>SUM(1173)</f>
        <v>1173</v>
      </c>
      <c r="E49" s="11">
        <f>SUM(96)</f>
        <v>96</v>
      </c>
      <c r="F49" s="12">
        <f>SUM(D49/E49)</f>
        <v>12.21875</v>
      </c>
      <c r="G49" s="11">
        <v>1</v>
      </c>
      <c r="H49" s="11"/>
      <c r="I49" s="11"/>
      <c r="J49" s="11"/>
      <c r="K49" s="11"/>
      <c r="L49" s="11"/>
      <c r="M49" s="13"/>
    </row>
    <row r="50" spans="1:13" ht="18.75" x14ac:dyDescent="0.3">
      <c r="A50" s="3">
        <v>49</v>
      </c>
      <c r="B50" s="4" t="s">
        <v>144</v>
      </c>
      <c r="C50" s="17" t="s">
        <v>53</v>
      </c>
      <c r="D50" s="11">
        <f>SUM(1244)</f>
        <v>1244</v>
      </c>
      <c r="E50" s="11">
        <f>SUM(102)</f>
        <v>102</v>
      </c>
      <c r="F50" s="12">
        <f>SUM(D50/E50)</f>
        <v>12.196078431372548</v>
      </c>
      <c r="G50" s="11">
        <v>1</v>
      </c>
      <c r="H50" s="11"/>
      <c r="I50" s="11"/>
      <c r="J50" s="11"/>
      <c r="K50" s="11"/>
      <c r="L50" s="11"/>
      <c r="M50" s="13"/>
    </row>
    <row r="51" spans="1:13" ht="18.75" x14ac:dyDescent="0.3">
      <c r="A51" s="3">
        <v>50</v>
      </c>
      <c r="B51" s="15" t="s">
        <v>63</v>
      </c>
      <c r="C51" s="4" t="s">
        <v>21</v>
      </c>
      <c r="D51" s="11">
        <f>SUM(1452+1495+1498+1503+1492+1410+1342+1280+1503)</f>
        <v>12975</v>
      </c>
      <c r="E51" s="11">
        <f>SUM(135+120+143+139+128+98+90+99+155)</f>
        <v>1107</v>
      </c>
      <c r="F51" s="12">
        <f>SUM(D51/E51)</f>
        <v>11.720867208672086</v>
      </c>
      <c r="G51" s="11">
        <v>9</v>
      </c>
      <c r="H51" s="11">
        <v>5</v>
      </c>
      <c r="I51" s="11"/>
      <c r="J51" s="11"/>
      <c r="K51" s="11"/>
      <c r="L51" s="11">
        <v>28</v>
      </c>
      <c r="M51" s="13"/>
    </row>
    <row r="52" spans="1:13" ht="18.75" x14ac:dyDescent="0.3">
      <c r="A52" s="3">
        <v>51</v>
      </c>
      <c r="B52" s="4" t="s">
        <v>143</v>
      </c>
      <c r="C52" s="4" t="s">
        <v>53</v>
      </c>
      <c r="D52" s="11">
        <f>SUM(1312)</f>
        <v>1312</v>
      </c>
      <c r="E52" s="11">
        <f>SUM(113)</f>
        <v>113</v>
      </c>
      <c r="F52" s="12">
        <f>SUM(D52/E52)</f>
        <v>11.610619469026549</v>
      </c>
      <c r="G52" s="11">
        <v>1</v>
      </c>
      <c r="H52" s="11"/>
      <c r="I52" s="11"/>
      <c r="J52" s="11"/>
      <c r="K52" s="11"/>
      <c r="L52" s="11">
        <v>1</v>
      </c>
      <c r="M52" s="13"/>
    </row>
    <row r="53" spans="1:13" ht="18.75" x14ac:dyDescent="0.3">
      <c r="A53" s="3">
        <v>52</v>
      </c>
      <c r="B53" s="15" t="s">
        <v>109</v>
      </c>
      <c r="C53" s="4" t="s">
        <v>53</v>
      </c>
      <c r="D53" s="11">
        <f>SUM(496+1498+1461+1497+1433+1359+1474+1409+1281)</f>
        <v>11908</v>
      </c>
      <c r="E53" s="11">
        <f>SUM(45+156+130+134+114+102+147+112+98)</f>
        <v>1038</v>
      </c>
      <c r="F53" s="12">
        <f>SUM(D53/E53)</f>
        <v>11.472061657032755</v>
      </c>
      <c r="G53" s="11">
        <v>9</v>
      </c>
      <c r="H53" s="11">
        <v>2</v>
      </c>
      <c r="I53" s="11"/>
      <c r="J53" s="11"/>
      <c r="K53" s="11"/>
      <c r="L53" s="11">
        <v>16</v>
      </c>
      <c r="M53" s="13"/>
    </row>
    <row r="54" spans="1:13" ht="18.75" x14ac:dyDescent="0.3">
      <c r="A54" s="3">
        <v>53</v>
      </c>
      <c r="B54" s="15" t="s">
        <v>60</v>
      </c>
      <c r="C54" s="4" t="s">
        <v>47</v>
      </c>
      <c r="D54" s="11">
        <f>SUM(1477+1291+1469+1471+1480+1218+1331+1359+1415+1473+1464+1498+1489)</f>
        <v>18435</v>
      </c>
      <c r="E54" s="11">
        <f>SUM(126+87+136+98+131+94+111+114+114+146+162+154+134)</f>
        <v>1607</v>
      </c>
      <c r="F54" s="12">
        <f>SUM(D54/E54)</f>
        <v>11.471686372121967</v>
      </c>
      <c r="G54" s="11">
        <v>13</v>
      </c>
      <c r="H54" s="11">
        <v>3</v>
      </c>
      <c r="I54" s="11"/>
      <c r="J54" s="11"/>
      <c r="K54" s="11"/>
      <c r="L54" s="11">
        <v>29</v>
      </c>
      <c r="M54" s="13"/>
    </row>
    <row r="55" spans="1:13" ht="18.75" x14ac:dyDescent="0.3">
      <c r="A55" s="3">
        <v>54</v>
      </c>
      <c r="B55" s="4" t="s">
        <v>125</v>
      </c>
      <c r="C55" s="17" t="s">
        <v>53</v>
      </c>
      <c r="D55" s="11">
        <f>SUM(1341)</f>
        <v>1341</v>
      </c>
      <c r="E55" s="11">
        <f>SUM(117)</f>
        <v>117</v>
      </c>
      <c r="F55" s="12">
        <f>SUM(D55/E55)</f>
        <v>11.461538461538462</v>
      </c>
      <c r="G55" s="11">
        <v>1</v>
      </c>
      <c r="H55" s="11"/>
      <c r="I55" s="11"/>
      <c r="J55" s="11"/>
      <c r="K55" s="11"/>
      <c r="L55" s="11"/>
      <c r="M55" s="13"/>
    </row>
    <row r="56" spans="1:13" ht="18.75" x14ac:dyDescent="0.3">
      <c r="A56" s="3">
        <v>55</v>
      </c>
      <c r="B56" s="15" t="s">
        <v>59</v>
      </c>
      <c r="C56" s="17" t="s">
        <v>53</v>
      </c>
      <c r="D56" s="11">
        <f>SUM(1368+1501+1274)</f>
        <v>4143</v>
      </c>
      <c r="E56" s="11">
        <f>SUM(122+148+96)</f>
        <v>366</v>
      </c>
      <c r="F56" s="12">
        <f>SUM(D56/E56)</f>
        <v>11.319672131147541</v>
      </c>
      <c r="G56" s="11">
        <v>3</v>
      </c>
      <c r="H56" s="11">
        <v>2</v>
      </c>
      <c r="I56" s="11"/>
      <c r="J56" s="11"/>
      <c r="K56" s="11"/>
      <c r="L56" s="11">
        <v>6.5</v>
      </c>
      <c r="M56" s="13"/>
    </row>
    <row r="57" spans="1:13" ht="18.75" x14ac:dyDescent="0.3">
      <c r="A57" s="3">
        <v>56</v>
      </c>
      <c r="B57" s="15" t="s">
        <v>102</v>
      </c>
      <c r="C57" s="4" t="s">
        <v>21</v>
      </c>
      <c r="D57" s="11">
        <f>SUM(1467)</f>
        <v>1467</v>
      </c>
      <c r="E57" s="11">
        <f>SUM(130)</f>
        <v>130</v>
      </c>
      <c r="F57" s="12">
        <f>SUM(D57/E57)</f>
        <v>11.284615384615385</v>
      </c>
      <c r="G57" s="11">
        <v>1</v>
      </c>
      <c r="H57" s="11">
        <v>1</v>
      </c>
      <c r="I57" s="11"/>
      <c r="J57" s="11"/>
      <c r="K57" s="11"/>
      <c r="L57" s="11">
        <v>4</v>
      </c>
      <c r="M57" s="13"/>
    </row>
    <row r="58" spans="1:13" ht="18.75" x14ac:dyDescent="0.3">
      <c r="A58" s="3">
        <v>57</v>
      </c>
      <c r="B58" s="15" t="s">
        <v>94</v>
      </c>
      <c r="C58" s="7" t="s">
        <v>42</v>
      </c>
      <c r="D58" s="11">
        <f>SUM(1484+1490+1474+1452+1499+1435+1499+1463+1469+1503+1254+1403+1483)</f>
        <v>18908</v>
      </c>
      <c r="E58" s="11">
        <f>SUM(126+139+150+165+106+132+146+114+150+135+108+108+119)</f>
        <v>1698</v>
      </c>
      <c r="F58" s="12">
        <f>SUM(D58/E58)</f>
        <v>11.135453474676089</v>
      </c>
      <c r="G58" s="11">
        <v>13</v>
      </c>
      <c r="H58" s="11">
        <v>5</v>
      </c>
      <c r="I58" s="11"/>
      <c r="J58" s="11"/>
      <c r="K58" s="11"/>
      <c r="L58" s="11">
        <v>37.5</v>
      </c>
      <c r="M58" s="13"/>
    </row>
    <row r="59" spans="1:13" ht="18.75" x14ac:dyDescent="0.3">
      <c r="A59" s="3">
        <v>58</v>
      </c>
      <c r="B59" s="4" t="s">
        <v>56</v>
      </c>
      <c r="C59" s="4" t="s">
        <v>95</v>
      </c>
      <c r="D59" s="11">
        <f>SUM(1248+1064+1400+1411+1387+1347+1413+1320+1224+1440+1322)</f>
        <v>14576</v>
      </c>
      <c r="E59" s="11">
        <f>SUM(105+84+133+141+150+112+108+117+113+153+105)</f>
        <v>1321</v>
      </c>
      <c r="F59" s="12">
        <f>SUM(D59/E59)</f>
        <v>11.034065102195306</v>
      </c>
      <c r="G59" s="11">
        <v>11</v>
      </c>
      <c r="H59" s="11"/>
      <c r="I59" s="11"/>
      <c r="J59" s="11"/>
      <c r="K59" s="11"/>
      <c r="L59" s="11">
        <v>14.5</v>
      </c>
      <c r="M59" s="13"/>
    </row>
    <row r="60" spans="1:13" ht="18.75" x14ac:dyDescent="0.3">
      <c r="A60" s="3">
        <v>59</v>
      </c>
      <c r="B60" s="4" t="s">
        <v>51</v>
      </c>
      <c r="C60" s="58" t="s">
        <v>14</v>
      </c>
      <c r="D60" s="11">
        <f>SUM(1394+1122+1067+1482+1376+1498+1402+1456)</f>
        <v>10797</v>
      </c>
      <c r="E60" s="11">
        <f>SUM(93+86+81+162+144+145+150+125)</f>
        <v>986</v>
      </c>
      <c r="F60" s="12">
        <f>SUM(D60/E60)</f>
        <v>10.950304259634889</v>
      </c>
      <c r="G60" s="11">
        <v>8</v>
      </c>
      <c r="H60" s="11">
        <v>1</v>
      </c>
      <c r="I60" s="11"/>
      <c r="J60" s="11"/>
      <c r="K60" s="11"/>
      <c r="L60" s="11">
        <v>15.5</v>
      </c>
      <c r="M60" s="13"/>
    </row>
    <row r="61" spans="1:13" ht="18.75" x14ac:dyDescent="0.3">
      <c r="A61" s="3">
        <v>60</v>
      </c>
      <c r="B61" s="15" t="s">
        <v>112</v>
      </c>
      <c r="C61" s="4" t="s">
        <v>95</v>
      </c>
      <c r="D61" s="11">
        <f>SUM(1150+1237+1485+1478+1185)</f>
        <v>6535</v>
      </c>
      <c r="E61" s="11">
        <f>SUM(90+108+153+148+99)</f>
        <v>598</v>
      </c>
      <c r="F61" s="12">
        <f>SUM(D61/E61)</f>
        <v>10.92809364548495</v>
      </c>
      <c r="G61" s="11">
        <v>5</v>
      </c>
      <c r="H61" s="11">
        <v>1</v>
      </c>
      <c r="I61" s="11"/>
      <c r="J61" s="11"/>
      <c r="K61" s="11"/>
      <c r="L61" s="11">
        <v>8.5</v>
      </c>
      <c r="M61" s="13"/>
    </row>
    <row r="62" spans="1:13" ht="18.75" x14ac:dyDescent="0.3">
      <c r="A62" s="3">
        <v>61</v>
      </c>
      <c r="B62" s="4" t="s">
        <v>166</v>
      </c>
      <c r="C62" s="7" t="s">
        <v>42</v>
      </c>
      <c r="D62" s="11">
        <f>SUM(1309)</f>
        <v>1309</v>
      </c>
      <c r="E62" s="11">
        <f>SUM(120)</f>
        <v>120</v>
      </c>
      <c r="F62" s="12">
        <f>SUM(D62/E62)</f>
        <v>10.908333333333333</v>
      </c>
      <c r="G62" s="11">
        <v>1</v>
      </c>
      <c r="H62" s="11"/>
      <c r="I62" s="11"/>
      <c r="J62" s="11"/>
      <c r="K62" s="11"/>
      <c r="L62" s="11">
        <v>0.5</v>
      </c>
      <c r="M62" s="13"/>
    </row>
    <row r="63" spans="1:13" ht="18.75" x14ac:dyDescent="0.3">
      <c r="A63" s="3">
        <v>62</v>
      </c>
      <c r="B63" s="4" t="s">
        <v>124</v>
      </c>
      <c r="C63" s="7" t="s">
        <v>28</v>
      </c>
      <c r="D63" s="11">
        <f>SUM(1416)</f>
        <v>1416</v>
      </c>
      <c r="E63" s="11">
        <f>SUM(132)</f>
        <v>132</v>
      </c>
      <c r="F63" s="12">
        <f>SUM(D63/E63)</f>
        <v>10.727272727272727</v>
      </c>
      <c r="G63" s="11">
        <v>1</v>
      </c>
      <c r="H63" s="11"/>
      <c r="I63" s="11"/>
      <c r="J63" s="11"/>
      <c r="K63" s="11"/>
      <c r="L63" s="11">
        <v>1</v>
      </c>
      <c r="M63" s="13"/>
    </row>
    <row r="64" spans="1:13" ht="18.75" x14ac:dyDescent="0.3">
      <c r="A64" s="3">
        <v>63</v>
      </c>
      <c r="B64" s="15" t="s">
        <v>110</v>
      </c>
      <c r="C64" s="7" t="s">
        <v>21</v>
      </c>
      <c r="D64" s="11">
        <f>SUM(1250+1503+1491+1315+1503+1431)</f>
        <v>8493</v>
      </c>
      <c r="E64" s="11">
        <f>SUM(109+145+155+119+159+106)</f>
        <v>793</v>
      </c>
      <c r="F64" s="12">
        <f>SUM(D64/E64)</f>
        <v>10.709962168978562</v>
      </c>
      <c r="G64" s="11">
        <v>6</v>
      </c>
      <c r="H64" s="11">
        <v>3</v>
      </c>
      <c r="I64" s="11"/>
      <c r="J64" s="11"/>
      <c r="K64" s="11"/>
      <c r="L64" s="11">
        <v>17.5</v>
      </c>
      <c r="M64" s="13"/>
    </row>
    <row r="65" spans="1:18" ht="18.75" x14ac:dyDescent="0.3">
      <c r="A65" s="3">
        <v>64</v>
      </c>
      <c r="B65" s="4" t="s">
        <v>54</v>
      </c>
      <c r="C65" s="4" t="s">
        <v>47</v>
      </c>
      <c r="D65" s="11">
        <f>SUM(1478+1353+1503+1472+1448+1079+1478+1286+1374+1483)</f>
        <v>13954</v>
      </c>
      <c r="E65" s="11">
        <f>SUM(126+139+133+123+135+93+143+117+144+150)</f>
        <v>1303</v>
      </c>
      <c r="F65" s="12">
        <f>SUM(D65/E65)</f>
        <v>10.709132770529548</v>
      </c>
      <c r="G65" s="11">
        <v>10</v>
      </c>
      <c r="H65" s="11">
        <v>4</v>
      </c>
      <c r="I65" s="11"/>
      <c r="J65" s="11"/>
      <c r="K65" s="11"/>
      <c r="L65" s="11">
        <v>25.5</v>
      </c>
      <c r="M65" s="13"/>
    </row>
    <row r="66" spans="1:18" ht="18.75" x14ac:dyDescent="0.3">
      <c r="A66" s="3">
        <v>65</v>
      </c>
      <c r="B66" s="4" t="s">
        <v>165</v>
      </c>
      <c r="C66" s="7" t="s">
        <v>14</v>
      </c>
      <c r="D66" s="11">
        <f>SUM(1486)</f>
        <v>1486</v>
      </c>
      <c r="E66" s="11">
        <f>SUM(139)</f>
        <v>139</v>
      </c>
      <c r="F66" s="12">
        <f>SUM(D66/E66)</f>
        <v>10.690647482014388</v>
      </c>
      <c r="G66" s="11">
        <v>1</v>
      </c>
      <c r="H66" s="11">
        <v>1</v>
      </c>
      <c r="I66" s="11"/>
      <c r="J66" s="11"/>
      <c r="K66" s="11"/>
      <c r="L66" s="11">
        <v>3.5</v>
      </c>
      <c r="M66" s="13"/>
    </row>
    <row r="67" spans="1:18" ht="18.75" x14ac:dyDescent="0.3">
      <c r="A67" s="3">
        <v>66</v>
      </c>
      <c r="B67" s="15" t="s">
        <v>55</v>
      </c>
      <c r="C67" s="7" t="s">
        <v>53</v>
      </c>
      <c r="D67" s="11">
        <f>SUM(1363+1275+1471+1473+1503+1072+1459+1448+1449+1458)</f>
        <v>13971</v>
      </c>
      <c r="E67" s="11">
        <f>SUM(123+117+156+148+117+87+131+174+110+153)</f>
        <v>1316</v>
      </c>
      <c r="F67" s="12">
        <f>SUM(D67/E67)</f>
        <v>10.616261398176292</v>
      </c>
      <c r="G67" s="11">
        <v>10</v>
      </c>
      <c r="H67" s="11">
        <v>4</v>
      </c>
      <c r="I67" s="11"/>
      <c r="J67" s="11"/>
      <c r="K67" s="11"/>
      <c r="L67" s="11">
        <v>19.5</v>
      </c>
      <c r="M67" s="13"/>
    </row>
    <row r="68" spans="1:18" ht="18.75" x14ac:dyDescent="0.3">
      <c r="A68" s="3">
        <v>67</v>
      </c>
      <c r="B68" s="4" t="s">
        <v>118</v>
      </c>
      <c r="C68" s="7" t="s">
        <v>42</v>
      </c>
      <c r="D68" s="11">
        <f>SUM(1477+1499+1258)</f>
        <v>4234</v>
      </c>
      <c r="E68" s="11">
        <f>SUM(152+138+111)</f>
        <v>401</v>
      </c>
      <c r="F68" s="12">
        <f>SUM(D68/E68)</f>
        <v>10.558603491271821</v>
      </c>
      <c r="G68" s="11">
        <v>3</v>
      </c>
      <c r="H68" s="11">
        <v>2</v>
      </c>
      <c r="I68" s="11"/>
      <c r="J68" s="11"/>
      <c r="K68" s="11"/>
      <c r="L68" s="11">
        <v>8</v>
      </c>
      <c r="M68" s="13"/>
    </row>
    <row r="69" spans="1:18" ht="18.75" x14ac:dyDescent="0.3">
      <c r="A69" s="3">
        <v>68</v>
      </c>
      <c r="B69" s="15" t="s">
        <v>171</v>
      </c>
      <c r="C69" s="7" t="s">
        <v>53</v>
      </c>
      <c r="D69" s="11">
        <f>SUM(1129)</f>
        <v>1129</v>
      </c>
      <c r="E69" s="11">
        <f>SUM(108)</f>
        <v>108</v>
      </c>
      <c r="F69" s="12">
        <f>SUM(D69/E69)</f>
        <v>10.453703703703704</v>
      </c>
      <c r="G69" s="11">
        <v>1</v>
      </c>
      <c r="H69" s="11"/>
      <c r="I69" s="11"/>
      <c r="J69" s="11"/>
      <c r="K69" s="11"/>
      <c r="L69" s="11"/>
      <c r="M69" s="13"/>
    </row>
    <row r="70" spans="1:18" ht="18.75" x14ac:dyDescent="0.3">
      <c r="A70" s="3">
        <v>69</v>
      </c>
      <c r="B70" s="15" t="s">
        <v>176</v>
      </c>
      <c r="C70" s="7" t="s">
        <v>23</v>
      </c>
      <c r="D70" s="11">
        <f>SUM(1278)</f>
        <v>1278</v>
      </c>
      <c r="E70" s="11">
        <f>SUM(126)</f>
        <v>126</v>
      </c>
      <c r="F70" s="12">
        <f>SUM(D70/E70)</f>
        <v>10.142857142857142</v>
      </c>
      <c r="G70" s="11">
        <v>1</v>
      </c>
      <c r="H70" s="11"/>
      <c r="I70" s="11"/>
      <c r="J70" s="11"/>
      <c r="K70" s="11"/>
      <c r="L70" s="11">
        <v>1.5</v>
      </c>
      <c r="M70" s="13"/>
    </row>
    <row r="71" spans="1:18" ht="18.75" x14ac:dyDescent="0.3">
      <c r="A71" s="3">
        <v>70</v>
      </c>
      <c r="B71" s="15" t="s">
        <v>130</v>
      </c>
      <c r="C71" s="7" t="s">
        <v>14</v>
      </c>
      <c r="D71" s="11">
        <f>SUM(1489+1487+1493)</f>
        <v>4469</v>
      </c>
      <c r="E71" s="11">
        <f>SUM(134+150+161)</f>
        <v>445</v>
      </c>
      <c r="F71" s="12">
        <f>SUM(D71/E71)</f>
        <v>10.042696629213482</v>
      </c>
      <c r="G71" s="11">
        <v>3</v>
      </c>
      <c r="H71" s="11">
        <v>3</v>
      </c>
      <c r="I71" s="11"/>
      <c r="J71" s="11"/>
      <c r="K71" s="11"/>
      <c r="L71" s="11">
        <v>11</v>
      </c>
      <c r="M71" s="13"/>
    </row>
    <row r="72" spans="1:18" ht="18.75" x14ac:dyDescent="0.3">
      <c r="A72" s="3">
        <v>71</v>
      </c>
      <c r="B72" s="15" t="s">
        <v>97</v>
      </c>
      <c r="C72" s="4" t="s">
        <v>47</v>
      </c>
      <c r="D72" s="11">
        <f>SUM(1376+1488+1323)</f>
        <v>4187</v>
      </c>
      <c r="E72" s="11">
        <f>SUM(138+171+121)</f>
        <v>430</v>
      </c>
      <c r="F72" s="12">
        <f>SUM(D72/E72)</f>
        <v>9.7372093023255815</v>
      </c>
      <c r="G72" s="11">
        <v>3</v>
      </c>
      <c r="H72" s="11"/>
      <c r="I72" s="11"/>
      <c r="J72" s="11"/>
      <c r="K72" s="11"/>
      <c r="L72" s="11">
        <v>6.5</v>
      </c>
      <c r="M72" s="13"/>
    </row>
    <row r="73" spans="1:18" ht="18.75" x14ac:dyDescent="0.3">
      <c r="A73" s="3">
        <v>72</v>
      </c>
      <c r="B73" s="4" t="s">
        <v>142</v>
      </c>
      <c r="C73" s="4" t="s">
        <v>53</v>
      </c>
      <c r="D73" s="11">
        <f>SUM(1376)</f>
        <v>1376</v>
      </c>
      <c r="E73" s="11">
        <f>SUM(157)</f>
        <v>157</v>
      </c>
      <c r="F73" s="12">
        <f>SUM(D73/E73)</f>
        <v>8.7643312101910826</v>
      </c>
      <c r="G73" s="11">
        <v>1</v>
      </c>
      <c r="H73" s="11"/>
      <c r="I73" s="11"/>
      <c r="J73" s="11"/>
      <c r="K73" s="11"/>
      <c r="L73" s="11"/>
      <c r="M73" s="13"/>
    </row>
    <row r="74" spans="1:18" ht="18.75" x14ac:dyDescent="0.3">
      <c r="A74" s="3">
        <v>73</v>
      </c>
      <c r="B74" s="21" t="s">
        <v>164</v>
      </c>
      <c r="C74" s="14" t="s">
        <v>23</v>
      </c>
      <c r="D74" s="11">
        <f>SUM(1284)</f>
        <v>1284</v>
      </c>
      <c r="E74" s="11">
        <f>SUM(153)</f>
        <v>153</v>
      </c>
      <c r="F74" s="12">
        <f>SUM(D74/E74)</f>
        <v>8.3921568627450984</v>
      </c>
      <c r="G74" s="11">
        <v>1</v>
      </c>
      <c r="H74" s="11"/>
      <c r="I74" s="11"/>
      <c r="J74" s="11"/>
      <c r="K74" s="11"/>
      <c r="L74" s="11">
        <v>1</v>
      </c>
      <c r="M74" s="13"/>
    </row>
    <row r="75" spans="1:18" ht="17.25" customHeight="1" thickBot="1" x14ac:dyDescent="0.35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8" ht="19.5" customHeight="1" thickBot="1" x14ac:dyDescent="0.35">
      <c r="A76" s="5"/>
      <c r="B76" s="39" t="s">
        <v>175</v>
      </c>
      <c r="C76" s="27" t="s">
        <v>65</v>
      </c>
      <c r="D76" s="28" t="s">
        <v>66</v>
      </c>
      <c r="E76" s="29" t="s">
        <v>67</v>
      </c>
      <c r="F76" s="20" t="s">
        <v>91</v>
      </c>
      <c r="G76" s="30" t="s">
        <v>68</v>
      </c>
      <c r="I76" s="50" t="s">
        <v>69</v>
      </c>
      <c r="J76" s="51"/>
      <c r="K76" s="51"/>
      <c r="L76" s="51"/>
      <c r="M76" s="51"/>
      <c r="N76" s="51"/>
      <c r="O76" s="51"/>
      <c r="P76" s="51"/>
      <c r="Q76" s="51"/>
      <c r="R76" s="52"/>
    </row>
    <row r="77" spans="1:18" ht="18.75" x14ac:dyDescent="0.3">
      <c r="A77" s="5"/>
      <c r="B77" s="40"/>
      <c r="C77" s="17" t="s">
        <v>82</v>
      </c>
      <c r="D77" s="7">
        <v>13</v>
      </c>
      <c r="E77" s="22">
        <v>0</v>
      </c>
      <c r="F77" s="15"/>
      <c r="G77" s="23">
        <v>224</v>
      </c>
      <c r="I77" s="42" t="s">
        <v>70</v>
      </c>
      <c r="J77" s="43"/>
      <c r="K77" s="43"/>
      <c r="L77" s="43"/>
      <c r="M77" s="43"/>
      <c r="N77" s="53" t="s">
        <v>122</v>
      </c>
      <c r="O77" s="53"/>
      <c r="P77" s="53"/>
      <c r="Q77" s="53"/>
      <c r="R77" s="54"/>
    </row>
    <row r="78" spans="1:18" ht="18.75" x14ac:dyDescent="0.3">
      <c r="A78" s="5"/>
      <c r="B78" s="40"/>
      <c r="C78" s="17" t="s">
        <v>77</v>
      </c>
      <c r="D78" s="7">
        <v>11</v>
      </c>
      <c r="E78" s="22">
        <v>2</v>
      </c>
      <c r="F78" s="15"/>
      <c r="G78" s="23">
        <v>196</v>
      </c>
      <c r="I78" s="44" t="s">
        <v>72</v>
      </c>
      <c r="J78" s="45"/>
      <c r="K78" s="45"/>
      <c r="L78" s="45"/>
      <c r="M78" s="45"/>
      <c r="N78" s="48" t="s">
        <v>174</v>
      </c>
      <c r="O78" s="48"/>
      <c r="P78" s="48"/>
      <c r="Q78" s="48"/>
      <c r="R78" s="49"/>
    </row>
    <row r="79" spans="1:18" ht="18.75" x14ac:dyDescent="0.3">
      <c r="A79" s="5"/>
      <c r="B79" s="40"/>
      <c r="C79" s="18" t="s">
        <v>83</v>
      </c>
      <c r="D79" s="9">
        <v>10</v>
      </c>
      <c r="E79" s="10">
        <v>3</v>
      </c>
      <c r="F79" s="15"/>
      <c r="G79" s="18">
        <v>185</v>
      </c>
      <c r="I79" s="44" t="s">
        <v>74</v>
      </c>
      <c r="J79" s="45"/>
      <c r="K79" s="45"/>
      <c r="L79" s="45"/>
      <c r="M79" s="45"/>
      <c r="N79" s="48" t="s">
        <v>173</v>
      </c>
      <c r="O79" s="48"/>
      <c r="P79" s="48"/>
      <c r="Q79" s="48"/>
      <c r="R79" s="49"/>
    </row>
    <row r="80" spans="1:18" ht="18.75" x14ac:dyDescent="0.3">
      <c r="A80" s="6"/>
      <c r="B80" s="40"/>
      <c r="C80" s="17" t="s">
        <v>85</v>
      </c>
      <c r="D80" s="7">
        <v>9</v>
      </c>
      <c r="E80" s="22">
        <v>4</v>
      </c>
      <c r="F80" s="15"/>
      <c r="G80" s="23">
        <v>184</v>
      </c>
      <c r="I80" s="44" t="s">
        <v>76</v>
      </c>
      <c r="J80" s="45"/>
      <c r="K80" s="45"/>
      <c r="L80" s="45"/>
      <c r="M80" s="45"/>
      <c r="N80" s="48" t="s">
        <v>172</v>
      </c>
      <c r="O80" s="48"/>
      <c r="P80" s="48"/>
      <c r="Q80" s="48"/>
      <c r="R80" s="49"/>
    </row>
    <row r="81" spans="1:18" ht="18" customHeight="1" x14ac:dyDescent="0.3">
      <c r="A81" s="6"/>
      <c r="B81" s="40"/>
      <c r="C81" s="17" t="s">
        <v>71</v>
      </c>
      <c r="D81" s="7">
        <v>8</v>
      </c>
      <c r="E81" s="16">
        <v>5</v>
      </c>
      <c r="F81" s="15"/>
      <c r="G81" s="17">
        <v>179</v>
      </c>
      <c r="I81" s="44" t="s">
        <v>78</v>
      </c>
      <c r="J81" s="45"/>
      <c r="K81" s="45"/>
      <c r="L81" s="45"/>
      <c r="M81" s="45"/>
      <c r="N81" s="48" t="s">
        <v>167</v>
      </c>
      <c r="O81" s="48"/>
      <c r="P81" s="48"/>
      <c r="Q81" s="48"/>
      <c r="R81" s="49"/>
    </row>
    <row r="82" spans="1:18" ht="18" customHeight="1" thickBot="1" x14ac:dyDescent="0.35">
      <c r="A82" s="6"/>
      <c r="B82" s="40"/>
      <c r="C82" s="18" t="s">
        <v>79</v>
      </c>
      <c r="D82" s="9">
        <v>5</v>
      </c>
      <c r="E82" s="10">
        <v>8</v>
      </c>
      <c r="F82" s="15"/>
      <c r="G82" s="18">
        <v>152</v>
      </c>
      <c r="I82" s="46" t="s">
        <v>80</v>
      </c>
      <c r="J82" s="47"/>
      <c r="K82" s="47"/>
      <c r="L82" s="47"/>
      <c r="M82" s="47"/>
      <c r="N82" s="48" t="s">
        <v>119</v>
      </c>
      <c r="O82" s="48"/>
      <c r="P82" s="48"/>
      <c r="Q82" s="48"/>
      <c r="R82" s="49"/>
    </row>
    <row r="83" spans="1:18" ht="18.75" x14ac:dyDescent="0.3">
      <c r="A83" s="6"/>
      <c r="B83" s="40"/>
      <c r="C83" s="17" t="s">
        <v>81</v>
      </c>
      <c r="D83" s="7">
        <v>5</v>
      </c>
      <c r="E83" s="16">
        <v>8</v>
      </c>
      <c r="F83" s="15"/>
      <c r="G83" s="17">
        <v>150</v>
      </c>
      <c r="H83" s="6"/>
      <c r="I83" s="6"/>
    </row>
    <row r="84" spans="1:18" ht="18.75" x14ac:dyDescent="0.3">
      <c r="A84" s="6"/>
      <c r="B84" s="40"/>
      <c r="C84" s="17" t="s">
        <v>73</v>
      </c>
      <c r="D84" s="7">
        <v>5</v>
      </c>
      <c r="E84" s="22">
        <v>8</v>
      </c>
      <c r="F84" s="15"/>
      <c r="G84" s="23">
        <v>133</v>
      </c>
      <c r="H84" s="6"/>
    </row>
    <row r="85" spans="1:18" ht="18.75" x14ac:dyDescent="0.3">
      <c r="B85" s="40"/>
      <c r="C85" s="17" t="s">
        <v>75</v>
      </c>
      <c r="D85" s="7">
        <v>4</v>
      </c>
      <c r="E85" s="22">
        <v>9</v>
      </c>
      <c r="F85" s="15"/>
      <c r="G85" s="23">
        <v>142</v>
      </c>
    </row>
    <row r="86" spans="1:18" ht="18.75" x14ac:dyDescent="0.3">
      <c r="B86" s="40"/>
      <c r="C86" s="18" t="s">
        <v>86</v>
      </c>
      <c r="D86" s="9">
        <v>4</v>
      </c>
      <c r="E86" s="10">
        <v>9</v>
      </c>
      <c r="F86" s="15"/>
      <c r="G86" s="18">
        <v>138</v>
      </c>
    </row>
    <row r="87" spans="1:18" ht="18.75" x14ac:dyDescent="0.3">
      <c r="B87" s="40"/>
      <c r="C87" s="19" t="s">
        <v>101</v>
      </c>
      <c r="D87" s="14">
        <v>4</v>
      </c>
      <c r="E87" s="21">
        <v>9</v>
      </c>
      <c r="F87" s="26"/>
      <c r="G87" s="19">
        <v>124</v>
      </c>
    </row>
    <row r="88" spans="1:18" ht="19.5" thickBot="1" x14ac:dyDescent="0.35">
      <c r="B88" s="41"/>
      <c r="C88" s="18" t="s">
        <v>84</v>
      </c>
      <c r="D88" s="9">
        <v>0</v>
      </c>
      <c r="E88" s="10">
        <v>13</v>
      </c>
      <c r="F88" s="15"/>
      <c r="G88" s="18">
        <v>65</v>
      </c>
    </row>
    <row r="89" spans="1:18" ht="15.75" thickBot="1" x14ac:dyDescent="0.3"/>
    <row r="90" spans="1:18" ht="19.5" thickBot="1" x14ac:dyDescent="0.35">
      <c r="C90" s="27" t="s">
        <v>87</v>
      </c>
      <c r="D90" s="28" t="s">
        <v>66</v>
      </c>
      <c r="E90" s="28" t="s">
        <v>67</v>
      </c>
      <c r="F90" s="20" t="s">
        <v>91</v>
      </c>
      <c r="G90" s="31" t="s">
        <v>68</v>
      </c>
    </row>
    <row r="91" spans="1:18" ht="18.75" x14ac:dyDescent="0.3">
      <c r="C91" s="14" t="s">
        <v>82</v>
      </c>
      <c r="D91" s="14">
        <v>13</v>
      </c>
      <c r="E91" s="24">
        <v>0</v>
      </c>
      <c r="F91" s="15"/>
      <c r="G91" s="25">
        <v>224</v>
      </c>
    </row>
    <row r="92" spans="1:18" ht="18.75" x14ac:dyDescent="0.3">
      <c r="C92" s="7" t="s">
        <v>77</v>
      </c>
      <c r="D92" s="7">
        <v>11</v>
      </c>
      <c r="E92" s="22">
        <v>2</v>
      </c>
      <c r="F92" s="15"/>
      <c r="G92" s="23">
        <v>196</v>
      </c>
    </row>
    <row r="93" spans="1:18" ht="18.75" x14ac:dyDescent="0.3">
      <c r="C93" s="14" t="s">
        <v>71</v>
      </c>
      <c r="D93" s="14">
        <v>8</v>
      </c>
      <c r="E93" s="21">
        <v>5</v>
      </c>
      <c r="F93" s="26"/>
      <c r="G93" s="19">
        <v>179</v>
      </c>
    </row>
    <row r="94" spans="1:18" ht="18.75" x14ac:dyDescent="0.3">
      <c r="C94" s="14" t="s">
        <v>75</v>
      </c>
      <c r="D94" s="14">
        <v>4</v>
      </c>
      <c r="E94" s="24">
        <v>9</v>
      </c>
      <c r="F94" s="26"/>
      <c r="G94" s="25">
        <v>142</v>
      </c>
    </row>
    <row r="95" spans="1:18" ht="15.75" thickBot="1" x14ac:dyDescent="0.3"/>
    <row r="96" spans="1:18" ht="19.5" thickBot="1" x14ac:dyDescent="0.35">
      <c r="C96" s="27" t="s">
        <v>88</v>
      </c>
      <c r="D96" s="28" t="s">
        <v>66</v>
      </c>
      <c r="E96" s="28" t="s">
        <v>67</v>
      </c>
      <c r="F96" s="20" t="s">
        <v>91</v>
      </c>
      <c r="G96" s="31" t="s">
        <v>68</v>
      </c>
    </row>
    <row r="97" spans="3:7" ht="18.75" x14ac:dyDescent="0.3">
      <c r="C97" s="9" t="s">
        <v>83</v>
      </c>
      <c r="D97" s="9">
        <v>10</v>
      </c>
      <c r="E97" s="10">
        <v>3</v>
      </c>
      <c r="F97" s="15"/>
      <c r="G97" s="18">
        <v>185</v>
      </c>
    </row>
    <row r="98" spans="3:7" ht="18.75" x14ac:dyDescent="0.3">
      <c r="C98" s="7" t="s">
        <v>85</v>
      </c>
      <c r="D98" s="7">
        <v>9</v>
      </c>
      <c r="E98" s="22">
        <v>4</v>
      </c>
      <c r="F98" s="15"/>
      <c r="G98" s="23">
        <v>184</v>
      </c>
    </row>
    <row r="99" spans="3:7" ht="18.75" x14ac:dyDescent="0.3">
      <c r="C99" s="9" t="s">
        <v>79</v>
      </c>
      <c r="D99" s="9">
        <v>5</v>
      </c>
      <c r="E99" s="10">
        <v>8</v>
      </c>
      <c r="F99" s="15"/>
      <c r="G99" s="18">
        <v>152</v>
      </c>
    </row>
    <row r="100" spans="3:7" ht="18.75" x14ac:dyDescent="0.3">
      <c r="C100" s="14" t="s">
        <v>101</v>
      </c>
      <c r="D100" s="14">
        <v>4</v>
      </c>
      <c r="E100" s="21">
        <v>9</v>
      </c>
      <c r="F100" s="26"/>
      <c r="G100" s="19">
        <v>124</v>
      </c>
    </row>
    <row r="101" spans="3:7" ht="15.75" thickBot="1" x14ac:dyDescent="0.3"/>
    <row r="102" spans="3:7" ht="19.5" thickBot="1" x14ac:dyDescent="0.35">
      <c r="C102" s="32" t="s">
        <v>89</v>
      </c>
      <c r="D102" s="33" t="s">
        <v>66</v>
      </c>
      <c r="E102" s="33" t="s">
        <v>67</v>
      </c>
      <c r="F102" s="20" t="s">
        <v>91</v>
      </c>
      <c r="G102" s="34" t="s">
        <v>68</v>
      </c>
    </row>
    <row r="103" spans="3:7" ht="18.75" x14ac:dyDescent="0.3">
      <c r="C103" s="7" t="s">
        <v>81</v>
      </c>
      <c r="D103" s="7">
        <v>5</v>
      </c>
      <c r="E103" s="16">
        <v>8</v>
      </c>
      <c r="F103" s="15"/>
      <c r="G103" s="17">
        <v>150</v>
      </c>
    </row>
    <row r="104" spans="3:7" ht="18.75" x14ac:dyDescent="0.3">
      <c r="C104" s="14" t="s">
        <v>73</v>
      </c>
      <c r="D104" s="14">
        <v>5</v>
      </c>
      <c r="E104" s="24">
        <v>8</v>
      </c>
      <c r="F104" s="15"/>
      <c r="G104" s="25">
        <v>133</v>
      </c>
    </row>
    <row r="105" spans="3:7" ht="18.75" x14ac:dyDescent="0.3">
      <c r="C105" s="9" t="s">
        <v>86</v>
      </c>
      <c r="D105" s="9">
        <v>4</v>
      </c>
      <c r="E105" s="10">
        <v>9</v>
      </c>
      <c r="F105" s="15"/>
      <c r="G105" s="18">
        <v>138</v>
      </c>
    </row>
    <row r="106" spans="3:7" ht="18.75" x14ac:dyDescent="0.3">
      <c r="C106" s="9" t="s">
        <v>84</v>
      </c>
      <c r="D106" s="9">
        <v>0</v>
      </c>
      <c r="E106" s="10">
        <v>13</v>
      </c>
      <c r="F106" s="15"/>
      <c r="G106" s="18">
        <v>65</v>
      </c>
    </row>
  </sheetData>
  <mergeCells count="14">
    <mergeCell ref="N82:R82"/>
    <mergeCell ref="I76:R76"/>
    <mergeCell ref="N77:R77"/>
    <mergeCell ref="N78:R78"/>
    <mergeCell ref="N79:R79"/>
    <mergeCell ref="N80:R80"/>
    <mergeCell ref="N81:R81"/>
    <mergeCell ref="B76:B88"/>
    <mergeCell ref="I77:M77"/>
    <mergeCell ref="I78:M78"/>
    <mergeCell ref="I79:M79"/>
    <mergeCell ref="I80:M80"/>
    <mergeCell ref="I81:M81"/>
    <mergeCell ref="I82:M8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workbookViewId="0">
      <pane ySplit="1" topLeftCell="A2" activePane="bottomLeft" state="frozen"/>
      <selection pane="bottomLeft" activeCell="L86" sqref="L86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SUM(1444+1481+1503+1503+1471+1503+1471+1499+1495+1503+1503+1503+1449+1346)</f>
        <v>20674</v>
      </c>
      <c r="E2" s="11">
        <f>SUM(74+87+96+88+103+80+96+92+81+73+81+99+100+87)</f>
        <v>1237</v>
      </c>
      <c r="F2" s="12">
        <f>SUM(D2/E2)</f>
        <v>16.713015359741309</v>
      </c>
      <c r="G2" s="11">
        <v>14</v>
      </c>
      <c r="H2" s="11">
        <v>11</v>
      </c>
      <c r="I2" s="11">
        <v>2</v>
      </c>
      <c r="J2" s="11"/>
      <c r="K2" s="11">
        <v>1</v>
      </c>
      <c r="L2" s="11">
        <v>58</v>
      </c>
      <c r="M2" s="13">
        <v>30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SUM(1360+1372+1443+1499+1503+1503+1493+1503)</f>
        <v>11676</v>
      </c>
      <c r="E3" s="11">
        <f>SUM(71+94+91+92+82+84+97+100)</f>
        <v>711</v>
      </c>
      <c r="F3" s="12">
        <f>SUM(D3/E3)</f>
        <v>16.421940928270043</v>
      </c>
      <c r="G3" s="11">
        <v>8</v>
      </c>
      <c r="H3" s="11">
        <v>6</v>
      </c>
      <c r="I3" s="11">
        <v>2</v>
      </c>
      <c r="J3" s="11"/>
      <c r="K3" s="11"/>
      <c r="L3" s="11">
        <v>32.5</v>
      </c>
      <c r="M3" s="13"/>
    </row>
    <row r="4" spans="1:13" ht="18.75" x14ac:dyDescent="0.3">
      <c r="A4" s="3">
        <v>3</v>
      </c>
      <c r="B4" s="4" t="s">
        <v>33</v>
      </c>
      <c r="C4" s="4" t="s">
        <v>16</v>
      </c>
      <c r="D4" s="11">
        <f>SUM(1464+1483+1503+1503+1503+1496+1503+1503+1290+1437+1503+1443+1475+1501)</f>
        <v>20607</v>
      </c>
      <c r="E4" s="11">
        <f>SUM(83+89+91+74+88+135+92+97+83+77+100+93+122+84)</f>
        <v>1308</v>
      </c>
      <c r="F4" s="12">
        <f>SUM(D4/E4)</f>
        <v>15.754587155963304</v>
      </c>
      <c r="G4" s="11">
        <v>14</v>
      </c>
      <c r="H4" s="11">
        <v>10</v>
      </c>
      <c r="I4" s="11">
        <v>1</v>
      </c>
      <c r="J4" s="11"/>
      <c r="K4" s="11"/>
      <c r="L4" s="11">
        <v>59</v>
      </c>
      <c r="M4" s="13">
        <v>15</v>
      </c>
    </row>
    <row r="5" spans="1:13" ht="18.75" x14ac:dyDescent="0.3">
      <c r="A5" s="3">
        <v>4</v>
      </c>
      <c r="B5" s="4" t="s">
        <v>11</v>
      </c>
      <c r="C5" s="4" t="s">
        <v>12</v>
      </c>
      <c r="D5" s="11">
        <f>SUM(1494+1503+1413+1503+1470+1483+1489+1503+1503+1114+1501+1483+1449+1503)</f>
        <v>20411</v>
      </c>
      <c r="E5" s="11">
        <f>SUM(102+87+93+89+89+99+113+97+95+69+111+85+80+87)</f>
        <v>1296</v>
      </c>
      <c r="F5" s="12">
        <f>SUM(D5/E5)</f>
        <v>15.749228395061728</v>
      </c>
      <c r="G5" s="11">
        <v>14</v>
      </c>
      <c r="H5" s="11">
        <v>12</v>
      </c>
      <c r="I5" s="11"/>
      <c r="J5" s="11"/>
      <c r="K5" s="11"/>
      <c r="L5" s="11">
        <v>56</v>
      </c>
      <c r="M5" s="13">
        <v>10</v>
      </c>
    </row>
    <row r="6" spans="1:13" ht="18.75" x14ac:dyDescent="0.3">
      <c r="A6" s="3">
        <v>5</v>
      </c>
      <c r="B6" s="4" t="s">
        <v>37</v>
      </c>
      <c r="C6" s="4" t="s">
        <v>21</v>
      </c>
      <c r="D6" s="11">
        <f>SUM(1501+1495+1314+1407+1503+1405+1426+1455+1372+1417+1476+1503+1503)</f>
        <v>18777</v>
      </c>
      <c r="E6" s="11">
        <f>SUM(106+86+87+95+80+84+86+83+81+84+106+118+100)</f>
        <v>1196</v>
      </c>
      <c r="F6" s="12">
        <f>SUM(D6/E6)</f>
        <v>15.699832775919733</v>
      </c>
      <c r="G6" s="11">
        <v>13</v>
      </c>
      <c r="H6" s="11">
        <v>8</v>
      </c>
      <c r="I6" s="11">
        <v>1</v>
      </c>
      <c r="J6" s="11"/>
      <c r="K6" s="11"/>
      <c r="L6" s="11">
        <v>42</v>
      </c>
      <c r="M6" s="13">
        <v>10</v>
      </c>
    </row>
    <row r="7" spans="1:13" ht="18.75" x14ac:dyDescent="0.3">
      <c r="A7" s="3">
        <v>6</v>
      </c>
      <c r="B7" s="4" t="s">
        <v>17</v>
      </c>
      <c r="C7" s="4" t="s">
        <v>14</v>
      </c>
      <c r="D7" s="11">
        <f>SUM(1280+1503+1449+1503+1425+1321+1387+1489+1344+1487)</f>
        <v>14188</v>
      </c>
      <c r="E7" s="11">
        <f>SUM(79+100+93+90+92+88+90+89+84+105)</f>
        <v>910</v>
      </c>
      <c r="F7" s="12">
        <f>SUM(D7/E7)</f>
        <v>15.591208791208791</v>
      </c>
      <c r="G7" s="11">
        <v>10</v>
      </c>
      <c r="H7" s="11">
        <v>5</v>
      </c>
      <c r="I7" s="11"/>
      <c r="J7" s="11"/>
      <c r="K7" s="11"/>
      <c r="L7" s="35">
        <v>27.5</v>
      </c>
      <c r="M7" s="13"/>
    </row>
    <row r="8" spans="1:13" ht="18.75" x14ac:dyDescent="0.3">
      <c r="A8" s="3">
        <v>7</v>
      </c>
      <c r="B8" s="4" t="s">
        <v>15</v>
      </c>
      <c r="C8" s="4" t="s">
        <v>16</v>
      </c>
      <c r="D8" s="11">
        <f>SUM(1503+1503+1503+1489+1501+1503+1503+1479+1491+1503+1499+1491+1503+1457)</f>
        <v>20928</v>
      </c>
      <c r="E8" s="11">
        <f>SUM(94+109+90+95+131+81+80+82+99+90+115+120+80+82)</f>
        <v>1348</v>
      </c>
      <c r="F8" s="12">
        <f>SUM(D8/E8)</f>
        <v>15.525222551928783</v>
      </c>
      <c r="G8" s="11">
        <v>14</v>
      </c>
      <c r="H8" s="11">
        <v>12</v>
      </c>
      <c r="I8" s="11"/>
      <c r="J8" s="11"/>
      <c r="K8" s="11"/>
      <c r="L8" s="11">
        <v>62</v>
      </c>
      <c r="M8" s="13">
        <v>5</v>
      </c>
    </row>
    <row r="9" spans="1:13" ht="18.75" x14ac:dyDescent="0.3">
      <c r="A9" s="3">
        <v>8</v>
      </c>
      <c r="B9" s="4" t="s">
        <v>18</v>
      </c>
      <c r="C9" s="4" t="s">
        <v>19</v>
      </c>
      <c r="D9" s="11">
        <f>SUM(1403+1503+1328+1440+1487+1371+1467+1414+1500+1411+1503+1503+1346)</f>
        <v>18676</v>
      </c>
      <c r="E9" s="11">
        <f>SUM(96+99+87+93+102+112+80+90+122+80+104+86+81)</f>
        <v>1232</v>
      </c>
      <c r="F9" s="12">
        <f>SUM(D9/E9)</f>
        <v>15.159090909090908</v>
      </c>
      <c r="G9" s="11">
        <v>13</v>
      </c>
      <c r="H9" s="11">
        <v>6</v>
      </c>
      <c r="I9" s="11">
        <v>1</v>
      </c>
      <c r="J9" s="11"/>
      <c r="K9" s="11"/>
      <c r="L9" s="11">
        <v>41.5</v>
      </c>
      <c r="M9" s="13">
        <v>5</v>
      </c>
    </row>
    <row r="10" spans="1:13" ht="18.75" x14ac:dyDescent="0.3">
      <c r="A10" s="3">
        <v>9</v>
      </c>
      <c r="B10" s="4" t="s">
        <v>24</v>
      </c>
      <c r="C10" s="7" t="s">
        <v>23</v>
      </c>
      <c r="D10" s="11">
        <f>SUM(1501+1472+1503+1503+1503+1481+1363+1503+1503+1443+1346+1354+1428)</f>
        <v>18903</v>
      </c>
      <c r="E10" s="11">
        <f>SUM(87+99+109+88+93+101+89+92+116+113+84+87+108)</f>
        <v>1266</v>
      </c>
      <c r="F10" s="12">
        <f>SUM(D10/E10)</f>
        <v>14.931279620853081</v>
      </c>
      <c r="G10" s="11">
        <v>13</v>
      </c>
      <c r="H10" s="11">
        <v>7</v>
      </c>
      <c r="I10" s="11"/>
      <c r="J10" s="11"/>
      <c r="K10" s="11"/>
      <c r="L10" s="11">
        <v>43</v>
      </c>
      <c r="M10" s="13">
        <v>5</v>
      </c>
    </row>
    <row r="11" spans="1:13" ht="18.75" x14ac:dyDescent="0.3">
      <c r="A11" s="3">
        <v>10</v>
      </c>
      <c r="B11" s="15" t="s">
        <v>131</v>
      </c>
      <c r="C11" s="4" t="s">
        <v>32</v>
      </c>
      <c r="D11" s="11">
        <f>SUM(1419+1503+1500)</f>
        <v>4422</v>
      </c>
      <c r="E11" s="11">
        <f>SUM(90+103+106)</f>
        <v>299</v>
      </c>
      <c r="F11" s="12">
        <f>SUM(D11/E11)</f>
        <v>14.789297658862877</v>
      </c>
      <c r="G11" s="11">
        <v>3</v>
      </c>
      <c r="H11" s="11">
        <v>2</v>
      </c>
      <c r="I11" s="11">
        <v>1</v>
      </c>
      <c r="J11" s="11"/>
      <c r="K11" s="11"/>
      <c r="L11" s="11">
        <v>8.5</v>
      </c>
      <c r="M11" s="13"/>
    </row>
    <row r="12" spans="1:13" ht="18.75" x14ac:dyDescent="0.3">
      <c r="A12" s="3">
        <v>11</v>
      </c>
      <c r="B12" s="15" t="s">
        <v>108</v>
      </c>
      <c r="C12" s="4" t="s">
        <v>19</v>
      </c>
      <c r="D12" s="11">
        <f>SUM(501+1503+1501+1455+1503+1411+1318+1400+1471+1463)</f>
        <v>13526</v>
      </c>
      <c r="E12" s="11">
        <f>SUM(46+117+99+123+95+77+90+77+94+98)</f>
        <v>916</v>
      </c>
      <c r="F12" s="12">
        <f>SUM(D12/E12)</f>
        <v>14.766375545851528</v>
      </c>
      <c r="G12" s="11">
        <v>10</v>
      </c>
      <c r="H12" s="11">
        <v>6</v>
      </c>
      <c r="I12" s="11"/>
      <c r="J12" s="11">
        <v>1</v>
      </c>
      <c r="K12" s="11"/>
      <c r="L12" s="11">
        <v>34.5</v>
      </c>
      <c r="M12" s="13">
        <v>5</v>
      </c>
    </row>
    <row r="13" spans="1:13" ht="18.75" x14ac:dyDescent="0.3">
      <c r="A13" s="3">
        <v>12</v>
      </c>
      <c r="B13" s="15" t="s">
        <v>49</v>
      </c>
      <c r="C13" s="4" t="s">
        <v>28</v>
      </c>
      <c r="D13" s="11">
        <f>SUM(1503+1503+1426+1483+1290+1356+1296+1399+1503+1417+1421+1503+1443+1471)</f>
        <v>20014</v>
      </c>
      <c r="E13" s="11">
        <f>SUM(129+86+86+102+90+75+83+86+88+89+109+133+96+107)</f>
        <v>1359</v>
      </c>
      <c r="F13" s="12">
        <f>SUM(D13/E13)</f>
        <v>14.72700515084621</v>
      </c>
      <c r="G13" s="11">
        <v>14</v>
      </c>
      <c r="H13" s="11">
        <v>8</v>
      </c>
      <c r="I13" s="11">
        <v>1</v>
      </c>
      <c r="J13" s="11"/>
      <c r="K13" s="11">
        <v>1</v>
      </c>
      <c r="L13" s="11">
        <v>44.5</v>
      </c>
      <c r="M13" s="13">
        <v>20</v>
      </c>
    </row>
    <row r="14" spans="1:13" ht="18.75" x14ac:dyDescent="0.3">
      <c r="A14" s="3">
        <v>13</v>
      </c>
      <c r="B14" s="4" t="s">
        <v>36</v>
      </c>
      <c r="C14" s="4" t="s">
        <v>12</v>
      </c>
      <c r="D14" s="11">
        <f>SUM(1503+1503+1503+1475+1483+1467+1479+1503+1471+1376+1488+1503+1491+1448)</f>
        <v>20693</v>
      </c>
      <c r="E14" s="11">
        <f>SUM(93+115+87+87+131+93+98+111+94+83+126+111+100+85)</f>
        <v>1414</v>
      </c>
      <c r="F14" s="12">
        <f>SUM(D14/E14)</f>
        <v>14.634370579915135</v>
      </c>
      <c r="G14" s="11">
        <v>14</v>
      </c>
      <c r="H14" s="11">
        <v>9</v>
      </c>
      <c r="I14" s="11"/>
      <c r="J14" s="11"/>
      <c r="K14" s="11"/>
      <c r="L14" s="11">
        <v>54</v>
      </c>
      <c r="M14" s="13">
        <v>10</v>
      </c>
    </row>
    <row r="15" spans="1:13" ht="18.75" x14ac:dyDescent="0.3">
      <c r="A15" s="3">
        <v>14</v>
      </c>
      <c r="B15" s="15" t="s">
        <v>46</v>
      </c>
      <c r="C15" s="4" t="s">
        <v>47</v>
      </c>
      <c r="D15" s="11">
        <f>SUM(1503+1503+1427+1287+1279+1423+1463+1289+1480+1503+1423+1383+1503+1503)</f>
        <v>19969</v>
      </c>
      <c r="E15" s="11">
        <f>SUM(87+94+104+95+84+82+111+90+124+94+89+104+124+90)</f>
        <v>1372</v>
      </c>
      <c r="F15" s="12">
        <f>SUM(D15/E15)</f>
        <v>14.55466472303207</v>
      </c>
      <c r="G15" s="11">
        <v>14</v>
      </c>
      <c r="H15" s="11">
        <v>7</v>
      </c>
      <c r="I15" s="11"/>
      <c r="J15" s="11"/>
      <c r="K15" s="11"/>
      <c r="L15" s="11">
        <v>44.5</v>
      </c>
      <c r="M15" s="13">
        <v>10</v>
      </c>
    </row>
    <row r="16" spans="1:13" ht="18.75" x14ac:dyDescent="0.3">
      <c r="A16" s="3">
        <v>15</v>
      </c>
      <c r="B16" s="4" t="s">
        <v>22</v>
      </c>
      <c r="C16" s="4" t="s">
        <v>23</v>
      </c>
      <c r="D16" s="11">
        <f>SUM(1499+1497+1503+1397+1272+1388+1340+1425+1503+1453+1443+1461+1479+1349)</f>
        <v>20009</v>
      </c>
      <c r="E16" s="11">
        <f>SUM(101+88+116+108+88+89+90+117+86+101+83+96+105+117)</f>
        <v>1385</v>
      </c>
      <c r="F16" s="12">
        <f>SUM(D16/E16)</f>
        <v>14.446931407942238</v>
      </c>
      <c r="G16" s="11">
        <v>14</v>
      </c>
      <c r="H16" s="11">
        <v>8</v>
      </c>
      <c r="I16" s="11"/>
      <c r="J16" s="11"/>
      <c r="K16" s="11"/>
      <c r="L16" s="11">
        <v>44</v>
      </c>
      <c r="M16" s="13">
        <v>5</v>
      </c>
    </row>
    <row r="17" spans="1:13" ht="18.75" x14ac:dyDescent="0.3">
      <c r="A17" s="3">
        <v>16</v>
      </c>
      <c r="B17" s="15" t="s">
        <v>136</v>
      </c>
      <c r="C17" s="4" t="s">
        <v>12</v>
      </c>
      <c r="D17" s="11">
        <f>SUM(1375+1503+1372)</f>
        <v>4250</v>
      </c>
      <c r="E17" s="11">
        <f>SUM(97+91+108)</f>
        <v>296</v>
      </c>
      <c r="F17" s="12">
        <f>SUM(D17/E17)</f>
        <v>14.358108108108109</v>
      </c>
      <c r="G17" s="11">
        <v>3</v>
      </c>
      <c r="H17" s="11">
        <v>1</v>
      </c>
      <c r="I17" s="11"/>
      <c r="J17" s="11"/>
      <c r="K17" s="11"/>
      <c r="L17" s="11">
        <v>10</v>
      </c>
      <c r="M17" s="13"/>
    </row>
    <row r="18" spans="1:13" ht="18.75" x14ac:dyDescent="0.3">
      <c r="A18" s="3">
        <v>17</v>
      </c>
      <c r="B18" s="3" t="s">
        <v>31</v>
      </c>
      <c r="C18" s="4" t="s">
        <v>32</v>
      </c>
      <c r="D18" s="11">
        <f>SUM(1503+1469+1417+1109+1503+1503+1495+1138+1495+1487+1444+1295)</f>
        <v>16858</v>
      </c>
      <c r="E18" s="11">
        <f>SUM(79+96+108+90+100+118+93+84+115+100+106+98)</f>
        <v>1187</v>
      </c>
      <c r="F18" s="12">
        <f>SUM(D18/E18)</f>
        <v>14.202190395956192</v>
      </c>
      <c r="G18" s="11">
        <v>12</v>
      </c>
      <c r="H18" s="11">
        <v>6</v>
      </c>
      <c r="I18" s="11"/>
      <c r="J18" s="11"/>
      <c r="K18" s="11"/>
      <c r="L18" s="11">
        <v>42.5</v>
      </c>
      <c r="M18" s="13">
        <v>5</v>
      </c>
    </row>
    <row r="19" spans="1:13" ht="18.75" x14ac:dyDescent="0.3">
      <c r="A19" s="3">
        <v>18</v>
      </c>
      <c r="B19" s="4" t="s">
        <v>27</v>
      </c>
      <c r="C19" s="7" t="s">
        <v>28</v>
      </c>
      <c r="D19" s="11">
        <f>SUM(1471+1503+1503+1358+1473+1501+1372+1503+1503+1503+1503+1501+1503+1503)</f>
        <v>20700</v>
      </c>
      <c r="E19" s="11">
        <f>SUM(111+90+109+101+87+131+81+100+100+98+111+120+102+118)</f>
        <v>1459</v>
      </c>
      <c r="F19" s="12">
        <f>SUM(D19/E19)</f>
        <v>14.187799862919809</v>
      </c>
      <c r="G19" s="11">
        <v>14</v>
      </c>
      <c r="H19" s="11">
        <v>13</v>
      </c>
      <c r="I19" s="11"/>
      <c r="J19" s="11"/>
      <c r="K19" s="11"/>
      <c r="L19" s="11">
        <v>57.5</v>
      </c>
      <c r="M19" s="13">
        <v>10</v>
      </c>
    </row>
    <row r="20" spans="1:13" ht="18.75" x14ac:dyDescent="0.3">
      <c r="A20" s="3">
        <v>19</v>
      </c>
      <c r="B20" s="15" t="s">
        <v>92</v>
      </c>
      <c r="C20" s="4" t="s">
        <v>42</v>
      </c>
      <c r="D20" s="11">
        <f>SUM(1319+1334+1503+1297+1394+1360+1378+1358+1221+1390+1270+1370)</f>
        <v>16194</v>
      </c>
      <c r="E20" s="11">
        <f>SUM(106+84+103+90+78+99+92+90+96+96+90+120)</f>
        <v>1144</v>
      </c>
      <c r="F20" s="12">
        <f>SUM(D20/E20)</f>
        <v>14.155594405594405</v>
      </c>
      <c r="G20" s="11">
        <v>12</v>
      </c>
      <c r="H20" s="11">
        <v>1</v>
      </c>
      <c r="I20" s="11">
        <v>1</v>
      </c>
      <c r="J20" s="11"/>
      <c r="K20" s="11"/>
      <c r="L20" s="11">
        <v>23.5</v>
      </c>
      <c r="M20" s="13">
        <v>5</v>
      </c>
    </row>
    <row r="21" spans="1:13" ht="18.75" x14ac:dyDescent="0.3">
      <c r="A21" s="3">
        <v>20</v>
      </c>
      <c r="B21" s="15" t="s">
        <v>45</v>
      </c>
      <c r="C21" s="4" t="s">
        <v>32</v>
      </c>
      <c r="D21" s="11">
        <f>SUM(1503+1471+1326+953+1326+1439+1503+1267+1329+1501+1493+1469+1433+1499)</f>
        <v>19512</v>
      </c>
      <c r="E21" s="11">
        <f>SUM(100+103+79+72+91+110+106+99+96+114+94+102+106+117)</f>
        <v>1389</v>
      </c>
      <c r="F21" s="12">
        <f>SUM(D21/E21)</f>
        <v>14.047516198704104</v>
      </c>
      <c r="G21" s="11">
        <v>14</v>
      </c>
      <c r="H21" s="11">
        <v>8</v>
      </c>
      <c r="I21" s="11"/>
      <c r="J21" s="11"/>
      <c r="K21" s="11"/>
      <c r="L21" s="11">
        <v>49.5</v>
      </c>
      <c r="M21" s="13">
        <v>10</v>
      </c>
    </row>
    <row r="22" spans="1:13" ht="18.75" x14ac:dyDescent="0.3">
      <c r="A22" s="3">
        <v>21</v>
      </c>
      <c r="B22" s="15" t="s">
        <v>93</v>
      </c>
      <c r="C22" s="4" t="s">
        <v>42</v>
      </c>
      <c r="D22" s="11">
        <f>SUM(1481+1499+1329+1503+1467+1487+1431+1465+1357+1465+1499+1151)</f>
        <v>17134</v>
      </c>
      <c r="E22" s="11">
        <f>SUM(97+130+104+115+90+99+90+115+79+92+131+81)</f>
        <v>1223</v>
      </c>
      <c r="F22" s="12">
        <f>SUM(D22/E22)</f>
        <v>14.009811937857727</v>
      </c>
      <c r="G22" s="11">
        <v>12</v>
      </c>
      <c r="H22" s="11">
        <v>6</v>
      </c>
      <c r="I22" s="11"/>
      <c r="J22" s="11"/>
      <c r="K22" s="11"/>
      <c r="L22" s="11">
        <v>33</v>
      </c>
      <c r="M22" s="13">
        <v>5</v>
      </c>
    </row>
    <row r="23" spans="1:13" ht="18.75" x14ac:dyDescent="0.3">
      <c r="A23" s="3">
        <v>22</v>
      </c>
      <c r="B23" s="4" t="s">
        <v>90</v>
      </c>
      <c r="C23" s="4" t="s">
        <v>12</v>
      </c>
      <c r="D23" s="11">
        <f>SUM(1361+1497+1376+1453+1379+1503+1313+1379+1501+1499+1453+1284)</f>
        <v>16998</v>
      </c>
      <c r="E23" s="11">
        <f>SUM(83+112+96+107+105+101+95+87+115+118+115+83)</f>
        <v>1217</v>
      </c>
      <c r="F23" s="12">
        <f>SUM(D23/E23)</f>
        <v>13.967132292522596</v>
      </c>
      <c r="G23" s="11">
        <v>12</v>
      </c>
      <c r="H23" s="11">
        <v>6</v>
      </c>
      <c r="I23" s="11"/>
      <c r="J23" s="11"/>
      <c r="K23" s="11"/>
      <c r="L23" s="11">
        <v>37</v>
      </c>
      <c r="M23" s="13"/>
    </row>
    <row r="24" spans="1:13" ht="18.75" x14ac:dyDescent="0.3">
      <c r="A24" s="3">
        <v>23</v>
      </c>
      <c r="B24" s="3" t="s">
        <v>48</v>
      </c>
      <c r="C24" s="4" t="s">
        <v>32</v>
      </c>
      <c r="D24" s="11">
        <f>SUM(1239+1483+1425+1350+1493+1434+1501+1503+1483+1460+1409+1499+1499+1485)</f>
        <v>20263</v>
      </c>
      <c r="E24" s="11">
        <f>SUM(95+93+104+96+128+96+113+99+113+91+99+112+97+115)</f>
        <v>1451</v>
      </c>
      <c r="F24" s="12">
        <f>SUM(D24/E24)</f>
        <v>13.964851826326671</v>
      </c>
      <c r="G24" s="11">
        <v>14</v>
      </c>
      <c r="H24" s="11">
        <v>9</v>
      </c>
      <c r="I24" s="11"/>
      <c r="J24" s="11"/>
      <c r="K24" s="11"/>
      <c r="L24" s="11">
        <v>50</v>
      </c>
      <c r="M24" s="13"/>
    </row>
    <row r="25" spans="1:13" ht="18.75" x14ac:dyDescent="0.3">
      <c r="A25" s="3">
        <v>24</v>
      </c>
      <c r="B25" s="15" t="s">
        <v>39</v>
      </c>
      <c r="C25" s="4" t="s">
        <v>23</v>
      </c>
      <c r="D25" s="11">
        <f>SUM(1332+1373+1492+1499+1481+1245+1220+1503+1503+1503+1439+1432+1487+1477)</f>
        <v>19986</v>
      </c>
      <c r="E25" s="11">
        <f>SUM(84+96+119+109+119+86+78+117+105+124+93+100+103+104)</f>
        <v>1437</v>
      </c>
      <c r="F25" s="12">
        <f>SUM(D25/E25)</f>
        <v>13.908141962421713</v>
      </c>
      <c r="G25" s="11">
        <v>14</v>
      </c>
      <c r="H25" s="11">
        <v>4</v>
      </c>
      <c r="I25" s="11"/>
      <c r="J25" s="11"/>
      <c r="K25" s="11"/>
      <c r="L25" s="11">
        <v>41</v>
      </c>
      <c r="M25" s="13"/>
    </row>
    <row r="26" spans="1:13" ht="18.75" x14ac:dyDescent="0.3">
      <c r="A26" s="3">
        <v>25</v>
      </c>
      <c r="B26" s="4" t="s">
        <v>57</v>
      </c>
      <c r="C26" s="4" t="s">
        <v>95</v>
      </c>
      <c r="D26" s="11">
        <f>SUM(1463+1503+1503+1447+1363+1487+1262+1395+1397+1479+1406+1483)</f>
        <v>17188</v>
      </c>
      <c r="E26" s="11">
        <f>SUM(126+108+109+100+85+95+82+116+110+104+96+105)</f>
        <v>1236</v>
      </c>
      <c r="F26" s="12">
        <f>SUM(D26/E26)</f>
        <v>13.906148867313917</v>
      </c>
      <c r="G26" s="11">
        <v>12</v>
      </c>
      <c r="H26" s="11">
        <v>8</v>
      </c>
      <c r="I26" s="11"/>
      <c r="J26" s="11"/>
      <c r="K26" s="11"/>
      <c r="L26" s="11">
        <v>35</v>
      </c>
      <c r="M26" s="13"/>
    </row>
    <row r="27" spans="1:13" ht="18.75" x14ac:dyDescent="0.3">
      <c r="A27" s="3">
        <v>26</v>
      </c>
      <c r="B27" s="4" t="s">
        <v>62</v>
      </c>
      <c r="C27" s="4" t="s">
        <v>19</v>
      </c>
      <c r="D27" s="11">
        <f>SUM(1290+1479+1300+1217+1308+1400+1216+1414+1503)</f>
        <v>12127</v>
      </c>
      <c r="E27" s="11">
        <f>SUM(76+107+93+86+99+80+99+114+119)</f>
        <v>873</v>
      </c>
      <c r="F27" s="12">
        <f>SUM(D27/E27)</f>
        <v>13.891179839633448</v>
      </c>
      <c r="G27" s="11">
        <v>9</v>
      </c>
      <c r="H27" s="11">
        <v>3</v>
      </c>
      <c r="I27" s="11"/>
      <c r="J27" s="11"/>
      <c r="K27" s="11"/>
      <c r="L27" s="11">
        <v>32.5</v>
      </c>
      <c r="M27" s="13">
        <v>5</v>
      </c>
    </row>
    <row r="28" spans="1:13" ht="18.75" x14ac:dyDescent="0.3">
      <c r="A28" s="3">
        <v>27</v>
      </c>
      <c r="B28" s="15" t="s">
        <v>113</v>
      </c>
      <c r="C28" s="7" t="s">
        <v>16</v>
      </c>
      <c r="D28" s="11">
        <f>SUM(1503+1307+1309+1503+1487+1503+1503+1493+1501)</f>
        <v>13109</v>
      </c>
      <c r="E28" s="11">
        <f>SUM(104+111+88+99+103+100+113+110+120)</f>
        <v>948</v>
      </c>
      <c r="F28" s="12">
        <f>SUM(D28/E28)</f>
        <v>13.828059071729959</v>
      </c>
      <c r="G28" s="11">
        <v>9</v>
      </c>
      <c r="H28" s="11">
        <v>7</v>
      </c>
      <c r="I28" s="11"/>
      <c r="J28" s="11"/>
      <c r="K28" s="11"/>
      <c r="L28" s="11">
        <v>42</v>
      </c>
      <c r="M28" s="13"/>
    </row>
    <row r="29" spans="1:13" ht="18.75" x14ac:dyDescent="0.3">
      <c r="A29" s="3">
        <v>28</v>
      </c>
      <c r="B29" s="15" t="s">
        <v>111</v>
      </c>
      <c r="C29" s="4" t="s">
        <v>21</v>
      </c>
      <c r="D29" s="11">
        <f>SUM(1274+1414+1428+1463+1495+1440+1495+1492+1463+1484)</f>
        <v>14448</v>
      </c>
      <c r="E29" s="11">
        <f>SUM(111+106+96+113+95+105+88+99+107+128)</f>
        <v>1048</v>
      </c>
      <c r="F29" s="12">
        <f>SUM(D29/E29)</f>
        <v>13.786259541984732</v>
      </c>
      <c r="G29" s="11">
        <v>10</v>
      </c>
      <c r="H29" s="11">
        <v>4</v>
      </c>
      <c r="I29" s="11"/>
      <c r="J29" s="11"/>
      <c r="K29" s="11"/>
      <c r="L29" s="11">
        <v>27</v>
      </c>
      <c r="M29" s="13"/>
    </row>
    <row r="30" spans="1:13" ht="18.75" x14ac:dyDescent="0.3">
      <c r="A30" s="3">
        <v>29</v>
      </c>
      <c r="B30" s="7" t="s">
        <v>35</v>
      </c>
      <c r="C30" s="4" t="s">
        <v>16</v>
      </c>
      <c r="D30" s="11">
        <f>SUM(1471+1503+1330+1362+1251)</f>
        <v>6917</v>
      </c>
      <c r="E30" s="11">
        <f>SUM(104+123+105+89+85)</f>
        <v>506</v>
      </c>
      <c r="F30" s="12">
        <f>SUM(D30/E30)</f>
        <v>13.669960474308301</v>
      </c>
      <c r="G30" s="11">
        <v>5</v>
      </c>
      <c r="H30" s="11">
        <v>3</v>
      </c>
      <c r="I30" s="11"/>
      <c r="J30" s="11"/>
      <c r="K30" s="11"/>
      <c r="L30" s="11">
        <v>16</v>
      </c>
      <c r="M30" s="13">
        <v>5</v>
      </c>
    </row>
    <row r="31" spans="1:13" ht="18.75" x14ac:dyDescent="0.3">
      <c r="A31" s="3">
        <v>30</v>
      </c>
      <c r="B31" s="7" t="s">
        <v>43</v>
      </c>
      <c r="C31" s="4" t="s">
        <v>12</v>
      </c>
      <c r="D31" s="11">
        <f>SUM(1479+1503+1483+1474+1349+1471+1503+1458+1493+1471+1500+1459+1442)</f>
        <v>19085</v>
      </c>
      <c r="E31" s="11">
        <f>SUM(130+97+96+123+86+87+114+116+153+83+107+90+118)</f>
        <v>1400</v>
      </c>
      <c r="F31" s="12">
        <f>SUM(D31/E31)</f>
        <v>13.632142857142858</v>
      </c>
      <c r="G31" s="11">
        <v>13</v>
      </c>
      <c r="H31" s="11">
        <v>10</v>
      </c>
      <c r="I31" s="11"/>
      <c r="J31" s="11"/>
      <c r="K31" s="11"/>
      <c r="L31" s="11">
        <v>50</v>
      </c>
      <c r="M31" s="13"/>
    </row>
    <row r="32" spans="1:13" ht="18.75" x14ac:dyDescent="0.3">
      <c r="A32" s="3">
        <v>31</v>
      </c>
      <c r="B32" s="7" t="s">
        <v>61</v>
      </c>
      <c r="C32" s="4" t="s">
        <v>47</v>
      </c>
      <c r="D32" s="11">
        <f>SUM(1322+1462+1409+1497+1486+1453+1329+1503+1503+1503+1432+1382+1483+1487)</f>
        <v>20251</v>
      </c>
      <c r="E32" s="11">
        <f>SUM(111+98+102+120+98+106+97+118+122+87+98+93+127+111)</f>
        <v>1488</v>
      </c>
      <c r="F32" s="12">
        <f>SUM(D32/E32)</f>
        <v>13.609543010752688</v>
      </c>
      <c r="G32" s="11">
        <v>14</v>
      </c>
      <c r="H32" s="11">
        <v>5</v>
      </c>
      <c r="I32" s="11"/>
      <c r="J32" s="11"/>
      <c r="K32" s="11"/>
      <c r="L32" s="11">
        <v>37.5</v>
      </c>
      <c r="M32" s="13">
        <v>5</v>
      </c>
    </row>
    <row r="33" spans="1:13" ht="18.75" x14ac:dyDescent="0.3">
      <c r="A33" s="3">
        <v>32</v>
      </c>
      <c r="B33" s="57" t="s">
        <v>20</v>
      </c>
      <c r="C33" s="4" t="s">
        <v>21</v>
      </c>
      <c r="D33" s="11">
        <f>SUM(1243+1262+1307+1213+1469+1468+1415+1376+1452+1320+1455+1501)</f>
        <v>16481</v>
      </c>
      <c r="E33" s="11">
        <f>SUM(94+86+87+120+106+109+104+99+117+83+106+119)</f>
        <v>1230</v>
      </c>
      <c r="F33" s="12">
        <f>SUM(D33/E33)</f>
        <v>13.399186991869918</v>
      </c>
      <c r="G33" s="11">
        <v>12</v>
      </c>
      <c r="H33" s="11">
        <v>4</v>
      </c>
      <c r="I33" s="11"/>
      <c r="J33" s="11"/>
      <c r="K33" s="11"/>
      <c r="L33" s="11">
        <v>31.5</v>
      </c>
      <c r="M33" s="13"/>
    </row>
    <row r="34" spans="1:13" ht="18.75" x14ac:dyDescent="0.3">
      <c r="A34" s="3">
        <v>33</v>
      </c>
      <c r="B34" s="9" t="s">
        <v>64</v>
      </c>
      <c r="C34" s="4" t="s">
        <v>95</v>
      </c>
      <c r="D34" s="11">
        <f>SUM(1503+1457+1466+1503+1408+1180+1418+1426+1495+1180+1503+1436+1288)</f>
        <v>18263</v>
      </c>
      <c r="E34" s="11">
        <f>SUM(123+117+121+103+121+81+107+105+89+95+95+101+123)</f>
        <v>1381</v>
      </c>
      <c r="F34" s="12">
        <f>SUM(D34/E34)</f>
        <v>13.224475018102824</v>
      </c>
      <c r="G34" s="11">
        <v>13</v>
      </c>
      <c r="H34" s="11">
        <v>6</v>
      </c>
      <c r="I34" s="11"/>
      <c r="J34" s="11"/>
      <c r="K34" s="11"/>
      <c r="L34" s="11">
        <v>35</v>
      </c>
      <c r="M34" s="13"/>
    </row>
    <row r="35" spans="1:13" ht="18.75" x14ac:dyDescent="0.3">
      <c r="A35" s="3">
        <v>34</v>
      </c>
      <c r="B35" s="7" t="s">
        <v>26</v>
      </c>
      <c r="C35" s="4" t="s">
        <v>19</v>
      </c>
      <c r="D35" s="11">
        <f>SUM(1480+1503+1495+1352+1496+1503+1501+1465+1501)</f>
        <v>13296</v>
      </c>
      <c r="E35" s="11">
        <f>SUM(128+118+124+108+107+120+119+94+94)</f>
        <v>1012</v>
      </c>
      <c r="F35" s="12">
        <f>SUM(D35/E35)</f>
        <v>13.138339920948617</v>
      </c>
      <c r="G35" s="11">
        <v>9</v>
      </c>
      <c r="H35" s="11">
        <v>6</v>
      </c>
      <c r="I35" s="11"/>
      <c r="J35" s="11"/>
      <c r="K35" s="11"/>
      <c r="L35" s="11">
        <v>36.5</v>
      </c>
      <c r="M35" s="13"/>
    </row>
    <row r="36" spans="1:13" ht="18.75" x14ac:dyDescent="0.3">
      <c r="A36" s="3">
        <v>35</v>
      </c>
      <c r="B36" s="55" t="s">
        <v>159</v>
      </c>
      <c r="C36" s="8" t="s">
        <v>14</v>
      </c>
      <c r="D36" s="11">
        <f>SUM(1480+1178+1148)</f>
        <v>3806</v>
      </c>
      <c r="E36" s="11">
        <f>SUM(111+108+75)</f>
        <v>294</v>
      </c>
      <c r="F36" s="12">
        <f>SUM(D36/E36)</f>
        <v>12.945578231292517</v>
      </c>
      <c r="G36" s="11">
        <v>3</v>
      </c>
      <c r="H36" s="11"/>
      <c r="I36" s="11"/>
      <c r="J36" s="11"/>
      <c r="K36" s="11"/>
      <c r="L36" s="11">
        <v>4.5</v>
      </c>
      <c r="M36" s="13"/>
    </row>
    <row r="37" spans="1:13" ht="18.75" x14ac:dyDescent="0.3">
      <c r="A37" s="3">
        <v>36</v>
      </c>
      <c r="B37" s="7" t="s">
        <v>30</v>
      </c>
      <c r="C37" s="7" t="s">
        <v>19</v>
      </c>
      <c r="D37" s="11">
        <f>SUM(1434+1354+1503+1495+1363+1374+1503+1443+1440+1499+1501)</f>
        <v>15909</v>
      </c>
      <c r="E37" s="11">
        <f>SUM(100+90+162+135+108+88+123+100+111+99+121)</f>
        <v>1237</v>
      </c>
      <c r="F37" s="12">
        <f>SUM(D37/E37)</f>
        <v>12.860953920776071</v>
      </c>
      <c r="G37" s="11">
        <v>11</v>
      </c>
      <c r="H37" s="11">
        <v>7</v>
      </c>
      <c r="I37" s="11"/>
      <c r="J37" s="11"/>
      <c r="K37" s="11"/>
      <c r="L37" s="11">
        <v>34</v>
      </c>
      <c r="M37" s="13"/>
    </row>
    <row r="38" spans="1:13" ht="18.75" x14ac:dyDescent="0.3">
      <c r="A38" s="3">
        <v>37</v>
      </c>
      <c r="B38" s="10" t="s">
        <v>29</v>
      </c>
      <c r="C38" s="7" t="s">
        <v>23</v>
      </c>
      <c r="D38" s="11">
        <f>SUM(1204+1459+1145+1498+1408+1456+1499+1480+1503+1465+1309+1503)</f>
        <v>16929</v>
      </c>
      <c r="E38" s="11">
        <f>SUM(99+135+102+104+101+97+143+130+104+93+96+131)</f>
        <v>1335</v>
      </c>
      <c r="F38" s="12">
        <f>SUM(D38/E38)</f>
        <v>12.680898876404495</v>
      </c>
      <c r="G38" s="11">
        <v>12</v>
      </c>
      <c r="H38" s="11">
        <v>6</v>
      </c>
      <c r="I38" s="11"/>
      <c r="J38" s="11"/>
      <c r="K38" s="11"/>
      <c r="L38" s="11">
        <v>35.5</v>
      </c>
      <c r="M38" s="13">
        <v>5</v>
      </c>
    </row>
    <row r="39" spans="1:13" ht="18.75" x14ac:dyDescent="0.3">
      <c r="A39" s="3">
        <v>38</v>
      </c>
      <c r="B39" s="16" t="s">
        <v>41</v>
      </c>
      <c r="C39" s="8" t="s">
        <v>28</v>
      </c>
      <c r="D39" s="11">
        <f>SUM(1487+1499+1483+1499+1503+1498+1463+1483+1483+1483+1237+1503+1503+1463)</f>
        <v>20587</v>
      </c>
      <c r="E39" s="11">
        <f>SUM(120+141+99+139+108+105+106+118+142+113+117+110+109+108)</f>
        <v>1635</v>
      </c>
      <c r="F39" s="12">
        <f>SUM(D39/E39)</f>
        <v>12.591437308868501</v>
      </c>
      <c r="G39" s="11">
        <v>14</v>
      </c>
      <c r="H39" s="11">
        <v>12</v>
      </c>
      <c r="I39" s="11"/>
      <c r="J39" s="11"/>
      <c r="K39" s="11"/>
      <c r="L39" s="11">
        <v>50</v>
      </c>
      <c r="M39" s="13">
        <v>5</v>
      </c>
    </row>
    <row r="40" spans="1:13" ht="18.75" x14ac:dyDescent="0.3">
      <c r="A40" s="3">
        <v>39</v>
      </c>
      <c r="B40" s="10" t="s">
        <v>158</v>
      </c>
      <c r="C40" s="4" t="s">
        <v>14</v>
      </c>
      <c r="D40" s="11">
        <f>SUM(1479+1405)</f>
        <v>2884</v>
      </c>
      <c r="E40" s="11">
        <f>SUM(125+106)</f>
        <v>231</v>
      </c>
      <c r="F40" s="12">
        <f>SUM(D40/E40)</f>
        <v>12.484848484848484</v>
      </c>
      <c r="G40" s="11">
        <v>2</v>
      </c>
      <c r="H40" s="11"/>
      <c r="I40" s="11"/>
      <c r="J40" s="11"/>
      <c r="K40" s="11"/>
      <c r="L40" s="11">
        <v>3.5</v>
      </c>
      <c r="M40" s="13"/>
    </row>
    <row r="41" spans="1:13" ht="18.75" x14ac:dyDescent="0.3">
      <c r="A41" s="3">
        <v>40</v>
      </c>
      <c r="B41" s="16" t="s">
        <v>40</v>
      </c>
      <c r="C41" s="7" t="s">
        <v>14</v>
      </c>
      <c r="D41" s="11">
        <f>SUM(1351+1493+1429+1206+1475+1484+1478+1387+1424+1353+1373+1480)</f>
        <v>16933</v>
      </c>
      <c r="E41" s="11">
        <f>SUM(100+138+96+96+129+115+149+96+99+103+118+121)</f>
        <v>1360</v>
      </c>
      <c r="F41" s="12">
        <f>SUM(D41/E41)</f>
        <v>12.450735294117647</v>
      </c>
      <c r="G41" s="11">
        <v>12</v>
      </c>
      <c r="H41" s="11">
        <v>3</v>
      </c>
      <c r="I41" s="11"/>
      <c r="J41" s="11"/>
      <c r="K41" s="11">
        <v>1</v>
      </c>
      <c r="L41" s="11">
        <v>31</v>
      </c>
      <c r="M41" s="13"/>
    </row>
    <row r="42" spans="1:13" ht="18.75" x14ac:dyDescent="0.3">
      <c r="A42" s="3">
        <v>41</v>
      </c>
      <c r="B42" s="16" t="s">
        <v>44</v>
      </c>
      <c r="C42" s="7" t="s">
        <v>95</v>
      </c>
      <c r="D42" s="11">
        <f>SUM(1375+1355+1020+1503+1483+1440+1375+1415+1415+1463+1210+1491+1483+1432)</f>
        <v>19460</v>
      </c>
      <c r="E42" s="11">
        <f>SUM(106+108+111+122+121+116+105+92+101+100+100+153+130+110)</f>
        <v>1575</v>
      </c>
      <c r="F42" s="12">
        <f>SUM(D42/E42)</f>
        <v>12.355555555555556</v>
      </c>
      <c r="G42" s="11">
        <v>14</v>
      </c>
      <c r="H42" s="11">
        <v>7</v>
      </c>
      <c r="I42" s="11"/>
      <c r="J42" s="11"/>
      <c r="K42" s="11"/>
      <c r="L42" s="11">
        <v>34.5</v>
      </c>
      <c r="M42" s="13"/>
    </row>
    <row r="43" spans="1:13" ht="18.75" x14ac:dyDescent="0.3">
      <c r="A43" s="3">
        <v>42</v>
      </c>
      <c r="B43" s="10" t="s">
        <v>52</v>
      </c>
      <c r="C43" s="7" t="s">
        <v>53</v>
      </c>
      <c r="D43" s="11">
        <f>SUM(1503+1413+1348+1220+1173+1417+1195+1350+1147+845+1226+1435+1232)</f>
        <v>16504</v>
      </c>
      <c r="E43" s="11">
        <f>SUM(111+108+106+105+81+114+93+114+87+75+129+117+99)</f>
        <v>1339</v>
      </c>
      <c r="F43" s="12">
        <f>SUM(D43/E43)</f>
        <v>12.325616131441373</v>
      </c>
      <c r="G43" s="11">
        <v>13</v>
      </c>
      <c r="H43" s="11">
        <v>1</v>
      </c>
      <c r="I43" s="11"/>
      <c r="J43" s="11"/>
      <c r="K43" s="11"/>
      <c r="L43" s="11">
        <v>10</v>
      </c>
      <c r="M43" s="13"/>
    </row>
    <row r="44" spans="1:13" ht="18.75" x14ac:dyDescent="0.3">
      <c r="A44" s="3">
        <v>43</v>
      </c>
      <c r="B44" s="10" t="s">
        <v>50</v>
      </c>
      <c r="C44" s="7" t="s">
        <v>42</v>
      </c>
      <c r="D44" s="11">
        <f>SUM(1503+1083+1503+1401+1481+1497+1501+1196+1485+1363+1499+1388+1446)</f>
        <v>18346</v>
      </c>
      <c r="E44" s="11">
        <f>SUM(137+81+126+109+117+135+149+91+99+92+117+130+106)</f>
        <v>1489</v>
      </c>
      <c r="F44" s="12">
        <f>SUM(D44/E44)</f>
        <v>12.32102081934184</v>
      </c>
      <c r="G44" s="11">
        <v>13</v>
      </c>
      <c r="H44" s="11">
        <v>6</v>
      </c>
      <c r="I44" s="11"/>
      <c r="J44" s="11">
        <v>1</v>
      </c>
      <c r="K44" s="11"/>
      <c r="L44" s="11">
        <v>37</v>
      </c>
      <c r="M44" s="13">
        <v>5</v>
      </c>
    </row>
    <row r="45" spans="1:13" ht="18.75" x14ac:dyDescent="0.3">
      <c r="A45" s="3">
        <v>44</v>
      </c>
      <c r="B45" s="16" t="s">
        <v>34</v>
      </c>
      <c r="C45" s="7" t="s">
        <v>32</v>
      </c>
      <c r="D45" s="11">
        <f>SUM(1204+1501+1396+1414+1498+1481+1501+1483+1481+1490+1503+1500+1450)</f>
        <v>18902</v>
      </c>
      <c r="E45" s="11">
        <f>SUM(88+140+97+90+105+117+158+129+130+138+108+121+122)</f>
        <v>1543</v>
      </c>
      <c r="F45" s="12">
        <f>SUM(D45/E45)</f>
        <v>12.250162022034997</v>
      </c>
      <c r="G45" s="11">
        <v>13</v>
      </c>
      <c r="H45" s="11">
        <v>8</v>
      </c>
      <c r="I45" s="11"/>
      <c r="J45" s="11"/>
      <c r="K45" s="11"/>
      <c r="L45" s="11">
        <v>50.5</v>
      </c>
      <c r="M45" s="13"/>
    </row>
    <row r="46" spans="1:13" ht="18.75" x14ac:dyDescent="0.3">
      <c r="A46" s="3">
        <v>45</v>
      </c>
      <c r="B46" s="10" t="s">
        <v>177</v>
      </c>
      <c r="C46" s="4" t="s">
        <v>14</v>
      </c>
      <c r="D46" s="11">
        <f>SUM(1359)</f>
        <v>1359</v>
      </c>
      <c r="E46" s="11">
        <f>SUM(111)</f>
        <v>111</v>
      </c>
      <c r="F46" s="12">
        <f>SUM(D46/E46)</f>
        <v>12.243243243243244</v>
      </c>
      <c r="G46" s="11">
        <v>1</v>
      </c>
      <c r="H46" s="11"/>
      <c r="I46" s="11"/>
      <c r="J46" s="11"/>
      <c r="K46" s="11"/>
      <c r="L46" s="11">
        <v>1</v>
      </c>
      <c r="M46" s="13"/>
    </row>
    <row r="47" spans="1:13" ht="18.75" x14ac:dyDescent="0.3">
      <c r="A47" s="3">
        <v>46</v>
      </c>
      <c r="B47" s="16" t="s">
        <v>145</v>
      </c>
      <c r="C47" s="7" t="s">
        <v>23</v>
      </c>
      <c r="D47" s="11">
        <f>SUM(1173)</f>
        <v>1173</v>
      </c>
      <c r="E47" s="11">
        <f>SUM(96)</f>
        <v>96</v>
      </c>
      <c r="F47" s="12">
        <f>SUM(D47/E47)</f>
        <v>12.21875</v>
      </c>
      <c r="G47" s="11">
        <v>1</v>
      </c>
      <c r="H47" s="11"/>
      <c r="I47" s="11"/>
      <c r="J47" s="11"/>
      <c r="K47" s="11"/>
      <c r="L47" s="11"/>
      <c r="M47" s="13"/>
    </row>
    <row r="48" spans="1:13" ht="18.75" x14ac:dyDescent="0.3">
      <c r="A48" s="3">
        <v>47</v>
      </c>
      <c r="B48" s="56" t="s">
        <v>144</v>
      </c>
      <c r="C48" s="4" t="s">
        <v>53</v>
      </c>
      <c r="D48" s="11">
        <f>SUM(1244)</f>
        <v>1244</v>
      </c>
      <c r="E48" s="11">
        <f>SUM(102)</f>
        <v>102</v>
      </c>
      <c r="F48" s="12">
        <f>SUM(D48/E48)</f>
        <v>12.196078431372548</v>
      </c>
      <c r="G48" s="11">
        <v>1</v>
      </c>
      <c r="H48" s="11"/>
      <c r="I48" s="11"/>
      <c r="J48" s="11"/>
      <c r="K48" s="11"/>
      <c r="L48" s="11"/>
      <c r="M48" s="13"/>
    </row>
    <row r="49" spans="1:13" ht="18.75" x14ac:dyDescent="0.3">
      <c r="A49" s="3">
        <v>48</v>
      </c>
      <c r="B49" s="15" t="s">
        <v>58</v>
      </c>
      <c r="C49" s="4" t="s">
        <v>53</v>
      </c>
      <c r="D49" s="11">
        <f>SUM(1098+1207+1409+1390+1416+1444+1373+1009+1044+1057+1324+1455+1498+1399)</f>
        <v>18123</v>
      </c>
      <c r="E49" s="11">
        <f>SUM(87+93+129+99+124+132+113+105+81+81+96+107+114+127)</f>
        <v>1488</v>
      </c>
      <c r="F49" s="12">
        <f>SUM(D49/E49)</f>
        <v>12.179435483870968</v>
      </c>
      <c r="G49" s="11">
        <v>14</v>
      </c>
      <c r="H49" s="11">
        <v>1</v>
      </c>
      <c r="I49" s="11"/>
      <c r="J49" s="11"/>
      <c r="K49" s="11"/>
      <c r="L49" s="11">
        <v>13.5</v>
      </c>
      <c r="M49" s="13"/>
    </row>
    <row r="50" spans="1:13" ht="18.75" x14ac:dyDescent="0.3">
      <c r="A50" s="3">
        <v>49</v>
      </c>
      <c r="B50" s="15" t="s">
        <v>38</v>
      </c>
      <c r="C50" s="17" t="s">
        <v>28</v>
      </c>
      <c r="D50" s="11">
        <f>SUM(1503+1456+1500+1493+1179+1395+1495+1458+1492+1503+1308+1425+1325)</f>
        <v>18532</v>
      </c>
      <c r="E50" s="11">
        <f>SUM(107+134+103+122+81+108+127+113+127+129+109+135+132)</f>
        <v>1527</v>
      </c>
      <c r="F50" s="12">
        <f>SUM(D50/E50)</f>
        <v>12.136214800261952</v>
      </c>
      <c r="G50" s="11">
        <v>13</v>
      </c>
      <c r="H50" s="11">
        <v>9</v>
      </c>
      <c r="I50" s="11"/>
      <c r="J50" s="11"/>
      <c r="K50" s="11"/>
      <c r="L50" s="11">
        <v>42</v>
      </c>
      <c r="M50" s="13">
        <v>5</v>
      </c>
    </row>
    <row r="51" spans="1:13" ht="18.75" x14ac:dyDescent="0.3">
      <c r="A51" s="3">
        <v>50</v>
      </c>
      <c r="B51" s="15" t="s">
        <v>63</v>
      </c>
      <c r="C51" s="4" t="s">
        <v>21</v>
      </c>
      <c r="D51" s="11">
        <f>SUM(1452+1495+1498+1503+1492+1410+1342+1280+1503)</f>
        <v>12975</v>
      </c>
      <c r="E51" s="11">
        <f>SUM(135+120+143+139+128+98+90+99+155)</f>
        <v>1107</v>
      </c>
      <c r="F51" s="12">
        <f>SUM(D51/E51)</f>
        <v>11.720867208672086</v>
      </c>
      <c r="G51" s="11">
        <v>9</v>
      </c>
      <c r="H51" s="11">
        <v>5</v>
      </c>
      <c r="I51" s="11"/>
      <c r="J51" s="11"/>
      <c r="K51" s="11"/>
      <c r="L51" s="11">
        <v>31</v>
      </c>
      <c r="M51" s="13"/>
    </row>
    <row r="52" spans="1:13" ht="18.75" x14ac:dyDescent="0.3">
      <c r="A52" s="3">
        <v>51</v>
      </c>
      <c r="B52" s="4" t="s">
        <v>143</v>
      </c>
      <c r="C52" s="4" t="s">
        <v>53</v>
      </c>
      <c r="D52" s="11">
        <f>SUM(1312)</f>
        <v>1312</v>
      </c>
      <c r="E52" s="11">
        <f>SUM(113)</f>
        <v>113</v>
      </c>
      <c r="F52" s="12">
        <f>SUM(D52/E52)</f>
        <v>11.610619469026549</v>
      </c>
      <c r="G52" s="11">
        <v>1</v>
      </c>
      <c r="H52" s="11"/>
      <c r="I52" s="11"/>
      <c r="J52" s="11"/>
      <c r="K52" s="11"/>
      <c r="L52" s="11">
        <v>1</v>
      </c>
      <c r="M52" s="13"/>
    </row>
    <row r="53" spans="1:13" ht="18.75" x14ac:dyDescent="0.3">
      <c r="A53" s="3">
        <v>52</v>
      </c>
      <c r="B53" s="15" t="s">
        <v>109</v>
      </c>
      <c r="C53" s="4" t="s">
        <v>53</v>
      </c>
      <c r="D53" s="11">
        <f>SUM(496+1498+1461+1497+1433+1359+1474+1409+1281)</f>
        <v>11908</v>
      </c>
      <c r="E53" s="11">
        <f>SUM(45+156+130+134+114+102+147+112+98)</f>
        <v>1038</v>
      </c>
      <c r="F53" s="12">
        <f>SUM(D53/E53)</f>
        <v>11.472061657032755</v>
      </c>
      <c r="G53" s="11">
        <v>9</v>
      </c>
      <c r="H53" s="11">
        <v>2</v>
      </c>
      <c r="I53" s="11"/>
      <c r="J53" s="11"/>
      <c r="K53" s="11"/>
      <c r="L53" s="11">
        <v>16</v>
      </c>
      <c r="M53" s="13"/>
    </row>
    <row r="54" spans="1:13" ht="18.75" x14ac:dyDescent="0.3">
      <c r="A54" s="3">
        <v>53</v>
      </c>
      <c r="B54" s="4" t="s">
        <v>125</v>
      </c>
      <c r="C54" s="4" t="s">
        <v>53</v>
      </c>
      <c r="D54" s="11">
        <f>SUM(1341)</f>
        <v>1341</v>
      </c>
      <c r="E54" s="11">
        <f>SUM(117)</f>
        <v>117</v>
      </c>
      <c r="F54" s="12">
        <f>SUM(D54/E54)</f>
        <v>11.461538461538462</v>
      </c>
      <c r="G54" s="11">
        <v>1</v>
      </c>
      <c r="H54" s="11"/>
      <c r="I54" s="11"/>
      <c r="J54" s="11"/>
      <c r="K54" s="11"/>
      <c r="L54" s="11"/>
      <c r="M54" s="13"/>
    </row>
    <row r="55" spans="1:13" ht="18.75" x14ac:dyDescent="0.3">
      <c r="A55" s="3">
        <v>54</v>
      </c>
      <c r="B55" s="15" t="s">
        <v>60</v>
      </c>
      <c r="C55" s="17" t="s">
        <v>47</v>
      </c>
      <c r="D55" s="11">
        <f>SUM(1477+1291+1469+1471+1480+1218+1331+1359+1415+1473+1464+1498+1489+1409)</f>
        <v>19844</v>
      </c>
      <c r="E55" s="11">
        <f>SUM(126+87+136+98+131+94+111+114+114+146+162+154+134+130)</f>
        <v>1737</v>
      </c>
      <c r="F55" s="12">
        <f>SUM(D55/E55)</f>
        <v>11.424294761082326</v>
      </c>
      <c r="G55" s="11">
        <v>14</v>
      </c>
      <c r="H55" s="11">
        <v>3</v>
      </c>
      <c r="I55" s="11"/>
      <c r="J55" s="11"/>
      <c r="K55" s="11"/>
      <c r="L55" s="11">
        <v>32</v>
      </c>
      <c r="M55" s="13"/>
    </row>
    <row r="56" spans="1:13" ht="18.75" x14ac:dyDescent="0.3">
      <c r="A56" s="3">
        <v>55</v>
      </c>
      <c r="B56" s="15" t="s">
        <v>59</v>
      </c>
      <c r="C56" s="17" t="s">
        <v>53</v>
      </c>
      <c r="D56" s="11">
        <f>SUM(1368+1501+1274)</f>
        <v>4143</v>
      </c>
      <c r="E56" s="11">
        <f>SUM(122+148+96)</f>
        <v>366</v>
      </c>
      <c r="F56" s="12">
        <f>SUM(D56/E56)</f>
        <v>11.319672131147541</v>
      </c>
      <c r="G56" s="11">
        <v>3</v>
      </c>
      <c r="H56" s="11">
        <v>2</v>
      </c>
      <c r="I56" s="11"/>
      <c r="J56" s="11"/>
      <c r="K56" s="11"/>
      <c r="L56" s="11">
        <v>6.5</v>
      </c>
      <c r="M56" s="13"/>
    </row>
    <row r="57" spans="1:13" ht="18.75" x14ac:dyDescent="0.3">
      <c r="A57" s="3">
        <v>56</v>
      </c>
      <c r="B57" s="15" t="s">
        <v>102</v>
      </c>
      <c r="C57" s="4" t="s">
        <v>21</v>
      </c>
      <c r="D57" s="11">
        <f>SUM(1467)</f>
        <v>1467</v>
      </c>
      <c r="E57" s="11">
        <f>SUM(130)</f>
        <v>130</v>
      </c>
      <c r="F57" s="12">
        <f>SUM(D57/E57)</f>
        <v>11.284615384615385</v>
      </c>
      <c r="G57" s="11">
        <v>1</v>
      </c>
      <c r="H57" s="11">
        <v>1</v>
      </c>
      <c r="I57" s="11"/>
      <c r="J57" s="11"/>
      <c r="K57" s="11"/>
      <c r="L57" s="11">
        <v>4</v>
      </c>
      <c r="M57" s="13"/>
    </row>
    <row r="58" spans="1:13" ht="18.75" x14ac:dyDescent="0.3">
      <c r="A58" s="3">
        <v>57</v>
      </c>
      <c r="B58" s="15" t="s">
        <v>94</v>
      </c>
      <c r="C58" s="7" t="s">
        <v>42</v>
      </c>
      <c r="D58" s="11">
        <f>SUM(1484+1490+1474+1452+1499+1435+1499+1463+1469+1503+1254+1403+1483)</f>
        <v>18908</v>
      </c>
      <c r="E58" s="11">
        <f>SUM(126+139+150+165+106+132+146+114+150+135+108+108+119)</f>
        <v>1698</v>
      </c>
      <c r="F58" s="12">
        <f>SUM(D58/E58)</f>
        <v>11.135453474676089</v>
      </c>
      <c r="G58" s="11">
        <v>13</v>
      </c>
      <c r="H58" s="11">
        <v>5</v>
      </c>
      <c r="I58" s="11"/>
      <c r="J58" s="11"/>
      <c r="K58" s="11"/>
      <c r="L58" s="11">
        <v>37.5</v>
      </c>
      <c r="M58" s="13"/>
    </row>
    <row r="59" spans="1:13" ht="18.75" x14ac:dyDescent="0.3">
      <c r="A59" s="3">
        <v>58</v>
      </c>
      <c r="B59" s="4" t="s">
        <v>56</v>
      </c>
      <c r="C59" s="4" t="s">
        <v>95</v>
      </c>
      <c r="D59" s="11">
        <f>SUM(1248+1064+1400+1411+1387+1347+1413+1320+1224+1440+1322+1455)</f>
        <v>16031</v>
      </c>
      <c r="E59" s="11">
        <f>SUM(105+84+133+141+150+112+108+117+113+153+105+124)</f>
        <v>1445</v>
      </c>
      <c r="F59" s="12">
        <f>SUM(D59/E59)</f>
        <v>11.094117647058823</v>
      </c>
      <c r="G59" s="11">
        <v>12</v>
      </c>
      <c r="H59" s="11"/>
      <c r="I59" s="11"/>
      <c r="J59" s="11"/>
      <c r="K59" s="11"/>
      <c r="L59" s="11">
        <v>15.5</v>
      </c>
      <c r="M59" s="13"/>
    </row>
    <row r="60" spans="1:13" ht="18.75" x14ac:dyDescent="0.3">
      <c r="A60" s="3">
        <v>59</v>
      </c>
      <c r="B60" s="4" t="s">
        <v>51</v>
      </c>
      <c r="C60" s="58" t="s">
        <v>14</v>
      </c>
      <c r="D60" s="11">
        <f>SUM(1394+1122+1067+1482+1376+1498+1402+1456)</f>
        <v>10797</v>
      </c>
      <c r="E60" s="11">
        <f>SUM(93+86+81+162+144+145+150+125)</f>
        <v>986</v>
      </c>
      <c r="F60" s="12">
        <f>SUM(D60/E60)</f>
        <v>10.950304259634889</v>
      </c>
      <c r="G60" s="11">
        <v>8</v>
      </c>
      <c r="H60" s="11">
        <v>1</v>
      </c>
      <c r="I60" s="11"/>
      <c r="J60" s="11"/>
      <c r="K60" s="11"/>
      <c r="L60" s="11">
        <v>15.5</v>
      </c>
      <c r="M60" s="13"/>
    </row>
    <row r="61" spans="1:13" ht="18.75" x14ac:dyDescent="0.3">
      <c r="A61" s="3">
        <v>60</v>
      </c>
      <c r="B61" s="15" t="s">
        <v>112</v>
      </c>
      <c r="C61" s="4" t="s">
        <v>95</v>
      </c>
      <c r="D61" s="11">
        <f>SUM(1150+1237+1485+1478+1185)</f>
        <v>6535</v>
      </c>
      <c r="E61" s="11">
        <f>SUM(90+108+153+148+99)</f>
        <v>598</v>
      </c>
      <c r="F61" s="12">
        <f>SUM(D61/E61)</f>
        <v>10.92809364548495</v>
      </c>
      <c r="G61" s="11">
        <v>5</v>
      </c>
      <c r="H61" s="11">
        <v>1</v>
      </c>
      <c r="I61" s="11"/>
      <c r="J61" s="11"/>
      <c r="K61" s="11"/>
      <c r="L61" s="11">
        <v>8.5</v>
      </c>
      <c r="M61" s="13"/>
    </row>
    <row r="62" spans="1:13" ht="18.75" x14ac:dyDescent="0.3">
      <c r="A62" s="3">
        <v>61</v>
      </c>
      <c r="B62" s="4" t="s">
        <v>166</v>
      </c>
      <c r="C62" s="7" t="s">
        <v>42</v>
      </c>
      <c r="D62" s="11">
        <f>SUM(1309)</f>
        <v>1309</v>
      </c>
      <c r="E62" s="11">
        <f>SUM(120)</f>
        <v>120</v>
      </c>
      <c r="F62" s="12">
        <f>SUM(D62/E62)</f>
        <v>10.908333333333333</v>
      </c>
      <c r="G62" s="11">
        <v>1</v>
      </c>
      <c r="H62" s="11"/>
      <c r="I62" s="11"/>
      <c r="J62" s="11"/>
      <c r="K62" s="11"/>
      <c r="L62" s="11">
        <v>0.5</v>
      </c>
      <c r="M62" s="13"/>
    </row>
    <row r="63" spans="1:13" ht="18.75" x14ac:dyDescent="0.3">
      <c r="A63" s="3">
        <v>62</v>
      </c>
      <c r="B63" s="15" t="s">
        <v>55</v>
      </c>
      <c r="C63" s="7" t="s">
        <v>53</v>
      </c>
      <c r="D63" s="11">
        <f>SUM(1363+1275+1471+1473+1503+1072+1459+1448+1449+1458+1439)</f>
        <v>15410</v>
      </c>
      <c r="E63" s="11">
        <f>SUM(123+117+156+148+117+87+131+174+110+153+113)</f>
        <v>1429</v>
      </c>
      <c r="F63" s="12">
        <f>SUM(D63/E63)</f>
        <v>10.783764870538839</v>
      </c>
      <c r="G63" s="11">
        <v>11</v>
      </c>
      <c r="H63" s="11">
        <v>4</v>
      </c>
      <c r="I63" s="11"/>
      <c r="J63" s="11"/>
      <c r="K63" s="11"/>
      <c r="L63" s="11">
        <v>21.5</v>
      </c>
      <c r="M63" s="13"/>
    </row>
    <row r="64" spans="1:13" ht="18.75" x14ac:dyDescent="0.3">
      <c r="A64" s="3">
        <v>63</v>
      </c>
      <c r="B64" s="4" t="s">
        <v>124</v>
      </c>
      <c r="C64" s="7" t="s">
        <v>28</v>
      </c>
      <c r="D64" s="11">
        <f>SUM(1416)</f>
        <v>1416</v>
      </c>
      <c r="E64" s="11">
        <f>SUM(132)</f>
        <v>132</v>
      </c>
      <c r="F64" s="12">
        <f>SUM(D64/E64)</f>
        <v>10.727272727272727</v>
      </c>
      <c r="G64" s="11">
        <v>1</v>
      </c>
      <c r="H64" s="11"/>
      <c r="I64" s="11"/>
      <c r="J64" s="11"/>
      <c r="K64" s="11"/>
      <c r="L64" s="11">
        <v>1</v>
      </c>
      <c r="M64" s="13"/>
    </row>
    <row r="65" spans="1:18" ht="18.75" x14ac:dyDescent="0.3">
      <c r="A65" s="3">
        <v>64</v>
      </c>
      <c r="B65" s="4" t="s">
        <v>54</v>
      </c>
      <c r="C65" s="4" t="s">
        <v>47</v>
      </c>
      <c r="D65" s="11">
        <f>SUM(1478+1353+1503+1472+1448+1079+1478+1286+1374+1483)</f>
        <v>13954</v>
      </c>
      <c r="E65" s="11">
        <f>SUM(126+139+133+123+135+93+143+117+144+150)</f>
        <v>1303</v>
      </c>
      <c r="F65" s="12">
        <f>SUM(D65/E65)</f>
        <v>10.709132770529548</v>
      </c>
      <c r="G65" s="11">
        <v>10</v>
      </c>
      <c r="H65" s="11">
        <v>4</v>
      </c>
      <c r="I65" s="11"/>
      <c r="J65" s="11"/>
      <c r="K65" s="11"/>
      <c r="L65" s="11">
        <v>28.5</v>
      </c>
      <c r="M65" s="13"/>
    </row>
    <row r="66" spans="1:18" ht="18.75" x14ac:dyDescent="0.3">
      <c r="A66" s="3">
        <v>65</v>
      </c>
      <c r="B66" s="4" t="s">
        <v>165</v>
      </c>
      <c r="C66" s="7" t="s">
        <v>14</v>
      </c>
      <c r="D66" s="11">
        <f>SUM(1486)</f>
        <v>1486</v>
      </c>
      <c r="E66" s="11">
        <f>SUM(139)</f>
        <v>139</v>
      </c>
      <c r="F66" s="12">
        <f>SUM(D66/E66)</f>
        <v>10.690647482014388</v>
      </c>
      <c r="G66" s="11">
        <v>1</v>
      </c>
      <c r="H66" s="11">
        <v>1</v>
      </c>
      <c r="I66" s="11"/>
      <c r="J66" s="11"/>
      <c r="K66" s="11"/>
      <c r="L66" s="11">
        <v>3.5</v>
      </c>
      <c r="M66" s="13"/>
    </row>
    <row r="67" spans="1:18" ht="18.75" x14ac:dyDescent="0.3">
      <c r="A67" s="3">
        <v>66</v>
      </c>
      <c r="B67" s="15" t="s">
        <v>110</v>
      </c>
      <c r="C67" s="7" t="s">
        <v>21</v>
      </c>
      <c r="D67" s="11">
        <f>SUM(1250+1503+1491+1315+1503+1431+1459)</f>
        <v>9952</v>
      </c>
      <c r="E67" s="11">
        <f>SUM(109+145+155+119+159+106+143)</f>
        <v>936</v>
      </c>
      <c r="F67" s="12">
        <f>SUM(D67/E67)</f>
        <v>10.632478632478632</v>
      </c>
      <c r="G67" s="11">
        <v>7</v>
      </c>
      <c r="H67" s="11">
        <v>4</v>
      </c>
      <c r="I67" s="11"/>
      <c r="J67" s="11"/>
      <c r="K67" s="11"/>
      <c r="L67" s="11">
        <v>22.5</v>
      </c>
      <c r="M67" s="13"/>
    </row>
    <row r="68" spans="1:18" ht="18.75" x14ac:dyDescent="0.3">
      <c r="A68" s="3">
        <v>67</v>
      </c>
      <c r="B68" s="4" t="s">
        <v>118</v>
      </c>
      <c r="C68" s="7" t="s">
        <v>42</v>
      </c>
      <c r="D68" s="11">
        <f>SUM(1477+1499+1258+1395)</f>
        <v>5629</v>
      </c>
      <c r="E68" s="11">
        <f>SUM(152+138+111+132)</f>
        <v>533</v>
      </c>
      <c r="F68" s="12">
        <f>SUM(D68/E68)</f>
        <v>10.560975609756097</v>
      </c>
      <c r="G68" s="11">
        <v>4</v>
      </c>
      <c r="H68" s="11">
        <v>3</v>
      </c>
      <c r="I68" s="11"/>
      <c r="J68" s="11"/>
      <c r="K68" s="11"/>
      <c r="L68" s="11">
        <v>10</v>
      </c>
      <c r="M68" s="13"/>
    </row>
    <row r="69" spans="1:18" ht="18.75" x14ac:dyDescent="0.3">
      <c r="A69" s="3">
        <v>68</v>
      </c>
      <c r="B69" s="15" t="s">
        <v>182</v>
      </c>
      <c r="C69" s="7" t="s">
        <v>42</v>
      </c>
      <c r="D69" s="11">
        <v>1473</v>
      </c>
      <c r="E69" s="11">
        <v>142</v>
      </c>
      <c r="F69" s="12">
        <f>SUM(D69/E69)</f>
        <v>10.373239436619718</v>
      </c>
      <c r="G69" s="11">
        <v>1</v>
      </c>
      <c r="H69" s="11">
        <v>1</v>
      </c>
      <c r="I69" s="11"/>
      <c r="J69" s="11"/>
      <c r="K69" s="11"/>
      <c r="L69" s="11">
        <v>2.5</v>
      </c>
      <c r="M69" s="13"/>
    </row>
    <row r="70" spans="1:18" ht="18.75" x14ac:dyDescent="0.3">
      <c r="A70" s="3">
        <v>69</v>
      </c>
      <c r="B70" s="15" t="s">
        <v>176</v>
      </c>
      <c r="C70" s="7" t="s">
        <v>23</v>
      </c>
      <c r="D70" s="11">
        <f>SUM(1278)</f>
        <v>1278</v>
      </c>
      <c r="E70" s="11">
        <f>SUM(126)</f>
        <v>126</v>
      </c>
      <c r="F70" s="12">
        <f>SUM(D70/E70)</f>
        <v>10.142857142857142</v>
      </c>
      <c r="G70" s="11">
        <v>1</v>
      </c>
      <c r="H70" s="11"/>
      <c r="I70" s="11"/>
      <c r="J70" s="11"/>
      <c r="K70" s="11"/>
      <c r="L70" s="11">
        <v>1.5</v>
      </c>
      <c r="M70" s="13"/>
    </row>
    <row r="71" spans="1:18" ht="18.75" x14ac:dyDescent="0.3">
      <c r="A71" s="3">
        <v>70</v>
      </c>
      <c r="B71" s="15" t="s">
        <v>130</v>
      </c>
      <c r="C71" s="7" t="s">
        <v>14</v>
      </c>
      <c r="D71" s="11">
        <f>SUM(1489+1487+1493)</f>
        <v>4469</v>
      </c>
      <c r="E71" s="11">
        <f>SUM(134+150+161)</f>
        <v>445</v>
      </c>
      <c r="F71" s="12">
        <f>SUM(D71/E71)</f>
        <v>10.042696629213482</v>
      </c>
      <c r="G71" s="11">
        <v>3</v>
      </c>
      <c r="H71" s="11">
        <v>3</v>
      </c>
      <c r="I71" s="11"/>
      <c r="J71" s="11"/>
      <c r="K71" s="11"/>
      <c r="L71" s="11">
        <v>11</v>
      </c>
      <c r="M71" s="13"/>
    </row>
    <row r="72" spans="1:18" ht="18.75" x14ac:dyDescent="0.3">
      <c r="A72" s="3">
        <v>71</v>
      </c>
      <c r="B72" s="15" t="s">
        <v>171</v>
      </c>
      <c r="C72" s="7" t="s">
        <v>53</v>
      </c>
      <c r="D72" s="11">
        <f>SUM(1129+1378)</f>
        <v>2507</v>
      </c>
      <c r="E72" s="11">
        <f>SUM(108+144)</f>
        <v>252</v>
      </c>
      <c r="F72" s="12">
        <f>SUM(D72/E72)</f>
        <v>9.9484126984126977</v>
      </c>
      <c r="G72" s="11">
        <v>2</v>
      </c>
      <c r="H72" s="11"/>
      <c r="I72" s="11"/>
      <c r="J72" s="11"/>
      <c r="K72" s="11"/>
      <c r="L72" s="11">
        <v>0.5</v>
      </c>
      <c r="M72" s="13"/>
    </row>
    <row r="73" spans="1:18" ht="18.75" x14ac:dyDescent="0.3">
      <c r="A73" s="3">
        <v>72</v>
      </c>
      <c r="B73" s="15" t="s">
        <v>97</v>
      </c>
      <c r="C73" s="4" t="s">
        <v>47</v>
      </c>
      <c r="D73" s="11">
        <f>SUM(1376+1488+1323+1450)</f>
        <v>5637</v>
      </c>
      <c r="E73" s="11">
        <f>SUM(138+171+121+144)</f>
        <v>574</v>
      </c>
      <c r="F73" s="12">
        <f>SUM(D73/E73)</f>
        <v>9.8205574912891986</v>
      </c>
      <c r="G73" s="11">
        <v>4</v>
      </c>
      <c r="H73" s="11"/>
      <c r="I73" s="11"/>
      <c r="J73" s="11"/>
      <c r="K73" s="11"/>
      <c r="L73" s="11">
        <v>7.5</v>
      </c>
      <c r="M73" s="13"/>
    </row>
    <row r="74" spans="1:18" ht="18.75" x14ac:dyDescent="0.3">
      <c r="A74" s="3">
        <v>73</v>
      </c>
      <c r="B74" s="4" t="s">
        <v>142</v>
      </c>
      <c r="C74" s="4" t="s">
        <v>53</v>
      </c>
      <c r="D74" s="11">
        <f>SUM(1376)</f>
        <v>1376</v>
      </c>
      <c r="E74" s="11">
        <f>SUM(157)</f>
        <v>157</v>
      </c>
      <c r="F74" s="12">
        <f>SUM(D74/E74)</f>
        <v>8.7643312101910826</v>
      </c>
      <c r="G74" s="11">
        <v>1</v>
      </c>
      <c r="H74" s="11"/>
      <c r="I74" s="11"/>
      <c r="J74" s="11"/>
      <c r="K74" s="11"/>
      <c r="L74" s="11"/>
      <c r="M74" s="13"/>
    </row>
    <row r="75" spans="1:18" ht="18.75" x14ac:dyDescent="0.3">
      <c r="A75" s="3">
        <v>74</v>
      </c>
      <c r="B75" s="21" t="s">
        <v>164</v>
      </c>
      <c r="C75" s="14" t="s">
        <v>23</v>
      </c>
      <c r="D75" s="11">
        <f>SUM(1284)</f>
        <v>1284</v>
      </c>
      <c r="E75" s="11">
        <f>SUM(153)</f>
        <v>153</v>
      </c>
      <c r="F75" s="12">
        <f>SUM(D75/E75)</f>
        <v>8.3921568627450984</v>
      </c>
      <c r="G75" s="11">
        <v>1</v>
      </c>
      <c r="H75" s="11"/>
      <c r="I75" s="11"/>
      <c r="J75" s="11"/>
      <c r="K75" s="11"/>
      <c r="L75" s="11">
        <v>1</v>
      </c>
      <c r="M75" s="13"/>
    </row>
    <row r="76" spans="1:18" ht="17.25" customHeight="1" thickBot="1" x14ac:dyDescent="0.3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8" ht="19.5" customHeight="1" thickBot="1" x14ac:dyDescent="0.35">
      <c r="A77" s="5"/>
      <c r="B77" s="39" t="s">
        <v>181</v>
      </c>
      <c r="C77" s="27" t="s">
        <v>65</v>
      </c>
      <c r="D77" s="28" t="s">
        <v>66</v>
      </c>
      <c r="E77" s="29" t="s">
        <v>67</v>
      </c>
      <c r="F77" s="20" t="s">
        <v>91</v>
      </c>
      <c r="G77" s="30" t="s">
        <v>68</v>
      </c>
      <c r="I77" s="50" t="s">
        <v>69</v>
      </c>
      <c r="J77" s="51"/>
      <c r="K77" s="51"/>
      <c r="L77" s="51"/>
      <c r="M77" s="51"/>
      <c r="N77" s="51"/>
      <c r="O77" s="51"/>
      <c r="P77" s="51"/>
      <c r="Q77" s="51"/>
      <c r="R77" s="52"/>
    </row>
    <row r="78" spans="1:18" ht="18.75" x14ac:dyDescent="0.3">
      <c r="A78" s="5"/>
      <c r="B78" s="40"/>
      <c r="C78" s="17" t="s">
        <v>82</v>
      </c>
      <c r="D78" s="7">
        <v>14</v>
      </c>
      <c r="E78" s="22">
        <v>0</v>
      </c>
      <c r="F78" s="15"/>
      <c r="G78" s="23">
        <v>237</v>
      </c>
      <c r="I78" s="42" t="s">
        <v>70</v>
      </c>
      <c r="J78" s="43"/>
      <c r="K78" s="43"/>
      <c r="L78" s="43"/>
      <c r="M78" s="43"/>
      <c r="N78" s="53" t="s">
        <v>122</v>
      </c>
      <c r="O78" s="53"/>
      <c r="P78" s="53"/>
      <c r="Q78" s="53"/>
      <c r="R78" s="54"/>
    </row>
    <row r="79" spans="1:18" ht="18.75" x14ac:dyDescent="0.3">
      <c r="A79" s="5"/>
      <c r="B79" s="40"/>
      <c r="C79" s="17" t="s">
        <v>77</v>
      </c>
      <c r="D79" s="7">
        <v>11</v>
      </c>
      <c r="E79" s="22">
        <v>3</v>
      </c>
      <c r="F79" s="15"/>
      <c r="G79" s="23">
        <v>207</v>
      </c>
      <c r="I79" s="44" t="s">
        <v>72</v>
      </c>
      <c r="J79" s="45"/>
      <c r="K79" s="45"/>
      <c r="L79" s="45"/>
      <c r="M79" s="45"/>
      <c r="N79" s="48" t="s">
        <v>180</v>
      </c>
      <c r="O79" s="48"/>
      <c r="P79" s="48"/>
      <c r="Q79" s="48"/>
      <c r="R79" s="49"/>
    </row>
    <row r="80" spans="1:18" ht="18.75" x14ac:dyDescent="0.3">
      <c r="A80" s="5"/>
      <c r="B80" s="40"/>
      <c r="C80" s="17" t="s">
        <v>85</v>
      </c>
      <c r="D80" s="7">
        <v>10</v>
      </c>
      <c r="E80" s="22">
        <v>4</v>
      </c>
      <c r="F80" s="15"/>
      <c r="G80" s="23">
        <v>202</v>
      </c>
      <c r="I80" s="44" t="s">
        <v>74</v>
      </c>
      <c r="J80" s="45"/>
      <c r="K80" s="45"/>
      <c r="L80" s="45"/>
      <c r="M80" s="45"/>
      <c r="N80" s="48" t="s">
        <v>179</v>
      </c>
      <c r="O80" s="48"/>
      <c r="P80" s="48"/>
      <c r="Q80" s="48"/>
      <c r="R80" s="49"/>
    </row>
    <row r="81" spans="1:18" ht="18.75" x14ac:dyDescent="0.3">
      <c r="A81" s="6"/>
      <c r="B81" s="40"/>
      <c r="C81" s="18" t="s">
        <v>83</v>
      </c>
      <c r="D81" s="9">
        <v>10</v>
      </c>
      <c r="E81" s="10">
        <v>4</v>
      </c>
      <c r="F81" s="15"/>
      <c r="G81" s="18">
        <v>195</v>
      </c>
      <c r="I81" s="44" t="s">
        <v>76</v>
      </c>
      <c r="J81" s="45"/>
      <c r="K81" s="45"/>
      <c r="L81" s="45"/>
      <c r="M81" s="45"/>
      <c r="N81" s="48" t="s">
        <v>178</v>
      </c>
      <c r="O81" s="48"/>
      <c r="P81" s="48"/>
      <c r="Q81" s="48"/>
      <c r="R81" s="49"/>
    </row>
    <row r="82" spans="1:18" ht="18" customHeight="1" x14ac:dyDescent="0.3">
      <c r="A82" s="6"/>
      <c r="B82" s="40"/>
      <c r="C82" s="17" t="s">
        <v>71</v>
      </c>
      <c r="D82" s="7">
        <v>9</v>
      </c>
      <c r="E82" s="16">
        <v>5</v>
      </c>
      <c r="F82" s="15"/>
      <c r="G82" s="17">
        <v>203</v>
      </c>
      <c r="I82" s="44" t="s">
        <v>78</v>
      </c>
      <c r="J82" s="45"/>
      <c r="K82" s="45"/>
      <c r="L82" s="45"/>
      <c r="M82" s="45"/>
      <c r="N82" s="48" t="s">
        <v>167</v>
      </c>
      <c r="O82" s="48"/>
      <c r="P82" s="48"/>
      <c r="Q82" s="48"/>
      <c r="R82" s="49"/>
    </row>
    <row r="83" spans="1:18" ht="18" customHeight="1" thickBot="1" x14ac:dyDescent="0.35">
      <c r="A83" s="6"/>
      <c r="B83" s="40"/>
      <c r="C83" s="17" t="s">
        <v>81</v>
      </c>
      <c r="D83" s="7">
        <v>6</v>
      </c>
      <c r="E83" s="16">
        <v>8</v>
      </c>
      <c r="F83" s="15"/>
      <c r="G83" s="17">
        <v>170</v>
      </c>
      <c r="I83" s="46" t="s">
        <v>80</v>
      </c>
      <c r="J83" s="47"/>
      <c r="K83" s="47"/>
      <c r="L83" s="47"/>
      <c r="M83" s="47"/>
      <c r="N83" s="48" t="s">
        <v>119</v>
      </c>
      <c r="O83" s="48"/>
      <c r="P83" s="48"/>
      <c r="Q83" s="48"/>
      <c r="R83" s="49"/>
    </row>
    <row r="84" spans="1:18" ht="18.75" x14ac:dyDescent="0.3">
      <c r="A84" s="6"/>
      <c r="B84" s="40"/>
      <c r="C84" s="18" t="s">
        <v>79</v>
      </c>
      <c r="D84" s="9">
        <v>6</v>
      </c>
      <c r="E84" s="10">
        <v>8</v>
      </c>
      <c r="F84" s="15"/>
      <c r="G84" s="18">
        <v>166</v>
      </c>
      <c r="H84" s="6"/>
      <c r="I84" s="6"/>
    </row>
    <row r="85" spans="1:18" ht="18.75" x14ac:dyDescent="0.3">
      <c r="A85" s="6"/>
      <c r="B85" s="40"/>
      <c r="C85" s="17" t="s">
        <v>73</v>
      </c>
      <c r="D85" s="7">
        <v>6</v>
      </c>
      <c r="E85" s="22">
        <v>8</v>
      </c>
      <c r="F85" s="15"/>
      <c r="G85" s="23">
        <v>150</v>
      </c>
      <c r="H85" s="6"/>
    </row>
    <row r="86" spans="1:18" ht="18.75" x14ac:dyDescent="0.3">
      <c r="B86" s="40"/>
      <c r="C86" s="18" t="s">
        <v>86</v>
      </c>
      <c r="D86" s="9">
        <v>4</v>
      </c>
      <c r="E86" s="10">
        <v>10</v>
      </c>
      <c r="F86" s="15"/>
      <c r="G86" s="18">
        <v>145</v>
      </c>
    </row>
    <row r="87" spans="1:18" ht="18.75" x14ac:dyDescent="0.3">
      <c r="B87" s="40"/>
      <c r="C87" s="17" t="s">
        <v>75</v>
      </c>
      <c r="D87" s="7">
        <v>4</v>
      </c>
      <c r="E87" s="22">
        <v>10</v>
      </c>
      <c r="F87" s="15"/>
      <c r="G87" s="23">
        <v>142</v>
      </c>
    </row>
    <row r="88" spans="1:18" ht="18.75" x14ac:dyDescent="0.3">
      <c r="B88" s="40"/>
      <c r="C88" s="19" t="s">
        <v>101</v>
      </c>
      <c r="D88" s="14">
        <v>4</v>
      </c>
      <c r="E88" s="21">
        <v>10</v>
      </c>
      <c r="F88" s="26"/>
      <c r="G88" s="19">
        <v>130</v>
      </c>
    </row>
    <row r="89" spans="1:18" ht="19.5" thickBot="1" x14ac:dyDescent="0.35">
      <c r="B89" s="41"/>
      <c r="C89" s="18" t="s">
        <v>84</v>
      </c>
      <c r="D89" s="9">
        <v>0</v>
      </c>
      <c r="E89" s="10">
        <v>14</v>
      </c>
      <c r="F89" s="15"/>
      <c r="G89" s="18">
        <v>69</v>
      </c>
    </row>
    <row r="90" spans="1:18" ht="15.75" thickBot="1" x14ac:dyDescent="0.3"/>
    <row r="91" spans="1:18" ht="19.5" thickBot="1" x14ac:dyDescent="0.35">
      <c r="C91" s="27" t="s">
        <v>87</v>
      </c>
      <c r="D91" s="28" t="s">
        <v>66</v>
      </c>
      <c r="E91" s="28" t="s">
        <v>67</v>
      </c>
      <c r="F91" s="20" t="s">
        <v>91</v>
      </c>
      <c r="G91" s="31" t="s">
        <v>68</v>
      </c>
    </row>
    <row r="92" spans="1:18" ht="18.75" x14ac:dyDescent="0.3">
      <c r="C92" s="14" t="s">
        <v>82</v>
      </c>
      <c r="D92" s="14">
        <v>14</v>
      </c>
      <c r="E92" s="24">
        <v>0</v>
      </c>
      <c r="F92" s="15"/>
      <c r="G92" s="25">
        <v>237</v>
      </c>
    </row>
    <row r="93" spans="1:18" ht="18.75" x14ac:dyDescent="0.3">
      <c r="C93" s="7" t="s">
        <v>77</v>
      </c>
      <c r="D93" s="7">
        <v>11</v>
      </c>
      <c r="E93" s="22">
        <v>3</v>
      </c>
      <c r="F93" s="15"/>
      <c r="G93" s="23">
        <v>207</v>
      </c>
    </row>
    <row r="94" spans="1:18" ht="18.75" x14ac:dyDescent="0.3">
      <c r="C94" s="14" t="s">
        <v>71</v>
      </c>
      <c r="D94" s="14">
        <v>9</v>
      </c>
      <c r="E94" s="21">
        <v>5</v>
      </c>
      <c r="F94" s="26"/>
      <c r="G94" s="19">
        <v>203</v>
      </c>
    </row>
    <row r="95" spans="1:18" ht="18.75" x14ac:dyDescent="0.3">
      <c r="C95" s="14" t="s">
        <v>75</v>
      </c>
      <c r="D95" s="14">
        <v>4</v>
      </c>
      <c r="E95" s="24">
        <v>10</v>
      </c>
      <c r="F95" s="26"/>
      <c r="G95" s="25">
        <v>142</v>
      </c>
    </row>
    <row r="96" spans="1:18" ht="15.75" thickBot="1" x14ac:dyDescent="0.3"/>
    <row r="97" spans="3:7" ht="19.5" thickBot="1" x14ac:dyDescent="0.35">
      <c r="C97" s="27" t="s">
        <v>88</v>
      </c>
      <c r="D97" s="28" t="s">
        <v>66</v>
      </c>
      <c r="E97" s="28" t="s">
        <v>67</v>
      </c>
      <c r="F97" s="20" t="s">
        <v>91</v>
      </c>
      <c r="G97" s="31" t="s">
        <v>68</v>
      </c>
    </row>
    <row r="98" spans="3:7" ht="18.75" x14ac:dyDescent="0.3">
      <c r="C98" s="7" t="s">
        <v>85</v>
      </c>
      <c r="D98" s="7">
        <v>10</v>
      </c>
      <c r="E98" s="22">
        <v>4</v>
      </c>
      <c r="F98" s="15"/>
      <c r="G98" s="23">
        <v>202</v>
      </c>
    </row>
    <row r="99" spans="3:7" ht="18.75" x14ac:dyDescent="0.3">
      <c r="C99" s="9" t="s">
        <v>83</v>
      </c>
      <c r="D99" s="9">
        <v>10</v>
      </c>
      <c r="E99" s="10">
        <v>4</v>
      </c>
      <c r="F99" s="15"/>
      <c r="G99" s="18">
        <v>195</v>
      </c>
    </row>
    <row r="100" spans="3:7" ht="18.75" x14ac:dyDescent="0.3">
      <c r="C100" s="9" t="s">
        <v>79</v>
      </c>
      <c r="D100" s="9">
        <v>6</v>
      </c>
      <c r="E100" s="10">
        <v>8</v>
      </c>
      <c r="F100" s="15"/>
      <c r="G100" s="18">
        <v>166</v>
      </c>
    </row>
    <row r="101" spans="3:7" ht="18.75" x14ac:dyDescent="0.3">
      <c r="C101" s="14" t="s">
        <v>101</v>
      </c>
      <c r="D101" s="14">
        <v>4</v>
      </c>
      <c r="E101" s="21">
        <v>10</v>
      </c>
      <c r="F101" s="26"/>
      <c r="G101" s="19">
        <v>130</v>
      </c>
    </row>
    <row r="102" spans="3:7" ht="15.75" thickBot="1" x14ac:dyDescent="0.3"/>
    <row r="103" spans="3:7" ht="19.5" thickBot="1" x14ac:dyDescent="0.35">
      <c r="C103" s="32" t="s">
        <v>89</v>
      </c>
      <c r="D103" s="33" t="s">
        <v>66</v>
      </c>
      <c r="E103" s="33" t="s">
        <v>67</v>
      </c>
      <c r="F103" s="20" t="s">
        <v>91</v>
      </c>
      <c r="G103" s="34" t="s">
        <v>68</v>
      </c>
    </row>
    <row r="104" spans="3:7" ht="18.75" x14ac:dyDescent="0.3">
      <c r="C104" s="7" t="s">
        <v>81</v>
      </c>
      <c r="D104" s="7">
        <v>6</v>
      </c>
      <c r="E104" s="16">
        <v>8</v>
      </c>
      <c r="F104" s="15"/>
      <c r="G104" s="17">
        <v>170</v>
      </c>
    </row>
    <row r="105" spans="3:7" ht="18.75" x14ac:dyDescent="0.3">
      <c r="C105" s="14" t="s">
        <v>73</v>
      </c>
      <c r="D105" s="14">
        <v>6</v>
      </c>
      <c r="E105" s="24">
        <v>8</v>
      </c>
      <c r="F105" s="15"/>
      <c r="G105" s="25">
        <v>150</v>
      </c>
    </row>
    <row r="106" spans="3:7" ht="18.75" x14ac:dyDescent="0.3">
      <c r="C106" s="9" t="s">
        <v>86</v>
      </c>
      <c r="D106" s="9">
        <v>4</v>
      </c>
      <c r="E106" s="10">
        <v>10</v>
      </c>
      <c r="F106" s="15"/>
      <c r="G106" s="18">
        <v>145</v>
      </c>
    </row>
    <row r="107" spans="3:7" ht="18.75" x14ac:dyDescent="0.3">
      <c r="C107" s="9" t="s">
        <v>84</v>
      </c>
      <c r="D107" s="9">
        <v>0</v>
      </c>
      <c r="E107" s="10">
        <v>14</v>
      </c>
      <c r="F107" s="15"/>
      <c r="G107" s="18">
        <v>69</v>
      </c>
    </row>
  </sheetData>
  <mergeCells count="14">
    <mergeCell ref="B77:B89"/>
    <mergeCell ref="I78:M78"/>
    <mergeCell ref="I79:M79"/>
    <mergeCell ref="I80:M80"/>
    <mergeCell ref="I81:M81"/>
    <mergeCell ref="I82:M82"/>
    <mergeCell ref="I83:M83"/>
    <mergeCell ref="N83:R83"/>
    <mergeCell ref="I77:R77"/>
    <mergeCell ref="N78:R78"/>
    <mergeCell ref="N79:R79"/>
    <mergeCell ref="N80:R80"/>
    <mergeCell ref="N81:R81"/>
    <mergeCell ref="N82:R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SUM(1444+1481)</f>
        <v>2925</v>
      </c>
      <c r="E2" s="11">
        <f>SUM(74+87)</f>
        <v>161</v>
      </c>
      <c r="F2" s="12">
        <f>SUM(D2/E2)</f>
        <v>18.167701863354036</v>
      </c>
      <c r="G2" s="11">
        <v>2</v>
      </c>
      <c r="H2" s="11">
        <v>1</v>
      </c>
      <c r="I2" s="11"/>
      <c r="J2" s="11"/>
      <c r="K2" s="11"/>
      <c r="L2" s="11">
        <v>7</v>
      </c>
      <c r="M2" s="13">
        <v>5</v>
      </c>
    </row>
    <row r="3" spans="1:13" ht="18.75" x14ac:dyDescent="0.3">
      <c r="A3" s="3">
        <v>2</v>
      </c>
      <c r="B3" s="4" t="s">
        <v>33</v>
      </c>
      <c r="C3" s="4" t="s">
        <v>16</v>
      </c>
      <c r="D3" s="11">
        <f>SUM(1464+1483)</f>
        <v>2947</v>
      </c>
      <c r="E3" s="11">
        <f>SUM(83+89)</f>
        <v>172</v>
      </c>
      <c r="F3" s="12">
        <f>SUM(D3/E3)</f>
        <v>17.13372093023256</v>
      </c>
      <c r="G3" s="11">
        <v>2</v>
      </c>
      <c r="H3" s="11">
        <v>2</v>
      </c>
      <c r="I3" s="11"/>
      <c r="J3" s="11"/>
      <c r="K3" s="11"/>
      <c r="L3" s="11">
        <v>7.5</v>
      </c>
      <c r="M3" s="13"/>
    </row>
    <row r="4" spans="1:13" ht="18.75" x14ac:dyDescent="0.3">
      <c r="A4" s="3">
        <v>3</v>
      </c>
      <c r="B4" s="3" t="s">
        <v>31</v>
      </c>
      <c r="C4" s="4" t="s">
        <v>32</v>
      </c>
      <c r="D4" s="11">
        <f>SUM(1503+1469)</f>
        <v>2972</v>
      </c>
      <c r="E4" s="11">
        <f>SUM(79+96)</f>
        <v>175</v>
      </c>
      <c r="F4" s="12">
        <f>SUM(D4/E4)</f>
        <v>16.982857142857142</v>
      </c>
      <c r="G4" s="11">
        <v>2</v>
      </c>
      <c r="H4" s="11">
        <v>1</v>
      </c>
      <c r="I4" s="11"/>
      <c r="J4" s="11"/>
      <c r="K4" s="11"/>
      <c r="L4" s="11">
        <v>6.5</v>
      </c>
      <c r="M4" s="13"/>
    </row>
    <row r="5" spans="1:13" ht="18.75" x14ac:dyDescent="0.3">
      <c r="A5" s="3">
        <v>4</v>
      </c>
      <c r="B5" s="15" t="s">
        <v>46</v>
      </c>
      <c r="C5" s="4" t="s">
        <v>47</v>
      </c>
      <c r="D5" s="11">
        <f>SUM(1503+1503)</f>
        <v>3006</v>
      </c>
      <c r="E5" s="11">
        <f>SUM(87+94)</f>
        <v>181</v>
      </c>
      <c r="F5" s="12">
        <f>SUM(D5/E5)</f>
        <v>16.607734806629836</v>
      </c>
      <c r="G5" s="11">
        <v>2</v>
      </c>
      <c r="H5" s="11">
        <v>2</v>
      </c>
      <c r="I5" s="11"/>
      <c r="J5" s="11"/>
      <c r="K5" s="11"/>
      <c r="L5" s="11">
        <v>9.5</v>
      </c>
      <c r="M5" s="13">
        <v>5</v>
      </c>
    </row>
    <row r="6" spans="1:13" ht="18.75" x14ac:dyDescent="0.3">
      <c r="A6" s="3">
        <v>5</v>
      </c>
      <c r="B6" s="4" t="s">
        <v>13</v>
      </c>
      <c r="C6" s="4" t="s">
        <v>14</v>
      </c>
      <c r="D6" s="11">
        <f>SUM(1360+1372)</f>
        <v>2732</v>
      </c>
      <c r="E6" s="11">
        <f>SUM(71+94)</f>
        <v>165</v>
      </c>
      <c r="F6" s="12">
        <f>SUM(D6/E6)</f>
        <v>16.557575757575759</v>
      </c>
      <c r="G6" s="11">
        <v>2</v>
      </c>
      <c r="H6" s="11">
        <v>1</v>
      </c>
      <c r="I6" s="11"/>
      <c r="J6" s="11"/>
      <c r="K6" s="11"/>
      <c r="L6" s="11">
        <v>7</v>
      </c>
      <c r="M6" s="13"/>
    </row>
    <row r="7" spans="1:13" ht="18.75" x14ac:dyDescent="0.3">
      <c r="A7" s="3">
        <v>6</v>
      </c>
      <c r="B7" s="4" t="s">
        <v>24</v>
      </c>
      <c r="C7" s="4" t="s">
        <v>23</v>
      </c>
      <c r="D7" s="11">
        <f>SUM(1501+1472)</f>
        <v>2973</v>
      </c>
      <c r="E7" s="11">
        <f>SUM(87+99)</f>
        <v>186</v>
      </c>
      <c r="F7" s="12">
        <f>SUM(D7/E7)</f>
        <v>15.983870967741936</v>
      </c>
      <c r="G7" s="11">
        <v>2</v>
      </c>
      <c r="H7" s="11">
        <v>1</v>
      </c>
      <c r="I7" s="11"/>
      <c r="J7" s="11"/>
      <c r="K7" s="11"/>
      <c r="L7" s="11">
        <v>4.5</v>
      </c>
      <c r="M7" s="13"/>
    </row>
    <row r="8" spans="1:13" ht="18.75" x14ac:dyDescent="0.3">
      <c r="A8" s="3">
        <v>7</v>
      </c>
      <c r="B8" s="4" t="s">
        <v>11</v>
      </c>
      <c r="C8" s="4" t="s">
        <v>12</v>
      </c>
      <c r="D8" s="11">
        <f>SUM(1494+1503)</f>
        <v>2997</v>
      </c>
      <c r="E8" s="11">
        <f>SUM(102+87)</f>
        <v>189</v>
      </c>
      <c r="F8" s="12">
        <f>SUM(D8/E8)</f>
        <v>15.857142857142858</v>
      </c>
      <c r="G8" s="11">
        <v>2</v>
      </c>
      <c r="H8" s="11">
        <v>2</v>
      </c>
      <c r="I8" s="11"/>
      <c r="J8" s="11"/>
      <c r="K8" s="11"/>
      <c r="L8" s="11">
        <v>8</v>
      </c>
      <c r="M8" s="13"/>
    </row>
    <row r="9" spans="1:13" ht="18.75" x14ac:dyDescent="0.3">
      <c r="A9" s="3">
        <v>8</v>
      </c>
      <c r="B9" s="4" t="s">
        <v>22</v>
      </c>
      <c r="C9" s="4" t="s">
        <v>23</v>
      </c>
      <c r="D9" s="11">
        <f>SUM(1499+1497)</f>
        <v>2996</v>
      </c>
      <c r="E9" s="11">
        <f>SUM(101+88)</f>
        <v>189</v>
      </c>
      <c r="F9" s="12">
        <f>SUM(D9/E9)</f>
        <v>15.851851851851851</v>
      </c>
      <c r="G9" s="11">
        <v>2</v>
      </c>
      <c r="H9" s="11">
        <v>2</v>
      </c>
      <c r="I9" s="11"/>
      <c r="J9" s="11"/>
      <c r="K9" s="11"/>
      <c r="L9" s="11">
        <v>7.5</v>
      </c>
      <c r="M9" s="13"/>
    </row>
    <row r="10" spans="1:13" ht="18.75" x14ac:dyDescent="0.3">
      <c r="A10" s="3">
        <v>9</v>
      </c>
      <c r="B10" s="4" t="s">
        <v>37</v>
      </c>
      <c r="C10" s="7" t="s">
        <v>21</v>
      </c>
      <c r="D10" s="11">
        <f>SUM(1501+1495)</f>
        <v>2996</v>
      </c>
      <c r="E10" s="11">
        <f>SUM(106+86)</f>
        <v>192</v>
      </c>
      <c r="F10" s="12">
        <f>SUM(D10/E10)</f>
        <v>15.604166666666666</v>
      </c>
      <c r="G10" s="11">
        <v>2</v>
      </c>
      <c r="H10" s="11">
        <v>2</v>
      </c>
      <c r="I10" s="11"/>
      <c r="J10" s="11"/>
      <c r="K10" s="11"/>
      <c r="L10" s="11">
        <v>6.5</v>
      </c>
      <c r="M10" s="13"/>
    </row>
    <row r="11" spans="1:13" ht="18.75" x14ac:dyDescent="0.3">
      <c r="A11" s="3">
        <v>10</v>
      </c>
      <c r="B11" s="4" t="s">
        <v>17</v>
      </c>
      <c r="C11" s="4" t="s">
        <v>14</v>
      </c>
      <c r="D11" s="11">
        <f>SUM(1280+1503)</f>
        <v>2783</v>
      </c>
      <c r="E11" s="11">
        <f>SUM(79+100)</f>
        <v>179</v>
      </c>
      <c r="F11" s="12">
        <f>SUM(D11/E11)</f>
        <v>15.547486033519553</v>
      </c>
      <c r="G11" s="11">
        <v>2</v>
      </c>
      <c r="H11" s="11">
        <v>1</v>
      </c>
      <c r="I11" s="11"/>
      <c r="J11" s="11"/>
      <c r="K11" s="11"/>
      <c r="L11" s="35">
        <v>6.5</v>
      </c>
      <c r="M11" s="13"/>
    </row>
    <row r="12" spans="1:13" ht="18.75" x14ac:dyDescent="0.3">
      <c r="A12" s="3">
        <v>11</v>
      </c>
      <c r="B12" s="4" t="s">
        <v>62</v>
      </c>
      <c r="C12" s="4" t="s">
        <v>19</v>
      </c>
      <c r="D12" s="11">
        <v>2769</v>
      </c>
      <c r="E12" s="11">
        <f>SUM(76+107)</f>
        <v>183</v>
      </c>
      <c r="F12" s="12">
        <f>SUM(D12/E12)</f>
        <v>15.131147540983607</v>
      </c>
      <c r="G12" s="11">
        <v>2</v>
      </c>
      <c r="H12" s="11">
        <v>1</v>
      </c>
      <c r="I12" s="11"/>
      <c r="J12" s="11"/>
      <c r="K12" s="11"/>
      <c r="L12" s="11">
        <v>8</v>
      </c>
      <c r="M12" s="13"/>
    </row>
    <row r="13" spans="1:13" ht="18.75" x14ac:dyDescent="0.3">
      <c r="A13" s="3">
        <v>12</v>
      </c>
      <c r="B13" s="15" t="s">
        <v>39</v>
      </c>
      <c r="C13" s="4" t="s">
        <v>23</v>
      </c>
      <c r="D13" s="11">
        <f>SUM(1332+1373)</f>
        <v>2705</v>
      </c>
      <c r="E13" s="11">
        <f>SUM(84+96)</f>
        <v>180</v>
      </c>
      <c r="F13" s="12">
        <f>SUM(D13/E13)</f>
        <v>15.027777777777779</v>
      </c>
      <c r="G13" s="11">
        <v>2</v>
      </c>
      <c r="H13" s="11"/>
      <c r="I13" s="11"/>
      <c r="J13" s="11"/>
      <c r="K13" s="11"/>
      <c r="L13" s="11">
        <v>3.5</v>
      </c>
      <c r="M13" s="13"/>
    </row>
    <row r="14" spans="1:13" ht="18.75" x14ac:dyDescent="0.3">
      <c r="A14" s="3">
        <v>13</v>
      </c>
      <c r="B14" s="4" t="s">
        <v>18</v>
      </c>
      <c r="C14" s="4" t="s">
        <v>19</v>
      </c>
      <c r="D14" s="11">
        <f>SUM(1403+1503)</f>
        <v>2906</v>
      </c>
      <c r="E14" s="11">
        <f>SUM(96+99)</f>
        <v>195</v>
      </c>
      <c r="F14" s="12">
        <f>SUM(D14/E14)</f>
        <v>14.902564102564103</v>
      </c>
      <c r="G14" s="11">
        <v>2</v>
      </c>
      <c r="H14" s="11">
        <v>1</v>
      </c>
      <c r="I14" s="11"/>
      <c r="J14" s="11"/>
      <c r="K14" s="11"/>
      <c r="L14" s="11">
        <v>7</v>
      </c>
      <c r="M14" s="13"/>
    </row>
    <row r="15" spans="1:13" ht="18.75" x14ac:dyDescent="0.3">
      <c r="A15" s="3">
        <v>14</v>
      </c>
      <c r="B15" s="4" t="s">
        <v>15</v>
      </c>
      <c r="C15" s="4" t="s">
        <v>16</v>
      </c>
      <c r="D15" s="11">
        <f>SUM(1503+1503)</f>
        <v>3006</v>
      </c>
      <c r="E15" s="11">
        <f>SUM(94+109)</f>
        <v>203</v>
      </c>
      <c r="F15" s="12">
        <f>SUM(D15/E15)</f>
        <v>14.807881773399014</v>
      </c>
      <c r="G15" s="11">
        <v>2</v>
      </c>
      <c r="H15" s="11">
        <v>2</v>
      </c>
      <c r="I15" s="11"/>
      <c r="J15" s="11"/>
      <c r="K15" s="11"/>
      <c r="L15" s="11">
        <v>10.5</v>
      </c>
      <c r="M15" s="13"/>
    </row>
    <row r="16" spans="1:13" ht="18.75" x14ac:dyDescent="0.3">
      <c r="A16" s="3">
        <v>15</v>
      </c>
      <c r="B16" s="4" t="s">
        <v>27</v>
      </c>
      <c r="C16" s="4" t="s">
        <v>28</v>
      </c>
      <c r="D16" s="11">
        <f>SUM(1471+1503)</f>
        <v>2974</v>
      </c>
      <c r="E16" s="11">
        <f>SUM(111+90)</f>
        <v>201</v>
      </c>
      <c r="F16" s="12">
        <f>SUM(D16/E16)</f>
        <v>14.796019900497512</v>
      </c>
      <c r="G16" s="11">
        <v>2</v>
      </c>
      <c r="H16" s="11">
        <v>2</v>
      </c>
      <c r="I16" s="11"/>
      <c r="J16" s="11"/>
      <c r="K16" s="11"/>
      <c r="L16" s="11">
        <v>9.5</v>
      </c>
      <c r="M16" s="13"/>
    </row>
    <row r="17" spans="1:13" ht="18.75" x14ac:dyDescent="0.3">
      <c r="A17" s="3">
        <v>16</v>
      </c>
      <c r="B17" s="4" t="s">
        <v>90</v>
      </c>
      <c r="C17" s="4" t="s">
        <v>12</v>
      </c>
      <c r="D17" s="11">
        <f>SUM(1361+1497)</f>
        <v>2858</v>
      </c>
      <c r="E17" s="11">
        <f>SUM(83+112)</f>
        <v>195</v>
      </c>
      <c r="F17" s="12">
        <f>SUM(D17/E17)</f>
        <v>14.656410256410256</v>
      </c>
      <c r="G17" s="11">
        <v>2</v>
      </c>
      <c r="H17" s="11">
        <v>1</v>
      </c>
      <c r="I17" s="11"/>
      <c r="J17" s="11"/>
      <c r="K17" s="11"/>
      <c r="L17" s="11">
        <v>6</v>
      </c>
      <c r="M17" s="13"/>
    </row>
    <row r="18" spans="1:13" ht="18.75" x14ac:dyDescent="0.3">
      <c r="A18" s="3">
        <v>17</v>
      </c>
      <c r="B18" s="15" t="s">
        <v>45</v>
      </c>
      <c r="C18" s="4" t="s">
        <v>32</v>
      </c>
      <c r="D18" s="11">
        <f>SUM(1503+1471)</f>
        <v>2974</v>
      </c>
      <c r="E18" s="11">
        <f>SUM(100+103)</f>
        <v>203</v>
      </c>
      <c r="F18" s="12">
        <f>SUM(D18/E18)</f>
        <v>14.650246305418719</v>
      </c>
      <c r="G18" s="11">
        <v>2</v>
      </c>
      <c r="H18" s="11">
        <v>2</v>
      </c>
      <c r="I18" s="11"/>
      <c r="J18" s="11"/>
      <c r="K18" s="11"/>
      <c r="L18" s="11">
        <v>10.5</v>
      </c>
      <c r="M18" s="13"/>
    </row>
    <row r="19" spans="1:13" ht="18.75" x14ac:dyDescent="0.3">
      <c r="A19" s="3">
        <v>18</v>
      </c>
      <c r="B19" s="3" t="s">
        <v>48</v>
      </c>
      <c r="C19" s="7" t="s">
        <v>32</v>
      </c>
      <c r="D19" s="11">
        <f>SUM(1239+1483)</f>
        <v>2722</v>
      </c>
      <c r="E19" s="11">
        <f>SUM(95+93)</f>
        <v>188</v>
      </c>
      <c r="F19" s="12">
        <f>SUM(D19/E19)</f>
        <v>14.478723404255319</v>
      </c>
      <c r="G19" s="11">
        <v>2</v>
      </c>
      <c r="H19" s="11">
        <v>1</v>
      </c>
      <c r="I19" s="11"/>
      <c r="J19" s="11"/>
      <c r="K19" s="11"/>
      <c r="L19" s="11">
        <v>8</v>
      </c>
      <c r="M19" s="13"/>
    </row>
    <row r="20" spans="1:13" ht="18.75" x14ac:dyDescent="0.3">
      <c r="A20" s="3">
        <v>19</v>
      </c>
      <c r="B20" s="4" t="s">
        <v>36</v>
      </c>
      <c r="C20" s="4" t="s">
        <v>12</v>
      </c>
      <c r="D20" s="11">
        <f>SUM(1503+1503)</f>
        <v>3006</v>
      </c>
      <c r="E20" s="11">
        <f>SUM(93+115)</f>
        <v>208</v>
      </c>
      <c r="F20" s="12">
        <f>SUM(D20/E20)</f>
        <v>14.451923076923077</v>
      </c>
      <c r="G20" s="11">
        <v>2</v>
      </c>
      <c r="H20" s="11">
        <v>2</v>
      </c>
      <c r="I20" s="11"/>
      <c r="J20" s="11"/>
      <c r="K20" s="11"/>
      <c r="L20" s="11">
        <v>9</v>
      </c>
      <c r="M20" s="13"/>
    </row>
    <row r="21" spans="1:13" ht="18.75" x14ac:dyDescent="0.3">
      <c r="A21" s="3">
        <v>20</v>
      </c>
      <c r="B21" s="15" t="s">
        <v>113</v>
      </c>
      <c r="C21" s="4" t="s">
        <v>16</v>
      </c>
      <c r="D21" s="11">
        <f>SUM(1503)</f>
        <v>1503</v>
      </c>
      <c r="E21" s="11">
        <f>SUM(104)</f>
        <v>104</v>
      </c>
      <c r="F21" s="12">
        <f>SUM(D21/E21)</f>
        <v>14.451923076923077</v>
      </c>
      <c r="G21" s="11">
        <v>1</v>
      </c>
      <c r="H21" s="11">
        <v>1</v>
      </c>
      <c r="I21" s="11"/>
      <c r="J21" s="11"/>
      <c r="K21" s="11"/>
      <c r="L21" s="11">
        <v>5</v>
      </c>
      <c r="M21" s="13"/>
    </row>
    <row r="22" spans="1:13" ht="18.75" x14ac:dyDescent="0.3">
      <c r="A22" s="3">
        <v>21</v>
      </c>
      <c r="B22" s="4" t="s">
        <v>30</v>
      </c>
      <c r="C22" s="4" t="s">
        <v>19</v>
      </c>
      <c r="D22" s="11">
        <f>SUM(1434)</f>
        <v>1434</v>
      </c>
      <c r="E22" s="11">
        <f>SUM(100)</f>
        <v>100</v>
      </c>
      <c r="F22" s="12">
        <f>SUM(D22/E22)</f>
        <v>14.34</v>
      </c>
      <c r="G22" s="11">
        <v>1</v>
      </c>
      <c r="H22" s="11"/>
      <c r="I22" s="11"/>
      <c r="J22" s="11"/>
      <c r="K22" s="11"/>
      <c r="L22" s="11">
        <v>5</v>
      </c>
      <c r="M22" s="13"/>
    </row>
    <row r="23" spans="1:13" ht="18.75" x14ac:dyDescent="0.3">
      <c r="A23" s="3">
        <v>22</v>
      </c>
      <c r="B23" s="4" t="s">
        <v>35</v>
      </c>
      <c r="C23" s="4" t="s">
        <v>16</v>
      </c>
      <c r="D23" s="11">
        <f>SUM(1471)</f>
        <v>1471</v>
      </c>
      <c r="E23" s="11">
        <f>SUM(104)</f>
        <v>104</v>
      </c>
      <c r="F23" s="12">
        <f>SUM(D23/E23)</f>
        <v>14.14423076923077</v>
      </c>
      <c r="G23" s="11">
        <v>1</v>
      </c>
      <c r="H23" s="11">
        <v>1</v>
      </c>
      <c r="I23" s="11"/>
      <c r="J23" s="11"/>
      <c r="K23" s="11"/>
      <c r="L23" s="11">
        <v>3</v>
      </c>
      <c r="M23" s="13"/>
    </row>
    <row r="24" spans="1:13" ht="18.75" x14ac:dyDescent="0.3">
      <c r="A24" s="3">
        <v>23</v>
      </c>
      <c r="B24" s="4" t="s">
        <v>51</v>
      </c>
      <c r="C24" s="4" t="s">
        <v>14</v>
      </c>
      <c r="D24" s="11">
        <f>SUM(1394+1122)</f>
        <v>2516</v>
      </c>
      <c r="E24" s="11">
        <f>SUM(93+86)</f>
        <v>179</v>
      </c>
      <c r="F24" s="12">
        <f>SUM(D24/E24)</f>
        <v>14.05586592178771</v>
      </c>
      <c r="G24" s="11">
        <v>2</v>
      </c>
      <c r="H24" s="11"/>
      <c r="I24" s="11"/>
      <c r="J24" s="11"/>
      <c r="K24" s="11"/>
      <c r="L24" s="11">
        <v>3.5</v>
      </c>
      <c r="M24" s="13"/>
    </row>
    <row r="25" spans="1:13" ht="18.75" x14ac:dyDescent="0.3">
      <c r="A25" s="3">
        <v>24</v>
      </c>
      <c r="B25" s="15" t="s">
        <v>49</v>
      </c>
      <c r="C25" s="4" t="s">
        <v>28</v>
      </c>
      <c r="D25" s="11">
        <f>SUM(1503+1503)</f>
        <v>3006</v>
      </c>
      <c r="E25" s="11">
        <f>SUM(129+86)</f>
        <v>215</v>
      </c>
      <c r="F25" s="12">
        <f>SUM(D25/E25)</f>
        <v>13.981395348837209</v>
      </c>
      <c r="G25" s="11">
        <v>2</v>
      </c>
      <c r="H25" s="11">
        <v>2</v>
      </c>
      <c r="I25" s="11"/>
      <c r="J25" s="11"/>
      <c r="K25" s="11"/>
      <c r="L25" s="11">
        <v>8.5</v>
      </c>
      <c r="M25" s="13">
        <v>15</v>
      </c>
    </row>
    <row r="26" spans="1:13" ht="18.75" x14ac:dyDescent="0.3">
      <c r="A26" s="3">
        <v>25</v>
      </c>
      <c r="B26" s="15" t="s">
        <v>92</v>
      </c>
      <c r="C26" s="4" t="s">
        <v>42</v>
      </c>
      <c r="D26" s="11">
        <f>SUM(1319+1334)</f>
        <v>2653</v>
      </c>
      <c r="E26" s="11">
        <f>SUM(106+84)</f>
        <v>190</v>
      </c>
      <c r="F26" s="12">
        <f>SUM(D26/E26)</f>
        <v>13.963157894736842</v>
      </c>
      <c r="G26" s="11">
        <v>2</v>
      </c>
      <c r="H26" s="11"/>
      <c r="I26" s="11"/>
      <c r="J26" s="11"/>
      <c r="K26" s="11"/>
      <c r="L26" s="11">
        <v>4.5</v>
      </c>
      <c r="M26" s="13"/>
    </row>
    <row r="27" spans="1:13" ht="18.75" x14ac:dyDescent="0.3">
      <c r="A27" s="3">
        <v>26</v>
      </c>
      <c r="B27" s="3" t="s">
        <v>20</v>
      </c>
      <c r="C27" s="4" t="s">
        <v>21</v>
      </c>
      <c r="D27" s="11">
        <f>SUM(1243+1262)</f>
        <v>2505</v>
      </c>
      <c r="E27" s="11">
        <f>SUM(94+86)</f>
        <v>180</v>
      </c>
      <c r="F27" s="12">
        <f>SUM(D27/E27)</f>
        <v>13.916666666666666</v>
      </c>
      <c r="G27" s="11">
        <v>2</v>
      </c>
      <c r="H27" s="11"/>
      <c r="I27" s="11"/>
      <c r="J27" s="11"/>
      <c r="K27" s="11"/>
      <c r="L27" s="11">
        <v>3</v>
      </c>
      <c r="M27" s="13"/>
    </row>
    <row r="28" spans="1:13" ht="18.75" x14ac:dyDescent="0.3">
      <c r="A28" s="3">
        <v>27</v>
      </c>
      <c r="B28" s="4" t="s">
        <v>61</v>
      </c>
      <c r="C28" s="7" t="s">
        <v>47</v>
      </c>
      <c r="D28" s="11">
        <f>SUM(1322+1462)</f>
        <v>2784</v>
      </c>
      <c r="E28" s="11">
        <f>SUM(111+98)</f>
        <v>209</v>
      </c>
      <c r="F28" s="12">
        <f>SUM(D28/E28)</f>
        <v>13.320574162679426</v>
      </c>
      <c r="G28" s="11">
        <v>2</v>
      </c>
      <c r="H28" s="11"/>
      <c r="I28" s="11"/>
      <c r="J28" s="11"/>
      <c r="K28" s="11"/>
      <c r="L28" s="11">
        <v>2</v>
      </c>
      <c r="M28" s="13"/>
    </row>
    <row r="29" spans="1:13" ht="18.75" x14ac:dyDescent="0.3">
      <c r="A29" s="3">
        <v>28</v>
      </c>
      <c r="B29" s="15" t="s">
        <v>52</v>
      </c>
      <c r="C29" s="4" t="s">
        <v>53</v>
      </c>
      <c r="D29" s="11">
        <f>SUM(1503+1413)</f>
        <v>2916</v>
      </c>
      <c r="E29" s="11">
        <f>SUM(111+108)</f>
        <v>219</v>
      </c>
      <c r="F29" s="12">
        <f>SUM(D29/E29)</f>
        <v>13.315068493150685</v>
      </c>
      <c r="G29" s="11">
        <v>2</v>
      </c>
      <c r="H29" s="11">
        <v>1</v>
      </c>
      <c r="I29" s="11"/>
      <c r="J29" s="11"/>
      <c r="K29" s="11"/>
      <c r="L29" s="11">
        <v>4.5</v>
      </c>
      <c r="M29" s="13"/>
    </row>
    <row r="30" spans="1:13" ht="18.75" x14ac:dyDescent="0.3">
      <c r="A30" s="3">
        <v>29</v>
      </c>
      <c r="B30" s="7" t="s">
        <v>43</v>
      </c>
      <c r="C30" s="4" t="s">
        <v>12</v>
      </c>
      <c r="D30" s="11">
        <f>SUM(1479+1503)</f>
        <v>2982</v>
      </c>
      <c r="E30" s="11">
        <f>SUM(130+97)</f>
        <v>227</v>
      </c>
      <c r="F30" s="12">
        <f>SUM(D30/E30)</f>
        <v>13.136563876651982</v>
      </c>
      <c r="G30" s="11">
        <v>2</v>
      </c>
      <c r="H30" s="11">
        <v>2</v>
      </c>
      <c r="I30" s="11"/>
      <c r="J30" s="11"/>
      <c r="K30" s="11"/>
      <c r="L30" s="11">
        <v>8</v>
      </c>
      <c r="M30" s="13"/>
    </row>
    <row r="31" spans="1:13" ht="18.75" x14ac:dyDescent="0.3">
      <c r="A31" s="3">
        <v>30</v>
      </c>
      <c r="B31" s="9" t="s">
        <v>93</v>
      </c>
      <c r="C31" s="4" t="s">
        <v>42</v>
      </c>
      <c r="D31" s="11">
        <f>SUM(1481+1499)</f>
        <v>2980</v>
      </c>
      <c r="E31" s="11">
        <f>SUM(97+130)</f>
        <v>227</v>
      </c>
      <c r="F31" s="12">
        <f>SUM(D31/E31)</f>
        <v>13.127753303964758</v>
      </c>
      <c r="G31" s="11">
        <v>2</v>
      </c>
      <c r="H31" s="11">
        <v>1</v>
      </c>
      <c r="I31" s="11"/>
      <c r="J31" s="11"/>
      <c r="K31" s="11"/>
      <c r="L31" s="11">
        <v>4.5</v>
      </c>
      <c r="M31" s="13">
        <v>5</v>
      </c>
    </row>
    <row r="32" spans="1:13" ht="18.75" x14ac:dyDescent="0.3">
      <c r="A32" s="3">
        <v>31</v>
      </c>
      <c r="B32" s="9" t="s">
        <v>60</v>
      </c>
      <c r="C32" s="4" t="s">
        <v>47</v>
      </c>
      <c r="D32" s="11">
        <f>SUM(1477+1291)</f>
        <v>2768</v>
      </c>
      <c r="E32" s="11">
        <f>SUM(126+87)</f>
        <v>213</v>
      </c>
      <c r="F32" s="12">
        <f>SUM(D32/E32)</f>
        <v>12.995305164319248</v>
      </c>
      <c r="G32" s="11">
        <v>2</v>
      </c>
      <c r="H32" s="11"/>
      <c r="I32" s="11"/>
      <c r="J32" s="11"/>
      <c r="K32" s="11"/>
      <c r="L32" s="11">
        <v>3.5</v>
      </c>
      <c r="M32" s="13"/>
    </row>
    <row r="33" spans="1:13" ht="18.75" x14ac:dyDescent="0.3">
      <c r="A33" s="3">
        <v>32</v>
      </c>
      <c r="B33" s="9" t="s">
        <v>58</v>
      </c>
      <c r="C33" s="4" t="s">
        <v>53</v>
      </c>
      <c r="D33" s="11">
        <f>SUM(1098+1207)</f>
        <v>2305</v>
      </c>
      <c r="E33" s="11">
        <f>SUM(87+93)</f>
        <v>180</v>
      </c>
      <c r="F33" s="12">
        <f>SUM(D33/E33)</f>
        <v>12.805555555555555</v>
      </c>
      <c r="G33" s="11">
        <v>2</v>
      </c>
      <c r="H33" s="11"/>
      <c r="I33" s="11"/>
      <c r="J33" s="11"/>
      <c r="K33" s="11"/>
      <c r="L33" s="11">
        <v>2.5</v>
      </c>
      <c r="M33" s="13"/>
    </row>
    <row r="34" spans="1:13" ht="18.75" x14ac:dyDescent="0.3">
      <c r="A34" s="3">
        <v>33</v>
      </c>
      <c r="B34" s="9" t="s">
        <v>112</v>
      </c>
      <c r="C34" s="4" t="s">
        <v>95</v>
      </c>
      <c r="D34" s="11">
        <f>SUM(1150)</f>
        <v>1150</v>
      </c>
      <c r="E34" s="11">
        <f>SUM(90)</f>
        <v>90</v>
      </c>
      <c r="F34" s="12">
        <f>SUM(D34/E34)</f>
        <v>12.777777777777779</v>
      </c>
      <c r="G34" s="11">
        <v>1</v>
      </c>
      <c r="H34" s="11"/>
      <c r="I34" s="11"/>
      <c r="J34" s="11"/>
      <c r="K34" s="11"/>
      <c r="L34" s="11">
        <v>1</v>
      </c>
      <c r="M34" s="13"/>
    </row>
    <row r="35" spans="1:13" ht="18.75" x14ac:dyDescent="0.3">
      <c r="A35" s="3">
        <v>34</v>
      </c>
      <c r="B35" s="7" t="s">
        <v>44</v>
      </c>
      <c r="C35" s="4" t="s">
        <v>95</v>
      </c>
      <c r="D35" s="11">
        <f>SUM(1375+1355)</f>
        <v>2730</v>
      </c>
      <c r="E35" s="11">
        <f>SUM(106+108)</f>
        <v>214</v>
      </c>
      <c r="F35" s="12">
        <f>SUM(D35/E35)</f>
        <v>12.757009345794392</v>
      </c>
      <c r="G35" s="11">
        <v>2</v>
      </c>
      <c r="H35" s="11">
        <v>1</v>
      </c>
      <c r="I35" s="11"/>
      <c r="J35" s="11"/>
      <c r="K35" s="11"/>
      <c r="L35" s="11">
        <v>3.5</v>
      </c>
      <c r="M35" s="13"/>
    </row>
    <row r="36" spans="1:13" ht="18.75" x14ac:dyDescent="0.3">
      <c r="A36" s="3">
        <v>35</v>
      </c>
      <c r="B36" s="55" t="s">
        <v>64</v>
      </c>
      <c r="C36" s="8" t="s">
        <v>95</v>
      </c>
      <c r="D36" s="11">
        <f>SUM(1503+1457)</f>
        <v>2960</v>
      </c>
      <c r="E36" s="11">
        <f>SUM(123+117)</f>
        <v>240</v>
      </c>
      <c r="F36" s="12">
        <f>SUM(D36/E36)</f>
        <v>12.333333333333334</v>
      </c>
      <c r="G36" s="11">
        <v>2</v>
      </c>
      <c r="H36" s="11">
        <v>1</v>
      </c>
      <c r="I36" s="11"/>
      <c r="J36" s="11"/>
      <c r="K36" s="11"/>
      <c r="L36" s="11">
        <v>5</v>
      </c>
      <c r="M36" s="13"/>
    </row>
    <row r="37" spans="1:13" ht="18.75" x14ac:dyDescent="0.3">
      <c r="A37" s="3">
        <v>36</v>
      </c>
      <c r="B37" s="9" t="s">
        <v>38</v>
      </c>
      <c r="C37" s="7" t="s">
        <v>28</v>
      </c>
      <c r="D37" s="11">
        <f>SUM(1503+1456)</f>
        <v>2959</v>
      </c>
      <c r="E37" s="11">
        <f>SUM(107+134)</f>
        <v>241</v>
      </c>
      <c r="F37" s="12">
        <f>SUM(D37/E37)</f>
        <v>12.278008298755188</v>
      </c>
      <c r="G37" s="11">
        <v>2</v>
      </c>
      <c r="H37" s="11">
        <v>2</v>
      </c>
      <c r="I37" s="11"/>
      <c r="J37" s="11"/>
      <c r="K37" s="11"/>
      <c r="L37" s="11">
        <v>9</v>
      </c>
      <c r="M37" s="13"/>
    </row>
    <row r="38" spans="1:13" ht="18.75" x14ac:dyDescent="0.3">
      <c r="A38" s="3">
        <v>37</v>
      </c>
      <c r="B38" s="16" t="s">
        <v>56</v>
      </c>
      <c r="C38" s="7" t="s">
        <v>95</v>
      </c>
      <c r="D38" s="11">
        <f>SUM(1248+1064)</f>
        <v>2312</v>
      </c>
      <c r="E38" s="11">
        <f>SUM(105+84)</f>
        <v>189</v>
      </c>
      <c r="F38" s="12">
        <f>SUM(D38/E38)</f>
        <v>12.232804232804233</v>
      </c>
      <c r="G38" s="11">
        <v>2</v>
      </c>
      <c r="H38" s="11"/>
      <c r="I38" s="11"/>
      <c r="J38" s="11"/>
      <c r="K38" s="11"/>
      <c r="L38" s="11">
        <v>2</v>
      </c>
      <c r="M38" s="13"/>
    </row>
    <row r="39" spans="1:13" ht="18.75" x14ac:dyDescent="0.3">
      <c r="A39" s="3">
        <v>38</v>
      </c>
      <c r="B39" s="16" t="s">
        <v>26</v>
      </c>
      <c r="C39" s="8" t="s">
        <v>19</v>
      </c>
      <c r="D39" s="11">
        <f>SUM(1480+1503)</f>
        <v>2983</v>
      </c>
      <c r="E39" s="11">
        <f>SUM(128+118)</f>
        <v>246</v>
      </c>
      <c r="F39" s="12">
        <f>SUM(D39/E39)</f>
        <v>12.126016260162602</v>
      </c>
      <c r="G39" s="11">
        <v>2</v>
      </c>
      <c r="H39" s="11">
        <v>1</v>
      </c>
      <c r="I39" s="11"/>
      <c r="J39" s="11"/>
      <c r="K39" s="11"/>
      <c r="L39" s="11">
        <v>8.5</v>
      </c>
      <c r="M39" s="13"/>
    </row>
    <row r="40" spans="1:13" ht="18.75" x14ac:dyDescent="0.3">
      <c r="A40" s="3">
        <v>39</v>
      </c>
      <c r="B40" s="16" t="s">
        <v>40</v>
      </c>
      <c r="C40" s="4" t="s">
        <v>14</v>
      </c>
      <c r="D40" s="11">
        <f>SUM(1351+1493)</f>
        <v>2844</v>
      </c>
      <c r="E40" s="11">
        <f>SUM(100+138)</f>
        <v>238</v>
      </c>
      <c r="F40" s="12">
        <f>SUM(D40/E40)</f>
        <v>11.949579831932773</v>
      </c>
      <c r="G40" s="11">
        <v>2</v>
      </c>
      <c r="H40" s="11"/>
      <c r="I40" s="11"/>
      <c r="J40" s="11"/>
      <c r="K40" s="11"/>
      <c r="L40" s="11">
        <v>6</v>
      </c>
      <c r="M40" s="13"/>
    </row>
    <row r="41" spans="1:13" ht="18.75" x14ac:dyDescent="0.3">
      <c r="A41" s="3">
        <v>40</v>
      </c>
      <c r="B41" s="16" t="s">
        <v>34</v>
      </c>
      <c r="C41" s="7" t="s">
        <v>32</v>
      </c>
      <c r="D41" s="11">
        <f>SUM(1204+1501)</f>
        <v>2705</v>
      </c>
      <c r="E41" s="11">
        <f>SUM(88+140)</f>
        <v>228</v>
      </c>
      <c r="F41" s="12">
        <f>SUM(D41/E41)</f>
        <v>11.864035087719298</v>
      </c>
      <c r="G41" s="11">
        <v>2</v>
      </c>
      <c r="H41" s="11">
        <v>1</v>
      </c>
      <c r="I41" s="11"/>
      <c r="J41" s="11"/>
      <c r="K41" s="11"/>
      <c r="L41" s="11">
        <v>7</v>
      </c>
      <c r="M41" s="13"/>
    </row>
    <row r="42" spans="1:13" ht="18.75" x14ac:dyDescent="0.3">
      <c r="A42" s="3">
        <v>41</v>
      </c>
      <c r="B42" s="10" t="s">
        <v>50</v>
      </c>
      <c r="C42" s="7" t="s">
        <v>42</v>
      </c>
      <c r="D42" s="11">
        <f>SUM(1503+1083)</f>
        <v>2586</v>
      </c>
      <c r="E42" s="11">
        <f>SUM(137+81)</f>
        <v>218</v>
      </c>
      <c r="F42" s="12">
        <f>SUM(D42/E42)</f>
        <v>11.862385321100918</v>
      </c>
      <c r="G42" s="11">
        <v>2</v>
      </c>
      <c r="H42" s="11">
        <v>1</v>
      </c>
      <c r="I42" s="11"/>
      <c r="J42" s="11"/>
      <c r="K42" s="11"/>
      <c r="L42" s="11">
        <v>4.5</v>
      </c>
      <c r="M42" s="13"/>
    </row>
    <row r="43" spans="1:13" ht="18.75" x14ac:dyDescent="0.3">
      <c r="A43" s="3">
        <v>42</v>
      </c>
      <c r="B43" s="16" t="s">
        <v>57</v>
      </c>
      <c r="C43" s="7" t="s">
        <v>95</v>
      </c>
      <c r="D43" s="11">
        <f>SUM(1463)</f>
        <v>1463</v>
      </c>
      <c r="E43" s="11">
        <f>SUM(126)</f>
        <v>126</v>
      </c>
      <c r="F43" s="12">
        <f>SUM(D43/E43)</f>
        <v>11.611111111111111</v>
      </c>
      <c r="G43" s="11">
        <v>1</v>
      </c>
      <c r="H43" s="11"/>
      <c r="I43" s="11"/>
      <c r="J43" s="11"/>
      <c r="K43" s="11"/>
      <c r="L43" s="11">
        <v>1</v>
      </c>
      <c r="M43" s="13"/>
    </row>
    <row r="44" spans="1:13" ht="18.75" x14ac:dyDescent="0.3">
      <c r="A44" s="3">
        <v>43</v>
      </c>
      <c r="B44" s="10" t="s">
        <v>111</v>
      </c>
      <c r="C44" s="7" t="s">
        <v>21</v>
      </c>
      <c r="D44" s="11">
        <f>SUM(1274)</f>
        <v>1274</v>
      </c>
      <c r="E44" s="11">
        <f>SUM(111)</f>
        <v>111</v>
      </c>
      <c r="F44" s="12">
        <f>SUM(D44/E44)</f>
        <v>11.477477477477477</v>
      </c>
      <c r="G44" s="11">
        <v>1</v>
      </c>
      <c r="H44" s="11"/>
      <c r="I44" s="11"/>
      <c r="J44" s="11"/>
      <c r="K44" s="11"/>
      <c r="L44" s="11">
        <v>1</v>
      </c>
      <c r="M44" s="13"/>
    </row>
    <row r="45" spans="1:13" ht="18.75" x14ac:dyDescent="0.3">
      <c r="A45" s="3">
        <v>44</v>
      </c>
      <c r="B45" s="10" t="s">
        <v>110</v>
      </c>
      <c r="C45" s="7" t="s">
        <v>21</v>
      </c>
      <c r="D45" s="11">
        <f>SUM(1250)</f>
        <v>1250</v>
      </c>
      <c r="E45" s="11">
        <f>SUM(109)</f>
        <v>109</v>
      </c>
      <c r="F45" s="12">
        <f>SUM(D45/E45)</f>
        <v>11.467889908256881</v>
      </c>
      <c r="G45" s="11">
        <v>1</v>
      </c>
      <c r="H45" s="11"/>
      <c r="I45" s="11"/>
      <c r="J45" s="11"/>
      <c r="K45" s="11"/>
      <c r="L45" s="11"/>
      <c r="M45" s="13"/>
    </row>
    <row r="46" spans="1:13" ht="18.75" x14ac:dyDescent="0.3">
      <c r="A46" s="3">
        <v>45</v>
      </c>
      <c r="B46" s="16" t="s">
        <v>41</v>
      </c>
      <c r="C46" s="4" t="s">
        <v>28</v>
      </c>
      <c r="D46" s="11">
        <f>SUM(1487+1499)</f>
        <v>2986</v>
      </c>
      <c r="E46" s="11">
        <f>SUM(120+141)</f>
        <v>261</v>
      </c>
      <c r="F46" s="12">
        <f>SUM(D46/E46)</f>
        <v>11.440613026819923</v>
      </c>
      <c r="G46" s="11">
        <v>2</v>
      </c>
      <c r="H46" s="11">
        <v>1</v>
      </c>
      <c r="I46" s="11"/>
      <c r="J46" s="11"/>
      <c r="K46" s="11"/>
      <c r="L46" s="11">
        <v>5</v>
      </c>
      <c r="M46" s="13"/>
    </row>
    <row r="47" spans="1:13" ht="18.75" x14ac:dyDescent="0.3">
      <c r="A47" s="3">
        <v>46</v>
      </c>
      <c r="B47" s="10" t="s">
        <v>29</v>
      </c>
      <c r="C47" s="7" t="s">
        <v>23</v>
      </c>
      <c r="D47" s="11">
        <f>SUM(1204+1459)</f>
        <v>2663</v>
      </c>
      <c r="E47" s="11">
        <f>SUM(99+135)</f>
        <v>234</v>
      </c>
      <c r="F47" s="12">
        <f>SUM(D47/E47)</f>
        <v>11.380341880341881</v>
      </c>
      <c r="G47" s="11">
        <v>2</v>
      </c>
      <c r="H47" s="11">
        <v>1</v>
      </c>
      <c r="I47" s="11"/>
      <c r="J47" s="11"/>
      <c r="K47" s="11"/>
      <c r="L47" s="11">
        <v>3.5</v>
      </c>
      <c r="M47" s="13"/>
    </row>
    <row r="48" spans="1:13" ht="18.75" x14ac:dyDescent="0.3">
      <c r="A48" s="3">
        <v>47</v>
      </c>
      <c r="B48" s="36" t="s">
        <v>102</v>
      </c>
      <c r="C48" s="4" t="s">
        <v>21</v>
      </c>
      <c r="D48" s="11">
        <f>SUM(1467)</f>
        <v>1467</v>
      </c>
      <c r="E48" s="11">
        <f>SUM(130)</f>
        <v>130</v>
      </c>
      <c r="F48" s="12">
        <f>SUM(D48/E48)</f>
        <v>11.284615384615385</v>
      </c>
      <c r="G48" s="11">
        <v>1</v>
      </c>
      <c r="H48" s="11">
        <v>1</v>
      </c>
      <c r="I48" s="11"/>
      <c r="J48" s="11"/>
      <c r="K48" s="11"/>
      <c r="L48" s="11">
        <v>4</v>
      </c>
      <c r="M48" s="13"/>
    </row>
    <row r="49" spans="1:18" ht="18.75" x14ac:dyDescent="0.3">
      <c r="A49" s="3">
        <v>48</v>
      </c>
      <c r="B49" s="15" t="s">
        <v>94</v>
      </c>
      <c r="C49" s="4" t="s">
        <v>42</v>
      </c>
      <c r="D49" s="11">
        <f>SUM(1484+1490)</f>
        <v>2974</v>
      </c>
      <c r="E49" s="11">
        <f>SUM(126+139)</f>
        <v>265</v>
      </c>
      <c r="F49" s="12">
        <f>SUM(D49/E49)</f>
        <v>11.222641509433963</v>
      </c>
      <c r="G49" s="11">
        <v>2</v>
      </c>
      <c r="H49" s="11"/>
      <c r="I49" s="11"/>
      <c r="J49" s="11"/>
      <c r="K49" s="11"/>
      <c r="L49" s="11">
        <v>5.5</v>
      </c>
      <c r="M49" s="13"/>
    </row>
    <row r="50" spans="1:18" ht="18.75" x14ac:dyDescent="0.3">
      <c r="A50" s="3">
        <v>49</v>
      </c>
      <c r="B50" s="15" t="s">
        <v>59</v>
      </c>
      <c r="C50" s="17" t="s">
        <v>53</v>
      </c>
      <c r="D50" s="11">
        <f>SUM(1368)</f>
        <v>1368</v>
      </c>
      <c r="E50" s="11">
        <f>SUM(122)</f>
        <v>122</v>
      </c>
      <c r="F50" s="12">
        <f>SUM(D50/E50)</f>
        <v>11.21311475409836</v>
      </c>
      <c r="G50" s="11">
        <v>1</v>
      </c>
      <c r="H50" s="11">
        <v>1</v>
      </c>
      <c r="I50" s="11"/>
      <c r="J50" s="11"/>
      <c r="K50" s="11"/>
      <c r="L50" s="11">
        <v>3.5</v>
      </c>
      <c r="M50" s="13"/>
    </row>
    <row r="51" spans="1:18" ht="18.75" x14ac:dyDescent="0.3">
      <c r="A51" s="3">
        <v>50</v>
      </c>
      <c r="B51" s="15" t="s">
        <v>109</v>
      </c>
      <c r="C51" s="4" t="s">
        <v>53</v>
      </c>
      <c r="D51" s="11">
        <f>SUM(496)</f>
        <v>496</v>
      </c>
      <c r="E51" s="11">
        <f>SUM(45)</f>
        <v>45</v>
      </c>
      <c r="F51" s="12">
        <f>SUM(D51/E51)</f>
        <v>11.022222222222222</v>
      </c>
      <c r="G51" s="11">
        <v>1</v>
      </c>
      <c r="H51" s="11"/>
      <c r="I51" s="11"/>
      <c r="J51" s="11"/>
      <c r="K51" s="11"/>
      <c r="L51" s="11">
        <v>1</v>
      </c>
      <c r="M51" s="13"/>
    </row>
    <row r="52" spans="1:18" ht="18.75" x14ac:dyDescent="0.3">
      <c r="A52" s="3">
        <v>51</v>
      </c>
      <c r="B52" s="15" t="s">
        <v>55</v>
      </c>
      <c r="C52" s="4" t="s">
        <v>53</v>
      </c>
      <c r="D52" s="11">
        <f>SUM(1363+1275)</f>
        <v>2638</v>
      </c>
      <c r="E52" s="11">
        <f>SUM(123+117)</f>
        <v>240</v>
      </c>
      <c r="F52" s="12">
        <f>SUM(D52/E52)</f>
        <v>10.991666666666667</v>
      </c>
      <c r="G52" s="11">
        <v>2</v>
      </c>
      <c r="H52" s="11"/>
      <c r="I52" s="11"/>
      <c r="J52" s="11"/>
      <c r="K52" s="11"/>
      <c r="L52" s="11">
        <v>1.5</v>
      </c>
      <c r="M52" s="13"/>
    </row>
    <row r="53" spans="1:18" ht="18.75" x14ac:dyDescent="0.3">
      <c r="A53" s="3">
        <v>52</v>
      </c>
      <c r="B53" s="15" t="s">
        <v>108</v>
      </c>
      <c r="C53" s="4" t="s">
        <v>19</v>
      </c>
      <c r="D53" s="11">
        <f>SUM(501)</f>
        <v>501</v>
      </c>
      <c r="E53" s="11">
        <f>SUM(46)</f>
        <v>46</v>
      </c>
      <c r="F53" s="12">
        <f>SUM(D53/E53)</f>
        <v>10.891304347826088</v>
      </c>
      <c r="G53" s="11">
        <v>1</v>
      </c>
      <c r="H53" s="11"/>
      <c r="I53" s="11"/>
      <c r="J53" s="11"/>
      <c r="K53" s="11"/>
      <c r="L53" s="11">
        <v>4.5</v>
      </c>
      <c r="M53" s="13"/>
    </row>
    <row r="54" spans="1:18" ht="18.75" x14ac:dyDescent="0.3">
      <c r="A54" s="3">
        <v>53</v>
      </c>
      <c r="B54" s="15" t="s">
        <v>63</v>
      </c>
      <c r="C54" s="4" t="s">
        <v>21</v>
      </c>
      <c r="D54" s="11">
        <f>SUM(1452)</f>
        <v>1452</v>
      </c>
      <c r="E54" s="11">
        <f>SUM(135)</f>
        <v>135</v>
      </c>
      <c r="F54" s="12">
        <f>SUM(D54/E54)</f>
        <v>10.755555555555556</v>
      </c>
      <c r="G54" s="11">
        <v>1</v>
      </c>
      <c r="H54" s="11"/>
      <c r="I54" s="11"/>
      <c r="J54" s="11"/>
      <c r="K54" s="11"/>
      <c r="L54" s="11">
        <v>2.5</v>
      </c>
      <c r="M54" s="13"/>
    </row>
    <row r="55" spans="1:18" ht="18.75" x14ac:dyDescent="0.3">
      <c r="A55" s="3">
        <v>54</v>
      </c>
      <c r="B55" s="4" t="s">
        <v>54</v>
      </c>
      <c r="C55" s="17" t="s">
        <v>47</v>
      </c>
      <c r="D55" s="11">
        <f>SUM(1478+1353)</f>
        <v>2831</v>
      </c>
      <c r="E55" s="11">
        <f>SUM(126+139)</f>
        <v>265</v>
      </c>
      <c r="F55" s="12">
        <f>SUM(D55/E55)</f>
        <v>10.683018867924527</v>
      </c>
      <c r="G55" s="11">
        <v>2</v>
      </c>
      <c r="H55" s="11">
        <v>1</v>
      </c>
      <c r="I55" s="11"/>
      <c r="J55" s="11"/>
      <c r="K55" s="11"/>
      <c r="L55" s="11">
        <v>5</v>
      </c>
      <c r="M55" s="13"/>
    </row>
    <row r="56" spans="1:18" ht="18.75" x14ac:dyDescent="0.3">
      <c r="A56" s="3">
        <v>55</v>
      </c>
      <c r="B56" s="38" t="s">
        <v>97</v>
      </c>
      <c r="C56" s="14" t="s">
        <v>47</v>
      </c>
      <c r="D56" s="11"/>
      <c r="E56" s="11"/>
      <c r="F56" s="12"/>
      <c r="G56" s="11"/>
      <c r="H56" s="11"/>
      <c r="I56" s="11"/>
      <c r="J56" s="11"/>
      <c r="K56" s="11"/>
      <c r="L56" s="11">
        <v>2</v>
      </c>
      <c r="M56" s="13"/>
    </row>
    <row r="57" spans="1:18" ht="17.25" customHeight="1" thickBot="1" x14ac:dyDescent="0.3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8" ht="19.5" customHeight="1" thickBot="1" x14ac:dyDescent="0.35">
      <c r="A58" s="5"/>
      <c r="B58" s="39" t="s">
        <v>107</v>
      </c>
      <c r="C58" s="27" t="s">
        <v>65</v>
      </c>
      <c r="D58" s="28" t="s">
        <v>66</v>
      </c>
      <c r="E58" s="29" t="s">
        <v>67</v>
      </c>
      <c r="F58" s="20" t="s">
        <v>91</v>
      </c>
      <c r="G58" s="30" t="s">
        <v>68</v>
      </c>
      <c r="I58" s="50" t="s">
        <v>69</v>
      </c>
      <c r="J58" s="51"/>
      <c r="K58" s="51"/>
      <c r="L58" s="51"/>
      <c r="M58" s="51"/>
      <c r="N58" s="51"/>
      <c r="O58" s="51"/>
      <c r="P58" s="51"/>
      <c r="Q58" s="51"/>
      <c r="R58" s="52"/>
    </row>
    <row r="59" spans="1:18" ht="18.75" x14ac:dyDescent="0.3">
      <c r="A59" s="5"/>
      <c r="B59" s="40"/>
      <c r="C59" s="17" t="s">
        <v>82</v>
      </c>
      <c r="D59" s="7">
        <v>2</v>
      </c>
      <c r="E59" s="22">
        <v>0</v>
      </c>
      <c r="F59" s="15"/>
      <c r="G59" s="23">
        <v>33</v>
      </c>
      <c r="I59" s="42" t="s">
        <v>70</v>
      </c>
      <c r="J59" s="43"/>
      <c r="K59" s="43"/>
      <c r="L59" s="43"/>
      <c r="M59" s="43"/>
      <c r="N59" s="53" t="s">
        <v>103</v>
      </c>
      <c r="O59" s="53"/>
      <c r="P59" s="53"/>
      <c r="Q59" s="53"/>
      <c r="R59" s="54"/>
    </row>
    <row r="60" spans="1:18" ht="18.75" x14ac:dyDescent="0.3">
      <c r="A60" s="5"/>
      <c r="B60" s="40"/>
      <c r="C60" s="17" t="s">
        <v>85</v>
      </c>
      <c r="D60" s="7">
        <v>2</v>
      </c>
      <c r="E60" s="22">
        <v>0</v>
      </c>
      <c r="F60" s="15"/>
      <c r="G60" s="23">
        <v>32</v>
      </c>
      <c r="I60" s="44" t="s">
        <v>72</v>
      </c>
      <c r="J60" s="45"/>
      <c r="K60" s="45"/>
      <c r="L60" s="45"/>
      <c r="M60" s="45"/>
      <c r="N60" s="48" t="s">
        <v>106</v>
      </c>
      <c r="O60" s="48"/>
      <c r="P60" s="48"/>
      <c r="Q60" s="48"/>
      <c r="R60" s="49"/>
    </row>
    <row r="61" spans="1:18" ht="18.75" x14ac:dyDescent="0.3">
      <c r="A61" s="5"/>
      <c r="B61" s="40"/>
      <c r="C61" s="18" t="s">
        <v>83</v>
      </c>
      <c r="D61" s="9">
        <v>2</v>
      </c>
      <c r="E61" s="10">
        <v>0</v>
      </c>
      <c r="F61" s="15"/>
      <c r="G61" s="18">
        <v>32</v>
      </c>
      <c r="I61" s="44" t="s">
        <v>74</v>
      </c>
      <c r="J61" s="45"/>
      <c r="K61" s="45"/>
      <c r="L61" s="45"/>
      <c r="M61" s="45"/>
      <c r="N61" s="48" t="s">
        <v>105</v>
      </c>
      <c r="O61" s="48"/>
      <c r="P61" s="48"/>
      <c r="Q61" s="48"/>
      <c r="R61" s="49"/>
    </row>
    <row r="62" spans="1:18" ht="18.75" x14ac:dyDescent="0.3">
      <c r="A62" s="6"/>
      <c r="B62" s="40"/>
      <c r="C62" s="17" t="s">
        <v>77</v>
      </c>
      <c r="D62" s="7">
        <v>2</v>
      </c>
      <c r="E62" s="22">
        <v>0</v>
      </c>
      <c r="F62" s="15"/>
      <c r="G62" s="23">
        <v>31</v>
      </c>
      <c r="I62" s="44" t="s">
        <v>76</v>
      </c>
      <c r="J62" s="45"/>
      <c r="K62" s="45"/>
      <c r="L62" s="45"/>
      <c r="M62" s="45"/>
      <c r="N62" s="48" t="s">
        <v>104</v>
      </c>
      <c r="O62" s="48"/>
      <c r="P62" s="48"/>
      <c r="Q62" s="48"/>
      <c r="R62" s="49"/>
    </row>
    <row r="63" spans="1:18" ht="18" customHeight="1" x14ac:dyDescent="0.3">
      <c r="A63" s="6"/>
      <c r="B63" s="40"/>
      <c r="C63" s="17" t="s">
        <v>71</v>
      </c>
      <c r="D63" s="7">
        <v>1</v>
      </c>
      <c r="E63" s="16">
        <v>1</v>
      </c>
      <c r="F63" s="15"/>
      <c r="G63" s="17">
        <v>33</v>
      </c>
      <c r="I63" s="44" t="s">
        <v>78</v>
      </c>
      <c r="J63" s="45"/>
      <c r="K63" s="45"/>
      <c r="L63" s="45"/>
      <c r="M63" s="45"/>
      <c r="N63" s="48" t="s">
        <v>105</v>
      </c>
      <c r="O63" s="48"/>
      <c r="P63" s="48"/>
      <c r="Q63" s="48"/>
      <c r="R63" s="49"/>
    </row>
    <row r="64" spans="1:18" ht="18" customHeight="1" thickBot="1" x14ac:dyDescent="0.35">
      <c r="A64" s="6"/>
      <c r="B64" s="40"/>
      <c r="C64" s="17" t="s">
        <v>75</v>
      </c>
      <c r="D64" s="7">
        <v>1</v>
      </c>
      <c r="E64" s="22">
        <v>1</v>
      </c>
      <c r="F64" s="15"/>
      <c r="G64" s="23">
        <v>23</v>
      </c>
      <c r="I64" s="46" t="s">
        <v>80</v>
      </c>
      <c r="J64" s="47"/>
      <c r="K64" s="47"/>
      <c r="L64" s="47"/>
      <c r="M64" s="47"/>
      <c r="N64" s="48" t="s">
        <v>104</v>
      </c>
      <c r="O64" s="48"/>
      <c r="P64" s="48"/>
      <c r="Q64" s="48"/>
      <c r="R64" s="49"/>
    </row>
    <row r="65" spans="1:9" ht="18.75" x14ac:dyDescent="0.3">
      <c r="A65" s="6"/>
      <c r="B65" s="40"/>
      <c r="C65" s="17" t="s">
        <v>73</v>
      </c>
      <c r="D65" s="7">
        <v>1</v>
      </c>
      <c r="E65" s="22">
        <v>1</v>
      </c>
      <c r="F65" s="15"/>
      <c r="G65" s="23">
        <v>22</v>
      </c>
      <c r="H65" s="6"/>
      <c r="I65" s="6"/>
    </row>
    <row r="66" spans="1:9" ht="18.75" x14ac:dyDescent="0.3">
      <c r="A66" s="6"/>
      <c r="B66" s="40"/>
      <c r="C66" s="18" t="s">
        <v>86</v>
      </c>
      <c r="D66" s="9">
        <v>1</v>
      </c>
      <c r="E66" s="10">
        <v>1</v>
      </c>
      <c r="F66" s="15"/>
      <c r="G66" s="18">
        <v>19</v>
      </c>
      <c r="H66" s="6"/>
    </row>
    <row r="67" spans="1:9" ht="18.75" x14ac:dyDescent="0.3">
      <c r="B67" s="40"/>
      <c r="C67" s="17" t="s">
        <v>81</v>
      </c>
      <c r="D67" s="7">
        <v>0</v>
      </c>
      <c r="E67" s="16">
        <v>2</v>
      </c>
      <c r="F67" s="15"/>
      <c r="G67" s="17">
        <v>17</v>
      </c>
    </row>
    <row r="68" spans="1:9" ht="18.75" x14ac:dyDescent="0.3">
      <c r="B68" s="40"/>
      <c r="C68" s="18" t="s">
        <v>84</v>
      </c>
      <c r="D68" s="9">
        <v>0</v>
      </c>
      <c r="E68" s="10">
        <v>2</v>
      </c>
      <c r="F68" s="15"/>
      <c r="G68" s="18">
        <v>13</v>
      </c>
    </row>
    <row r="69" spans="1:9" ht="18.75" x14ac:dyDescent="0.3">
      <c r="B69" s="40"/>
      <c r="C69" s="19" t="s">
        <v>101</v>
      </c>
      <c r="D69" s="14">
        <v>0</v>
      </c>
      <c r="E69" s="21">
        <v>2</v>
      </c>
      <c r="F69" s="26"/>
      <c r="G69" s="19">
        <v>14</v>
      </c>
    </row>
    <row r="70" spans="1:9" ht="19.5" thickBot="1" x14ac:dyDescent="0.35">
      <c r="B70" s="41"/>
      <c r="C70" s="18" t="s">
        <v>79</v>
      </c>
      <c r="D70" s="9">
        <v>0</v>
      </c>
      <c r="E70" s="10">
        <v>2</v>
      </c>
      <c r="F70" s="15"/>
      <c r="G70" s="18">
        <v>19</v>
      </c>
    </row>
    <row r="71" spans="1:9" ht="15.75" thickBot="1" x14ac:dyDescent="0.3"/>
    <row r="72" spans="1:9" ht="19.5" thickBot="1" x14ac:dyDescent="0.35">
      <c r="C72" s="27" t="s">
        <v>87</v>
      </c>
      <c r="D72" s="28" t="s">
        <v>66</v>
      </c>
      <c r="E72" s="28" t="s">
        <v>67</v>
      </c>
      <c r="F72" s="20" t="s">
        <v>91</v>
      </c>
      <c r="G72" s="31" t="s">
        <v>68</v>
      </c>
    </row>
    <row r="73" spans="1:9" ht="18.75" x14ac:dyDescent="0.3">
      <c r="C73" s="14" t="s">
        <v>82</v>
      </c>
      <c r="D73" s="14">
        <v>2</v>
      </c>
      <c r="E73" s="24">
        <v>0</v>
      </c>
      <c r="F73" s="15"/>
      <c r="G73" s="25">
        <v>33</v>
      </c>
    </row>
    <row r="74" spans="1:9" ht="18.75" x14ac:dyDescent="0.3">
      <c r="C74" s="7" t="s">
        <v>77</v>
      </c>
      <c r="D74" s="7">
        <v>2</v>
      </c>
      <c r="E74" s="22">
        <v>0</v>
      </c>
      <c r="F74" s="15"/>
      <c r="G74" s="23">
        <v>31</v>
      </c>
    </row>
    <row r="75" spans="1:9" ht="18.75" x14ac:dyDescent="0.3">
      <c r="C75" s="14" t="s">
        <v>71</v>
      </c>
      <c r="D75" s="14">
        <v>1</v>
      </c>
      <c r="E75" s="21">
        <v>1</v>
      </c>
      <c r="F75" s="26"/>
      <c r="G75" s="19">
        <v>33</v>
      </c>
    </row>
    <row r="76" spans="1:9" ht="18.75" x14ac:dyDescent="0.3">
      <c r="C76" s="14" t="s">
        <v>75</v>
      </c>
      <c r="D76" s="14">
        <v>1</v>
      </c>
      <c r="E76" s="24">
        <v>1</v>
      </c>
      <c r="F76" s="26"/>
      <c r="G76" s="25">
        <v>23</v>
      </c>
    </row>
    <row r="77" spans="1:9" ht="15.75" thickBot="1" x14ac:dyDescent="0.3"/>
    <row r="78" spans="1:9" ht="19.5" thickBot="1" x14ac:dyDescent="0.35">
      <c r="C78" s="27" t="s">
        <v>88</v>
      </c>
      <c r="D78" s="28" t="s">
        <v>66</v>
      </c>
      <c r="E78" s="28" t="s">
        <v>67</v>
      </c>
      <c r="F78" s="20" t="s">
        <v>91</v>
      </c>
      <c r="G78" s="31" t="s">
        <v>68</v>
      </c>
    </row>
    <row r="79" spans="1:9" ht="18.75" x14ac:dyDescent="0.3">
      <c r="C79" s="7" t="s">
        <v>85</v>
      </c>
      <c r="D79" s="7">
        <v>2</v>
      </c>
      <c r="E79" s="22">
        <v>0</v>
      </c>
      <c r="F79" s="15"/>
      <c r="G79" s="23">
        <v>32</v>
      </c>
    </row>
    <row r="80" spans="1:9" ht="18.75" x14ac:dyDescent="0.3">
      <c r="C80" s="9" t="s">
        <v>83</v>
      </c>
      <c r="D80" s="9">
        <v>2</v>
      </c>
      <c r="E80" s="10">
        <v>0</v>
      </c>
      <c r="F80" s="15"/>
      <c r="G80" s="18">
        <v>32</v>
      </c>
    </row>
    <row r="81" spans="3:7" ht="18.75" x14ac:dyDescent="0.3">
      <c r="C81" s="9" t="s">
        <v>79</v>
      </c>
      <c r="D81" s="9">
        <v>0</v>
      </c>
      <c r="E81" s="10">
        <v>2</v>
      </c>
      <c r="F81" s="15"/>
      <c r="G81" s="18">
        <v>19</v>
      </c>
    </row>
    <row r="82" spans="3:7" ht="18.75" x14ac:dyDescent="0.3">
      <c r="C82" s="14" t="s">
        <v>101</v>
      </c>
      <c r="D82" s="14">
        <v>0</v>
      </c>
      <c r="E82" s="21">
        <v>2</v>
      </c>
      <c r="F82" s="26"/>
      <c r="G82" s="19">
        <v>14</v>
      </c>
    </row>
    <row r="83" spans="3:7" ht="15.75" thickBot="1" x14ac:dyDescent="0.3"/>
    <row r="84" spans="3:7" ht="19.5" thickBot="1" x14ac:dyDescent="0.35">
      <c r="C84" s="32" t="s">
        <v>89</v>
      </c>
      <c r="D84" s="33" t="s">
        <v>66</v>
      </c>
      <c r="E84" s="33" t="s">
        <v>67</v>
      </c>
      <c r="F84" s="20" t="s">
        <v>91</v>
      </c>
      <c r="G84" s="34" t="s">
        <v>68</v>
      </c>
    </row>
    <row r="85" spans="3:7" ht="18.75" x14ac:dyDescent="0.3">
      <c r="C85" s="14" t="s">
        <v>73</v>
      </c>
      <c r="D85" s="14">
        <v>1</v>
      </c>
      <c r="E85" s="24">
        <v>1</v>
      </c>
      <c r="F85" s="15"/>
      <c r="G85" s="25">
        <v>22</v>
      </c>
    </row>
    <row r="86" spans="3:7" ht="18.75" x14ac:dyDescent="0.3">
      <c r="C86" s="9" t="s">
        <v>86</v>
      </c>
      <c r="D86" s="9">
        <v>1</v>
      </c>
      <c r="E86" s="10">
        <v>1</v>
      </c>
      <c r="F86" s="15"/>
      <c r="G86" s="18">
        <v>19</v>
      </c>
    </row>
    <row r="87" spans="3:7" ht="18.75" x14ac:dyDescent="0.3">
      <c r="C87" s="7" t="s">
        <v>81</v>
      </c>
      <c r="D87" s="7">
        <v>0</v>
      </c>
      <c r="E87" s="16">
        <v>2</v>
      </c>
      <c r="F87" s="15"/>
      <c r="G87" s="17">
        <v>17</v>
      </c>
    </row>
    <row r="88" spans="3:7" ht="18.75" x14ac:dyDescent="0.3">
      <c r="C88" s="9" t="s">
        <v>84</v>
      </c>
      <c r="D88" s="9">
        <v>0</v>
      </c>
      <c r="E88" s="10">
        <v>2</v>
      </c>
      <c r="F88" s="15"/>
      <c r="G88" s="18">
        <v>13</v>
      </c>
    </row>
  </sheetData>
  <mergeCells count="14">
    <mergeCell ref="N64:R64"/>
    <mergeCell ref="I58:R58"/>
    <mergeCell ref="N59:R59"/>
    <mergeCell ref="N60:R60"/>
    <mergeCell ref="N61:R61"/>
    <mergeCell ref="N62:R62"/>
    <mergeCell ref="N63:R63"/>
    <mergeCell ref="B58:B70"/>
    <mergeCell ref="I59:M59"/>
    <mergeCell ref="I60:M60"/>
    <mergeCell ref="I61:M61"/>
    <mergeCell ref="I62:M62"/>
    <mergeCell ref="I63:M63"/>
    <mergeCell ref="I64:M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workbookViewId="0">
      <pane ySplit="1" topLeftCell="A63" activePane="bottomLeft" state="frozen"/>
      <selection pane="bottomLeft" activeCell="L85" sqref="L85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SUM(1444+1481+1503)</f>
        <v>4428</v>
      </c>
      <c r="E2" s="11">
        <f>SUM(74+87+96)</f>
        <v>257</v>
      </c>
      <c r="F2" s="12">
        <f>SUM(D2/E2)</f>
        <v>17.229571984435797</v>
      </c>
      <c r="G2" s="11">
        <v>3</v>
      </c>
      <c r="H2" s="11">
        <v>2</v>
      </c>
      <c r="I2" s="11"/>
      <c r="J2" s="11"/>
      <c r="K2" s="11"/>
      <c r="L2" s="11">
        <v>12</v>
      </c>
      <c r="M2" s="13">
        <v>5</v>
      </c>
    </row>
    <row r="3" spans="1:13" ht="18.75" x14ac:dyDescent="0.3">
      <c r="A3" s="3">
        <v>2</v>
      </c>
      <c r="B3" s="4" t="s">
        <v>33</v>
      </c>
      <c r="C3" s="4" t="s">
        <v>16</v>
      </c>
      <c r="D3" s="11">
        <f>SUM(1464+1483+1503)</f>
        <v>4450</v>
      </c>
      <c r="E3" s="11">
        <f>SUM(83+89+91)</f>
        <v>263</v>
      </c>
      <c r="F3" s="12">
        <f>SUM(D3/E3)</f>
        <v>16.920152091254753</v>
      </c>
      <c r="G3" s="11">
        <v>3</v>
      </c>
      <c r="H3" s="11">
        <v>3</v>
      </c>
      <c r="I3" s="11"/>
      <c r="J3" s="11"/>
      <c r="K3" s="11"/>
      <c r="L3" s="11">
        <v>12.5</v>
      </c>
      <c r="M3" s="13"/>
    </row>
    <row r="4" spans="1:13" ht="18.75" x14ac:dyDescent="0.3">
      <c r="A4" s="3">
        <v>3</v>
      </c>
      <c r="B4" s="15" t="s">
        <v>46</v>
      </c>
      <c r="C4" s="4" t="s">
        <v>47</v>
      </c>
      <c r="D4" s="11">
        <f>SUM(1503+1503)</f>
        <v>3006</v>
      </c>
      <c r="E4" s="11">
        <f>SUM(87+94)</f>
        <v>181</v>
      </c>
      <c r="F4" s="12">
        <f>SUM(D4/E4)</f>
        <v>16.607734806629836</v>
      </c>
      <c r="G4" s="11">
        <v>2</v>
      </c>
      <c r="H4" s="11">
        <v>2</v>
      </c>
      <c r="I4" s="11"/>
      <c r="J4" s="11"/>
      <c r="K4" s="11"/>
      <c r="L4" s="11">
        <v>9.5</v>
      </c>
      <c r="M4" s="13">
        <v>5</v>
      </c>
    </row>
    <row r="5" spans="1:13" ht="18.75" x14ac:dyDescent="0.3">
      <c r="A5" s="3">
        <v>4</v>
      </c>
      <c r="B5" s="4" t="s">
        <v>13</v>
      </c>
      <c r="C5" s="4" t="s">
        <v>14</v>
      </c>
      <c r="D5" s="11">
        <f>SUM(1360+1372+1443)</f>
        <v>4175</v>
      </c>
      <c r="E5" s="11">
        <f>SUM(71+94+91)</f>
        <v>256</v>
      </c>
      <c r="F5" s="12">
        <f>SUM(D5/E5)</f>
        <v>16.30859375</v>
      </c>
      <c r="G5" s="11">
        <v>3</v>
      </c>
      <c r="H5" s="11">
        <v>1</v>
      </c>
      <c r="I5" s="11"/>
      <c r="J5" s="11"/>
      <c r="K5" s="11"/>
      <c r="L5" s="11">
        <v>10.5</v>
      </c>
      <c r="M5" s="13"/>
    </row>
    <row r="6" spans="1:13" ht="18.75" x14ac:dyDescent="0.3">
      <c r="A6" s="3">
        <v>5</v>
      </c>
      <c r="B6" s="4" t="s">
        <v>11</v>
      </c>
      <c r="C6" s="4" t="s">
        <v>12</v>
      </c>
      <c r="D6" s="11">
        <f>SUM(1494+1503+1413)</f>
        <v>4410</v>
      </c>
      <c r="E6" s="11">
        <f>SUM(102+87+93)</f>
        <v>282</v>
      </c>
      <c r="F6" s="12">
        <f>SUM(D6/E6)</f>
        <v>15.638297872340425</v>
      </c>
      <c r="G6" s="11">
        <v>3</v>
      </c>
      <c r="H6" s="11">
        <v>3</v>
      </c>
      <c r="I6" s="11"/>
      <c r="J6" s="11"/>
      <c r="K6" s="11"/>
      <c r="L6" s="11">
        <v>10.5</v>
      </c>
      <c r="M6" s="13"/>
    </row>
    <row r="7" spans="1:13" ht="18.75" x14ac:dyDescent="0.3">
      <c r="A7" s="3">
        <v>6</v>
      </c>
      <c r="B7" s="4" t="s">
        <v>37</v>
      </c>
      <c r="C7" s="4" t="s">
        <v>21</v>
      </c>
      <c r="D7" s="11">
        <f>SUM(1501+1495)</f>
        <v>2996</v>
      </c>
      <c r="E7" s="11">
        <f>SUM(106+86)</f>
        <v>192</v>
      </c>
      <c r="F7" s="12">
        <f>SUM(D7/E7)</f>
        <v>15.604166666666666</v>
      </c>
      <c r="G7" s="11">
        <v>2</v>
      </c>
      <c r="H7" s="11">
        <v>2</v>
      </c>
      <c r="I7" s="11"/>
      <c r="J7" s="11"/>
      <c r="K7" s="11"/>
      <c r="L7" s="11">
        <v>6.5</v>
      </c>
      <c r="M7" s="13"/>
    </row>
    <row r="8" spans="1:13" ht="18.75" x14ac:dyDescent="0.3">
      <c r="A8" s="3">
        <v>7</v>
      </c>
      <c r="B8" s="4" t="s">
        <v>17</v>
      </c>
      <c r="C8" s="4" t="s">
        <v>14</v>
      </c>
      <c r="D8" s="11">
        <f>SUM(1280+1503+1449)</f>
        <v>4232</v>
      </c>
      <c r="E8" s="11">
        <f>SUM(79+100+93)</f>
        <v>272</v>
      </c>
      <c r="F8" s="12">
        <f>SUM(D8/E8)</f>
        <v>15.558823529411764</v>
      </c>
      <c r="G8" s="11">
        <v>3</v>
      </c>
      <c r="H8" s="11">
        <v>1</v>
      </c>
      <c r="I8" s="11"/>
      <c r="J8" s="11"/>
      <c r="K8" s="11"/>
      <c r="L8" s="35">
        <v>8</v>
      </c>
      <c r="M8" s="13"/>
    </row>
    <row r="9" spans="1:13" ht="18.75" x14ac:dyDescent="0.3">
      <c r="A9" s="3">
        <v>8</v>
      </c>
      <c r="B9" s="3" t="s">
        <v>31</v>
      </c>
      <c r="C9" s="4" t="s">
        <v>32</v>
      </c>
      <c r="D9" s="11">
        <f>SUM(1503+1469+1417)</f>
        <v>4389</v>
      </c>
      <c r="E9" s="11">
        <f>SUM(79+96+108)</f>
        <v>283</v>
      </c>
      <c r="F9" s="12">
        <f>SUM(D9/E9)</f>
        <v>15.508833922261484</v>
      </c>
      <c r="G9" s="11">
        <v>3</v>
      </c>
      <c r="H9" s="11">
        <v>1</v>
      </c>
      <c r="I9" s="11"/>
      <c r="J9" s="11"/>
      <c r="K9" s="11"/>
      <c r="L9" s="11">
        <v>8.5</v>
      </c>
      <c r="M9" s="13"/>
    </row>
    <row r="10" spans="1:13" ht="18.75" x14ac:dyDescent="0.3">
      <c r="A10" s="3">
        <v>9</v>
      </c>
      <c r="B10" s="4" t="s">
        <v>15</v>
      </c>
      <c r="C10" s="7" t="s">
        <v>16</v>
      </c>
      <c r="D10" s="11">
        <f>SUM(1503+1503+1503)</f>
        <v>4509</v>
      </c>
      <c r="E10" s="11">
        <f>SUM(94+109+90)</f>
        <v>293</v>
      </c>
      <c r="F10" s="12">
        <f>SUM(D10/E10)</f>
        <v>15.389078498293514</v>
      </c>
      <c r="G10" s="11">
        <v>3</v>
      </c>
      <c r="H10" s="11">
        <v>3</v>
      </c>
      <c r="I10" s="11"/>
      <c r="J10" s="11"/>
      <c r="K10" s="11"/>
      <c r="L10" s="11">
        <v>15</v>
      </c>
      <c r="M10" s="13"/>
    </row>
    <row r="11" spans="1:13" ht="18.75" x14ac:dyDescent="0.3">
      <c r="A11" s="3">
        <v>10</v>
      </c>
      <c r="B11" s="4" t="s">
        <v>36</v>
      </c>
      <c r="C11" s="4" t="s">
        <v>12</v>
      </c>
      <c r="D11" s="11">
        <f>SUM(1503+1503+1503)</f>
        <v>4509</v>
      </c>
      <c r="E11" s="11">
        <f>SUM(93+115+87)</f>
        <v>295</v>
      </c>
      <c r="F11" s="12">
        <f>SUM(D11/E11)</f>
        <v>15.284745762711864</v>
      </c>
      <c r="G11" s="11">
        <v>3</v>
      </c>
      <c r="H11" s="11">
        <v>3</v>
      </c>
      <c r="I11" s="11"/>
      <c r="J11" s="11"/>
      <c r="K11" s="11"/>
      <c r="L11" s="11">
        <v>14.5</v>
      </c>
      <c r="M11" s="13">
        <v>10</v>
      </c>
    </row>
    <row r="12" spans="1:13" ht="18.75" x14ac:dyDescent="0.3">
      <c r="A12" s="3">
        <v>11</v>
      </c>
      <c r="B12" s="15" t="s">
        <v>45</v>
      </c>
      <c r="C12" s="4" t="s">
        <v>32</v>
      </c>
      <c r="D12" s="11">
        <f>SUM(1503+1471+1326)</f>
        <v>4300</v>
      </c>
      <c r="E12" s="11">
        <f>SUM(100+103+79)</f>
        <v>282</v>
      </c>
      <c r="F12" s="12">
        <f>SUM(D12/E12)</f>
        <v>15.24822695035461</v>
      </c>
      <c r="G12" s="11">
        <v>3</v>
      </c>
      <c r="H12" s="11">
        <v>2</v>
      </c>
      <c r="I12" s="11"/>
      <c r="J12" s="11"/>
      <c r="K12" s="11"/>
      <c r="L12" s="11">
        <v>13.5</v>
      </c>
      <c r="M12" s="13"/>
    </row>
    <row r="13" spans="1:13" ht="18.75" x14ac:dyDescent="0.3">
      <c r="A13" s="3">
        <v>12</v>
      </c>
      <c r="B13" s="4" t="s">
        <v>24</v>
      </c>
      <c r="C13" s="4" t="s">
        <v>23</v>
      </c>
      <c r="D13" s="11">
        <f>SUM(1501+1472+1503)</f>
        <v>4476</v>
      </c>
      <c r="E13" s="11">
        <f>SUM(87+99+109)</f>
        <v>295</v>
      </c>
      <c r="F13" s="12">
        <f>SUM(D13/E13)</f>
        <v>15.172881355932203</v>
      </c>
      <c r="G13" s="11">
        <v>3</v>
      </c>
      <c r="H13" s="11">
        <v>2</v>
      </c>
      <c r="I13" s="11"/>
      <c r="J13" s="11"/>
      <c r="K13" s="11"/>
      <c r="L13" s="11">
        <v>9</v>
      </c>
      <c r="M13" s="13"/>
    </row>
    <row r="14" spans="1:13" ht="18.75" x14ac:dyDescent="0.3">
      <c r="A14" s="3">
        <v>13</v>
      </c>
      <c r="B14" s="4" t="s">
        <v>18</v>
      </c>
      <c r="C14" s="4" t="s">
        <v>19</v>
      </c>
      <c r="D14" s="11">
        <f>SUM(1403+1503+1328)</f>
        <v>4234</v>
      </c>
      <c r="E14" s="11">
        <f>SUM(96+99+87)</f>
        <v>282</v>
      </c>
      <c r="F14" s="12">
        <f>SUM(D14/E14)</f>
        <v>15.01418439716312</v>
      </c>
      <c r="G14" s="11">
        <v>3</v>
      </c>
      <c r="H14" s="11">
        <v>1</v>
      </c>
      <c r="I14" s="11"/>
      <c r="J14" s="11"/>
      <c r="K14" s="11"/>
      <c r="L14" s="11">
        <v>8</v>
      </c>
      <c r="M14" s="13"/>
    </row>
    <row r="15" spans="1:13" ht="18.75" x14ac:dyDescent="0.3">
      <c r="A15" s="3">
        <v>14</v>
      </c>
      <c r="B15" s="4" t="s">
        <v>22</v>
      </c>
      <c r="C15" s="4" t="s">
        <v>23</v>
      </c>
      <c r="D15" s="11">
        <f>SUM(1499+1497+1503)</f>
        <v>4499</v>
      </c>
      <c r="E15" s="11">
        <f>SUM(101+88+116)</f>
        <v>305</v>
      </c>
      <c r="F15" s="12">
        <f>SUM(D15/E15)</f>
        <v>14.750819672131147</v>
      </c>
      <c r="G15" s="11">
        <v>3</v>
      </c>
      <c r="H15" s="11">
        <v>3</v>
      </c>
      <c r="I15" s="11"/>
      <c r="J15" s="11"/>
      <c r="K15" s="11"/>
      <c r="L15" s="11">
        <v>13</v>
      </c>
      <c r="M15" s="13"/>
    </row>
    <row r="16" spans="1:13" ht="18.75" x14ac:dyDescent="0.3">
      <c r="A16" s="3">
        <v>15</v>
      </c>
      <c r="B16" s="4" t="s">
        <v>62</v>
      </c>
      <c r="C16" s="4" t="s">
        <v>19</v>
      </c>
      <c r="D16" s="11">
        <f>SUM(1290+1479+1300)</f>
        <v>4069</v>
      </c>
      <c r="E16" s="11">
        <f>SUM(76+107+93)</f>
        <v>276</v>
      </c>
      <c r="F16" s="12">
        <f>SUM(D16/E16)</f>
        <v>14.742753623188406</v>
      </c>
      <c r="G16" s="11">
        <v>3</v>
      </c>
      <c r="H16" s="11">
        <v>1</v>
      </c>
      <c r="I16" s="11"/>
      <c r="J16" s="11"/>
      <c r="K16" s="11"/>
      <c r="L16" s="11">
        <v>9.5</v>
      </c>
      <c r="M16" s="13">
        <v>5</v>
      </c>
    </row>
    <row r="17" spans="1:13" ht="18.75" x14ac:dyDescent="0.3">
      <c r="A17" s="3">
        <v>16</v>
      </c>
      <c r="B17" s="15" t="s">
        <v>49</v>
      </c>
      <c r="C17" s="4" t="s">
        <v>28</v>
      </c>
      <c r="D17" s="11">
        <f>SUM(1503+1503+1426)</f>
        <v>4432</v>
      </c>
      <c r="E17" s="11">
        <f>SUM(129+86+86)</f>
        <v>301</v>
      </c>
      <c r="F17" s="12">
        <f>SUM(D17/E17)</f>
        <v>14.724252491694353</v>
      </c>
      <c r="G17" s="11">
        <v>3</v>
      </c>
      <c r="H17" s="11">
        <v>3</v>
      </c>
      <c r="I17" s="11"/>
      <c r="J17" s="11"/>
      <c r="K17" s="11"/>
      <c r="L17" s="11">
        <v>11.5</v>
      </c>
      <c r="M17" s="13">
        <v>15</v>
      </c>
    </row>
    <row r="18" spans="1:13" ht="18.75" x14ac:dyDescent="0.3">
      <c r="A18" s="3">
        <v>17</v>
      </c>
      <c r="B18" s="4" t="s">
        <v>30</v>
      </c>
      <c r="C18" s="4" t="s">
        <v>19</v>
      </c>
      <c r="D18" s="11">
        <f>SUM(1434+1354)</f>
        <v>2788</v>
      </c>
      <c r="E18" s="11">
        <f>SUM(100+90)</f>
        <v>190</v>
      </c>
      <c r="F18" s="12">
        <f>SUM(D18/E18)</f>
        <v>14.673684210526316</v>
      </c>
      <c r="G18" s="11">
        <v>2</v>
      </c>
      <c r="H18" s="11"/>
      <c r="I18" s="11"/>
      <c r="J18" s="11"/>
      <c r="K18" s="11"/>
      <c r="L18" s="11">
        <v>6.5</v>
      </c>
      <c r="M18" s="13"/>
    </row>
    <row r="19" spans="1:13" ht="18.75" x14ac:dyDescent="0.3">
      <c r="A19" s="3">
        <v>18</v>
      </c>
      <c r="B19" s="4" t="s">
        <v>90</v>
      </c>
      <c r="C19" s="7" t="s">
        <v>12</v>
      </c>
      <c r="D19" s="11">
        <f>SUM(1361+1497+1376)</f>
        <v>4234</v>
      </c>
      <c r="E19" s="11">
        <f>SUM(83+112+96)</f>
        <v>291</v>
      </c>
      <c r="F19" s="12">
        <f>SUM(D19/E19)</f>
        <v>14.549828178694158</v>
      </c>
      <c r="G19" s="11">
        <v>3</v>
      </c>
      <c r="H19" s="11">
        <v>2</v>
      </c>
      <c r="I19" s="11"/>
      <c r="J19" s="11"/>
      <c r="K19" s="11"/>
      <c r="L19" s="11">
        <v>9</v>
      </c>
      <c r="M19" s="13"/>
    </row>
    <row r="20" spans="1:13" ht="18.75" x14ac:dyDescent="0.3">
      <c r="A20" s="3">
        <v>19</v>
      </c>
      <c r="B20" s="4" t="s">
        <v>27</v>
      </c>
      <c r="C20" s="4" t="s">
        <v>28</v>
      </c>
      <c r="D20" s="11">
        <f>SUM(1471+1503+1503)</f>
        <v>4477</v>
      </c>
      <c r="E20" s="11">
        <f>SUM(111+90+109)</f>
        <v>310</v>
      </c>
      <c r="F20" s="12">
        <f>SUM(D20/E20)</f>
        <v>14.441935483870967</v>
      </c>
      <c r="G20" s="11">
        <v>3</v>
      </c>
      <c r="H20" s="11">
        <v>3</v>
      </c>
      <c r="I20" s="11"/>
      <c r="J20" s="11"/>
      <c r="K20" s="11"/>
      <c r="L20" s="11">
        <v>13.5</v>
      </c>
      <c r="M20" s="13"/>
    </row>
    <row r="21" spans="1:13" ht="18.75" x14ac:dyDescent="0.3">
      <c r="A21" s="3">
        <v>20</v>
      </c>
      <c r="B21" s="3" t="s">
        <v>48</v>
      </c>
      <c r="C21" s="4" t="s">
        <v>32</v>
      </c>
      <c r="D21" s="11">
        <f>SUM(1239+1483+1425)</f>
        <v>4147</v>
      </c>
      <c r="E21" s="11">
        <f>SUM(95+93+104)</f>
        <v>292</v>
      </c>
      <c r="F21" s="12">
        <f>SUM(D21/E21)</f>
        <v>14.202054794520548</v>
      </c>
      <c r="G21" s="11">
        <v>3</v>
      </c>
      <c r="H21" s="11">
        <v>1</v>
      </c>
      <c r="I21" s="11"/>
      <c r="J21" s="11"/>
      <c r="K21" s="11"/>
      <c r="L21" s="11">
        <v>11</v>
      </c>
      <c r="M21" s="13"/>
    </row>
    <row r="22" spans="1:13" ht="18.75" x14ac:dyDescent="0.3">
      <c r="A22" s="3">
        <v>21</v>
      </c>
      <c r="B22" s="15" t="s">
        <v>92</v>
      </c>
      <c r="C22" s="4" t="s">
        <v>42</v>
      </c>
      <c r="D22" s="11">
        <f>SUM(1319+1334+1503)</f>
        <v>4156</v>
      </c>
      <c r="E22" s="11">
        <f>SUM(106+84+103)</f>
        <v>293</v>
      </c>
      <c r="F22" s="12">
        <f>SUM(D22/E22)</f>
        <v>14.184300341296929</v>
      </c>
      <c r="G22" s="11">
        <v>3</v>
      </c>
      <c r="H22" s="11">
        <v>1</v>
      </c>
      <c r="I22" s="11"/>
      <c r="J22" s="11"/>
      <c r="K22" s="11"/>
      <c r="L22" s="11">
        <v>10</v>
      </c>
      <c r="M22" s="13"/>
    </row>
    <row r="23" spans="1:13" ht="18.75" x14ac:dyDescent="0.3">
      <c r="A23" s="3">
        <v>22</v>
      </c>
      <c r="B23" s="4" t="s">
        <v>35</v>
      </c>
      <c r="C23" s="4" t="s">
        <v>16</v>
      </c>
      <c r="D23" s="11">
        <f>SUM(1471)</f>
        <v>1471</v>
      </c>
      <c r="E23" s="11">
        <f>SUM(104)</f>
        <v>104</v>
      </c>
      <c r="F23" s="12">
        <f>SUM(D23/E23)</f>
        <v>14.14423076923077</v>
      </c>
      <c r="G23" s="11">
        <v>1</v>
      </c>
      <c r="H23" s="11">
        <v>1</v>
      </c>
      <c r="I23" s="11"/>
      <c r="J23" s="11"/>
      <c r="K23" s="11"/>
      <c r="L23" s="11">
        <v>3</v>
      </c>
      <c r="M23" s="13"/>
    </row>
    <row r="24" spans="1:13" ht="18.75" x14ac:dyDescent="0.3">
      <c r="A24" s="3">
        <v>23</v>
      </c>
      <c r="B24" s="15" t="s">
        <v>39</v>
      </c>
      <c r="C24" s="4" t="s">
        <v>23</v>
      </c>
      <c r="D24" s="11">
        <f>SUM(1332+1373+1492)</f>
        <v>4197</v>
      </c>
      <c r="E24" s="11">
        <f>SUM(84+96+119)</f>
        <v>299</v>
      </c>
      <c r="F24" s="12">
        <f>SUM(D24/E24)</f>
        <v>14.036789297658864</v>
      </c>
      <c r="G24" s="11">
        <v>3</v>
      </c>
      <c r="H24" s="11"/>
      <c r="I24" s="11"/>
      <c r="J24" s="11"/>
      <c r="K24" s="11"/>
      <c r="L24" s="11">
        <v>7</v>
      </c>
      <c r="M24" s="13"/>
    </row>
    <row r="25" spans="1:13" ht="18.75" x14ac:dyDescent="0.3">
      <c r="A25" s="3">
        <v>24</v>
      </c>
      <c r="B25" s="3" t="s">
        <v>20</v>
      </c>
      <c r="C25" s="4" t="s">
        <v>21</v>
      </c>
      <c r="D25" s="11">
        <f>SUM(1243+1262)</f>
        <v>2505</v>
      </c>
      <c r="E25" s="11">
        <f>SUM(94+86)</f>
        <v>180</v>
      </c>
      <c r="F25" s="12">
        <f>SUM(D25/E25)</f>
        <v>13.916666666666666</v>
      </c>
      <c r="G25" s="11">
        <v>2</v>
      </c>
      <c r="H25" s="11"/>
      <c r="I25" s="11"/>
      <c r="J25" s="11"/>
      <c r="K25" s="11"/>
      <c r="L25" s="11">
        <v>3</v>
      </c>
      <c r="M25" s="13"/>
    </row>
    <row r="26" spans="1:13" ht="18.75" x14ac:dyDescent="0.3">
      <c r="A26" s="3">
        <v>25</v>
      </c>
      <c r="B26" s="4" t="s">
        <v>43</v>
      </c>
      <c r="C26" s="4" t="s">
        <v>12</v>
      </c>
      <c r="D26" s="11">
        <f>SUM(1479+1503+1483)</f>
        <v>4465</v>
      </c>
      <c r="E26" s="11">
        <f>SUM(130+97+96)</f>
        <v>323</v>
      </c>
      <c r="F26" s="12">
        <f>SUM(D26/E26)</f>
        <v>13.823529411764707</v>
      </c>
      <c r="G26" s="11">
        <v>3</v>
      </c>
      <c r="H26" s="11">
        <v>3</v>
      </c>
      <c r="I26" s="11"/>
      <c r="J26" s="11"/>
      <c r="K26" s="11"/>
      <c r="L26" s="11">
        <v>12</v>
      </c>
      <c r="M26" s="13"/>
    </row>
    <row r="27" spans="1:13" ht="18.75" x14ac:dyDescent="0.3">
      <c r="A27" s="3">
        <v>26</v>
      </c>
      <c r="B27" s="4" t="s">
        <v>51</v>
      </c>
      <c r="C27" s="4" t="s">
        <v>14</v>
      </c>
      <c r="D27" s="11">
        <f>SUM(1394+1122+1067)</f>
        <v>3583</v>
      </c>
      <c r="E27" s="11">
        <f>SUM(93+86+81)</f>
        <v>260</v>
      </c>
      <c r="F27" s="12">
        <f>SUM(D27/E27)</f>
        <v>13.780769230769231</v>
      </c>
      <c r="G27" s="11">
        <v>3</v>
      </c>
      <c r="H27" s="11"/>
      <c r="I27" s="11"/>
      <c r="J27" s="11"/>
      <c r="K27" s="11"/>
      <c r="L27" s="11">
        <v>4</v>
      </c>
      <c r="M27" s="13"/>
    </row>
    <row r="28" spans="1:13" ht="18.75" x14ac:dyDescent="0.3">
      <c r="A28" s="3">
        <v>27</v>
      </c>
      <c r="B28" s="4" t="s">
        <v>61</v>
      </c>
      <c r="C28" s="7" t="s">
        <v>47</v>
      </c>
      <c r="D28" s="11">
        <f>SUM(1322+1462)</f>
        <v>2784</v>
      </c>
      <c r="E28" s="11">
        <f>SUM(111+98)</f>
        <v>209</v>
      </c>
      <c r="F28" s="12">
        <f>SUM(D28/E28)</f>
        <v>13.320574162679426</v>
      </c>
      <c r="G28" s="11">
        <v>2</v>
      </c>
      <c r="H28" s="11"/>
      <c r="I28" s="11"/>
      <c r="J28" s="11"/>
      <c r="K28" s="11"/>
      <c r="L28" s="11">
        <v>2</v>
      </c>
      <c r="M28" s="13"/>
    </row>
    <row r="29" spans="1:13" ht="18.75" x14ac:dyDescent="0.3">
      <c r="A29" s="3">
        <v>28</v>
      </c>
      <c r="B29" s="15" t="s">
        <v>93</v>
      </c>
      <c r="C29" s="4" t="s">
        <v>42</v>
      </c>
      <c r="D29" s="11">
        <f>SUM(1481+1499)</f>
        <v>2980</v>
      </c>
      <c r="E29" s="11">
        <f>SUM(97+130)</f>
        <v>227</v>
      </c>
      <c r="F29" s="12">
        <f>SUM(D29/E29)</f>
        <v>13.127753303964758</v>
      </c>
      <c r="G29" s="11">
        <v>2</v>
      </c>
      <c r="H29" s="11">
        <v>1</v>
      </c>
      <c r="I29" s="11"/>
      <c r="J29" s="11"/>
      <c r="K29" s="11"/>
      <c r="L29" s="11">
        <v>4.5</v>
      </c>
      <c r="M29" s="13">
        <v>5</v>
      </c>
    </row>
    <row r="30" spans="1:13" ht="18.75" x14ac:dyDescent="0.3">
      <c r="A30" s="3">
        <v>29</v>
      </c>
      <c r="B30" s="9" t="s">
        <v>52</v>
      </c>
      <c r="C30" s="4" t="s">
        <v>53</v>
      </c>
      <c r="D30" s="11">
        <f>SUM(1503+1413+1348)</f>
        <v>4264</v>
      </c>
      <c r="E30" s="11">
        <f>SUM(111+108+106)</f>
        <v>325</v>
      </c>
      <c r="F30" s="12">
        <f>SUM(D30/E30)</f>
        <v>13.12</v>
      </c>
      <c r="G30" s="11">
        <v>3</v>
      </c>
      <c r="H30" s="11">
        <v>1</v>
      </c>
      <c r="I30" s="11"/>
      <c r="J30" s="11"/>
      <c r="K30" s="11"/>
      <c r="L30" s="11">
        <v>4.5</v>
      </c>
      <c r="M30" s="13"/>
    </row>
    <row r="31" spans="1:13" ht="18.75" x14ac:dyDescent="0.3">
      <c r="A31" s="3">
        <v>30</v>
      </c>
      <c r="B31" s="9" t="s">
        <v>113</v>
      </c>
      <c r="C31" s="4" t="s">
        <v>16</v>
      </c>
      <c r="D31" s="11">
        <f>SUM(1503+1307)</f>
        <v>2810</v>
      </c>
      <c r="E31" s="11">
        <f>SUM(104+111)</f>
        <v>215</v>
      </c>
      <c r="F31" s="12">
        <f>SUM(D31/E31)</f>
        <v>13.069767441860465</v>
      </c>
      <c r="G31" s="11">
        <v>2</v>
      </c>
      <c r="H31" s="11">
        <v>1</v>
      </c>
      <c r="I31" s="11"/>
      <c r="J31" s="11"/>
      <c r="K31" s="11"/>
      <c r="L31" s="11">
        <v>6.5</v>
      </c>
      <c r="M31" s="13"/>
    </row>
    <row r="32" spans="1:13" ht="18.75" x14ac:dyDescent="0.3">
      <c r="A32" s="3">
        <v>31</v>
      </c>
      <c r="B32" s="9" t="s">
        <v>60</v>
      </c>
      <c r="C32" s="4" t="s">
        <v>47</v>
      </c>
      <c r="D32" s="11">
        <f>SUM(1477+1291)</f>
        <v>2768</v>
      </c>
      <c r="E32" s="11">
        <f>SUM(126+87)</f>
        <v>213</v>
      </c>
      <c r="F32" s="12">
        <f>SUM(D32/E32)</f>
        <v>12.995305164319248</v>
      </c>
      <c r="G32" s="11">
        <v>2</v>
      </c>
      <c r="H32" s="11"/>
      <c r="I32" s="11"/>
      <c r="J32" s="11"/>
      <c r="K32" s="11"/>
      <c r="L32" s="11">
        <v>3.5</v>
      </c>
      <c r="M32" s="13"/>
    </row>
    <row r="33" spans="1:13" ht="18.75" x14ac:dyDescent="0.3">
      <c r="A33" s="3">
        <v>32</v>
      </c>
      <c r="B33" s="9" t="s">
        <v>38</v>
      </c>
      <c r="C33" s="4" t="s">
        <v>28</v>
      </c>
      <c r="D33" s="11">
        <f>SUM(1503+1456+1500)</f>
        <v>4459</v>
      </c>
      <c r="E33" s="11">
        <f>SUM(107+134+103)</f>
        <v>344</v>
      </c>
      <c r="F33" s="12">
        <f>SUM(D33/E33)</f>
        <v>12.962209302325581</v>
      </c>
      <c r="G33" s="11">
        <v>3</v>
      </c>
      <c r="H33" s="11">
        <v>3</v>
      </c>
      <c r="I33" s="11"/>
      <c r="J33" s="11"/>
      <c r="K33" s="11"/>
      <c r="L33" s="11">
        <v>12</v>
      </c>
      <c r="M33" s="13"/>
    </row>
    <row r="34" spans="1:13" ht="18.75" x14ac:dyDescent="0.3">
      <c r="A34" s="3">
        <v>33</v>
      </c>
      <c r="B34" s="7" t="s">
        <v>40</v>
      </c>
      <c r="C34" s="4" t="s">
        <v>14</v>
      </c>
      <c r="D34" s="11">
        <f>SUM(1351+1493+1429)</f>
        <v>4273</v>
      </c>
      <c r="E34" s="11">
        <f>SUM(100+138+96)</f>
        <v>334</v>
      </c>
      <c r="F34" s="12">
        <f>SUM(D34/E34)</f>
        <v>12.793413173652695</v>
      </c>
      <c r="G34" s="11">
        <v>3</v>
      </c>
      <c r="H34" s="11"/>
      <c r="I34" s="11"/>
      <c r="J34" s="11"/>
      <c r="K34" s="11"/>
      <c r="L34" s="11">
        <v>9.5</v>
      </c>
      <c r="M34" s="13"/>
    </row>
    <row r="35" spans="1:13" ht="18.75" x14ac:dyDescent="0.3">
      <c r="A35" s="3">
        <v>34</v>
      </c>
      <c r="B35" s="7" t="s">
        <v>57</v>
      </c>
      <c r="C35" s="4" t="s">
        <v>95</v>
      </c>
      <c r="D35" s="11">
        <f>SUM(1463+1503)</f>
        <v>2966</v>
      </c>
      <c r="E35" s="11">
        <f>SUM(126+108)</f>
        <v>234</v>
      </c>
      <c r="F35" s="12">
        <f>SUM(D35/E35)</f>
        <v>12.675213675213675</v>
      </c>
      <c r="G35" s="11">
        <v>2</v>
      </c>
      <c r="H35" s="11">
        <v>1</v>
      </c>
      <c r="I35" s="11"/>
      <c r="J35" s="11"/>
      <c r="K35" s="11"/>
      <c r="L35" s="11">
        <v>5.5</v>
      </c>
      <c r="M35" s="13"/>
    </row>
    <row r="36" spans="1:13" ht="18.75" x14ac:dyDescent="0.3">
      <c r="A36" s="3">
        <v>35</v>
      </c>
      <c r="B36" s="37" t="s">
        <v>34</v>
      </c>
      <c r="C36" s="8" t="s">
        <v>32</v>
      </c>
      <c r="D36" s="11">
        <f>SUM(1204+1501+1396)</f>
        <v>4101</v>
      </c>
      <c r="E36" s="11">
        <f>SUM(88+140+97)</f>
        <v>325</v>
      </c>
      <c r="F36" s="12">
        <f>SUM(D36/E36)</f>
        <v>12.618461538461538</v>
      </c>
      <c r="G36" s="11">
        <v>3</v>
      </c>
      <c r="H36" s="11">
        <v>1</v>
      </c>
      <c r="I36" s="11"/>
      <c r="J36" s="11"/>
      <c r="K36" s="11"/>
      <c r="L36" s="11">
        <v>10</v>
      </c>
      <c r="M36" s="13"/>
    </row>
    <row r="37" spans="1:13" ht="18.75" x14ac:dyDescent="0.3">
      <c r="A37" s="3">
        <v>36</v>
      </c>
      <c r="B37" s="7" t="s">
        <v>41</v>
      </c>
      <c r="C37" s="7" t="s">
        <v>28</v>
      </c>
      <c r="D37" s="11">
        <f>SUM(1487+1499+1483)</f>
        <v>4469</v>
      </c>
      <c r="E37" s="11">
        <f>SUM(120+141+99)</f>
        <v>360</v>
      </c>
      <c r="F37" s="12">
        <f>SUM(D37/E37)</f>
        <v>12.41388888888889</v>
      </c>
      <c r="G37" s="11">
        <v>3</v>
      </c>
      <c r="H37" s="11">
        <v>2</v>
      </c>
      <c r="I37" s="11"/>
      <c r="J37" s="11"/>
      <c r="K37" s="11"/>
      <c r="L37" s="11">
        <v>8</v>
      </c>
      <c r="M37" s="13"/>
    </row>
    <row r="38" spans="1:13" ht="18.75" x14ac:dyDescent="0.3">
      <c r="A38" s="3">
        <v>37</v>
      </c>
      <c r="B38" s="10" t="s">
        <v>108</v>
      </c>
      <c r="C38" s="7" t="s">
        <v>19</v>
      </c>
      <c r="D38" s="11">
        <f>SUM(501+1503)</f>
        <v>2004</v>
      </c>
      <c r="E38" s="11">
        <f>SUM(46+117)</f>
        <v>163</v>
      </c>
      <c r="F38" s="12">
        <f>SUM(D38/E38)</f>
        <v>12.294478527607362</v>
      </c>
      <c r="G38" s="11">
        <v>2</v>
      </c>
      <c r="H38" s="11">
        <v>1</v>
      </c>
      <c r="I38" s="11"/>
      <c r="J38" s="11"/>
      <c r="K38" s="11"/>
      <c r="L38" s="11">
        <v>8.5</v>
      </c>
      <c r="M38" s="13"/>
    </row>
    <row r="39" spans="1:13" ht="18.75" x14ac:dyDescent="0.3">
      <c r="A39" s="3">
        <v>38</v>
      </c>
      <c r="B39" s="10" t="s">
        <v>64</v>
      </c>
      <c r="C39" s="8" t="s">
        <v>95</v>
      </c>
      <c r="D39" s="11">
        <f>SUM(1503+1457+1466)</f>
        <v>4426</v>
      </c>
      <c r="E39" s="11">
        <f>SUM(123+117+121)</f>
        <v>361</v>
      </c>
      <c r="F39" s="12">
        <f>SUM(D39/E39)</f>
        <v>12.260387811634349</v>
      </c>
      <c r="G39" s="11">
        <v>3</v>
      </c>
      <c r="H39" s="11">
        <v>2</v>
      </c>
      <c r="I39" s="11"/>
      <c r="J39" s="11"/>
      <c r="K39" s="11"/>
      <c r="L39" s="11">
        <v>7.5</v>
      </c>
      <c r="M39" s="13"/>
    </row>
    <row r="40" spans="1:13" ht="18.75" x14ac:dyDescent="0.3">
      <c r="A40" s="3">
        <v>39</v>
      </c>
      <c r="B40" s="16" t="s">
        <v>56</v>
      </c>
      <c r="C40" s="4" t="s">
        <v>95</v>
      </c>
      <c r="D40" s="11">
        <f>SUM(1248+1064)</f>
        <v>2312</v>
      </c>
      <c r="E40" s="11">
        <f>SUM(105+84)</f>
        <v>189</v>
      </c>
      <c r="F40" s="12">
        <f>SUM(D40/E40)</f>
        <v>12.232804232804233</v>
      </c>
      <c r="G40" s="11">
        <v>2</v>
      </c>
      <c r="H40" s="11"/>
      <c r="I40" s="11"/>
      <c r="J40" s="11"/>
      <c r="K40" s="11"/>
      <c r="L40" s="11">
        <v>2</v>
      </c>
      <c r="M40" s="13"/>
    </row>
    <row r="41" spans="1:13" ht="18.75" x14ac:dyDescent="0.3">
      <c r="A41" s="3">
        <v>40</v>
      </c>
      <c r="B41" s="16" t="s">
        <v>26</v>
      </c>
      <c r="C41" s="7" t="s">
        <v>19</v>
      </c>
      <c r="D41" s="11">
        <f>SUM(1480+1503)</f>
        <v>2983</v>
      </c>
      <c r="E41" s="11">
        <f>SUM(128+118)</f>
        <v>246</v>
      </c>
      <c r="F41" s="12">
        <f>SUM(D41/E41)</f>
        <v>12.126016260162602</v>
      </c>
      <c r="G41" s="11">
        <v>2</v>
      </c>
      <c r="H41" s="11">
        <v>1</v>
      </c>
      <c r="I41" s="11"/>
      <c r="J41" s="11"/>
      <c r="K41" s="11"/>
      <c r="L41" s="11">
        <v>8.5</v>
      </c>
      <c r="M41" s="13"/>
    </row>
    <row r="42" spans="1:13" ht="18.75" x14ac:dyDescent="0.3">
      <c r="A42" s="3">
        <v>41</v>
      </c>
      <c r="B42" s="10" t="s">
        <v>112</v>
      </c>
      <c r="C42" s="7" t="s">
        <v>95</v>
      </c>
      <c r="D42" s="11">
        <f>SUM(1150+1237)</f>
        <v>2387</v>
      </c>
      <c r="E42" s="11">
        <f>SUM(90+108)</f>
        <v>198</v>
      </c>
      <c r="F42" s="12">
        <f>SUM(D42/E42)</f>
        <v>12.055555555555555</v>
      </c>
      <c r="G42" s="11">
        <v>2</v>
      </c>
      <c r="H42" s="11"/>
      <c r="I42" s="11"/>
      <c r="J42" s="11"/>
      <c r="K42" s="11"/>
      <c r="L42" s="11">
        <v>2.5</v>
      </c>
      <c r="M42" s="13"/>
    </row>
    <row r="43" spans="1:13" ht="18.75" x14ac:dyDescent="0.3">
      <c r="A43" s="3">
        <v>42</v>
      </c>
      <c r="B43" s="10" t="s">
        <v>58</v>
      </c>
      <c r="C43" s="7" t="s">
        <v>53</v>
      </c>
      <c r="D43" s="11">
        <f>SUM(1098+1207+1409)</f>
        <v>3714</v>
      </c>
      <c r="E43" s="11">
        <f>SUM(87+93+129)</f>
        <v>309</v>
      </c>
      <c r="F43" s="12">
        <f>SUM(D43/E43)</f>
        <v>12.019417475728156</v>
      </c>
      <c r="G43" s="11">
        <v>3</v>
      </c>
      <c r="H43" s="11"/>
      <c r="I43" s="11"/>
      <c r="J43" s="11"/>
      <c r="K43" s="11"/>
      <c r="L43" s="11">
        <v>3.5</v>
      </c>
      <c r="M43" s="13"/>
    </row>
    <row r="44" spans="1:13" ht="18.75" x14ac:dyDescent="0.3">
      <c r="A44" s="3">
        <v>43</v>
      </c>
      <c r="B44" s="10" t="s">
        <v>50</v>
      </c>
      <c r="C44" s="7" t="s">
        <v>42</v>
      </c>
      <c r="D44" s="11">
        <f>SUM(1503+1083+1503)</f>
        <v>4089</v>
      </c>
      <c r="E44" s="11">
        <f>SUM(137+81+126)</f>
        <v>344</v>
      </c>
      <c r="F44" s="12">
        <f>SUM(D44/E44)</f>
        <v>11.886627906976743</v>
      </c>
      <c r="G44" s="11">
        <v>3</v>
      </c>
      <c r="H44" s="11">
        <v>2</v>
      </c>
      <c r="I44" s="11"/>
      <c r="J44" s="11"/>
      <c r="K44" s="11"/>
      <c r="L44" s="11">
        <v>9.5</v>
      </c>
      <c r="M44" s="13"/>
    </row>
    <row r="45" spans="1:13" ht="18.75" x14ac:dyDescent="0.3">
      <c r="A45" s="3">
        <v>44</v>
      </c>
      <c r="B45" s="16" t="s">
        <v>44</v>
      </c>
      <c r="C45" s="7" t="s">
        <v>95</v>
      </c>
      <c r="D45" s="11">
        <f>SUM(1375+1355+1020)</f>
        <v>3750</v>
      </c>
      <c r="E45" s="11">
        <f>SUM(106+108+111)</f>
        <v>325</v>
      </c>
      <c r="F45" s="12">
        <f>SUM(D45/E45)</f>
        <v>11.538461538461538</v>
      </c>
      <c r="G45" s="11">
        <v>3</v>
      </c>
      <c r="H45" s="11">
        <v>1</v>
      </c>
      <c r="I45" s="11"/>
      <c r="J45" s="11"/>
      <c r="K45" s="11"/>
      <c r="L45" s="11">
        <v>4</v>
      </c>
      <c r="M45" s="13"/>
    </row>
    <row r="46" spans="1:13" ht="18.75" x14ac:dyDescent="0.3">
      <c r="A46" s="3">
        <v>45</v>
      </c>
      <c r="B46" s="10" t="s">
        <v>111</v>
      </c>
      <c r="C46" s="4" t="s">
        <v>21</v>
      </c>
      <c r="D46" s="11">
        <f>SUM(1274)</f>
        <v>1274</v>
      </c>
      <c r="E46" s="11">
        <f>SUM(111)</f>
        <v>111</v>
      </c>
      <c r="F46" s="12">
        <f>SUM(D46/E46)</f>
        <v>11.477477477477477</v>
      </c>
      <c r="G46" s="11">
        <v>1</v>
      </c>
      <c r="H46" s="11"/>
      <c r="I46" s="11"/>
      <c r="J46" s="11"/>
      <c r="K46" s="11"/>
      <c r="L46" s="11">
        <v>1</v>
      </c>
      <c r="M46" s="13"/>
    </row>
    <row r="47" spans="1:13" ht="18.75" x14ac:dyDescent="0.3">
      <c r="A47" s="3">
        <v>46</v>
      </c>
      <c r="B47" s="10" t="s">
        <v>110</v>
      </c>
      <c r="C47" s="7" t="s">
        <v>21</v>
      </c>
      <c r="D47" s="11">
        <f>SUM(1250)</f>
        <v>1250</v>
      </c>
      <c r="E47" s="11">
        <f>SUM(109)</f>
        <v>109</v>
      </c>
      <c r="F47" s="12">
        <f>SUM(D47/E47)</f>
        <v>11.467889908256881</v>
      </c>
      <c r="G47" s="11">
        <v>1</v>
      </c>
      <c r="H47" s="11"/>
      <c r="I47" s="11"/>
      <c r="J47" s="11"/>
      <c r="K47" s="11"/>
      <c r="L47" s="11"/>
      <c r="M47" s="13"/>
    </row>
    <row r="48" spans="1:13" ht="18.75" x14ac:dyDescent="0.3">
      <c r="A48" s="3">
        <v>47</v>
      </c>
      <c r="B48" s="36" t="s">
        <v>29</v>
      </c>
      <c r="C48" s="4" t="s">
        <v>23</v>
      </c>
      <c r="D48" s="11">
        <f>SUM(1204+1459+1145)</f>
        <v>3808</v>
      </c>
      <c r="E48" s="11">
        <f>SUM(99+135+102)</f>
        <v>336</v>
      </c>
      <c r="F48" s="12">
        <f>SUM(D48/E48)</f>
        <v>11.333333333333334</v>
      </c>
      <c r="G48" s="11">
        <v>3</v>
      </c>
      <c r="H48" s="11">
        <v>1</v>
      </c>
      <c r="I48" s="11"/>
      <c r="J48" s="11"/>
      <c r="K48" s="11"/>
      <c r="L48" s="11">
        <v>5</v>
      </c>
      <c r="M48" s="13"/>
    </row>
    <row r="49" spans="1:18" ht="18.75" x14ac:dyDescent="0.3">
      <c r="A49" s="3">
        <v>48</v>
      </c>
      <c r="B49" s="15" t="s">
        <v>102</v>
      </c>
      <c r="C49" s="4" t="s">
        <v>21</v>
      </c>
      <c r="D49" s="11">
        <f>SUM(1467)</f>
        <v>1467</v>
      </c>
      <c r="E49" s="11">
        <f>SUM(130)</f>
        <v>130</v>
      </c>
      <c r="F49" s="12">
        <f>SUM(D49/E49)</f>
        <v>11.284615384615385</v>
      </c>
      <c r="G49" s="11">
        <v>1</v>
      </c>
      <c r="H49" s="11">
        <v>1</v>
      </c>
      <c r="I49" s="11"/>
      <c r="J49" s="11"/>
      <c r="K49" s="11"/>
      <c r="L49" s="11">
        <v>4</v>
      </c>
      <c r="M49" s="13"/>
    </row>
    <row r="50" spans="1:18" ht="18.75" x14ac:dyDescent="0.3">
      <c r="A50" s="3">
        <v>49</v>
      </c>
      <c r="B50" s="15" t="s">
        <v>55</v>
      </c>
      <c r="C50" s="17" t="s">
        <v>53</v>
      </c>
      <c r="D50" s="11">
        <f>SUM(1363+1275)</f>
        <v>2638</v>
      </c>
      <c r="E50" s="11">
        <f>SUM(123+117)</f>
        <v>240</v>
      </c>
      <c r="F50" s="12">
        <f>SUM(D50/E50)</f>
        <v>10.991666666666667</v>
      </c>
      <c r="G50" s="11">
        <v>2</v>
      </c>
      <c r="H50" s="11"/>
      <c r="I50" s="11"/>
      <c r="J50" s="11"/>
      <c r="K50" s="11"/>
      <c r="L50" s="11">
        <v>2</v>
      </c>
      <c r="M50" s="13"/>
    </row>
    <row r="51" spans="1:18" ht="18.75" x14ac:dyDescent="0.3">
      <c r="A51" s="3">
        <v>50</v>
      </c>
      <c r="B51" s="15" t="s">
        <v>63</v>
      </c>
      <c r="C51" s="4" t="s">
        <v>21</v>
      </c>
      <c r="D51" s="11">
        <f>SUM(1452)</f>
        <v>1452</v>
      </c>
      <c r="E51" s="11">
        <f>SUM(135)</f>
        <v>135</v>
      </c>
      <c r="F51" s="12">
        <f>SUM(D51/E51)</f>
        <v>10.755555555555556</v>
      </c>
      <c r="G51" s="11">
        <v>1</v>
      </c>
      <c r="H51" s="11"/>
      <c r="I51" s="11"/>
      <c r="J51" s="11"/>
      <c r="K51" s="11"/>
      <c r="L51" s="11">
        <v>2.5</v>
      </c>
      <c r="M51" s="13"/>
    </row>
    <row r="52" spans="1:18" ht="18.75" x14ac:dyDescent="0.3">
      <c r="A52" s="3">
        <v>51</v>
      </c>
      <c r="B52" s="15" t="s">
        <v>94</v>
      </c>
      <c r="C52" s="4" t="s">
        <v>42</v>
      </c>
      <c r="D52" s="11">
        <f>SUM(1484+1490+1474)</f>
        <v>4448</v>
      </c>
      <c r="E52" s="11">
        <f>SUM(126+139+150)</f>
        <v>415</v>
      </c>
      <c r="F52" s="12">
        <f>SUM(D52/E52)</f>
        <v>10.718072289156627</v>
      </c>
      <c r="G52" s="11">
        <v>3</v>
      </c>
      <c r="H52" s="11"/>
      <c r="I52" s="11"/>
      <c r="J52" s="11"/>
      <c r="K52" s="11"/>
      <c r="L52" s="11">
        <v>9</v>
      </c>
      <c r="M52" s="13"/>
    </row>
    <row r="53" spans="1:18" ht="18.75" x14ac:dyDescent="0.3">
      <c r="A53" s="3">
        <v>52</v>
      </c>
      <c r="B53" s="4" t="s">
        <v>54</v>
      </c>
      <c r="C53" s="4" t="s">
        <v>47</v>
      </c>
      <c r="D53" s="11">
        <f>SUM(1478+1353)</f>
        <v>2831</v>
      </c>
      <c r="E53" s="11">
        <f>SUM(126+139)</f>
        <v>265</v>
      </c>
      <c r="F53" s="12">
        <f>SUM(D53/E53)</f>
        <v>10.683018867924527</v>
      </c>
      <c r="G53" s="11">
        <v>2</v>
      </c>
      <c r="H53" s="11">
        <v>1</v>
      </c>
      <c r="I53" s="11"/>
      <c r="J53" s="11"/>
      <c r="K53" s="11"/>
      <c r="L53" s="11">
        <v>5</v>
      </c>
      <c r="M53" s="13"/>
    </row>
    <row r="54" spans="1:18" ht="18.75" x14ac:dyDescent="0.3">
      <c r="A54" s="3">
        <v>53</v>
      </c>
      <c r="B54" s="15" t="s">
        <v>59</v>
      </c>
      <c r="C54" s="4" t="s">
        <v>53</v>
      </c>
      <c r="D54" s="11">
        <f>SUM(1368+1501)</f>
        <v>2869</v>
      </c>
      <c r="E54" s="11">
        <f>SUM(122+148)</f>
        <v>270</v>
      </c>
      <c r="F54" s="12">
        <f>SUM(D54/E54)</f>
        <v>10.625925925925927</v>
      </c>
      <c r="G54" s="11">
        <v>2</v>
      </c>
      <c r="H54" s="11">
        <v>2</v>
      </c>
      <c r="I54" s="11"/>
      <c r="J54" s="11"/>
      <c r="K54" s="11"/>
      <c r="L54" s="11">
        <v>6.5</v>
      </c>
      <c r="M54" s="13"/>
    </row>
    <row r="55" spans="1:18" ht="18.75" x14ac:dyDescent="0.3">
      <c r="A55" s="3">
        <v>54</v>
      </c>
      <c r="B55" s="15" t="s">
        <v>109</v>
      </c>
      <c r="C55" s="17" t="s">
        <v>53</v>
      </c>
      <c r="D55" s="11">
        <f>SUM(496+1498)</f>
        <v>1994</v>
      </c>
      <c r="E55" s="11">
        <f>SUM(45+156)</f>
        <v>201</v>
      </c>
      <c r="F55" s="12">
        <f>SUM(D55/E55)</f>
        <v>9.9203980099502491</v>
      </c>
      <c r="G55" s="11">
        <v>2</v>
      </c>
      <c r="H55" s="11"/>
      <c r="I55" s="11"/>
      <c r="J55" s="11"/>
      <c r="K55" s="11"/>
      <c r="L55" s="11">
        <v>2.5</v>
      </c>
      <c r="M55" s="13"/>
    </row>
    <row r="56" spans="1:18" ht="18.75" x14ac:dyDescent="0.3">
      <c r="A56" s="3">
        <v>55</v>
      </c>
      <c r="B56" s="4" t="s">
        <v>118</v>
      </c>
      <c r="C56" s="17" t="s">
        <v>42</v>
      </c>
      <c r="D56" s="11">
        <f>SUM(1477)</f>
        <v>1477</v>
      </c>
      <c r="E56" s="11">
        <f>SUM(152)</f>
        <v>152</v>
      </c>
      <c r="F56" s="12">
        <f>SUM(D56/E56)</f>
        <v>9.7171052631578956</v>
      </c>
      <c r="G56" s="11">
        <v>1</v>
      </c>
      <c r="H56" s="11">
        <v>1</v>
      </c>
      <c r="I56" s="11"/>
      <c r="J56" s="11"/>
      <c r="K56" s="11"/>
      <c r="L56" s="11">
        <v>4</v>
      </c>
      <c r="M56" s="13"/>
    </row>
    <row r="57" spans="1:18" ht="18.75" x14ac:dyDescent="0.3">
      <c r="A57" s="3">
        <v>56</v>
      </c>
      <c r="B57" s="38" t="s">
        <v>97</v>
      </c>
      <c r="C57" s="14" t="s">
        <v>47</v>
      </c>
      <c r="D57" s="11"/>
      <c r="E57" s="11"/>
      <c r="F57" s="12"/>
      <c r="G57" s="11"/>
      <c r="H57" s="11"/>
      <c r="I57" s="11"/>
      <c r="J57" s="11"/>
      <c r="K57" s="11"/>
      <c r="L57" s="11">
        <v>2</v>
      </c>
      <c r="M57" s="13"/>
    </row>
    <row r="58" spans="1:18" ht="17.25" customHeight="1" thickBot="1" x14ac:dyDescent="0.3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8" ht="19.5" customHeight="1" thickBot="1" x14ac:dyDescent="0.35">
      <c r="A59" s="5"/>
      <c r="B59" s="39" t="s">
        <v>117</v>
      </c>
      <c r="C59" s="27" t="s">
        <v>65</v>
      </c>
      <c r="D59" s="28" t="s">
        <v>66</v>
      </c>
      <c r="E59" s="29" t="s">
        <v>67</v>
      </c>
      <c r="F59" s="20" t="s">
        <v>91</v>
      </c>
      <c r="G59" s="30" t="s">
        <v>68</v>
      </c>
      <c r="I59" s="50" t="s">
        <v>69</v>
      </c>
      <c r="J59" s="51"/>
      <c r="K59" s="51"/>
      <c r="L59" s="51"/>
      <c r="M59" s="51"/>
      <c r="N59" s="51"/>
      <c r="O59" s="51"/>
      <c r="P59" s="51"/>
      <c r="Q59" s="51"/>
      <c r="R59" s="52"/>
    </row>
    <row r="60" spans="1:18" ht="18.75" x14ac:dyDescent="0.3">
      <c r="A60" s="5"/>
      <c r="B60" s="40"/>
      <c r="C60" s="17" t="s">
        <v>82</v>
      </c>
      <c r="D60" s="7">
        <v>3</v>
      </c>
      <c r="E60" s="22">
        <v>0</v>
      </c>
      <c r="F60" s="15"/>
      <c r="G60" s="23">
        <v>49</v>
      </c>
      <c r="I60" s="42" t="s">
        <v>70</v>
      </c>
      <c r="J60" s="43"/>
      <c r="K60" s="43"/>
      <c r="L60" s="43"/>
      <c r="M60" s="43"/>
      <c r="N60" s="53" t="s">
        <v>103</v>
      </c>
      <c r="O60" s="53"/>
      <c r="P60" s="53"/>
      <c r="Q60" s="53"/>
      <c r="R60" s="54"/>
    </row>
    <row r="61" spans="1:18" ht="18.75" x14ac:dyDescent="0.3">
      <c r="A61" s="5"/>
      <c r="B61" s="40"/>
      <c r="C61" s="17" t="s">
        <v>77</v>
      </c>
      <c r="D61" s="7">
        <v>3</v>
      </c>
      <c r="E61" s="22">
        <v>0</v>
      </c>
      <c r="F61" s="15"/>
      <c r="G61" s="23">
        <v>46</v>
      </c>
      <c r="I61" s="44" t="s">
        <v>72</v>
      </c>
      <c r="J61" s="45"/>
      <c r="K61" s="45"/>
      <c r="L61" s="45"/>
      <c r="M61" s="45"/>
      <c r="N61" s="48" t="s">
        <v>116</v>
      </c>
      <c r="O61" s="48"/>
      <c r="P61" s="48"/>
      <c r="Q61" s="48"/>
      <c r="R61" s="49"/>
    </row>
    <row r="62" spans="1:18" ht="18.75" x14ac:dyDescent="0.3">
      <c r="A62" s="5"/>
      <c r="B62" s="40"/>
      <c r="C62" s="18" t="s">
        <v>83</v>
      </c>
      <c r="D62" s="9">
        <v>3</v>
      </c>
      <c r="E62" s="10">
        <v>0</v>
      </c>
      <c r="F62" s="15"/>
      <c r="G62" s="18">
        <v>45</v>
      </c>
      <c r="I62" s="44" t="s">
        <v>74</v>
      </c>
      <c r="J62" s="45"/>
      <c r="K62" s="45"/>
      <c r="L62" s="45"/>
      <c r="M62" s="45"/>
      <c r="N62" s="48" t="s">
        <v>115</v>
      </c>
      <c r="O62" s="48"/>
      <c r="P62" s="48"/>
      <c r="Q62" s="48"/>
      <c r="R62" s="49"/>
    </row>
    <row r="63" spans="1:18" ht="18.75" x14ac:dyDescent="0.3">
      <c r="A63" s="6"/>
      <c r="B63" s="40"/>
      <c r="C63" s="17" t="s">
        <v>85</v>
      </c>
      <c r="D63" s="7">
        <v>2</v>
      </c>
      <c r="E63" s="22">
        <v>1</v>
      </c>
      <c r="F63" s="15"/>
      <c r="G63" s="23">
        <v>43</v>
      </c>
      <c r="I63" s="44" t="s">
        <v>76</v>
      </c>
      <c r="J63" s="45"/>
      <c r="K63" s="45"/>
      <c r="L63" s="45"/>
      <c r="M63" s="45"/>
      <c r="N63" s="48" t="s">
        <v>114</v>
      </c>
      <c r="O63" s="48"/>
      <c r="P63" s="48"/>
      <c r="Q63" s="48"/>
      <c r="R63" s="49"/>
    </row>
    <row r="64" spans="1:18" ht="18" customHeight="1" x14ac:dyDescent="0.3">
      <c r="A64" s="6"/>
      <c r="B64" s="40"/>
      <c r="C64" s="18" t="s">
        <v>86</v>
      </c>
      <c r="D64" s="9">
        <v>2</v>
      </c>
      <c r="E64" s="10">
        <v>1</v>
      </c>
      <c r="F64" s="15"/>
      <c r="G64" s="18">
        <v>37</v>
      </c>
      <c r="I64" s="44" t="s">
        <v>78</v>
      </c>
      <c r="J64" s="45"/>
      <c r="K64" s="45"/>
      <c r="L64" s="45"/>
      <c r="M64" s="45"/>
      <c r="N64" s="48" t="s">
        <v>105</v>
      </c>
      <c r="O64" s="48"/>
      <c r="P64" s="48"/>
      <c r="Q64" s="48"/>
      <c r="R64" s="49"/>
    </row>
    <row r="65" spans="1:18" ht="18" customHeight="1" thickBot="1" x14ac:dyDescent="0.35">
      <c r="A65" s="6"/>
      <c r="B65" s="40"/>
      <c r="C65" s="17" t="s">
        <v>71</v>
      </c>
      <c r="D65" s="7">
        <v>1</v>
      </c>
      <c r="E65" s="16">
        <v>2</v>
      </c>
      <c r="F65" s="15"/>
      <c r="G65" s="17">
        <v>41</v>
      </c>
      <c r="I65" s="46" t="s">
        <v>80</v>
      </c>
      <c r="J65" s="47"/>
      <c r="K65" s="47"/>
      <c r="L65" s="47"/>
      <c r="M65" s="47"/>
      <c r="N65" s="48" t="s">
        <v>114</v>
      </c>
      <c r="O65" s="48"/>
      <c r="P65" s="48"/>
      <c r="Q65" s="48"/>
      <c r="R65" s="49"/>
    </row>
    <row r="66" spans="1:18" ht="18.75" x14ac:dyDescent="0.3">
      <c r="A66" s="6"/>
      <c r="B66" s="40"/>
      <c r="C66" s="18" t="s">
        <v>79</v>
      </c>
      <c r="D66" s="9">
        <v>1</v>
      </c>
      <c r="E66" s="10">
        <v>2</v>
      </c>
      <c r="F66" s="15"/>
      <c r="G66" s="18">
        <v>34</v>
      </c>
      <c r="H66" s="6"/>
      <c r="I66" s="6"/>
    </row>
    <row r="67" spans="1:18" ht="18.75" x14ac:dyDescent="0.3">
      <c r="A67" s="6"/>
      <c r="B67" s="40"/>
      <c r="C67" s="17" t="s">
        <v>75</v>
      </c>
      <c r="D67" s="7">
        <v>1</v>
      </c>
      <c r="E67" s="22">
        <v>2</v>
      </c>
      <c r="F67" s="15"/>
      <c r="G67" s="23">
        <v>32</v>
      </c>
      <c r="H67" s="6"/>
    </row>
    <row r="68" spans="1:18" ht="18.75" x14ac:dyDescent="0.3">
      <c r="B68" s="40"/>
      <c r="C68" s="17" t="s">
        <v>73</v>
      </c>
      <c r="D68" s="7">
        <v>1</v>
      </c>
      <c r="E68" s="22">
        <v>1</v>
      </c>
      <c r="F68" s="15"/>
      <c r="G68" s="23">
        <v>22</v>
      </c>
    </row>
    <row r="69" spans="1:18" ht="18.75" x14ac:dyDescent="0.3">
      <c r="B69" s="40"/>
      <c r="C69" s="17" t="s">
        <v>81</v>
      </c>
      <c r="D69" s="7">
        <v>0</v>
      </c>
      <c r="E69" s="16">
        <v>2</v>
      </c>
      <c r="F69" s="15"/>
      <c r="G69" s="17">
        <v>17</v>
      </c>
    </row>
    <row r="70" spans="1:18" ht="18.75" x14ac:dyDescent="0.3">
      <c r="B70" s="40"/>
      <c r="C70" s="18" t="s">
        <v>84</v>
      </c>
      <c r="D70" s="9">
        <v>0</v>
      </c>
      <c r="E70" s="10">
        <v>3</v>
      </c>
      <c r="F70" s="15"/>
      <c r="G70" s="18">
        <v>19</v>
      </c>
    </row>
    <row r="71" spans="1:18" ht="19.5" thickBot="1" x14ac:dyDescent="0.35">
      <c r="B71" s="41"/>
      <c r="C71" s="19" t="s">
        <v>101</v>
      </c>
      <c r="D71" s="14">
        <v>0</v>
      </c>
      <c r="E71" s="21">
        <v>3</v>
      </c>
      <c r="F71" s="26"/>
      <c r="G71" s="19">
        <v>23</v>
      </c>
    </row>
    <row r="72" spans="1:18" ht="15.75" thickBot="1" x14ac:dyDescent="0.3"/>
    <row r="73" spans="1:18" ht="19.5" thickBot="1" x14ac:dyDescent="0.35">
      <c r="C73" s="27" t="s">
        <v>87</v>
      </c>
      <c r="D73" s="28" t="s">
        <v>66</v>
      </c>
      <c r="E73" s="28" t="s">
        <v>67</v>
      </c>
      <c r="F73" s="20" t="s">
        <v>91</v>
      </c>
      <c r="G73" s="31" t="s">
        <v>68</v>
      </c>
    </row>
    <row r="74" spans="1:18" ht="18.75" x14ac:dyDescent="0.3">
      <c r="C74" s="14" t="s">
        <v>82</v>
      </c>
      <c r="D74" s="14">
        <v>3</v>
      </c>
      <c r="E74" s="24">
        <v>0</v>
      </c>
      <c r="F74" s="15"/>
      <c r="G74" s="25">
        <v>49</v>
      </c>
    </row>
    <row r="75" spans="1:18" ht="18.75" x14ac:dyDescent="0.3">
      <c r="C75" s="7" t="s">
        <v>77</v>
      </c>
      <c r="D75" s="7">
        <v>3</v>
      </c>
      <c r="E75" s="22">
        <v>0</v>
      </c>
      <c r="F75" s="15"/>
      <c r="G75" s="23">
        <v>46</v>
      </c>
    </row>
    <row r="76" spans="1:18" ht="18.75" x14ac:dyDescent="0.3">
      <c r="C76" s="14" t="s">
        <v>71</v>
      </c>
      <c r="D76" s="14">
        <v>1</v>
      </c>
      <c r="E76" s="21">
        <v>2</v>
      </c>
      <c r="F76" s="26"/>
      <c r="G76" s="19">
        <v>41</v>
      </c>
    </row>
    <row r="77" spans="1:18" ht="18.75" x14ac:dyDescent="0.3">
      <c r="C77" s="14" t="s">
        <v>75</v>
      </c>
      <c r="D77" s="14">
        <v>1</v>
      </c>
      <c r="E77" s="24">
        <v>2</v>
      </c>
      <c r="F77" s="26"/>
      <c r="G77" s="25">
        <v>32</v>
      </c>
    </row>
    <row r="78" spans="1:18" ht="15.75" thickBot="1" x14ac:dyDescent="0.3"/>
    <row r="79" spans="1:18" ht="19.5" thickBot="1" x14ac:dyDescent="0.35">
      <c r="C79" s="27" t="s">
        <v>88</v>
      </c>
      <c r="D79" s="28" t="s">
        <v>66</v>
      </c>
      <c r="E79" s="28" t="s">
        <v>67</v>
      </c>
      <c r="F79" s="20" t="s">
        <v>91</v>
      </c>
      <c r="G79" s="31" t="s">
        <v>68</v>
      </c>
    </row>
    <row r="80" spans="1:18" ht="18.75" x14ac:dyDescent="0.3">
      <c r="C80" s="9" t="s">
        <v>83</v>
      </c>
      <c r="D80" s="9">
        <v>3</v>
      </c>
      <c r="E80" s="10">
        <v>0</v>
      </c>
      <c r="F80" s="15"/>
      <c r="G80" s="18">
        <v>45</v>
      </c>
    </row>
    <row r="81" spans="3:7" ht="18.75" x14ac:dyDescent="0.3">
      <c r="C81" s="7" t="s">
        <v>85</v>
      </c>
      <c r="D81" s="7">
        <v>2</v>
      </c>
      <c r="E81" s="22">
        <v>1</v>
      </c>
      <c r="F81" s="15"/>
      <c r="G81" s="23">
        <v>43</v>
      </c>
    </row>
    <row r="82" spans="3:7" ht="18.75" x14ac:dyDescent="0.3">
      <c r="C82" s="9" t="s">
        <v>79</v>
      </c>
      <c r="D82" s="9">
        <v>1</v>
      </c>
      <c r="E82" s="10">
        <v>2</v>
      </c>
      <c r="F82" s="15"/>
      <c r="G82" s="18">
        <v>34</v>
      </c>
    </row>
    <row r="83" spans="3:7" ht="18.75" x14ac:dyDescent="0.3">
      <c r="C83" s="14" t="s">
        <v>101</v>
      </c>
      <c r="D83" s="14">
        <v>0</v>
      </c>
      <c r="E83" s="21">
        <v>3</v>
      </c>
      <c r="F83" s="26"/>
      <c r="G83" s="19">
        <v>23</v>
      </c>
    </row>
    <row r="84" spans="3:7" ht="15.75" thickBot="1" x14ac:dyDescent="0.3"/>
    <row r="85" spans="3:7" ht="19.5" thickBot="1" x14ac:dyDescent="0.35">
      <c r="C85" s="32" t="s">
        <v>89</v>
      </c>
      <c r="D85" s="33" t="s">
        <v>66</v>
      </c>
      <c r="E85" s="33" t="s">
        <v>67</v>
      </c>
      <c r="F85" s="20" t="s">
        <v>91</v>
      </c>
      <c r="G85" s="34" t="s">
        <v>68</v>
      </c>
    </row>
    <row r="86" spans="3:7" ht="18.75" x14ac:dyDescent="0.3">
      <c r="C86" s="9" t="s">
        <v>86</v>
      </c>
      <c r="D86" s="9">
        <v>2</v>
      </c>
      <c r="E86" s="10">
        <v>1</v>
      </c>
      <c r="F86" s="15"/>
      <c r="G86" s="18">
        <v>37</v>
      </c>
    </row>
    <row r="87" spans="3:7" ht="18.75" x14ac:dyDescent="0.3">
      <c r="C87" s="14" t="s">
        <v>73</v>
      </c>
      <c r="D87" s="14">
        <v>1</v>
      </c>
      <c r="E87" s="24">
        <v>1</v>
      </c>
      <c r="F87" s="15"/>
      <c r="G87" s="25">
        <v>22</v>
      </c>
    </row>
    <row r="88" spans="3:7" ht="18.75" x14ac:dyDescent="0.3">
      <c r="C88" s="7" t="s">
        <v>81</v>
      </c>
      <c r="D88" s="7">
        <v>0</v>
      </c>
      <c r="E88" s="16">
        <v>2</v>
      </c>
      <c r="F88" s="15"/>
      <c r="G88" s="17">
        <v>17</v>
      </c>
    </row>
    <row r="89" spans="3:7" ht="18.75" x14ac:dyDescent="0.3">
      <c r="C89" s="9" t="s">
        <v>84</v>
      </c>
      <c r="D89" s="9">
        <v>0</v>
      </c>
      <c r="E89" s="10">
        <v>3</v>
      </c>
      <c r="F89" s="15"/>
      <c r="G89" s="18">
        <v>19</v>
      </c>
    </row>
  </sheetData>
  <mergeCells count="14">
    <mergeCell ref="N65:R65"/>
    <mergeCell ref="I59:R59"/>
    <mergeCell ref="N60:R60"/>
    <mergeCell ref="N61:R61"/>
    <mergeCell ref="N62:R62"/>
    <mergeCell ref="N63:R63"/>
    <mergeCell ref="N64:R64"/>
    <mergeCell ref="B59:B71"/>
    <mergeCell ref="I60:M60"/>
    <mergeCell ref="I61:M61"/>
    <mergeCell ref="I62:M62"/>
    <mergeCell ref="I63:M63"/>
    <mergeCell ref="I64:M64"/>
    <mergeCell ref="I65:M6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pane ySplit="1" topLeftCell="A2" activePane="bottomLeft" state="frozen"/>
      <selection pane="bottomLeft" activeCell="F6" sqref="F6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33</v>
      </c>
      <c r="C2" s="4" t="s">
        <v>16</v>
      </c>
      <c r="D2" s="11">
        <f>SUM(1464+1483+1503+1503)</f>
        <v>5953</v>
      </c>
      <c r="E2" s="11">
        <f>SUM(83+89+91+74)</f>
        <v>337</v>
      </c>
      <c r="F2" s="12">
        <f>SUM(D2/E2)</f>
        <v>17.664688427299705</v>
      </c>
      <c r="G2" s="11">
        <v>4</v>
      </c>
      <c r="H2" s="11">
        <v>4</v>
      </c>
      <c r="I2" s="11"/>
      <c r="J2" s="11"/>
      <c r="K2" s="11"/>
      <c r="L2" s="11">
        <v>18</v>
      </c>
      <c r="M2" s="13">
        <v>5</v>
      </c>
    </row>
    <row r="3" spans="1:13" ht="18.75" x14ac:dyDescent="0.3">
      <c r="A3" s="3">
        <v>2</v>
      </c>
      <c r="B3" s="4" t="s">
        <v>25</v>
      </c>
      <c r="C3" s="4" t="s">
        <v>16</v>
      </c>
      <c r="D3" s="11">
        <f>SUM(1444+1481+1503+1503)</f>
        <v>5931</v>
      </c>
      <c r="E3" s="11">
        <f>SUM(74+87+96+88)</f>
        <v>345</v>
      </c>
      <c r="F3" s="12">
        <f>SUM(D3/E3)</f>
        <v>17.191304347826087</v>
      </c>
      <c r="G3" s="11">
        <v>4</v>
      </c>
      <c r="H3" s="11">
        <v>3</v>
      </c>
      <c r="I3" s="11"/>
      <c r="J3" s="11"/>
      <c r="K3" s="11"/>
      <c r="L3" s="11">
        <v>16.5</v>
      </c>
      <c r="M3" s="13">
        <v>5</v>
      </c>
    </row>
    <row r="4" spans="1:13" ht="18.75" x14ac:dyDescent="0.3">
      <c r="A4" s="3">
        <v>3</v>
      </c>
      <c r="B4" s="4" t="s">
        <v>13</v>
      </c>
      <c r="C4" s="4" t="s">
        <v>14</v>
      </c>
      <c r="D4" s="11">
        <f>SUM(1360+1372+1443+1499)</f>
        <v>5674</v>
      </c>
      <c r="E4" s="11">
        <f>SUM(71+94+91+92)</f>
        <v>348</v>
      </c>
      <c r="F4" s="12">
        <f>SUM(D4/E4)</f>
        <v>16.304597701149426</v>
      </c>
      <c r="G4" s="11">
        <v>4</v>
      </c>
      <c r="H4" s="11">
        <v>2</v>
      </c>
      <c r="I4" s="11">
        <v>1</v>
      </c>
      <c r="J4" s="11"/>
      <c r="K4" s="11"/>
      <c r="L4" s="11">
        <v>13.5</v>
      </c>
      <c r="M4" s="13"/>
    </row>
    <row r="5" spans="1:13" ht="18.75" x14ac:dyDescent="0.3">
      <c r="A5" s="3">
        <v>4</v>
      </c>
      <c r="B5" s="4" t="s">
        <v>11</v>
      </c>
      <c r="C5" s="4" t="s">
        <v>12</v>
      </c>
      <c r="D5" s="11">
        <f>SUM(1494+1503+1413+1503)</f>
        <v>5913</v>
      </c>
      <c r="E5" s="11">
        <f>SUM(102+87+93+89)</f>
        <v>371</v>
      </c>
      <c r="F5" s="12">
        <f>SUM(D5/E5)</f>
        <v>15.938005390835579</v>
      </c>
      <c r="G5" s="11">
        <v>4</v>
      </c>
      <c r="H5" s="11">
        <v>4</v>
      </c>
      <c r="I5" s="11"/>
      <c r="J5" s="11"/>
      <c r="K5" s="11"/>
      <c r="L5" s="11">
        <v>15.5</v>
      </c>
      <c r="M5" s="13"/>
    </row>
    <row r="6" spans="1:13" ht="18.75" x14ac:dyDescent="0.3">
      <c r="A6" s="3">
        <v>5</v>
      </c>
      <c r="B6" s="4" t="s">
        <v>17</v>
      </c>
      <c r="C6" s="4" t="s">
        <v>14</v>
      </c>
      <c r="D6" s="11">
        <f>SUM(1280+1503+1449+1503)</f>
        <v>5735</v>
      </c>
      <c r="E6" s="11">
        <f>SUM(79+100+93+90)</f>
        <v>362</v>
      </c>
      <c r="F6" s="12">
        <f>SUM(D6/E6)</f>
        <v>15.842541436464089</v>
      </c>
      <c r="G6" s="11">
        <v>4</v>
      </c>
      <c r="H6" s="11">
        <v>2</v>
      </c>
      <c r="I6" s="11"/>
      <c r="J6" s="11"/>
      <c r="K6" s="11"/>
      <c r="L6" s="35">
        <v>12</v>
      </c>
      <c r="M6" s="13"/>
    </row>
    <row r="7" spans="1:13" ht="18.75" x14ac:dyDescent="0.3">
      <c r="A7" s="3">
        <v>6</v>
      </c>
      <c r="B7" s="4" t="s">
        <v>36</v>
      </c>
      <c r="C7" s="4" t="s">
        <v>12</v>
      </c>
      <c r="D7" s="11">
        <f>SUM(1503+1503+1503+1475)</f>
        <v>5984</v>
      </c>
      <c r="E7" s="11">
        <f>SUM(93+115+87+87)</f>
        <v>382</v>
      </c>
      <c r="F7" s="12">
        <f>SUM(D7/E7)</f>
        <v>15.664921465968586</v>
      </c>
      <c r="G7" s="11">
        <v>4</v>
      </c>
      <c r="H7" s="11">
        <v>3</v>
      </c>
      <c r="I7" s="11"/>
      <c r="J7" s="11"/>
      <c r="K7" s="11"/>
      <c r="L7" s="11">
        <v>17</v>
      </c>
      <c r="M7" s="13">
        <v>10</v>
      </c>
    </row>
    <row r="8" spans="1:13" ht="18.75" x14ac:dyDescent="0.3">
      <c r="A8" s="3">
        <v>7</v>
      </c>
      <c r="B8" s="4" t="s">
        <v>24</v>
      </c>
      <c r="C8" s="4" t="s">
        <v>23</v>
      </c>
      <c r="D8" s="11">
        <f>SUM(1501+1472+1503+1503)</f>
        <v>5979</v>
      </c>
      <c r="E8" s="11">
        <f>SUM(87+99+109+88)</f>
        <v>383</v>
      </c>
      <c r="F8" s="12">
        <f>SUM(D8/E8)</f>
        <v>15.610966057441253</v>
      </c>
      <c r="G8" s="11">
        <v>4</v>
      </c>
      <c r="H8" s="11">
        <v>3</v>
      </c>
      <c r="I8" s="11"/>
      <c r="J8" s="11"/>
      <c r="K8" s="11"/>
      <c r="L8" s="11">
        <v>13</v>
      </c>
      <c r="M8" s="13"/>
    </row>
    <row r="9" spans="1:13" ht="18.75" x14ac:dyDescent="0.3">
      <c r="A9" s="3">
        <v>8</v>
      </c>
      <c r="B9" s="4" t="s">
        <v>15</v>
      </c>
      <c r="C9" s="4" t="s">
        <v>16</v>
      </c>
      <c r="D9" s="11">
        <f>SUM(1503+1503+1503+1489)</f>
        <v>5998</v>
      </c>
      <c r="E9" s="11">
        <f>SUM(94+109+90+95)</f>
        <v>388</v>
      </c>
      <c r="F9" s="12">
        <f>SUM(D9/E9)</f>
        <v>15.458762886597938</v>
      </c>
      <c r="G9" s="11">
        <v>4</v>
      </c>
      <c r="H9" s="11">
        <v>4</v>
      </c>
      <c r="I9" s="11"/>
      <c r="J9" s="11"/>
      <c r="K9" s="11"/>
      <c r="L9" s="11">
        <v>19.5</v>
      </c>
      <c r="M9" s="13"/>
    </row>
    <row r="10" spans="1:13" ht="18.75" x14ac:dyDescent="0.3">
      <c r="A10" s="3">
        <v>9</v>
      </c>
      <c r="B10" s="4" t="s">
        <v>37</v>
      </c>
      <c r="C10" s="7" t="s">
        <v>21</v>
      </c>
      <c r="D10" s="11">
        <f>SUM(1501+1495+1314+1407)</f>
        <v>5717</v>
      </c>
      <c r="E10" s="11">
        <f>SUM(106+86+87+95)</f>
        <v>374</v>
      </c>
      <c r="F10" s="12">
        <f>SUM(D10/E10)</f>
        <v>15.286096256684491</v>
      </c>
      <c r="G10" s="11">
        <v>4</v>
      </c>
      <c r="H10" s="11">
        <v>3</v>
      </c>
      <c r="I10" s="11"/>
      <c r="J10" s="11"/>
      <c r="K10" s="11"/>
      <c r="L10" s="11">
        <v>11</v>
      </c>
      <c r="M10" s="13"/>
    </row>
    <row r="11" spans="1:13" ht="18.75" x14ac:dyDescent="0.3">
      <c r="A11" s="3">
        <v>10</v>
      </c>
      <c r="B11" s="4" t="s">
        <v>18</v>
      </c>
      <c r="C11" s="4" t="s">
        <v>19</v>
      </c>
      <c r="D11" s="11">
        <f>SUM(1403+1503+1328+1440)</f>
        <v>5674</v>
      </c>
      <c r="E11" s="11">
        <f>SUM(96+99+87+93)</f>
        <v>375</v>
      </c>
      <c r="F11" s="12">
        <f>SUM(D11/E11)</f>
        <v>15.130666666666666</v>
      </c>
      <c r="G11" s="11">
        <v>4</v>
      </c>
      <c r="H11" s="11">
        <v>1</v>
      </c>
      <c r="I11" s="11"/>
      <c r="J11" s="11"/>
      <c r="K11" s="11"/>
      <c r="L11" s="11">
        <v>11</v>
      </c>
      <c r="M11" s="13"/>
    </row>
    <row r="12" spans="1:13" ht="18.75" x14ac:dyDescent="0.3">
      <c r="A12" s="3">
        <v>11</v>
      </c>
      <c r="B12" s="15" t="s">
        <v>46</v>
      </c>
      <c r="C12" s="4" t="s">
        <v>47</v>
      </c>
      <c r="D12" s="11">
        <f>SUM(1503+1503+1427+1287)</f>
        <v>5720</v>
      </c>
      <c r="E12" s="11">
        <f>SUM(87+94+104+95)</f>
        <v>380</v>
      </c>
      <c r="F12" s="12">
        <f>SUM(D12/E12)</f>
        <v>15.052631578947368</v>
      </c>
      <c r="G12" s="11">
        <v>4</v>
      </c>
      <c r="H12" s="11">
        <v>2</v>
      </c>
      <c r="I12" s="11"/>
      <c r="J12" s="11"/>
      <c r="K12" s="11"/>
      <c r="L12" s="11">
        <v>13.5</v>
      </c>
      <c r="M12" s="13">
        <v>5</v>
      </c>
    </row>
    <row r="13" spans="1:13" ht="18.75" x14ac:dyDescent="0.3">
      <c r="A13" s="3">
        <v>12</v>
      </c>
      <c r="B13" s="15" t="s">
        <v>45</v>
      </c>
      <c r="C13" s="4" t="s">
        <v>32</v>
      </c>
      <c r="D13" s="11">
        <f>SUM(1503+1471+1326+953)</f>
        <v>5253</v>
      </c>
      <c r="E13" s="11">
        <f>SUM(100+103+79+72)</f>
        <v>354</v>
      </c>
      <c r="F13" s="12">
        <f>SUM(D13/E13)</f>
        <v>14.838983050847459</v>
      </c>
      <c r="G13" s="11">
        <v>4</v>
      </c>
      <c r="H13" s="11">
        <v>2</v>
      </c>
      <c r="I13" s="11"/>
      <c r="J13" s="11"/>
      <c r="K13" s="11"/>
      <c r="L13" s="11">
        <v>15</v>
      </c>
      <c r="M13" s="13"/>
    </row>
    <row r="14" spans="1:13" ht="18.75" x14ac:dyDescent="0.3">
      <c r="A14" s="3">
        <v>13</v>
      </c>
      <c r="B14" s="3" t="s">
        <v>31</v>
      </c>
      <c r="C14" s="4" t="s">
        <v>32</v>
      </c>
      <c r="D14" s="11">
        <f>SUM(1503+1469+1417+1109)</f>
        <v>5498</v>
      </c>
      <c r="E14" s="11">
        <f>SUM(79+96+108+90)</f>
        <v>373</v>
      </c>
      <c r="F14" s="12">
        <f>SUM(D14/E14)</f>
        <v>14.739946380697051</v>
      </c>
      <c r="G14" s="11">
        <v>4</v>
      </c>
      <c r="H14" s="11">
        <v>1</v>
      </c>
      <c r="I14" s="11"/>
      <c r="J14" s="11"/>
      <c r="K14" s="11"/>
      <c r="L14" s="11">
        <v>9</v>
      </c>
      <c r="M14" s="13">
        <v>5</v>
      </c>
    </row>
    <row r="15" spans="1:13" ht="18.75" x14ac:dyDescent="0.3">
      <c r="A15" s="3">
        <v>14</v>
      </c>
      <c r="B15" s="15" t="s">
        <v>49</v>
      </c>
      <c r="C15" s="4" t="s">
        <v>28</v>
      </c>
      <c r="D15" s="11">
        <f>SUM(1503+1503+1426+1483)</f>
        <v>5915</v>
      </c>
      <c r="E15" s="11">
        <f>SUM(129+86+86+102)</f>
        <v>403</v>
      </c>
      <c r="F15" s="12">
        <f>SUM(D15/E15)</f>
        <v>14.67741935483871</v>
      </c>
      <c r="G15" s="11">
        <v>4</v>
      </c>
      <c r="H15" s="11">
        <v>4</v>
      </c>
      <c r="I15" s="11"/>
      <c r="J15" s="11"/>
      <c r="K15" s="11"/>
      <c r="L15" s="11">
        <v>16</v>
      </c>
      <c r="M15" s="13">
        <v>15</v>
      </c>
    </row>
    <row r="16" spans="1:13" ht="18.75" x14ac:dyDescent="0.3">
      <c r="A16" s="3">
        <v>15</v>
      </c>
      <c r="B16" s="4" t="s">
        <v>62</v>
      </c>
      <c r="C16" s="4" t="s">
        <v>19</v>
      </c>
      <c r="D16" s="11">
        <f>SUM(1290+1479+1300+1217)</f>
        <v>5286</v>
      </c>
      <c r="E16" s="11">
        <f>SUM(76+107+93+86)</f>
        <v>362</v>
      </c>
      <c r="F16" s="12">
        <f>SUM(D16/E16)</f>
        <v>14.602209944751381</v>
      </c>
      <c r="G16" s="11">
        <v>4</v>
      </c>
      <c r="H16" s="11">
        <v>1</v>
      </c>
      <c r="I16" s="11"/>
      <c r="J16" s="11"/>
      <c r="K16" s="11"/>
      <c r="L16" s="11">
        <v>11.5</v>
      </c>
      <c r="M16" s="13">
        <v>5</v>
      </c>
    </row>
    <row r="17" spans="1:13" ht="18.75" x14ac:dyDescent="0.3">
      <c r="A17" s="3">
        <v>16</v>
      </c>
      <c r="B17" s="4" t="s">
        <v>90</v>
      </c>
      <c r="C17" s="4" t="s">
        <v>12</v>
      </c>
      <c r="D17" s="11">
        <f>SUM(1361+1497+1376+1453)</f>
        <v>5687</v>
      </c>
      <c r="E17" s="11">
        <f>SUM(83+112+96+107)</f>
        <v>398</v>
      </c>
      <c r="F17" s="12">
        <f>SUM(D17/E17)</f>
        <v>14.288944723618091</v>
      </c>
      <c r="G17" s="11">
        <v>4</v>
      </c>
      <c r="H17" s="11">
        <v>3</v>
      </c>
      <c r="I17" s="11"/>
      <c r="J17" s="11"/>
      <c r="K17" s="11"/>
      <c r="L17" s="11">
        <v>12</v>
      </c>
      <c r="M17" s="13"/>
    </row>
    <row r="18" spans="1:13" ht="18.75" x14ac:dyDescent="0.3">
      <c r="A18" s="3">
        <v>17</v>
      </c>
      <c r="B18" s="4" t="s">
        <v>22</v>
      </c>
      <c r="C18" s="4" t="s">
        <v>23</v>
      </c>
      <c r="D18" s="11">
        <f>SUM(1499+1497+1503+1397)</f>
        <v>5896</v>
      </c>
      <c r="E18" s="11">
        <f>SUM(101+88+116+108)</f>
        <v>413</v>
      </c>
      <c r="F18" s="12">
        <f>SUM(D18/E18)</f>
        <v>14.276029055690072</v>
      </c>
      <c r="G18" s="11">
        <v>4</v>
      </c>
      <c r="H18" s="11">
        <v>4</v>
      </c>
      <c r="I18" s="11"/>
      <c r="J18" s="11"/>
      <c r="K18" s="11"/>
      <c r="L18" s="11">
        <v>16.5</v>
      </c>
      <c r="M18" s="13">
        <v>5</v>
      </c>
    </row>
    <row r="19" spans="1:13" ht="18.75" x14ac:dyDescent="0.3">
      <c r="A19" s="3">
        <v>18</v>
      </c>
      <c r="B19" s="15" t="s">
        <v>92</v>
      </c>
      <c r="C19" s="7" t="s">
        <v>42</v>
      </c>
      <c r="D19" s="11">
        <f>SUM(1319+1334+1503+1297)</f>
        <v>5453</v>
      </c>
      <c r="E19" s="11">
        <f>SUM(106+84+103+90)</f>
        <v>383</v>
      </c>
      <c r="F19" s="12">
        <f>SUM(D19/E19)</f>
        <v>14.237597911227153</v>
      </c>
      <c r="G19" s="11">
        <v>4</v>
      </c>
      <c r="H19" s="11">
        <v>1</v>
      </c>
      <c r="I19" s="11"/>
      <c r="J19" s="11"/>
      <c r="K19" s="11"/>
      <c r="L19" s="11">
        <v>11.5</v>
      </c>
      <c r="M19" s="13"/>
    </row>
    <row r="20" spans="1:13" ht="18.75" x14ac:dyDescent="0.3">
      <c r="A20" s="3">
        <v>19</v>
      </c>
      <c r="B20" s="4" t="s">
        <v>27</v>
      </c>
      <c r="C20" s="4" t="s">
        <v>28</v>
      </c>
      <c r="D20" s="11">
        <f>SUM(1471+1503+1503+1358)</f>
        <v>5835</v>
      </c>
      <c r="E20" s="11">
        <f>SUM(111+90+109+101)</f>
        <v>411</v>
      </c>
      <c r="F20" s="12">
        <f>SUM(D20/E20)</f>
        <v>14.197080291970803</v>
      </c>
      <c r="G20" s="11">
        <v>4</v>
      </c>
      <c r="H20" s="11">
        <v>4</v>
      </c>
      <c r="I20" s="11"/>
      <c r="J20" s="11"/>
      <c r="K20" s="11"/>
      <c r="L20" s="11">
        <v>16.5</v>
      </c>
      <c r="M20" s="13"/>
    </row>
    <row r="21" spans="1:13" ht="18.75" x14ac:dyDescent="0.3">
      <c r="A21" s="3">
        <v>20</v>
      </c>
      <c r="B21" s="3" t="s">
        <v>48</v>
      </c>
      <c r="C21" s="4" t="s">
        <v>32</v>
      </c>
      <c r="D21" s="11">
        <f>SUM(1239+1483+1425+1350)</f>
        <v>5497</v>
      </c>
      <c r="E21" s="11">
        <f>SUM(95+93+104+96)</f>
        <v>388</v>
      </c>
      <c r="F21" s="12">
        <f>SUM(D21/E21)</f>
        <v>14.167525773195877</v>
      </c>
      <c r="G21" s="11">
        <v>4</v>
      </c>
      <c r="H21" s="11">
        <v>1</v>
      </c>
      <c r="I21" s="11"/>
      <c r="J21" s="11"/>
      <c r="K21" s="11"/>
      <c r="L21" s="11">
        <v>12.5</v>
      </c>
      <c r="M21" s="13"/>
    </row>
    <row r="22" spans="1:13" ht="18.75" x14ac:dyDescent="0.3">
      <c r="A22" s="3">
        <v>21</v>
      </c>
      <c r="B22" s="4" t="s">
        <v>35</v>
      </c>
      <c r="C22" s="4" t="s">
        <v>16</v>
      </c>
      <c r="D22" s="11">
        <f>SUM(1471)</f>
        <v>1471</v>
      </c>
      <c r="E22" s="11">
        <f>SUM(104)</f>
        <v>104</v>
      </c>
      <c r="F22" s="12">
        <f>SUM(D22/E22)</f>
        <v>14.14423076923077</v>
      </c>
      <c r="G22" s="11">
        <v>1</v>
      </c>
      <c r="H22" s="11">
        <v>1</v>
      </c>
      <c r="I22" s="11"/>
      <c r="J22" s="11"/>
      <c r="K22" s="11"/>
      <c r="L22" s="11">
        <v>3</v>
      </c>
      <c r="M22" s="13"/>
    </row>
    <row r="23" spans="1:13" ht="18.75" x14ac:dyDescent="0.3">
      <c r="A23" s="3">
        <v>22</v>
      </c>
      <c r="B23" s="15" t="s">
        <v>39</v>
      </c>
      <c r="C23" s="4" t="s">
        <v>23</v>
      </c>
      <c r="D23" s="11">
        <f>SUM(1332+1373+1492+1499)</f>
        <v>5696</v>
      </c>
      <c r="E23" s="11">
        <f>SUM(84+96+119+109)</f>
        <v>408</v>
      </c>
      <c r="F23" s="12">
        <f>SUM(D23/E23)</f>
        <v>13.96078431372549</v>
      </c>
      <c r="G23" s="11">
        <v>4</v>
      </c>
      <c r="H23" s="11">
        <v>1</v>
      </c>
      <c r="I23" s="11"/>
      <c r="J23" s="11"/>
      <c r="K23" s="11"/>
      <c r="L23" s="11">
        <v>10.5</v>
      </c>
      <c r="M23" s="13"/>
    </row>
    <row r="24" spans="1:13" ht="18.75" x14ac:dyDescent="0.3">
      <c r="A24" s="3">
        <v>23</v>
      </c>
      <c r="B24" s="15" t="s">
        <v>113</v>
      </c>
      <c r="C24" s="4" t="s">
        <v>16</v>
      </c>
      <c r="D24" s="11">
        <f>SUM(1503+1307+1309)</f>
        <v>4119</v>
      </c>
      <c r="E24" s="11">
        <f>SUM(104+111+88)</f>
        <v>303</v>
      </c>
      <c r="F24" s="12">
        <f>SUM(D24/E24)</f>
        <v>13.594059405940595</v>
      </c>
      <c r="G24" s="11">
        <v>3</v>
      </c>
      <c r="H24" s="11">
        <v>1</v>
      </c>
      <c r="I24" s="11"/>
      <c r="J24" s="11"/>
      <c r="K24" s="11"/>
      <c r="L24" s="11">
        <v>9</v>
      </c>
      <c r="M24" s="13"/>
    </row>
    <row r="25" spans="1:13" ht="18.75" x14ac:dyDescent="0.3">
      <c r="A25" s="3">
        <v>24</v>
      </c>
      <c r="B25" s="15" t="s">
        <v>108</v>
      </c>
      <c r="C25" s="4" t="s">
        <v>19</v>
      </c>
      <c r="D25" s="11">
        <f>SUM(501+1503+1501)</f>
        <v>3505</v>
      </c>
      <c r="E25" s="11">
        <f>SUM(46+117+99)</f>
        <v>262</v>
      </c>
      <c r="F25" s="12">
        <f>SUM(D25/E25)</f>
        <v>13.377862595419847</v>
      </c>
      <c r="G25" s="11">
        <v>3</v>
      </c>
      <c r="H25" s="11">
        <v>2</v>
      </c>
      <c r="I25" s="11"/>
      <c r="J25" s="11">
        <v>1</v>
      </c>
      <c r="K25" s="11"/>
      <c r="L25" s="11">
        <v>12.5</v>
      </c>
      <c r="M25" s="13"/>
    </row>
    <row r="26" spans="1:13" ht="18.75" x14ac:dyDescent="0.3">
      <c r="A26" s="3">
        <v>25</v>
      </c>
      <c r="B26" s="4" t="s">
        <v>43</v>
      </c>
      <c r="C26" s="4" t="s">
        <v>12</v>
      </c>
      <c r="D26" s="11">
        <f>SUM(1479+1503+1483+1474)</f>
        <v>5939</v>
      </c>
      <c r="E26" s="11">
        <f>SUM(130+97+96+123)</f>
        <v>446</v>
      </c>
      <c r="F26" s="12">
        <f>SUM(D26/E26)</f>
        <v>13.316143497757848</v>
      </c>
      <c r="G26" s="11">
        <v>4</v>
      </c>
      <c r="H26" s="11">
        <v>3</v>
      </c>
      <c r="I26" s="11"/>
      <c r="J26" s="11"/>
      <c r="K26" s="11"/>
      <c r="L26" s="11">
        <v>15.5</v>
      </c>
      <c r="M26" s="13"/>
    </row>
    <row r="27" spans="1:13" ht="18.75" x14ac:dyDescent="0.3">
      <c r="A27" s="3">
        <v>26</v>
      </c>
      <c r="B27" s="4" t="s">
        <v>34</v>
      </c>
      <c r="C27" s="4" t="s">
        <v>32</v>
      </c>
      <c r="D27" s="11">
        <f>SUM(1204+1501+1396+1414)</f>
        <v>5515</v>
      </c>
      <c r="E27" s="11">
        <f>SUM(88+140+97+90)</f>
        <v>415</v>
      </c>
      <c r="F27" s="12">
        <f>SUM(D27/E27)</f>
        <v>13.289156626506024</v>
      </c>
      <c r="G27" s="11">
        <v>4</v>
      </c>
      <c r="H27" s="11">
        <v>2</v>
      </c>
      <c r="I27" s="11"/>
      <c r="J27" s="11"/>
      <c r="K27" s="11"/>
      <c r="L27" s="11">
        <v>13.5</v>
      </c>
      <c r="M27" s="13"/>
    </row>
    <row r="28" spans="1:13" ht="18.75" x14ac:dyDescent="0.3">
      <c r="A28" s="3">
        <v>27</v>
      </c>
      <c r="B28" s="4" t="s">
        <v>61</v>
      </c>
      <c r="C28" s="7" t="s">
        <v>47</v>
      </c>
      <c r="D28" s="11">
        <f>SUM(1322+1462+1409+1497)</f>
        <v>5690</v>
      </c>
      <c r="E28" s="11">
        <f>SUM(111+98+102+120)</f>
        <v>431</v>
      </c>
      <c r="F28" s="12">
        <f>SUM(D28/E28)</f>
        <v>13.201856148491879</v>
      </c>
      <c r="G28" s="11">
        <v>4</v>
      </c>
      <c r="H28" s="11">
        <v>1</v>
      </c>
      <c r="I28" s="11"/>
      <c r="J28" s="11"/>
      <c r="K28" s="11"/>
      <c r="L28" s="11">
        <v>9.5</v>
      </c>
      <c r="M28" s="13"/>
    </row>
    <row r="29" spans="1:13" ht="18.75" x14ac:dyDescent="0.3">
      <c r="A29" s="3">
        <v>28</v>
      </c>
      <c r="B29" s="15" t="s">
        <v>111</v>
      </c>
      <c r="C29" s="4" t="s">
        <v>21</v>
      </c>
      <c r="D29" s="11">
        <f>SUM(1274+1414+1428)</f>
        <v>4116</v>
      </c>
      <c r="E29" s="11">
        <f>SUM(111+106+96)</f>
        <v>313</v>
      </c>
      <c r="F29" s="12">
        <f>SUM(D29/E29)</f>
        <v>13.150159744408946</v>
      </c>
      <c r="G29" s="11">
        <v>3</v>
      </c>
      <c r="H29" s="11"/>
      <c r="I29" s="11"/>
      <c r="J29" s="11"/>
      <c r="K29" s="11"/>
      <c r="L29" s="11">
        <v>6.5</v>
      </c>
      <c r="M29" s="13"/>
    </row>
    <row r="30" spans="1:13" ht="18.75" x14ac:dyDescent="0.3">
      <c r="A30" s="3">
        <v>29</v>
      </c>
      <c r="B30" s="7" t="s">
        <v>57</v>
      </c>
      <c r="C30" s="4" t="s">
        <v>95</v>
      </c>
      <c r="D30" s="11">
        <f>SUM(1463+1503+1503)</f>
        <v>4469</v>
      </c>
      <c r="E30" s="11">
        <f>SUM(126+108+109)</f>
        <v>343</v>
      </c>
      <c r="F30" s="12">
        <f>SUM(D30/E30)</f>
        <v>13.029154518950437</v>
      </c>
      <c r="G30" s="11">
        <v>3</v>
      </c>
      <c r="H30" s="11">
        <v>2</v>
      </c>
      <c r="I30" s="11"/>
      <c r="J30" s="11"/>
      <c r="K30" s="11"/>
      <c r="L30" s="11">
        <v>11.5</v>
      </c>
      <c r="M30" s="13"/>
    </row>
    <row r="31" spans="1:13" ht="18.75" x14ac:dyDescent="0.3">
      <c r="A31" s="3">
        <v>30</v>
      </c>
      <c r="B31" s="9" t="s">
        <v>93</v>
      </c>
      <c r="C31" s="4" t="s">
        <v>42</v>
      </c>
      <c r="D31" s="11">
        <f>SUM(1481+1499+1329)</f>
        <v>4309</v>
      </c>
      <c r="E31" s="11">
        <f>SUM(97+130+104)</f>
        <v>331</v>
      </c>
      <c r="F31" s="12">
        <f>SUM(D31/E31)</f>
        <v>13.018126888217523</v>
      </c>
      <c r="G31" s="11">
        <v>3</v>
      </c>
      <c r="H31" s="11">
        <v>1</v>
      </c>
      <c r="I31" s="11"/>
      <c r="J31" s="11"/>
      <c r="K31" s="11"/>
      <c r="L31" s="11">
        <v>7</v>
      </c>
      <c r="M31" s="13">
        <v>5</v>
      </c>
    </row>
    <row r="32" spans="1:13" ht="18.75" x14ac:dyDescent="0.3">
      <c r="A32" s="3">
        <v>31</v>
      </c>
      <c r="B32" s="57" t="s">
        <v>20</v>
      </c>
      <c r="C32" s="4" t="s">
        <v>21</v>
      </c>
      <c r="D32" s="11">
        <f>SUM(1243+1262+1307+1213)</f>
        <v>5025</v>
      </c>
      <c r="E32" s="11">
        <f>SUM(94+86+87+120)</f>
        <v>387</v>
      </c>
      <c r="F32" s="12">
        <f>SUM(D32/E32)</f>
        <v>12.984496124031008</v>
      </c>
      <c r="G32" s="11">
        <v>4</v>
      </c>
      <c r="H32" s="11">
        <v>1</v>
      </c>
      <c r="I32" s="11"/>
      <c r="J32" s="11"/>
      <c r="K32" s="11"/>
      <c r="L32" s="11">
        <v>8</v>
      </c>
      <c r="M32" s="13"/>
    </row>
    <row r="33" spans="1:13" ht="18.75" x14ac:dyDescent="0.3">
      <c r="A33" s="3">
        <v>32</v>
      </c>
      <c r="B33" s="9" t="s">
        <v>38</v>
      </c>
      <c r="C33" s="4" t="s">
        <v>28</v>
      </c>
      <c r="D33" s="11">
        <f>SUM(1503+1456+1500)</f>
        <v>4459</v>
      </c>
      <c r="E33" s="11">
        <f>SUM(107+134+103)</f>
        <v>344</v>
      </c>
      <c r="F33" s="12">
        <f>SUM(D33/E33)</f>
        <v>12.962209302325581</v>
      </c>
      <c r="G33" s="11">
        <v>3</v>
      </c>
      <c r="H33" s="11">
        <v>3</v>
      </c>
      <c r="I33" s="11"/>
      <c r="J33" s="11"/>
      <c r="K33" s="11"/>
      <c r="L33" s="11">
        <v>12</v>
      </c>
      <c r="M33" s="13"/>
    </row>
    <row r="34" spans="1:13" ht="18.75" x14ac:dyDescent="0.3">
      <c r="A34" s="3">
        <v>33</v>
      </c>
      <c r="B34" s="9" t="s">
        <v>64</v>
      </c>
      <c r="C34" s="4" t="s">
        <v>95</v>
      </c>
      <c r="D34" s="11">
        <f>SUM(1503+1457+1466+1503)</f>
        <v>5929</v>
      </c>
      <c r="E34" s="11">
        <f>SUM(123+117+121+103)</f>
        <v>464</v>
      </c>
      <c r="F34" s="12">
        <f>SUM(D34/E34)</f>
        <v>12.77801724137931</v>
      </c>
      <c r="G34" s="11">
        <v>4</v>
      </c>
      <c r="H34" s="11">
        <v>3</v>
      </c>
      <c r="I34" s="11"/>
      <c r="J34" s="11"/>
      <c r="K34" s="11"/>
      <c r="L34" s="11">
        <v>13.5</v>
      </c>
      <c r="M34" s="13"/>
    </row>
    <row r="35" spans="1:13" ht="18.75" x14ac:dyDescent="0.3">
      <c r="A35" s="3">
        <v>34</v>
      </c>
      <c r="B35" s="9" t="s">
        <v>60</v>
      </c>
      <c r="C35" s="4" t="s">
        <v>47</v>
      </c>
      <c r="D35" s="11">
        <f>SUM(1477+1291+1469+1471)</f>
        <v>5708</v>
      </c>
      <c r="E35" s="11">
        <f>SUM(126+87+136+98)</f>
        <v>447</v>
      </c>
      <c r="F35" s="12">
        <f>SUM(D35/E35)</f>
        <v>12.769574944071588</v>
      </c>
      <c r="G35" s="11">
        <v>4</v>
      </c>
      <c r="H35" s="11">
        <v>1</v>
      </c>
      <c r="I35" s="11"/>
      <c r="J35" s="11"/>
      <c r="K35" s="11"/>
      <c r="L35" s="11">
        <v>11</v>
      </c>
      <c r="M35" s="13"/>
    </row>
    <row r="36" spans="1:13" ht="18.75" x14ac:dyDescent="0.3">
      <c r="A36" s="3">
        <v>35</v>
      </c>
      <c r="B36" s="55" t="s">
        <v>52</v>
      </c>
      <c r="C36" s="8" t="s">
        <v>53</v>
      </c>
      <c r="D36" s="11">
        <f>SUM(1503+1413+1348+1220)</f>
        <v>5484</v>
      </c>
      <c r="E36" s="11">
        <f>SUM(111+108+106+105)</f>
        <v>430</v>
      </c>
      <c r="F36" s="12">
        <f>SUM(D36/E36)</f>
        <v>12.753488372093024</v>
      </c>
      <c r="G36" s="11">
        <v>4</v>
      </c>
      <c r="H36" s="11">
        <v>1</v>
      </c>
      <c r="I36" s="11"/>
      <c r="J36" s="11"/>
      <c r="K36" s="11"/>
      <c r="L36" s="11">
        <v>5</v>
      </c>
      <c r="M36" s="13"/>
    </row>
    <row r="37" spans="1:13" ht="18.75" x14ac:dyDescent="0.3">
      <c r="A37" s="3">
        <v>36</v>
      </c>
      <c r="B37" s="7" t="s">
        <v>40</v>
      </c>
      <c r="C37" s="7" t="s">
        <v>14</v>
      </c>
      <c r="D37" s="11">
        <f>SUM(1351+1493+1429+1206)</f>
        <v>5479</v>
      </c>
      <c r="E37" s="11">
        <f>SUM(100+138+96+96)</f>
        <v>430</v>
      </c>
      <c r="F37" s="12">
        <f>SUM(D37/E37)</f>
        <v>12.741860465116279</v>
      </c>
      <c r="G37" s="11">
        <v>4</v>
      </c>
      <c r="H37" s="11"/>
      <c r="I37" s="11"/>
      <c r="J37" s="11"/>
      <c r="K37" s="11"/>
      <c r="L37" s="11">
        <v>11.5</v>
      </c>
      <c r="M37" s="13"/>
    </row>
    <row r="38" spans="1:13" ht="18.75" x14ac:dyDescent="0.3">
      <c r="A38" s="3">
        <v>37</v>
      </c>
      <c r="B38" s="10" t="s">
        <v>58</v>
      </c>
      <c r="C38" s="7" t="s">
        <v>53</v>
      </c>
      <c r="D38" s="11">
        <f>SUM(1098+1207+1409+1390)</f>
        <v>5104</v>
      </c>
      <c r="E38" s="11">
        <f>SUM(87+93+129+99)</f>
        <v>408</v>
      </c>
      <c r="F38" s="12">
        <f>SUM(D38/E38)</f>
        <v>12.509803921568627</v>
      </c>
      <c r="G38" s="11">
        <v>4</v>
      </c>
      <c r="H38" s="11"/>
      <c r="I38" s="11"/>
      <c r="J38" s="11"/>
      <c r="K38" s="11"/>
      <c r="L38" s="11">
        <v>3.5</v>
      </c>
      <c r="M38" s="13"/>
    </row>
    <row r="39" spans="1:13" ht="18.75" x14ac:dyDescent="0.3">
      <c r="A39" s="3">
        <v>38</v>
      </c>
      <c r="B39" s="16" t="s">
        <v>56</v>
      </c>
      <c r="C39" s="8" t="s">
        <v>95</v>
      </c>
      <c r="D39" s="11">
        <f>SUM(1248+1064)</f>
        <v>2312</v>
      </c>
      <c r="E39" s="11">
        <f>SUM(105+84)</f>
        <v>189</v>
      </c>
      <c r="F39" s="12">
        <f>SUM(D39/E39)</f>
        <v>12.232804232804233</v>
      </c>
      <c r="G39" s="11">
        <v>2</v>
      </c>
      <c r="H39" s="11"/>
      <c r="I39" s="11"/>
      <c r="J39" s="11"/>
      <c r="K39" s="11"/>
      <c r="L39" s="11">
        <v>2</v>
      </c>
      <c r="M39" s="13"/>
    </row>
    <row r="40" spans="1:13" ht="18.75" x14ac:dyDescent="0.3">
      <c r="A40" s="3">
        <v>39</v>
      </c>
      <c r="B40" s="16" t="s">
        <v>30</v>
      </c>
      <c r="C40" s="4" t="s">
        <v>19</v>
      </c>
      <c r="D40" s="11">
        <f>SUM(1434+1354+1503)</f>
        <v>4291</v>
      </c>
      <c r="E40" s="11">
        <f>SUM(100+90+162)</f>
        <v>352</v>
      </c>
      <c r="F40" s="12">
        <f>SUM(D40/E40)</f>
        <v>12.190340909090908</v>
      </c>
      <c r="G40" s="11">
        <v>3</v>
      </c>
      <c r="H40" s="11">
        <v>1</v>
      </c>
      <c r="I40" s="11"/>
      <c r="J40" s="11"/>
      <c r="K40" s="11"/>
      <c r="L40" s="11">
        <v>9.5</v>
      </c>
      <c r="M40" s="13"/>
    </row>
    <row r="41" spans="1:13" ht="18.75" x14ac:dyDescent="0.3">
      <c r="A41" s="3">
        <v>40</v>
      </c>
      <c r="B41" s="16" t="s">
        <v>26</v>
      </c>
      <c r="C41" s="7" t="s">
        <v>19</v>
      </c>
      <c r="D41" s="11">
        <f>SUM(1480+1503)</f>
        <v>2983</v>
      </c>
      <c r="E41" s="11">
        <f>SUM(128+118)</f>
        <v>246</v>
      </c>
      <c r="F41" s="12">
        <f>SUM(D41/E41)</f>
        <v>12.126016260162602</v>
      </c>
      <c r="G41" s="11">
        <v>2</v>
      </c>
      <c r="H41" s="11">
        <v>1</v>
      </c>
      <c r="I41" s="11"/>
      <c r="J41" s="11"/>
      <c r="K41" s="11"/>
      <c r="L41" s="11">
        <v>10.5</v>
      </c>
      <c r="M41" s="13"/>
    </row>
    <row r="42" spans="1:13" ht="18.75" x14ac:dyDescent="0.3">
      <c r="A42" s="3">
        <v>41</v>
      </c>
      <c r="B42" s="10" t="s">
        <v>50</v>
      </c>
      <c r="C42" s="7" t="s">
        <v>42</v>
      </c>
      <c r="D42" s="11">
        <f>SUM(1503+1083+1503+1401)</f>
        <v>5490</v>
      </c>
      <c r="E42" s="11">
        <f>SUM(137+81+126+109)</f>
        <v>453</v>
      </c>
      <c r="F42" s="12">
        <f>SUM(D42/E42)</f>
        <v>12.119205298013245</v>
      </c>
      <c r="G42" s="11">
        <v>4</v>
      </c>
      <c r="H42" s="11">
        <v>2</v>
      </c>
      <c r="I42" s="11"/>
      <c r="J42" s="11"/>
      <c r="K42" s="11"/>
      <c r="L42" s="11">
        <v>12.5</v>
      </c>
      <c r="M42" s="13"/>
    </row>
    <row r="43" spans="1:13" ht="18.75" x14ac:dyDescent="0.3">
      <c r="A43" s="3">
        <v>42</v>
      </c>
      <c r="B43" s="10" t="s">
        <v>29</v>
      </c>
      <c r="C43" s="7" t="s">
        <v>23</v>
      </c>
      <c r="D43" s="11">
        <f>SUM(1204+1459+1145+1498)</f>
        <v>5306</v>
      </c>
      <c r="E43" s="11">
        <f>SUM(99+135+102+104)</f>
        <v>440</v>
      </c>
      <c r="F43" s="12">
        <f>SUM(D43/E43)</f>
        <v>12.059090909090909</v>
      </c>
      <c r="G43" s="11">
        <v>4</v>
      </c>
      <c r="H43" s="11">
        <v>2</v>
      </c>
      <c r="I43" s="11"/>
      <c r="J43" s="11"/>
      <c r="K43" s="11"/>
      <c r="L43" s="11">
        <v>8</v>
      </c>
      <c r="M43" s="13"/>
    </row>
    <row r="44" spans="1:13" ht="18.75" x14ac:dyDescent="0.3">
      <c r="A44" s="3">
        <v>43</v>
      </c>
      <c r="B44" s="16" t="s">
        <v>51</v>
      </c>
      <c r="C44" s="7" t="s">
        <v>14</v>
      </c>
      <c r="D44" s="11">
        <f>SUM(1394+1122+1067+1482)</f>
        <v>5065</v>
      </c>
      <c r="E44" s="11">
        <f>SUM(93+86+81+162)</f>
        <v>422</v>
      </c>
      <c r="F44" s="12">
        <f>SUM(D44/E44)</f>
        <v>12.002369668246445</v>
      </c>
      <c r="G44" s="11">
        <v>4</v>
      </c>
      <c r="H44" s="11"/>
      <c r="I44" s="11"/>
      <c r="J44" s="11"/>
      <c r="K44" s="11"/>
      <c r="L44" s="11">
        <v>5</v>
      </c>
      <c r="M44" s="13"/>
    </row>
    <row r="45" spans="1:13" ht="18.75" x14ac:dyDescent="0.3">
      <c r="A45" s="3">
        <v>44</v>
      </c>
      <c r="B45" s="16" t="s">
        <v>41</v>
      </c>
      <c r="C45" s="7" t="s">
        <v>28</v>
      </c>
      <c r="D45" s="11">
        <f>SUM(1487+1499+1483+1499)</f>
        <v>5968</v>
      </c>
      <c r="E45" s="11">
        <f>SUM(120+141+99+139)</f>
        <v>499</v>
      </c>
      <c r="F45" s="12">
        <f>SUM(D45/E45)</f>
        <v>11.959919839679358</v>
      </c>
      <c r="G45" s="11">
        <v>4</v>
      </c>
      <c r="H45" s="11">
        <v>3</v>
      </c>
      <c r="I45" s="11"/>
      <c r="J45" s="11"/>
      <c r="K45" s="11"/>
      <c r="L45" s="11">
        <v>12.5</v>
      </c>
      <c r="M45" s="13"/>
    </row>
    <row r="46" spans="1:13" ht="18.75" x14ac:dyDescent="0.3">
      <c r="A46" s="3">
        <v>45</v>
      </c>
      <c r="B46" s="16" t="s">
        <v>44</v>
      </c>
      <c r="C46" s="4" t="s">
        <v>95</v>
      </c>
      <c r="D46" s="11">
        <f>SUM(1375+1355+1020+1503)</f>
        <v>5253</v>
      </c>
      <c r="E46" s="11">
        <f>SUM(106+108+111+122)</f>
        <v>447</v>
      </c>
      <c r="F46" s="12">
        <f>SUM(D46/E46)</f>
        <v>11.751677852348994</v>
      </c>
      <c r="G46" s="11">
        <v>4</v>
      </c>
      <c r="H46" s="11">
        <v>2</v>
      </c>
      <c r="I46" s="11"/>
      <c r="J46" s="11"/>
      <c r="K46" s="11"/>
      <c r="L46" s="11">
        <v>9.5</v>
      </c>
      <c r="M46" s="13"/>
    </row>
    <row r="47" spans="1:13" ht="18.75" x14ac:dyDescent="0.3">
      <c r="A47" s="3">
        <v>46</v>
      </c>
      <c r="B47" s="10" t="s">
        <v>63</v>
      </c>
      <c r="C47" s="7" t="s">
        <v>21</v>
      </c>
      <c r="D47" s="11">
        <f>SUM(1452+1495)</f>
        <v>2947</v>
      </c>
      <c r="E47" s="11">
        <f>SUM(135+120)</f>
        <v>255</v>
      </c>
      <c r="F47" s="12">
        <f>SUM(D47/E47)</f>
        <v>11.556862745098039</v>
      </c>
      <c r="G47" s="11">
        <v>2</v>
      </c>
      <c r="H47" s="11">
        <v>1</v>
      </c>
      <c r="I47" s="11"/>
      <c r="J47" s="11"/>
      <c r="K47" s="11"/>
      <c r="L47" s="11">
        <v>5</v>
      </c>
      <c r="M47" s="13"/>
    </row>
    <row r="48" spans="1:13" ht="18.75" x14ac:dyDescent="0.3">
      <c r="A48" s="3">
        <v>47</v>
      </c>
      <c r="B48" s="56" t="s">
        <v>125</v>
      </c>
      <c r="C48" s="4" t="s">
        <v>53</v>
      </c>
      <c r="D48" s="11">
        <f>SUM(1341)</f>
        <v>1341</v>
      </c>
      <c r="E48" s="11">
        <f>SUM(117)</f>
        <v>117</v>
      </c>
      <c r="F48" s="12">
        <f>SUM(D48/E48)</f>
        <v>11.461538461538462</v>
      </c>
      <c r="G48" s="11">
        <v>1</v>
      </c>
      <c r="H48" s="11"/>
      <c r="I48" s="11"/>
      <c r="J48" s="11"/>
      <c r="K48" s="11"/>
      <c r="L48" s="11"/>
      <c r="M48" s="13"/>
    </row>
    <row r="49" spans="1:18" ht="18.75" x14ac:dyDescent="0.3">
      <c r="A49" s="3">
        <v>48</v>
      </c>
      <c r="B49" s="15" t="s">
        <v>102</v>
      </c>
      <c r="C49" s="4" t="s">
        <v>21</v>
      </c>
      <c r="D49" s="11">
        <f>SUM(1467)</f>
        <v>1467</v>
      </c>
      <c r="E49" s="11">
        <f>SUM(130)</f>
        <v>130</v>
      </c>
      <c r="F49" s="12">
        <f>SUM(D49/E49)</f>
        <v>11.284615384615385</v>
      </c>
      <c r="G49" s="11">
        <v>1</v>
      </c>
      <c r="H49" s="11">
        <v>1</v>
      </c>
      <c r="I49" s="11"/>
      <c r="J49" s="11"/>
      <c r="K49" s="11"/>
      <c r="L49" s="11">
        <v>4</v>
      </c>
      <c r="M49" s="13"/>
    </row>
    <row r="50" spans="1:18" ht="18.75" x14ac:dyDescent="0.3">
      <c r="A50" s="3">
        <v>49</v>
      </c>
      <c r="B50" s="15" t="s">
        <v>112</v>
      </c>
      <c r="C50" s="17" t="s">
        <v>95</v>
      </c>
      <c r="D50" s="11">
        <f>SUM(1150+1237+1485)</f>
        <v>3872</v>
      </c>
      <c r="E50" s="11">
        <f>SUM(90+108+153)</f>
        <v>351</v>
      </c>
      <c r="F50" s="12">
        <f>SUM(D50/E50)</f>
        <v>11.031339031339032</v>
      </c>
      <c r="G50" s="11">
        <v>3</v>
      </c>
      <c r="H50" s="11">
        <v>1</v>
      </c>
      <c r="I50" s="11"/>
      <c r="J50" s="11"/>
      <c r="K50" s="11"/>
      <c r="L50" s="11">
        <v>7</v>
      </c>
      <c r="M50" s="13"/>
    </row>
    <row r="51" spans="1:18" ht="18.75" x14ac:dyDescent="0.3">
      <c r="A51" s="3">
        <v>50</v>
      </c>
      <c r="B51" s="4" t="s">
        <v>54</v>
      </c>
      <c r="C51" s="4" t="s">
        <v>47</v>
      </c>
      <c r="D51" s="11">
        <f>SUM(1478+1353+1503)</f>
        <v>4334</v>
      </c>
      <c r="E51" s="11">
        <f>SUM(126+139+133)</f>
        <v>398</v>
      </c>
      <c r="F51" s="12">
        <f>SUM(D51/E51)</f>
        <v>10.889447236180905</v>
      </c>
      <c r="G51" s="11">
        <v>3</v>
      </c>
      <c r="H51" s="11">
        <v>2</v>
      </c>
      <c r="I51" s="11"/>
      <c r="J51" s="11"/>
      <c r="K51" s="11"/>
      <c r="L51" s="11">
        <v>10</v>
      </c>
      <c r="M51" s="13"/>
    </row>
    <row r="52" spans="1:18" ht="18.75" x14ac:dyDescent="0.3">
      <c r="A52" s="3">
        <v>51</v>
      </c>
      <c r="B52" s="15" t="s">
        <v>110</v>
      </c>
      <c r="C52" s="4" t="s">
        <v>21</v>
      </c>
      <c r="D52" s="11">
        <f>SUM(1250+1503)</f>
        <v>2753</v>
      </c>
      <c r="E52" s="11">
        <f>SUM(109+145)</f>
        <v>254</v>
      </c>
      <c r="F52" s="12">
        <f>SUM(D52/E52)</f>
        <v>10.838582677165354</v>
      </c>
      <c r="G52" s="11">
        <v>2</v>
      </c>
      <c r="H52" s="11">
        <v>1</v>
      </c>
      <c r="I52" s="11"/>
      <c r="J52" s="11"/>
      <c r="K52" s="11"/>
      <c r="L52" s="11">
        <v>3.5</v>
      </c>
      <c r="M52" s="13"/>
    </row>
    <row r="53" spans="1:18" ht="18.75" x14ac:dyDescent="0.3">
      <c r="A53" s="3">
        <v>52</v>
      </c>
      <c r="B53" s="4" t="s">
        <v>124</v>
      </c>
      <c r="C53" s="4" t="s">
        <v>28</v>
      </c>
      <c r="D53" s="11">
        <f>SUM(1416)</f>
        <v>1416</v>
      </c>
      <c r="E53" s="11">
        <f>SUM(132)</f>
        <v>132</v>
      </c>
      <c r="F53" s="12">
        <f>SUM(D53/E53)</f>
        <v>10.727272727272727</v>
      </c>
      <c r="G53" s="11">
        <v>1</v>
      </c>
      <c r="H53" s="11"/>
      <c r="I53" s="11"/>
      <c r="J53" s="11"/>
      <c r="K53" s="11"/>
      <c r="L53" s="11">
        <v>1</v>
      </c>
      <c r="M53" s="13"/>
    </row>
    <row r="54" spans="1:18" ht="18.75" x14ac:dyDescent="0.3">
      <c r="A54" s="3">
        <v>53</v>
      </c>
      <c r="B54" s="15" t="s">
        <v>59</v>
      </c>
      <c r="C54" s="4" t="s">
        <v>53</v>
      </c>
      <c r="D54" s="11">
        <f>SUM(1368+1501)</f>
        <v>2869</v>
      </c>
      <c r="E54" s="11">
        <f>SUM(122+148)</f>
        <v>270</v>
      </c>
      <c r="F54" s="12">
        <f>SUM(D54/E54)</f>
        <v>10.625925925925927</v>
      </c>
      <c r="G54" s="11">
        <v>2</v>
      </c>
      <c r="H54" s="11">
        <v>2</v>
      </c>
      <c r="I54" s="11"/>
      <c r="J54" s="11"/>
      <c r="K54" s="11"/>
      <c r="L54" s="11">
        <v>6.5</v>
      </c>
      <c r="M54" s="13"/>
    </row>
    <row r="55" spans="1:18" ht="18.75" x14ac:dyDescent="0.3">
      <c r="A55" s="3">
        <v>54</v>
      </c>
      <c r="B55" s="15" t="s">
        <v>55</v>
      </c>
      <c r="C55" s="17" t="s">
        <v>53</v>
      </c>
      <c r="D55" s="11">
        <f>SUM(1363+1275+1471)</f>
        <v>4109</v>
      </c>
      <c r="E55" s="11">
        <f>SUM(123+117+156)</f>
        <v>396</v>
      </c>
      <c r="F55" s="12">
        <f>SUM(D55/E55)</f>
        <v>10.376262626262626</v>
      </c>
      <c r="G55" s="11">
        <v>3</v>
      </c>
      <c r="H55" s="11"/>
      <c r="I55" s="11"/>
      <c r="J55" s="11"/>
      <c r="K55" s="11"/>
      <c r="L55" s="11">
        <v>3.5</v>
      </c>
      <c r="M55" s="13"/>
    </row>
    <row r="56" spans="1:18" ht="18.75" x14ac:dyDescent="0.3">
      <c r="A56" s="3">
        <v>55</v>
      </c>
      <c r="B56" s="15" t="s">
        <v>94</v>
      </c>
      <c r="C56" s="17" t="s">
        <v>42</v>
      </c>
      <c r="D56" s="11">
        <f>SUM(1484+1490+1474+1452)</f>
        <v>5900</v>
      </c>
      <c r="E56" s="11">
        <f>SUM(126+139+150+165)</f>
        <v>580</v>
      </c>
      <c r="F56" s="12">
        <f>SUM(D56/E56)</f>
        <v>10.172413793103448</v>
      </c>
      <c r="G56" s="11">
        <v>4</v>
      </c>
      <c r="H56" s="11"/>
      <c r="I56" s="11"/>
      <c r="J56" s="11"/>
      <c r="K56" s="11"/>
      <c r="L56" s="11">
        <v>12</v>
      </c>
      <c r="M56" s="13"/>
    </row>
    <row r="57" spans="1:18" ht="18.75" x14ac:dyDescent="0.3">
      <c r="A57" s="3">
        <v>56</v>
      </c>
      <c r="B57" s="15" t="s">
        <v>97</v>
      </c>
      <c r="C57" s="4" t="s">
        <v>47</v>
      </c>
      <c r="D57" s="11">
        <f>SUM(1376)</f>
        <v>1376</v>
      </c>
      <c r="E57" s="11">
        <f>SUM(138)</f>
        <v>138</v>
      </c>
      <c r="F57" s="12">
        <f>SUM(D57/E57)</f>
        <v>9.9710144927536231</v>
      </c>
      <c r="G57" s="11">
        <v>1</v>
      </c>
      <c r="H57" s="11"/>
      <c r="I57" s="11"/>
      <c r="J57" s="11"/>
      <c r="K57" s="11"/>
      <c r="L57" s="11">
        <v>2</v>
      </c>
      <c r="M57" s="13"/>
    </row>
    <row r="58" spans="1:18" ht="18.75" x14ac:dyDescent="0.3">
      <c r="A58" s="3">
        <v>57</v>
      </c>
      <c r="B58" s="15" t="s">
        <v>109</v>
      </c>
      <c r="C58" s="17" t="s">
        <v>53</v>
      </c>
      <c r="D58" s="11">
        <f>SUM(496+1498)</f>
        <v>1994</v>
      </c>
      <c r="E58" s="11">
        <f>SUM(45+156)</f>
        <v>201</v>
      </c>
      <c r="F58" s="12">
        <f>SUM(D58/E58)</f>
        <v>9.9203980099502491</v>
      </c>
      <c r="G58" s="11">
        <v>2</v>
      </c>
      <c r="H58" s="11"/>
      <c r="I58" s="11"/>
      <c r="J58" s="11"/>
      <c r="K58" s="11"/>
      <c r="L58" s="11">
        <v>2.5</v>
      </c>
      <c r="M58" s="13"/>
    </row>
    <row r="59" spans="1:18" ht="18.75" x14ac:dyDescent="0.3">
      <c r="A59" s="3">
        <v>58</v>
      </c>
      <c r="B59" s="21" t="s">
        <v>118</v>
      </c>
      <c r="C59" s="14" t="s">
        <v>42</v>
      </c>
      <c r="D59" s="11">
        <f>SUM(1477)</f>
        <v>1477</v>
      </c>
      <c r="E59" s="11">
        <f>SUM(152)</f>
        <v>152</v>
      </c>
      <c r="F59" s="12">
        <f>SUM(D59/E59)</f>
        <v>9.7171052631578956</v>
      </c>
      <c r="G59" s="11">
        <v>1</v>
      </c>
      <c r="H59" s="11">
        <v>1</v>
      </c>
      <c r="I59" s="11"/>
      <c r="J59" s="11"/>
      <c r="K59" s="11"/>
      <c r="L59" s="11">
        <v>4</v>
      </c>
      <c r="M59" s="13"/>
    </row>
    <row r="60" spans="1:18" ht="17.25" customHeight="1" thickBot="1" x14ac:dyDescent="0.3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8" ht="19.5" customHeight="1" thickBot="1" x14ac:dyDescent="0.35">
      <c r="A61" s="5"/>
      <c r="B61" s="39" t="s">
        <v>123</v>
      </c>
      <c r="C61" s="27" t="s">
        <v>65</v>
      </c>
      <c r="D61" s="28" t="s">
        <v>66</v>
      </c>
      <c r="E61" s="29" t="s">
        <v>67</v>
      </c>
      <c r="F61" s="20" t="s">
        <v>91</v>
      </c>
      <c r="G61" s="30" t="s">
        <v>68</v>
      </c>
      <c r="I61" s="50" t="s">
        <v>69</v>
      </c>
      <c r="J61" s="51"/>
      <c r="K61" s="51"/>
      <c r="L61" s="51"/>
      <c r="M61" s="51"/>
      <c r="N61" s="51"/>
      <c r="O61" s="51"/>
      <c r="P61" s="51"/>
      <c r="Q61" s="51"/>
      <c r="R61" s="52"/>
    </row>
    <row r="62" spans="1:18" ht="18.75" x14ac:dyDescent="0.3">
      <c r="A62" s="5"/>
      <c r="B62" s="40"/>
      <c r="C62" s="17" t="s">
        <v>82</v>
      </c>
      <c r="D62" s="7">
        <v>4</v>
      </c>
      <c r="E62" s="22">
        <v>0</v>
      </c>
      <c r="F62" s="15"/>
      <c r="G62" s="23">
        <v>66</v>
      </c>
      <c r="I62" s="42" t="s">
        <v>70</v>
      </c>
      <c r="J62" s="43"/>
      <c r="K62" s="43"/>
      <c r="L62" s="43"/>
      <c r="M62" s="43"/>
      <c r="N62" s="53" t="s">
        <v>122</v>
      </c>
      <c r="O62" s="53"/>
      <c r="P62" s="53"/>
      <c r="Q62" s="53"/>
      <c r="R62" s="54"/>
    </row>
    <row r="63" spans="1:18" ht="18.75" x14ac:dyDescent="0.3">
      <c r="A63" s="5"/>
      <c r="B63" s="40"/>
      <c r="C63" s="17" t="s">
        <v>77</v>
      </c>
      <c r="D63" s="7">
        <v>4</v>
      </c>
      <c r="E63" s="22">
        <v>0</v>
      </c>
      <c r="F63" s="15"/>
      <c r="G63" s="23">
        <v>60</v>
      </c>
      <c r="I63" s="44" t="s">
        <v>72</v>
      </c>
      <c r="J63" s="45"/>
      <c r="K63" s="45"/>
      <c r="L63" s="45"/>
      <c r="M63" s="45"/>
      <c r="N63" s="48" t="s">
        <v>121</v>
      </c>
      <c r="O63" s="48"/>
      <c r="P63" s="48"/>
      <c r="Q63" s="48"/>
      <c r="R63" s="49"/>
    </row>
    <row r="64" spans="1:18" ht="18.75" x14ac:dyDescent="0.3">
      <c r="A64" s="5"/>
      <c r="B64" s="40"/>
      <c r="C64" s="18" t="s">
        <v>83</v>
      </c>
      <c r="D64" s="9">
        <v>4</v>
      </c>
      <c r="E64" s="10">
        <v>0</v>
      </c>
      <c r="F64" s="15"/>
      <c r="G64" s="18">
        <v>58</v>
      </c>
      <c r="I64" s="44" t="s">
        <v>74</v>
      </c>
      <c r="J64" s="45"/>
      <c r="K64" s="45"/>
      <c r="L64" s="45"/>
      <c r="M64" s="45"/>
      <c r="N64" s="48" t="s">
        <v>120</v>
      </c>
      <c r="O64" s="48"/>
      <c r="P64" s="48"/>
      <c r="Q64" s="48"/>
      <c r="R64" s="49"/>
    </row>
    <row r="65" spans="1:18" ht="18.75" x14ac:dyDescent="0.3">
      <c r="A65" s="6"/>
      <c r="B65" s="40"/>
      <c r="C65" s="17" t="s">
        <v>71</v>
      </c>
      <c r="D65" s="7">
        <v>2</v>
      </c>
      <c r="E65" s="16">
        <v>2</v>
      </c>
      <c r="F65" s="15"/>
      <c r="G65" s="17">
        <v>55</v>
      </c>
      <c r="I65" s="44" t="s">
        <v>76</v>
      </c>
      <c r="J65" s="45"/>
      <c r="K65" s="45"/>
      <c r="L65" s="45"/>
      <c r="M65" s="45"/>
      <c r="N65" s="48" t="s">
        <v>119</v>
      </c>
      <c r="O65" s="48"/>
      <c r="P65" s="48"/>
      <c r="Q65" s="48"/>
      <c r="R65" s="49"/>
    </row>
    <row r="66" spans="1:18" ht="18" customHeight="1" x14ac:dyDescent="0.3">
      <c r="A66" s="6"/>
      <c r="B66" s="40"/>
      <c r="C66" s="17" t="s">
        <v>85</v>
      </c>
      <c r="D66" s="7">
        <v>2</v>
      </c>
      <c r="E66" s="22">
        <v>2</v>
      </c>
      <c r="F66" s="15"/>
      <c r="G66" s="23">
        <v>50</v>
      </c>
      <c r="I66" s="44" t="s">
        <v>78</v>
      </c>
      <c r="J66" s="45"/>
      <c r="K66" s="45"/>
      <c r="L66" s="45"/>
      <c r="M66" s="45"/>
      <c r="N66" s="48" t="s">
        <v>105</v>
      </c>
      <c r="O66" s="48"/>
      <c r="P66" s="48"/>
      <c r="Q66" s="48"/>
      <c r="R66" s="49"/>
    </row>
    <row r="67" spans="1:18" ht="18" customHeight="1" thickBot="1" x14ac:dyDescent="0.35">
      <c r="A67" s="6"/>
      <c r="B67" s="40"/>
      <c r="C67" s="18" t="s">
        <v>79</v>
      </c>
      <c r="D67" s="9">
        <v>2</v>
      </c>
      <c r="E67" s="10">
        <v>2</v>
      </c>
      <c r="F67" s="15"/>
      <c r="G67" s="18">
        <v>48</v>
      </c>
      <c r="I67" s="46" t="s">
        <v>80</v>
      </c>
      <c r="J67" s="47"/>
      <c r="K67" s="47"/>
      <c r="L67" s="47"/>
      <c r="M67" s="47"/>
      <c r="N67" s="48" t="s">
        <v>119</v>
      </c>
      <c r="O67" s="48"/>
      <c r="P67" s="48"/>
      <c r="Q67" s="48"/>
      <c r="R67" s="49"/>
    </row>
    <row r="68" spans="1:18" ht="18.75" x14ac:dyDescent="0.3">
      <c r="A68" s="6"/>
      <c r="B68" s="40"/>
      <c r="C68" s="18" t="s">
        <v>86</v>
      </c>
      <c r="D68" s="9">
        <v>2</v>
      </c>
      <c r="E68" s="10">
        <v>2</v>
      </c>
      <c r="F68" s="15"/>
      <c r="G68" s="18">
        <v>47</v>
      </c>
      <c r="H68" s="6"/>
      <c r="I68" s="6"/>
    </row>
    <row r="69" spans="1:18" ht="18.75" x14ac:dyDescent="0.3">
      <c r="A69" s="6"/>
      <c r="B69" s="40"/>
      <c r="C69" s="17" t="s">
        <v>73</v>
      </c>
      <c r="D69" s="7">
        <v>2</v>
      </c>
      <c r="E69" s="22">
        <v>2</v>
      </c>
      <c r="F69" s="15"/>
      <c r="G69" s="23">
        <v>46</v>
      </c>
      <c r="H69" s="6"/>
    </row>
    <row r="70" spans="1:18" ht="18.75" x14ac:dyDescent="0.3">
      <c r="B70" s="40"/>
      <c r="C70" s="19" t="s">
        <v>101</v>
      </c>
      <c r="D70" s="14">
        <v>1</v>
      </c>
      <c r="E70" s="21">
        <v>3</v>
      </c>
      <c r="F70" s="26"/>
      <c r="G70" s="19">
        <v>45</v>
      </c>
    </row>
    <row r="71" spans="1:18" ht="18.75" x14ac:dyDescent="0.3">
      <c r="B71" s="40"/>
      <c r="C71" s="17" t="s">
        <v>75</v>
      </c>
      <c r="D71" s="7">
        <v>1</v>
      </c>
      <c r="E71" s="22">
        <v>3</v>
      </c>
      <c r="F71" s="15"/>
      <c r="G71" s="23">
        <v>42</v>
      </c>
    </row>
    <row r="72" spans="1:18" ht="18.75" x14ac:dyDescent="0.3">
      <c r="B72" s="40"/>
      <c r="C72" s="17" t="s">
        <v>81</v>
      </c>
      <c r="D72" s="7">
        <v>0</v>
      </c>
      <c r="E72" s="16">
        <v>4</v>
      </c>
      <c r="F72" s="15"/>
      <c r="G72" s="17">
        <v>38</v>
      </c>
    </row>
    <row r="73" spans="1:18" ht="19.5" thickBot="1" x14ac:dyDescent="0.35">
      <c r="B73" s="41"/>
      <c r="C73" s="18" t="s">
        <v>84</v>
      </c>
      <c r="D73" s="9">
        <v>0</v>
      </c>
      <c r="E73" s="10">
        <v>4</v>
      </c>
      <c r="F73" s="15"/>
      <c r="G73" s="18">
        <v>21</v>
      </c>
    </row>
    <row r="74" spans="1:18" ht="15.75" thickBot="1" x14ac:dyDescent="0.3"/>
    <row r="75" spans="1:18" ht="19.5" thickBot="1" x14ac:dyDescent="0.35">
      <c r="C75" s="27" t="s">
        <v>87</v>
      </c>
      <c r="D75" s="28" t="s">
        <v>66</v>
      </c>
      <c r="E75" s="28" t="s">
        <v>67</v>
      </c>
      <c r="F75" s="20" t="s">
        <v>91</v>
      </c>
      <c r="G75" s="31" t="s">
        <v>68</v>
      </c>
    </row>
    <row r="76" spans="1:18" ht="18.75" x14ac:dyDescent="0.3">
      <c r="C76" s="14" t="s">
        <v>82</v>
      </c>
      <c r="D76" s="14">
        <v>4</v>
      </c>
      <c r="E76" s="24">
        <v>0</v>
      </c>
      <c r="F76" s="15"/>
      <c r="G76" s="25">
        <v>66</v>
      </c>
    </row>
    <row r="77" spans="1:18" ht="18.75" x14ac:dyDescent="0.3">
      <c r="C77" s="7" t="s">
        <v>77</v>
      </c>
      <c r="D77" s="7">
        <v>4</v>
      </c>
      <c r="E77" s="22">
        <v>0</v>
      </c>
      <c r="F77" s="15"/>
      <c r="G77" s="23">
        <v>60</v>
      </c>
    </row>
    <row r="78" spans="1:18" ht="18.75" x14ac:dyDescent="0.3">
      <c r="C78" s="14" t="s">
        <v>71</v>
      </c>
      <c r="D78" s="14">
        <v>2</v>
      </c>
      <c r="E78" s="21">
        <v>2</v>
      </c>
      <c r="F78" s="26"/>
      <c r="G78" s="19">
        <v>55</v>
      </c>
    </row>
    <row r="79" spans="1:18" ht="18.75" x14ac:dyDescent="0.3">
      <c r="C79" s="14" t="s">
        <v>75</v>
      </c>
      <c r="D79" s="14">
        <v>1</v>
      </c>
      <c r="E79" s="24">
        <v>3</v>
      </c>
      <c r="F79" s="26"/>
      <c r="G79" s="25">
        <v>42</v>
      </c>
    </row>
    <row r="80" spans="1:18" ht="15.75" thickBot="1" x14ac:dyDescent="0.3"/>
    <row r="81" spans="3:7" ht="19.5" thickBot="1" x14ac:dyDescent="0.35">
      <c r="C81" s="27" t="s">
        <v>88</v>
      </c>
      <c r="D81" s="28" t="s">
        <v>66</v>
      </c>
      <c r="E81" s="28" t="s">
        <v>67</v>
      </c>
      <c r="F81" s="20" t="s">
        <v>91</v>
      </c>
      <c r="G81" s="31" t="s">
        <v>68</v>
      </c>
    </row>
    <row r="82" spans="3:7" ht="18.75" x14ac:dyDescent="0.3">
      <c r="C82" s="9" t="s">
        <v>83</v>
      </c>
      <c r="D82" s="9">
        <v>4</v>
      </c>
      <c r="E82" s="10">
        <v>0</v>
      </c>
      <c r="F82" s="15"/>
      <c r="G82" s="18">
        <v>58</v>
      </c>
    </row>
    <row r="83" spans="3:7" ht="18.75" x14ac:dyDescent="0.3">
      <c r="C83" s="7" t="s">
        <v>85</v>
      </c>
      <c r="D83" s="7">
        <v>2</v>
      </c>
      <c r="E83" s="22">
        <v>2</v>
      </c>
      <c r="F83" s="15"/>
      <c r="G83" s="23">
        <v>50</v>
      </c>
    </row>
    <row r="84" spans="3:7" ht="18.75" x14ac:dyDescent="0.3">
      <c r="C84" s="9" t="s">
        <v>79</v>
      </c>
      <c r="D84" s="9">
        <v>2</v>
      </c>
      <c r="E84" s="10">
        <v>2</v>
      </c>
      <c r="F84" s="15"/>
      <c r="G84" s="18">
        <v>48</v>
      </c>
    </row>
    <row r="85" spans="3:7" ht="18.75" x14ac:dyDescent="0.3">
      <c r="C85" s="14" t="s">
        <v>101</v>
      </c>
      <c r="D85" s="14">
        <v>1</v>
      </c>
      <c r="E85" s="21">
        <v>3</v>
      </c>
      <c r="F85" s="26"/>
      <c r="G85" s="19">
        <v>45</v>
      </c>
    </row>
    <row r="86" spans="3:7" ht="15.75" thickBot="1" x14ac:dyDescent="0.3"/>
    <row r="87" spans="3:7" ht="19.5" thickBot="1" x14ac:dyDescent="0.35">
      <c r="C87" s="32" t="s">
        <v>89</v>
      </c>
      <c r="D87" s="33" t="s">
        <v>66</v>
      </c>
      <c r="E87" s="33" t="s">
        <v>67</v>
      </c>
      <c r="F87" s="20" t="s">
        <v>91</v>
      </c>
      <c r="G87" s="34" t="s">
        <v>68</v>
      </c>
    </row>
    <row r="88" spans="3:7" ht="18.75" x14ac:dyDescent="0.3">
      <c r="C88" s="9" t="s">
        <v>86</v>
      </c>
      <c r="D88" s="9">
        <v>2</v>
      </c>
      <c r="E88" s="10">
        <v>2</v>
      </c>
      <c r="F88" s="15"/>
      <c r="G88" s="18">
        <v>47</v>
      </c>
    </row>
    <row r="89" spans="3:7" ht="18.75" x14ac:dyDescent="0.3">
      <c r="C89" s="14" t="s">
        <v>73</v>
      </c>
      <c r="D89" s="14">
        <v>2</v>
      </c>
      <c r="E89" s="24">
        <v>2</v>
      </c>
      <c r="F89" s="15"/>
      <c r="G89" s="25">
        <v>46</v>
      </c>
    </row>
    <row r="90" spans="3:7" ht="18.75" x14ac:dyDescent="0.3">
      <c r="C90" s="7" t="s">
        <v>81</v>
      </c>
      <c r="D90" s="7">
        <v>0</v>
      </c>
      <c r="E90" s="16">
        <v>4</v>
      </c>
      <c r="F90" s="15"/>
      <c r="G90" s="17">
        <v>38</v>
      </c>
    </row>
    <row r="91" spans="3:7" ht="18.75" x14ac:dyDescent="0.3">
      <c r="C91" s="9" t="s">
        <v>84</v>
      </c>
      <c r="D91" s="9">
        <v>0</v>
      </c>
      <c r="E91" s="10">
        <v>4</v>
      </c>
      <c r="F91" s="15"/>
      <c r="G91" s="18">
        <v>21</v>
      </c>
    </row>
  </sheetData>
  <mergeCells count="14">
    <mergeCell ref="N67:R67"/>
    <mergeCell ref="I61:R61"/>
    <mergeCell ref="N62:R62"/>
    <mergeCell ref="N63:R63"/>
    <mergeCell ref="N64:R64"/>
    <mergeCell ref="N65:R65"/>
    <mergeCell ref="N66:R66"/>
    <mergeCell ref="B61:B73"/>
    <mergeCell ref="I62:M62"/>
    <mergeCell ref="I63:M63"/>
    <mergeCell ref="I64:M64"/>
    <mergeCell ref="I65:M65"/>
    <mergeCell ref="I66:M66"/>
    <mergeCell ref="I67:M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workbookViewId="0">
      <pane ySplit="1" topLeftCell="A77" activePane="bottomLeft" state="frozen"/>
      <selection pane="bottomLeft" activeCell="I86" sqref="I86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33</v>
      </c>
      <c r="C2" s="4" t="s">
        <v>16</v>
      </c>
      <c r="D2" s="11">
        <f>SUM(1464+1483+1503+1503+1503)</f>
        <v>7456</v>
      </c>
      <c r="E2" s="11">
        <f>SUM(83+89+91+74+88)</f>
        <v>425</v>
      </c>
      <c r="F2" s="12">
        <f>SUM(D2/E2)</f>
        <v>17.543529411764705</v>
      </c>
      <c r="G2" s="11">
        <v>5</v>
      </c>
      <c r="H2" s="11">
        <v>5</v>
      </c>
      <c r="I2" s="11"/>
      <c r="J2" s="11"/>
      <c r="K2" s="11"/>
      <c r="L2" s="11">
        <v>23.5</v>
      </c>
      <c r="M2" s="13">
        <v>5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SUM(1360+1372+1443+1499+1503)</f>
        <v>7177</v>
      </c>
      <c r="E3" s="11">
        <f>SUM(71+94+91+92+82)</f>
        <v>430</v>
      </c>
      <c r="F3" s="12">
        <f>SUM(D3/E3)</f>
        <v>16.690697674418605</v>
      </c>
      <c r="G3" s="11">
        <v>5</v>
      </c>
      <c r="H3" s="11">
        <v>3</v>
      </c>
      <c r="I3" s="11">
        <v>2</v>
      </c>
      <c r="J3" s="11"/>
      <c r="K3" s="11"/>
      <c r="L3" s="11">
        <v>18.5</v>
      </c>
      <c r="M3" s="13"/>
    </row>
    <row r="4" spans="1:13" ht="18.75" x14ac:dyDescent="0.3">
      <c r="A4" s="3">
        <v>3</v>
      </c>
      <c r="B4" s="4" t="s">
        <v>25</v>
      </c>
      <c r="C4" s="4" t="s">
        <v>16</v>
      </c>
      <c r="D4" s="11">
        <f>SUM(1444+1481+1503+1503+1471)</f>
        <v>7402</v>
      </c>
      <c r="E4" s="11">
        <f>SUM(74+87+96+88+103)</f>
        <v>448</v>
      </c>
      <c r="F4" s="12">
        <f>SUM(D4/E4)</f>
        <v>16.522321428571427</v>
      </c>
      <c r="G4" s="11">
        <v>5</v>
      </c>
      <c r="H4" s="11">
        <v>4</v>
      </c>
      <c r="I4" s="11"/>
      <c r="J4" s="11"/>
      <c r="K4" s="11"/>
      <c r="L4" s="11">
        <v>20</v>
      </c>
      <c r="M4" s="13">
        <v>5</v>
      </c>
    </row>
    <row r="5" spans="1:13" ht="18.75" x14ac:dyDescent="0.3">
      <c r="A5" s="3">
        <v>4</v>
      </c>
      <c r="B5" s="4" t="s">
        <v>11</v>
      </c>
      <c r="C5" s="4" t="s">
        <v>12</v>
      </c>
      <c r="D5" s="11">
        <f>SUM(1494+1503+1413+1503+1470)</f>
        <v>7383</v>
      </c>
      <c r="E5" s="11">
        <f>SUM(102+87+93+89+89)</f>
        <v>460</v>
      </c>
      <c r="F5" s="12">
        <f>SUM(D5/E5)</f>
        <v>16.05</v>
      </c>
      <c r="G5" s="11">
        <v>5</v>
      </c>
      <c r="H5" s="11">
        <v>5</v>
      </c>
      <c r="I5" s="11"/>
      <c r="J5" s="11"/>
      <c r="K5" s="11"/>
      <c r="L5" s="11">
        <v>19.5</v>
      </c>
      <c r="M5" s="13"/>
    </row>
    <row r="6" spans="1:13" ht="18.75" x14ac:dyDescent="0.3">
      <c r="A6" s="3">
        <v>5</v>
      </c>
      <c r="B6" s="4" t="s">
        <v>37</v>
      </c>
      <c r="C6" s="4" t="s">
        <v>21</v>
      </c>
      <c r="D6" s="11">
        <f>SUM(1501+1495+1314+1407+1503)</f>
        <v>7220</v>
      </c>
      <c r="E6" s="11">
        <f>SUM(106+86+87+95+80)</f>
        <v>454</v>
      </c>
      <c r="F6" s="12">
        <f>SUM(D6/E6)</f>
        <v>15.903083700440529</v>
      </c>
      <c r="G6" s="11">
        <v>5</v>
      </c>
      <c r="H6" s="11">
        <v>4</v>
      </c>
      <c r="I6" s="11"/>
      <c r="J6" s="11"/>
      <c r="K6" s="11"/>
      <c r="L6" s="11">
        <v>16.5</v>
      </c>
      <c r="M6" s="13">
        <v>10</v>
      </c>
    </row>
    <row r="7" spans="1:13" ht="18.75" x14ac:dyDescent="0.3">
      <c r="A7" s="3">
        <v>6</v>
      </c>
      <c r="B7" s="4" t="s">
        <v>17</v>
      </c>
      <c r="C7" s="4" t="s">
        <v>14</v>
      </c>
      <c r="D7" s="11">
        <f>SUM(1280+1503+1449+1503)</f>
        <v>5735</v>
      </c>
      <c r="E7" s="11">
        <f>SUM(79+100+93+90)</f>
        <v>362</v>
      </c>
      <c r="F7" s="12">
        <f>SUM(D7/E7)</f>
        <v>15.842541436464089</v>
      </c>
      <c r="G7" s="11">
        <v>4</v>
      </c>
      <c r="H7" s="11">
        <v>2</v>
      </c>
      <c r="I7" s="11"/>
      <c r="J7" s="11"/>
      <c r="K7" s="11"/>
      <c r="L7" s="35">
        <v>12</v>
      </c>
      <c r="M7" s="13"/>
    </row>
    <row r="8" spans="1:13" ht="18.75" x14ac:dyDescent="0.3">
      <c r="A8" s="3">
        <v>7</v>
      </c>
      <c r="B8" s="15" t="s">
        <v>131</v>
      </c>
      <c r="C8" s="4" t="s">
        <v>32</v>
      </c>
      <c r="D8" s="11">
        <f>SUM(1419)</f>
        <v>1419</v>
      </c>
      <c r="E8" s="11">
        <f>SUM(90)</f>
        <v>90</v>
      </c>
      <c r="F8" s="12">
        <f>SUM(D8/E8)</f>
        <v>15.766666666666667</v>
      </c>
      <c r="G8" s="11">
        <v>1</v>
      </c>
      <c r="H8" s="11"/>
      <c r="I8" s="11">
        <v>1</v>
      </c>
      <c r="J8" s="11"/>
      <c r="K8" s="11"/>
      <c r="L8" s="11">
        <v>2.5</v>
      </c>
      <c r="M8" s="13"/>
    </row>
    <row r="9" spans="1:13" ht="18.75" x14ac:dyDescent="0.3">
      <c r="A9" s="3">
        <v>8</v>
      </c>
      <c r="B9" s="4" t="s">
        <v>24</v>
      </c>
      <c r="C9" s="4" t="s">
        <v>23</v>
      </c>
      <c r="D9" s="11">
        <f>SUM(1501+1472+1503+1503+1503)</f>
        <v>7482</v>
      </c>
      <c r="E9" s="11">
        <f>SUM(87+99+109+88+93)</f>
        <v>476</v>
      </c>
      <c r="F9" s="12">
        <f>SUM(D9/E9)</f>
        <v>15.718487394957982</v>
      </c>
      <c r="G9" s="11">
        <v>5</v>
      </c>
      <c r="H9" s="11">
        <v>4</v>
      </c>
      <c r="I9" s="11"/>
      <c r="J9" s="11"/>
      <c r="K9" s="11"/>
      <c r="L9" s="11">
        <v>17.5</v>
      </c>
      <c r="M9" s="13"/>
    </row>
    <row r="10" spans="1:13" ht="18.75" x14ac:dyDescent="0.3">
      <c r="A10" s="3">
        <v>9</v>
      </c>
      <c r="B10" s="15" t="s">
        <v>46</v>
      </c>
      <c r="C10" s="7" t="s">
        <v>47</v>
      </c>
      <c r="D10" s="11">
        <f>SUM(1503+1503+1427+1287+1279)</f>
        <v>6999</v>
      </c>
      <c r="E10" s="11">
        <f>SUM(87+94+104+95+84)</f>
        <v>464</v>
      </c>
      <c r="F10" s="12">
        <f>SUM(D10/E10)</f>
        <v>15.084051724137931</v>
      </c>
      <c r="G10" s="11">
        <v>5</v>
      </c>
      <c r="H10" s="11">
        <v>2</v>
      </c>
      <c r="I10" s="11"/>
      <c r="J10" s="11"/>
      <c r="K10" s="11"/>
      <c r="L10" s="11">
        <v>14.5</v>
      </c>
      <c r="M10" s="13">
        <v>5</v>
      </c>
    </row>
    <row r="11" spans="1:13" ht="18.75" x14ac:dyDescent="0.3">
      <c r="A11" s="3">
        <v>10</v>
      </c>
      <c r="B11" s="4" t="s">
        <v>18</v>
      </c>
      <c r="C11" s="4" t="s">
        <v>19</v>
      </c>
      <c r="D11" s="11">
        <f>SUM(1403+1503+1328+1440+1487)</f>
        <v>7161</v>
      </c>
      <c r="E11" s="11">
        <f>SUM(96+99+87+93+102)</f>
        <v>477</v>
      </c>
      <c r="F11" s="12">
        <f>SUM(D11/E11)</f>
        <v>15.012578616352201</v>
      </c>
      <c r="G11" s="11">
        <v>5</v>
      </c>
      <c r="H11" s="11">
        <v>2</v>
      </c>
      <c r="I11" s="11"/>
      <c r="J11" s="11"/>
      <c r="K11" s="11"/>
      <c r="L11" s="11">
        <v>15</v>
      </c>
      <c r="M11" s="13"/>
    </row>
    <row r="12" spans="1:13" ht="18.75" x14ac:dyDescent="0.3">
      <c r="A12" s="3">
        <v>11</v>
      </c>
      <c r="B12" s="15" t="s">
        <v>92</v>
      </c>
      <c r="C12" s="4" t="s">
        <v>42</v>
      </c>
      <c r="D12" s="11">
        <f>SUM(1319+1334+1503+1297+1394)</f>
        <v>6847</v>
      </c>
      <c r="E12" s="11">
        <f>SUM(106+84+103+90+78)</f>
        <v>461</v>
      </c>
      <c r="F12" s="12">
        <f>SUM(D12/E12)</f>
        <v>14.852494577006508</v>
      </c>
      <c r="G12" s="11">
        <v>5</v>
      </c>
      <c r="H12" s="11">
        <v>1</v>
      </c>
      <c r="I12" s="11"/>
      <c r="J12" s="11"/>
      <c r="K12" s="11"/>
      <c r="L12" s="11">
        <v>12.5</v>
      </c>
      <c r="M12" s="13"/>
    </row>
    <row r="13" spans="1:13" ht="18.75" x14ac:dyDescent="0.3">
      <c r="A13" s="3">
        <v>12</v>
      </c>
      <c r="B13" s="15" t="s">
        <v>45</v>
      </c>
      <c r="C13" s="4" t="s">
        <v>32</v>
      </c>
      <c r="D13" s="11">
        <f>SUM(1503+1471+1326+953+1326)</f>
        <v>6579</v>
      </c>
      <c r="E13" s="11">
        <f>SUM(100+103+79+72+91)</f>
        <v>445</v>
      </c>
      <c r="F13" s="12">
        <f>SUM(D13/E13)</f>
        <v>14.784269662921348</v>
      </c>
      <c r="G13" s="11">
        <v>5</v>
      </c>
      <c r="H13" s="11">
        <v>2</v>
      </c>
      <c r="I13" s="11"/>
      <c r="J13" s="11"/>
      <c r="K13" s="11"/>
      <c r="L13" s="11">
        <v>17</v>
      </c>
      <c r="M13" s="13"/>
    </row>
    <row r="14" spans="1:13" ht="18.75" x14ac:dyDescent="0.3">
      <c r="A14" s="3">
        <v>13</v>
      </c>
      <c r="B14" s="3" t="s">
        <v>31</v>
      </c>
      <c r="C14" s="4" t="s">
        <v>32</v>
      </c>
      <c r="D14" s="11">
        <f>SUM(1503+1469+1417+1109)</f>
        <v>5498</v>
      </c>
      <c r="E14" s="11">
        <f>SUM(79+96+108+90)</f>
        <v>373</v>
      </c>
      <c r="F14" s="12">
        <f>SUM(D14/E14)</f>
        <v>14.739946380697051</v>
      </c>
      <c r="G14" s="11">
        <v>4</v>
      </c>
      <c r="H14" s="11">
        <v>1</v>
      </c>
      <c r="I14" s="11"/>
      <c r="J14" s="11"/>
      <c r="K14" s="11"/>
      <c r="L14" s="11">
        <v>9</v>
      </c>
      <c r="M14" s="13">
        <v>5</v>
      </c>
    </row>
    <row r="15" spans="1:13" ht="18.75" x14ac:dyDescent="0.3">
      <c r="A15" s="3">
        <v>14</v>
      </c>
      <c r="B15" s="4" t="s">
        <v>27</v>
      </c>
      <c r="C15" s="4" t="s">
        <v>28</v>
      </c>
      <c r="D15" s="11">
        <f>SUM(1471+1503+1503+1358+1473)</f>
        <v>7308</v>
      </c>
      <c r="E15" s="11">
        <f>SUM(111+90+109+101+87)</f>
        <v>498</v>
      </c>
      <c r="F15" s="12">
        <f>SUM(D15/E15)</f>
        <v>14.674698795180722</v>
      </c>
      <c r="G15" s="11">
        <v>5</v>
      </c>
      <c r="H15" s="11">
        <v>5</v>
      </c>
      <c r="I15" s="11"/>
      <c r="J15" s="11"/>
      <c r="K15" s="11"/>
      <c r="L15" s="11">
        <v>20.5</v>
      </c>
      <c r="M15" s="13"/>
    </row>
    <row r="16" spans="1:13" ht="18.75" x14ac:dyDescent="0.3">
      <c r="A16" s="3">
        <v>15</v>
      </c>
      <c r="B16" s="15" t="s">
        <v>49</v>
      </c>
      <c r="C16" s="4" t="s">
        <v>28</v>
      </c>
      <c r="D16" s="11">
        <f>SUM(1503+1503+1426+1483+1290)</f>
        <v>7205</v>
      </c>
      <c r="E16" s="11">
        <f>SUM(129+86+86+102+90)</f>
        <v>493</v>
      </c>
      <c r="F16" s="12">
        <f>SUM(D16/E16)</f>
        <v>14.614604462474645</v>
      </c>
      <c r="G16" s="11">
        <v>5</v>
      </c>
      <c r="H16" s="11">
        <v>4</v>
      </c>
      <c r="I16" s="11"/>
      <c r="J16" s="11"/>
      <c r="K16" s="11"/>
      <c r="L16" s="11">
        <v>17.5</v>
      </c>
      <c r="M16" s="13">
        <v>15</v>
      </c>
    </row>
    <row r="17" spans="1:13" ht="18.75" x14ac:dyDescent="0.3">
      <c r="A17" s="3">
        <v>16</v>
      </c>
      <c r="B17" s="4" t="s">
        <v>62</v>
      </c>
      <c r="C17" s="4" t="s">
        <v>19</v>
      </c>
      <c r="D17" s="11">
        <f>SUM(1290+1479+1300+1217)</f>
        <v>5286</v>
      </c>
      <c r="E17" s="11">
        <f>SUM(76+107+93+86)</f>
        <v>362</v>
      </c>
      <c r="F17" s="12">
        <f>SUM(D17/E17)</f>
        <v>14.602209944751381</v>
      </c>
      <c r="G17" s="11">
        <v>4</v>
      </c>
      <c r="H17" s="11">
        <v>1</v>
      </c>
      <c r="I17" s="11"/>
      <c r="J17" s="11"/>
      <c r="K17" s="11"/>
      <c r="L17" s="11">
        <v>13.5</v>
      </c>
      <c r="M17" s="13">
        <v>5</v>
      </c>
    </row>
    <row r="18" spans="1:13" ht="18.75" x14ac:dyDescent="0.3">
      <c r="A18" s="3">
        <v>17</v>
      </c>
      <c r="B18" s="4" t="s">
        <v>36</v>
      </c>
      <c r="C18" s="4" t="s">
        <v>12</v>
      </c>
      <c r="D18" s="11">
        <f>SUM(1503+1503+1503+1475+1483)</f>
        <v>7467</v>
      </c>
      <c r="E18" s="11">
        <f>SUM(93+115+87+87+131)</f>
        <v>513</v>
      </c>
      <c r="F18" s="12">
        <f>SUM(D18/E18)</f>
        <v>14.555555555555555</v>
      </c>
      <c r="G18" s="11">
        <v>5</v>
      </c>
      <c r="H18" s="11">
        <v>4</v>
      </c>
      <c r="I18" s="11"/>
      <c r="J18" s="11"/>
      <c r="K18" s="11"/>
      <c r="L18" s="11">
        <v>20.5</v>
      </c>
      <c r="M18" s="13">
        <v>10</v>
      </c>
    </row>
    <row r="19" spans="1:13" ht="18.75" x14ac:dyDescent="0.3">
      <c r="A19" s="3">
        <v>18</v>
      </c>
      <c r="B19" s="4" t="s">
        <v>15</v>
      </c>
      <c r="C19" s="7" t="s">
        <v>16</v>
      </c>
      <c r="D19" s="11">
        <f>SUM(1503+1503+1503+1489+1501)</f>
        <v>7499</v>
      </c>
      <c r="E19" s="11">
        <f>SUM(94+109+90+95+131)</f>
        <v>519</v>
      </c>
      <c r="F19" s="12">
        <f>SUM(D19/E19)</f>
        <v>14.448940269749519</v>
      </c>
      <c r="G19" s="11">
        <v>5</v>
      </c>
      <c r="H19" s="11">
        <v>5</v>
      </c>
      <c r="I19" s="11"/>
      <c r="J19" s="11"/>
      <c r="K19" s="11"/>
      <c r="L19" s="11">
        <v>23.5</v>
      </c>
      <c r="M19" s="13"/>
    </row>
    <row r="20" spans="1:13" ht="18.75" x14ac:dyDescent="0.3">
      <c r="A20" s="3">
        <v>19</v>
      </c>
      <c r="B20" s="4" t="s">
        <v>22</v>
      </c>
      <c r="C20" s="4" t="s">
        <v>23</v>
      </c>
      <c r="D20" s="11">
        <f>SUM(1499+1497+1503+1397+1272)</f>
        <v>7168</v>
      </c>
      <c r="E20" s="11">
        <f>SUM(101+88+116+108+88)</f>
        <v>501</v>
      </c>
      <c r="F20" s="12">
        <f>SUM(D20/E20)</f>
        <v>14.307385229540918</v>
      </c>
      <c r="G20" s="11">
        <v>5</v>
      </c>
      <c r="H20" s="11">
        <v>4</v>
      </c>
      <c r="I20" s="11"/>
      <c r="J20" s="11"/>
      <c r="K20" s="11"/>
      <c r="L20" s="11">
        <v>18.5</v>
      </c>
      <c r="M20" s="13">
        <v>5</v>
      </c>
    </row>
    <row r="21" spans="1:13" ht="18.75" x14ac:dyDescent="0.3">
      <c r="A21" s="3">
        <v>20</v>
      </c>
      <c r="B21" s="4" t="s">
        <v>90</v>
      </c>
      <c r="C21" s="4" t="s">
        <v>12</v>
      </c>
      <c r="D21" s="11">
        <f>SUM(1361+1497+1376+1453+1379)</f>
        <v>7066</v>
      </c>
      <c r="E21" s="11">
        <f>SUM(83+112+96+107+105)</f>
        <v>503</v>
      </c>
      <c r="F21" s="12">
        <f>SUM(D21/E21)</f>
        <v>14.047713717693837</v>
      </c>
      <c r="G21" s="11">
        <v>5</v>
      </c>
      <c r="H21" s="11">
        <v>3</v>
      </c>
      <c r="I21" s="11"/>
      <c r="J21" s="11"/>
      <c r="K21" s="11"/>
      <c r="L21" s="11">
        <v>14.5</v>
      </c>
      <c r="M21" s="13"/>
    </row>
    <row r="22" spans="1:13" ht="18.75" x14ac:dyDescent="0.3">
      <c r="A22" s="3">
        <v>21</v>
      </c>
      <c r="B22" s="4" t="s">
        <v>43</v>
      </c>
      <c r="C22" s="4" t="s">
        <v>12</v>
      </c>
      <c r="D22" s="11">
        <f>SUM(1479+1503+1483+1474+1349)</f>
        <v>7288</v>
      </c>
      <c r="E22" s="11">
        <f>SUM(130+97+96+123+86)</f>
        <v>532</v>
      </c>
      <c r="F22" s="12">
        <f>SUM(D22/E22)</f>
        <v>13.699248120300751</v>
      </c>
      <c r="G22" s="11">
        <v>5</v>
      </c>
      <c r="H22" s="11">
        <v>4</v>
      </c>
      <c r="I22" s="11"/>
      <c r="J22" s="11"/>
      <c r="K22" s="11"/>
      <c r="L22" s="11">
        <v>19.5</v>
      </c>
      <c r="M22" s="13"/>
    </row>
    <row r="23" spans="1:13" ht="18.75" x14ac:dyDescent="0.3">
      <c r="A23" s="3">
        <v>22</v>
      </c>
      <c r="B23" s="15" t="s">
        <v>39</v>
      </c>
      <c r="C23" s="4" t="s">
        <v>23</v>
      </c>
      <c r="D23" s="11">
        <f>SUM(1332+1373+1492+1499+1481)</f>
        <v>7177</v>
      </c>
      <c r="E23" s="11">
        <f>SUM(84+96+119+109+119)</f>
        <v>527</v>
      </c>
      <c r="F23" s="12">
        <f>SUM(D23/E23)</f>
        <v>13.618595825426945</v>
      </c>
      <c r="G23" s="11">
        <v>5</v>
      </c>
      <c r="H23" s="11">
        <v>1</v>
      </c>
      <c r="I23" s="11"/>
      <c r="J23" s="11"/>
      <c r="K23" s="11"/>
      <c r="L23" s="11">
        <v>12.5</v>
      </c>
      <c r="M23" s="13"/>
    </row>
    <row r="24" spans="1:13" ht="18.75" x14ac:dyDescent="0.3">
      <c r="A24" s="3">
        <v>23</v>
      </c>
      <c r="B24" s="15" t="s">
        <v>113</v>
      </c>
      <c r="C24" s="4" t="s">
        <v>16</v>
      </c>
      <c r="D24" s="11">
        <f>SUM(1503+1307+1309)</f>
        <v>4119</v>
      </c>
      <c r="E24" s="11">
        <f>SUM(104+111+88)</f>
        <v>303</v>
      </c>
      <c r="F24" s="12">
        <f>SUM(D24/E24)</f>
        <v>13.594059405940595</v>
      </c>
      <c r="G24" s="11">
        <v>3</v>
      </c>
      <c r="H24" s="11">
        <v>1</v>
      </c>
      <c r="I24" s="11"/>
      <c r="J24" s="11"/>
      <c r="K24" s="11"/>
      <c r="L24" s="11">
        <v>10</v>
      </c>
      <c r="M24" s="13"/>
    </row>
    <row r="25" spans="1:13" ht="18.75" x14ac:dyDescent="0.3">
      <c r="A25" s="3">
        <v>24</v>
      </c>
      <c r="B25" s="4" t="s">
        <v>61</v>
      </c>
      <c r="C25" s="4" t="s">
        <v>47</v>
      </c>
      <c r="D25" s="11">
        <f>SUM(1322+1462+1409+1497+1486)</f>
        <v>7176</v>
      </c>
      <c r="E25" s="11">
        <f>SUM(111+98+102+120+98)</f>
        <v>529</v>
      </c>
      <c r="F25" s="12">
        <f>SUM(D25/E25)</f>
        <v>13.565217391304348</v>
      </c>
      <c r="G25" s="11">
        <v>5</v>
      </c>
      <c r="H25" s="11">
        <v>1</v>
      </c>
      <c r="I25" s="11"/>
      <c r="J25" s="11"/>
      <c r="K25" s="11"/>
      <c r="L25" s="11">
        <v>10.5</v>
      </c>
      <c r="M25" s="13"/>
    </row>
    <row r="26" spans="1:13" ht="18.75" x14ac:dyDescent="0.3">
      <c r="A26" s="3">
        <v>25</v>
      </c>
      <c r="B26" s="3" t="s">
        <v>48</v>
      </c>
      <c r="C26" s="4" t="s">
        <v>32</v>
      </c>
      <c r="D26" s="11">
        <f>SUM(1239+1483+1425+1350+1493)</f>
        <v>6990</v>
      </c>
      <c r="E26" s="11">
        <f>SUM(95+93+104+96+128)</f>
        <v>516</v>
      </c>
      <c r="F26" s="12">
        <f>SUM(D26/E26)</f>
        <v>13.546511627906977</v>
      </c>
      <c r="G26" s="11">
        <v>5</v>
      </c>
      <c r="H26" s="11">
        <v>1</v>
      </c>
      <c r="I26" s="11"/>
      <c r="J26" s="11"/>
      <c r="K26" s="11"/>
      <c r="L26" s="11">
        <v>14.5</v>
      </c>
      <c r="M26" s="13"/>
    </row>
    <row r="27" spans="1:13" ht="18.75" x14ac:dyDescent="0.3">
      <c r="A27" s="3">
        <v>26</v>
      </c>
      <c r="B27" s="4" t="s">
        <v>34</v>
      </c>
      <c r="C27" s="4" t="s">
        <v>32</v>
      </c>
      <c r="D27" s="11">
        <f>SUM(1204+1501+1396+1414+1498)</f>
        <v>7013</v>
      </c>
      <c r="E27" s="11">
        <f>SUM(88+140+97+90+105)</f>
        <v>520</v>
      </c>
      <c r="F27" s="12">
        <f>SUM(D27/E27)</f>
        <v>13.486538461538462</v>
      </c>
      <c r="G27" s="11">
        <v>5</v>
      </c>
      <c r="H27" s="11">
        <v>3</v>
      </c>
      <c r="I27" s="11"/>
      <c r="J27" s="11"/>
      <c r="K27" s="11"/>
      <c r="L27" s="11">
        <v>17</v>
      </c>
      <c r="M27" s="13"/>
    </row>
    <row r="28" spans="1:13" ht="18.75" x14ac:dyDescent="0.3">
      <c r="A28" s="3">
        <v>27</v>
      </c>
      <c r="B28" s="4" t="s">
        <v>57</v>
      </c>
      <c r="C28" s="7" t="s">
        <v>95</v>
      </c>
      <c r="D28" s="11">
        <f>SUM(1463+1503+1503+1447)</f>
        <v>5916</v>
      </c>
      <c r="E28" s="11">
        <f>SUM(126+108+109+100)</f>
        <v>443</v>
      </c>
      <c r="F28" s="12">
        <f>SUM(D28/E28)</f>
        <v>13.354401805869074</v>
      </c>
      <c r="G28" s="11">
        <v>4</v>
      </c>
      <c r="H28" s="11">
        <v>2</v>
      </c>
      <c r="I28" s="11"/>
      <c r="J28" s="11"/>
      <c r="K28" s="11"/>
      <c r="L28" s="11">
        <v>13.5</v>
      </c>
      <c r="M28" s="13"/>
    </row>
    <row r="29" spans="1:13" ht="18.75" x14ac:dyDescent="0.3">
      <c r="A29" s="3">
        <v>28</v>
      </c>
      <c r="B29" s="3" t="s">
        <v>20</v>
      </c>
      <c r="C29" s="4" t="s">
        <v>21</v>
      </c>
      <c r="D29" s="11">
        <f>SUM(1243+1262+1307+1213+1469)</f>
        <v>6494</v>
      </c>
      <c r="E29" s="11">
        <f>SUM(94+86+87+120+106)</f>
        <v>493</v>
      </c>
      <c r="F29" s="12">
        <f>SUM(D29/E29)</f>
        <v>13.172413793103448</v>
      </c>
      <c r="G29" s="11">
        <v>5</v>
      </c>
      <c r="H29" s="11">
        <v>1</v>
      </c>
      <c r="I29" s="11"/>
      <c r="J29" s="11"/>
      <c r="K29" s="11"/>
      <c r="L29" s="11">
        <v>11</v>
      </c>
      <c r="M29" s="13"/>
    </row>
    <row r="30" spans="1:13" ht="18.75" x14ac:dyDescent="0.3">
      <c r="A30" s="3">
        <v>29</v>
      </c>
      <c r="B30" s="7" t="s">
        <v>35</v>
      </c>
      <c r="C30" s="4" t="s">
        <v>16</v>
      </c>
      <c r="D30" s="11">
        <f>SUM(1471+1503)</f>
        <v>2974</v>
      </c>
      <c r="E30" s="11">
        <f>SUM(104+123)</f>
        <v>227</v>
      </c>
      <c r="F30" s="12">
        <f>SUM(D30/E30)</f>
        <v>13.101321585903083</v>
      </c>
      <c r="G30" s="11">
        <v>2</v>
      </c>
      <c r="H30" s="11">
        <v>2</v>
      </c>
      <c r="I30" s="11"/>
      <c r="J30" s="11"/>
      <c r="K30" s="11"/>
      <c r="L30" s="11">
        <v>8</v>
      </c>
      <c r="M30" s="13"/>
    </row>
    <row r="31" spans="1:13" ht="18.75" x14ac:dyDescent="0.3">
      <c r="A31" s="3">
        <v>30</v>
      </c>
      <c r="B31" s="9" t="s">
        <v>111</v>
      </c>
      <c r="C31" s="4" t="s">
        <v>21</v>
      </c>
      <c r="D31" s="11">
        <f>SUM(1274+1414+1428+1463)</f>
        <v>5579</v>
      </c>
      <c r="E31" s="11">
        <f>SUM(111+106+96+113)</f>
        <v>426</v>
      </c>
      <c r="F31" s="12">
        <f>SUM(D31/E31)</f>
        <v>13.0962441314554</v>
      </c>
      <c r="G31" s="11">
        <v>4</v>
      </c>
      <c r="H31" s="11">
        <v>1</v>
      </c>
      <c r="I31" s="11"/>
      <c r="J31" s="11"/>
      <c r="K31" s="11"/>
      <c r="L31" s="11">
        <v>10</v>
      </c>
      <c r="M31" s="13"/>
    </row>
    <row r="32" spans="1:13" ht="18.75" x14ac:dyDescent="0.3">
      <c r="A32" s="3">
        <v>31</v>
      </c>
      <c r="B32" s="9" t="s">
        <v>52</v>
      </c>
      <c r="C32" s="4" t="s">
        <v>53</v>
      </c>
      <c r="D32" s="11">
        <f>SUM(1503+1413+1348+1220+1173)</f>
        <v>6657</v>
      </c>
      <c r="E32" s="11">
        <f>SUM(111+108+106+105+81)</f>
        <v>511</v>
      </c>
      <c r="F32" s="12">
        <f>SUM(D32/E32)</f>
        <v>13.027397260273972</v>
      </c>
      <c r="G32" s="11">
        <v>5</v>
      </c>
      <c r="H32" s="11">
        <v>1</v>
      </c>
      <c r="I32" s="11"/>
      <c r="J32" s="11"/>
      <c r="K32" s="11"/>
      <c r="L32" s="11">
        <v>5.5</v>
      </c>
      <c r="M32" s="13"/>
    </row>
    <row r="33" spans="1:13" ht="18.75" x14ac:dyDescent="0.3">
      <c r="A33" s="3">
        <v>32</v>
      </c>
      <c r="B33" s="9" t="s">
        <v>93</v>
      </c>
      <c r="C33" s="4" t="s">
        <v>42</v>
      </c>
      <c r="D33" s="11">
        <f>SUM(1481+1499+1329)</f>
        <v>4309</v>
      </c>
      <c r="E33" s="11">
        <f>SUM(97+130+104)</f>
        <v>331</v>
      </c>
      <c r="F33" s="12">
        <f>SUM(D33/E33)</f>
        <v>13.018126888217523</v>
      </c>
      <c r="G33" s="11">
        <v>3</v>
      </c>
      <c r="H33" s="11">
        <v>1</v>
      </c>
      <c r="I33" s="11"/>
      <c r="J33" s="11"/>
      <c r="K33" s="11"/>
      <c r="L33" s="11">
        <v>7</v>
      </c>
      <c r="M33" s="13">
        <v>5</v>
      </c>
    </row>
    <row r="34" spans="1:13" ht="18.75" x14ac:dyDescent="0.3">
      <c r="A34" s="3">
        <v>33</v>
      </c>
      <c r="B34" s="9" t="s">
        <v>108</v>
      </c>
      <c r="C34" s="4" t="s">
        <v>19</v>
      </c>
      <c r="D34" s="11">
        <f>SUM(501+1503+1501+1455)</f>
        <v>4960</v>
      </c>
      <c r="E34" s="11">
        <f>SUM(46+117+99+123)</f>
        <v>385</v>
      </c>
      <c r="F34" s="12">
        <f>SUM(D34/E34)</f>
        <v>12.883116883116884</v>
      </c>
      <c r="G34" s="11">
        <v>4</v>
      </c>
      <c r="H34" s="11">
        <v>3</v>
      </c>
      <c r="I34" s="11"/>
      <c r="J34" s="11">
        <v>1</v>
      </c>
      <c r="K34" s="11"/>
      <c r="L34" s="11">
        <v>15.5</v>
      </c>
      <c r="M34" s="13"/>
    </row>
    <row r="35" spans="1:13" ht="18.75" x14ac:dyDescent="0.3">
      <c r="A35" s="3">
        <v>34</v>
      </c>
      <c r="B35" s="9" t="s">
        <v>38</v>
      </c>
      <c r="C35" s="4" t="s">
        <v>28</v>
      </c>
      <c r="D35" s="11">
        <f>SUM(1503+1456+1500+1493)</f>
        <v>5952</v>
      </c>
      <c r="E35" s="11">
        <f>SUM(107+134+103+122)</f>
        <v>466</v>
      </c>
      <c r="F35" s="12">
        <f>SUM(D35/E35)</f>
        <v>12.772532188841202</v>
      </c>
      <c r="G35" s="11">
        <v>4</v>
      </c>
      <c r="H35" s="11">
        <v>4</v>
      </c>
      <c r="I35" s="11"/>
      <c r="J35" s="11"/>
      <c r="K35" s="11"/>
      <c r="L35" s="11">
        <v>15.5</v>
      </c>
      <c r="M35" s="13"/>
    </row>
    <row r="36" spans="1:13" ht="18.75" x14ac:dyDescent="0.3">
      <c r="A36" s="3">
        <v>35</v>
      </c>
      <c r="B36" s="55" t="s">
        <v>64</v>
      </c>
      <c r="C36" s="8" t="s">
        <v>95</v>
      </c>
      <c r="D36" s="11">
        <f>SUM(1503+1457+1466+1503+1408)</f>
        <v>7337</v>
      </c>
      <c r="E36" s="11">
        <f>SUM(123+117+121+103+121)</f>
        <v>585</v>
      </c>
      <c r="F36" s="12">
        <f>SUM(D36/E36)</f>
        <v>12.541880341880342</v>
      </c>
      <c r="G36" s="11">
        <v>5</v>
      </c>
      <c r="H36" s="11">
        <v>3</v>
      </c>
      <c r="I36" s="11"/>
      <c r="J36" s="11"/>
      <c r="K36" s="11"/>
      <c r="L36" s="11">
        <v>15.5</v>
      </c>
      <c r="M36" s="13"/>
    </row>
    <row r="37" spans="1:13" ht="18.75" x14ac:dyDescent="0.3">
      <c r="A37" s="3">
        <v>36</v>
      </c>
      <c r="B37" s="7" t="s">
        <v>40</v>
      </c>
      <c r="C37" s="7" t="s">
        <v>14</v>
      </c>
      <c r="D37" s="11">
        <f>SUM(1351+1493+1429+1206+1475)</f>
        <v>6954</v>
      </c>
      <c r="E37" s="11">
        <f>SUM(100+138+96+96+129)</f>
        <v>559</v>
      </c>
      <c r="F37" s="12">
        <f>SUM(D37/E37)</f>
        <v>12.440071556350626</v>
      </c>
      <c r="G37" s="11">
        <v>5</v>
      </c>
      <c r="H37" s="11">
        <v>1</v>
      </c>
      <c r="I37" s="11"/>
      <c r="J37" s="11"/>
      <c r="K37" s="11"/>
      <c r="L37" s="11">
        <v>16</v>
      </c>
      <c r="M37" s="13"/>
    </row>
    <row r="38" spans="1:13" ht="18.75" x14ac:dyDescent="0.3">
      <c r="A38" s="3">
        <v>37</v>
      </c>
      <c r="B38" s="10" t="s">
        <v>60</v>
      </c>
      <c r="C38" s="7" t="s">
        <v>47</v>
      </c>
      <c r="D38" s="11">
        <f>SUM(1477+1291+1469+1471+1480)</f>
        <v>7188</v>
      </c>
      <c r="E38" s="11">
        <f>SUM(126+87+136+98+131)</f>
        <v>578</v>
      </c>
      <c r="F38" s="12">
        <f>SUM(D38/E38)</f>
        <v>12.43598615916955</v>
      </c>
      <c r="G38" s="11">
        <v>5</v>
      </c>
      <c r="H38" s="11">
        <v>1</v>
      </c>
      <c r="I38" s="11"/>
      <c r="J38" s="11"/>
      <c r="K38" s="11"/>
      <c r="L38" s="11">
        <v>12.5</v>
      </c>
      <c r="M38" s="13"/>
    </row>
    <row r="39" spans="1:13" ht="18.75" x14ac:dyDescent="0.3">
      <c r="A39" s="3">
        <v>38</v>
      </c>
      <c r="B39" s="10" t="s">
        <v>29</v>
      </c>
      <c r="C39" s="8" t="s">
        <v>23</v>
      </c>
      <c r="D39" s="11">
        <f>SUM(1204+1459+1145+1498+1408)</f>
        <v>6714</v>
      </c>
      <c r="E39" s="11">
        <f>SUM(99+135+102+104+101)</f>
        <v>541</v>
      </c>
      <c r="F39" s="12">
        <f>SUM(D39/E39)</f>
        <v>12.410351201478743</v>
      </c>
      <c r="G39" s="11">
        <v>5</v>
      </c>
      <c r="H39" s="11">
        <v>2</v>
      </c>
      <c r="I39" s="11"/>
      <c r="J39" s="11"/>
      <c r="K39" s="11"/>
      <c r="L39" s="11">
        <v>9.5</v>
      </c>
      <c r="M39" s="13"/>
    </row>
    <row r="40" spans="1:13" ht="18.75" x14ac:dyDescent="0.3">
      <c r="A40" s="3">
        <v>39</v>
      </c>
      <c r="B40" s="16" t="s">
        <v>41</v>
      </c>
      <c r="C40" s="4" t="s">
        <v>28</v>
      </c>
      <c r="D40" s="11">
        <f>SUM(1487+1499+1483+1499+1503)</f>
        <v>7471</v>
      </c>
      <c r="E40" s="11">
        <f>SUM(120+141+99+139+108)</f>
        <v>607</v>
      </c>
      <c r="F40" s="12">
        <f>SUM(D40/E40)</f>
        <v>12.308072487644152</v>
      </c>
      <c r="G40" s="11">
        <v>5</v>
      </c>
      <c r="H40" s="11">
        <v>4</v>
      </c>
      <c r="I40" s="11"/>
      <c r="J40" s="11"/>
      <c r="K40" s="11"/>
      <c r="L40" s="11">
        <v>17.5</v>
      </c>
      <c r="M40" s="13"/>
    </row>
    <row r="41" spans="1:13" ht="18.75" x14ac:dyDescent="0.3">
      <c r="A41" s="3">
        <v>40</v>
      </c>
      <c r="B41" s="10" t="s">
        <v>58</v>
      </c>
      <c r="C41" s="7" t="s">
        <v>53</v>
      </c>
      <c r="D41" s="11">
        <f>SUM(1098+1207+1409+1390+1416)</f>
        <v>6520</v>
      </c>
      <c r="E41" s="11">
        <f>SUM(87+93+129+99+124)</f>
        <v>532</v>
      </c>
      <c r="F41" s="12">
        <f>SUM(D41/E41)</f>
        <v>12.255639097744361</v>
      </c>
      <c r="G41" s="11">
        <v>5</v>
      </c>
      <c r="H41" s="11"/>
      <c r="I41" s="11"/>
      <c r="J41" s="11"/>
      <c r="K41" s="11"/>
      <c r="L41" s="11">
        <v>5.5</v>
      </c>
      <c r="M41" s="13"/>
    </row>
    <row r="42" spans="1:13" ht="18.75" x14ac:dyDescent="0.3">
      <c r="A42" s="3">
        <v>41</v>
      </c>
      <c r="B42" s="10" t="s">
        <v>50</v>
      </c>
      <c r="C42" s="7" t="s">
        <v>42</v>
      </c>
      <c r="D42" s="11">
        <f>SUM(1503+1083+1503+1401+1481)</f>
        <v>6971</v>
      </c>
      <c r="E42" s="11">
        <f>SUM(137+81+126+109+117)</f>
        <v>570</v>
      </c>
      <c r="F42" s="12">
        <f>SUM(D42/E42)</f>
        <v>12.229824561403509</v>
      </c>
      <c r="G42" s="11">
        <v>5</v>
      </c>
      <c r="H42" s="11">
        <v>2</v>
      </c>
      <c r="I42" s="11"/>
      <c r="J42" s="11"/>
      <c r="K42" s="11"/>
      <c r="L42" s="11">
        <v>14.5</v>
      </c>
      <c r="M42" s="13">
        <v>5</v>
      </c>
    </row>
    <row r="43" spans="1:13" ht="18.75" x14ac:dyDescent="0.3">
      <c r="A43" s="3">
        <v>42</v>
      </c>
      <c r="B43" s="16" t="s">
        <v>26</v>
      </c>
      <c r="C43" s="7" t="s">
        <v>19</v>
      </c>
      <c r="D43" s="11">
        <f>SUM(1480+1503+1495)</f>
        <v>4478</v>
      </c>
      <c r="E43" s="11">
        <f>SUM(128+118+124)</f>
        <v>370</v>
      </c>
      <c r="F43" s="12">
        <f>SUM(D43/E43)</f>
        <v>12.102702702702702</v>
      </c>
      <c r="G43" s="11">
        <v>3</v>
      </c>
      <c r="H43" s="11">
        <v>1</v>
      </c>
      <c r="I43" s="11"/>
      <c r="J43" s="11"/>
      <c r="K43" s="11"/>
      <c r="L43" s="11">
        <v>13.5</v>
      </c>
      <c r="M43" s="13"/>
    </row>
    <row r="44" spans="1:13" ht="18.75" x14ac:dyDescent="0.3">
      <c r="A44" s="3">
        <v>43</v>
      </c>
      <c r="B44" s="16" t="s">
        <v>30</v>
      </c>
      <c r="C44" s="7" t="s">
        <v>19</v>
      </c>
      <c r="D44" s="11">
        <f>SUM(1434+1354+1503+1495)</f>
        <v>5786</v>
      </c>
      <c r="E44" s="11">
        <f>SUM(100+90+162+135)</f>
        <v>487</v>
      </c>
      <c r="F44" s="12">
        <f>SUM(D44/E44)</f>
        <v>11.880903490759753</v>
      </c>
      <c r="G44" s="11">
        <v>4</v>
      </c>
      <c r="H44" s="11">
        <v>2</v>
      </c>
      <c r="I44" s="11"/>
      <c r="J44" s="11"/>
      <c r="K44" s="11"/>
      <c r="L44" s="11">
        <v>12.5</v>
      </c>
      <c r="M44" s="13"/>
    </row>
    <row r="45" spans="1:13" ht="18.75" x14ac:dyDescent="0.3">
      <c r="A45" s="3">
        <v>44</v>
      </c>
      <c r="B45" s="16" t="s">
        <v>44</v>
      </c>
      <c r="C45" s="7" t="s">
        <v>95</v>
      </c>
      <c r="D45" s="11">
        <f>SUM(1375+1355+1020+1503+1483)</f>
        <v>6736</v>
      </c>
      <c r="E45" s="11">
        <f>SUM(106+108+111+122+121)</f>
        <v>568</v>
      </c>
      <c r="F45" s="12">
        <f>SUM(D45/E45)</f>
        <v>11.859154929577464</v>
      </c>
      <c r="G45" s="11">
        <v>5</v>
      </c>
      <c r="H45" s="11">
        <v>3</v>
      </c>
      <c r="I45" s="11"/>
      <c r="J45" s="11"/>
      <c r="K45" s="11"/>
      <c r="L45" s="11">
        <v>12.5</v>
      </c>
      <c r="M45" s="13"/>
    </row>
    <row r="46" spans="1:13" ht="18.75" x14ac:dyDescent="0.3">
      <c r="A46" s="3">
        <v>45</v>
      </c>
      <c r="B46" s="16" t="s">
        <v>56</v>
      </c>
      <c r="C46" s="4" t="s">
        <v>95</v>
      </c>
      <c r="D46" s="11">
        <f>SUM(1248+1064+1400)</f>
        <v>3712</v>
      </c>
      <c r="E46" s="11">
        <f>SUM(105+84+133)</f>
        <v>322</v>
      </c>
      <c r="F46" s="12">
        <f>SUM(D46/E46)</f>
        <v>11.527950310559007</v>
      </c>
      <c r="G46" s="11">
        <v>3</v>
      </c>
      <c r="H46" s="11"/>
      <c r="I46" s="11"/>
      <c r="J46" s="11"/>
      <c r="K46" s="11"/>
      <c r="L46" s="11">
        <v>4</v>
      </c>
      <c r="M46" s="13"/>
    </row>
    <row r="47" spans="1:13" ht="18.75" x14ac:dyDescent="0.3">
      <c r="A47" s="3">
        <v>46</v>
      </c>
      <c r="B47" s="16" t="s">
        <v>125</v>
      </c>
      <c r="C47" s="7" t="s">
        <v>53</v>
      </c>
      <c r="D47" s="11">
        <f>SUM(1341)</f>
        <v>1341</v>
      </c>
      <c r="E47" s="11">
        <f>SUM(117)</f>
        <v>117</v>
      </c>
      <c r="F47" s="12">
        <f>SUM(D47/E47)</f>
        <v>11.461538461538462</v>
      </c>
      <c r="G47" s="11">
        <v>1</v>
      </c>
      <c r="H47" s="11"/>
      <c r="I47" s="11"/>
      <c r="J47" s="11"/>
      <c r="K47" s="11"/>
      <c r="L47" s="11"/>
      <c r="M47" s="13"/>
    </row>
    <row r="48" spans="1:13" ht="18.75" x14ac:dyDescent="0.3">
      <c r="A48" s="3">
        <v>47</v>
      </c>
      <c r="B48" s="56" t="s">
        <v>51</v>
      </c>
      <c r="C48" s="4" t="s">
        <v>14</v>
      </c>
      <c r="D48" s="11">
        <f>SUM(1394+1122+1067+1482+1376)</f>
        <v>6441</v>
      </c>
      <c r="E48" s="11">
        <f>SUM(93+86+81+162+144)</f>
        <v>566</v>
      </c>
      <c r="F48" s="12">
        <f>SUM(D48/E48)</f>
        <v>11.379858657243815</v>
      </c>
      <c r="G48" s="11">
        <v>5</v>
      </c>
      <c r="H48" s="11"/>
      <c r="I48" s="11"/>
      <c r="J48" s="11"/>
      <c r="K48" s="11"/>
      <c r="L48" s="11">
        <v>7.5</v>
      </c>
      <c r="M48" s="13"/>
    </row>
    <row r="49" spans="1:18" ht="18.75" x14ac:dyDescent="0.3">
      <c r="A49" s="3">
        <v>48</v>
      </c>
      <c r="B49" s="15" t="s">
        <v>102</v>
      </c>
      <c r="C49" s="4" t="s">
        <v>21</v>
      </c>
      <c r="D49" s="11">
        <f>SUM(1467)</f>
        <v>1467</v>
      </c>
      <c r="E49" s="11">
        <f>SUM(130)</f>
        <v>130</v>
      </c>
      <c r="F49" s="12">
        <f>SUM(D49/E49)</f>
        <v>11.284615384615385</v>
      </c>
      <c r="G49" s="11">
        <v>1</v>
      </c>
      <c r="H49" s="11">
        <v>1</v>
      </c>
      <c r="I49" s="11"/>
      <c r="J49" s="11"/>
      <c r="K49" s="11"/>
      <c r="L49" s="11">
        <v>4</v>
      </c>
      <c r="M49" s="13"/>
    </row>
    <row r="50" spans="1:18" ht="18.75" x14ac:dyDescent="0.3">
      <c r="A50" s="3">
        <v>49</v>
      </c>
      <c r="B50" s="15" t="s">
        <v>63</v>
      </c>
      <c r="C50" s="17" t="s">
        <v>21</v>
      </c>
      <c r="D50" s="11">
        <f>SUM(1452+1495+1498)</f>
        <v>4445</v>
      </c>
      <c r="E50" s="11">
        <f>SUM(135+120+143)</f>
        <v>398</v>
      </c>
      <c r="F50" s="12">
        <f>SUM(D50/E50)</f>
        <v>11.168341708542714</v>
      </c>
      <c r="G50" s="11">
        <v>3</v>
      </c>
      <c r="H50" s="11">
        <v>1</v>
      </c>
      <c r="I50" s="11"/>
      <c r="J50" s="11"/>
      <c r="K50" s="11"/>
      <c r="L50" s="11">
        <v>8</v>
      </c>
      <c r="M50" s="13"/>
    </row>
    <row r="51" spans="1:18" ht="18.75" x14ac:dyDescent="0.3">
      <c r="A51" s="3">
        <v>50</v>
      </c>
      <c r="B51" s="4" t="s">
        <v>54</v>
      </c>
      <c r="C51" s="4" t="s">
        <v>47</v>
      </c>
      <c r="D51" s="11">
        <f>SUM(1478+1353+1503+1472)</f>
        <v>5806</v>
      </c>
      <c r="E51" s="11">
        <f>SUM(126+139+133+123)</f>
        <v>521</v>
      </c>
      <c r="F51" s="12">
        <f>SUM(D51/E51)</f>
        <v>11.143953934740884</v>
      </c>
      <c r="G51" s="11">
        <v>4</v>
      </c>
      <c r="H51" s="11">
        <v>2</v>
      </c>
      <c r="I51" s="11"/>
      <c r="J51" s="11"/>
      <c r="K51" s="11"/>
      <c r="L51" s="11">
        <v>11</v>
      </c>
      <c r="M51" s="13"/>
    </row>
    <row r="52" spans="1:18" ht="18.75" x14ac:dyDescent="0.3">
      <c r="A52" s="3">
        <v>51</v>
      </c>
      <c r="B52" s="15" t="s">
        <v>130</v>
      </c>
      <c r="C52" s="4" t="s">
        <v>14</v>
      </c>
      <c r="D52" s="11">
        <f>SUM(1489)</f>
        <v>1489</v>
      </c>
      <c r="E52" s="11">
        <f>SUM(134)</f>
        <v>134</v>
      </c>
      <c r="F52" s="12">
        <f>SUM(D52/E52)</f>
        <v>11.111940298507463</v>
      </c>
      <c r="G52" s="11">
        <v>1</v>
      </c>
      <c r="H52" s="11">
        <v>1</v>
      </c>
      <c r="I52" s="11"/>
      <c r="J52" s="11"/>
      <c r="K52" s="11"/>
      <c r="L52" s="11">
        <v>4</v>
      </c>
      <c r="M52" s="13"/>
    </row>
    <row r="53" spans="1:18" ht="18.75" x14ac:dyDescent="0.3">
      <c r="A53" s="3">
        <v>52</v>
      </c>
      <c r="B53" s="15" t="s">
        <v>112</v>
      </c>
      <c r="C53" s="4" t="s">
        <v>95</v>
      </c>
      <c r="D53" s="11">
        <f>SUM(1150+1237+1485)</f>
        <v>3872</v>
      </c>
      <c r="E53" s="11">
        <f>SUM(90+108+153)</f>
        <v>351</v>
      </c>
      <c r="F53" s="12">
        <f>SUM(D53/E53)</f>
        <v>11.031339031339032</v>
      </c>
      <c r="G53" s="11">
        <v>3</v>
      </c>
      <c r="H53" s="11">
        <v>1</v>
      </c>
      <c r="I53" s="11"/>
      <c r="J53" s="11"/>
      <c r="K53" s="11"/>
      <c r="L53" s="11">
        <v>7</v>
      </c>
      <c r="M53" s="13"/>
    </row>
    <row r="54" spans="1:18" ht="18.75" x14ac:dyDescent="0.3">
      <c r="A54" s="3">
        <v>53</v>
      </c>
      <c r="B54" s="15" t="s">
        <v>110</v>
      </c>
      <c r="C54" s="4" t="s">
        <v>21</v>
      </c>
      <c r="D54" s="11">
        <f>SUM(1250+1503)</f>
        <v>2753</v>
      </c>
      <c r="E54" s="11">
        <f>SUM(109+145)</f>
        <v>254</v>
      </c>
      <c r="F54" s="12">
        <f>SUM(D54/E54)</f>
        <v>10.838582677165354</v>
      </c>
      <c r="G54" s="11">
        <v>2</v>
      </c>
      <c r="H54" s="11">
        <v>1</v>
      </c>
      <c r="I54" s="11"/>
      <c r="J54" s="11"/>
      <c r="K54" s="11"/>
      <c r="L54" s="11">
        <v>3.5</v>
      </c>
      <c r="M54" s="13"/>
    </row>
    <row r="55" spans="1:18" ht="18.75" x14ac:dyDescent="0.3">
      <c r="A55" s="3">
        <v>54</v>
      </c>
      <c r="B55" s="15" t="s">
        <v>94</v>
      </c>
      <c r="C55" s="17" t="s">
        <v>42</v>
      </c>
      <c r="D55" s="11">
        <f>SUM(1484+1490+1474+1452+1499)</f>
        <v>7399</v>
      </c>
      <c r="E55" s="11">
        <f>SUM(126+139+150+165+106)</f>
        <v>686</v>
      </c>
      <c r="F55" s="12">
        <f>SUM(D55/E55)</f>
        <v>10.785714285714286</v>
      </c>
      <c r="G55" s="11">
        <v>5</v>
      </c>
      <c r="H55" s="11">
        <v>1</v>
      </c>
      <c r="I55" s="11"/>
      <c r="J55" s="11"/>
      <c r="K55" s="11"/>
      <c r="L55" s="11">
        <v>15</v>
      </c>
      <c r="M55" s="13"/>
    </row>
    <row r="56" spans="1:18" ht="18.75" x14ac:dyDescent="0.3">
      <c r="A56" s="3">
        <v>55</v>
      </c>
      <c r="B56" s="4" t="s">
        <v>124</v>
      </c>
      <c r="C56" s="17" t="s">
        <v>28</v>
      </c>
      <c r="D56" s="11">
        <f>SUM(1416)</f>
        <v>1416</v>
      </c>
      <c r="E56" s="11">
        <f>SUM(132)</f>
        <v>132</v>
      </c>
      <c r="F56" s="12">
        <f>SUM(D56/E56)</f>
        <v>10.727272727272727</v>
      </c>
      <c r="G56" s="11">
        <v>1</v>
      </c>
      <c r="H56" s="11"/>
      <c r="I56" s="11"/>
      <c r="J56" s="11"/>
      <c r="K56" s="11"/>
      <c r="L56" s="11">
        <v>1</v>
      </c>
      <c r="M56" s="13"/>
    </row>
    <row r="57" spans="1:18" ht="18.75" x14ac:dyDescent="0.3">
      <c r="A57" s="3">
        <v>56</v>
      </c>
      <c r="B57" s="15" t="s">
        <v>59</v>
      </c>
      <c r="C57" s="4" t="s">
        <v>53</v>
      </c>
      <c r="D57" s="11">
        <f>SUM(1368+1501)</f>
        <v>2869</v>
      </c>
      <c r="E57" s="11">
        <f>SUM(122+148)</f>
        <v>270</v>
      </c>
      <c r="F57" s="12">
        <f>SUM(D57/E57)</f>
        <v>10.625925925925927</v>
      </c>
      <c r="G57" s="11">
        <v>2</v>
      </c>
      <c r="H57" s="11">
        <v>2</v>
      </c>
      <c r="I57" s="11"/>
      <c r="J57" s="11"/>
      <c r="K57" s="11"/>
      <c r="L57" s="11">
        <v>6.5</v>
      </c>
      <c r="M57" s="13"/>
    </row>
    <row r="58" spans="1:18" ht="18.75" x14ac:dyDescent="0.3">
      <c r="A58" s="3">
        <v>57</v>
      </c>
      <c r="B58" s="15" t="s">
        <v>109</v>
      </c>
      <c r="C58" s="7" t="s">
        <v>53</v>
      </c>
      <c r="D58" s="11">
        <f>SUM(496+1498+1461)</f>
        <v>3455</v>
      </c>
      <c r="E58" s="11">
        <f>SUM(45+156+130)</f>
        <v>331</v>
      </c>
      <c r="F58" s="12">
        <f>SUM(D58/E58)</f>
        <v>10.438066465256798</v>
      </c>
      <c r="G58" s="11">
        <v>3</v>
      </c>
      <c r="H58" s="11"/>
      <c r="I58" s="11"/>
      <c r="J58" s="11"/>
      <c r="K58" s="11"/>
      <c r="L58" s="11">
        <v>4.5</v>
      </c>
      <c r="M58" s="13"/>
    </row>
    <row r="59" spans="1:18" ht="18.75" x14ac:dyDescent="0.3">
      <c r="A59" s="3">
        <v>58</v>
      </c>
      <c r="B59" s="4" t="s">
        <v>118</v>
      </c>
      <c r="C59" s="4" t="s">
        <v>42</v>
      </c>
      <c r="D59" s="11">
        <f>SUM(1477+1499)</f>
        <v>2976</v>
      </c>
      <c r="E59" s="11">
        <f>SUM(152+138)</f>
        <v>290</v>
      </c>
      <c r="F59" s="12">
        <f>SUM(D59/E59)</f>
        <v>10.262068965517241</v>
      </c>
      <c r="G59" s="11">
        <v>2</v>
      </c>
      <c r="H59" s="11">
        <v>2</v>
      </c>
      <c r="I59" s="11"/>
      <c r="J59" s="11"/>
      <c r="K59" s="11"/>
      <c r="L59" s="11">
        <v>7</v>
      </c>
      <c r="M59" s="13"/>
    </row>
    <row r="60" spans="1:18" ht="18.75" x14ac:dyDescent="0.3">
      <c r="A60" s="3">
        <v>59</v>
      </c>
      <c r="B60" s="15" t="s">
        <v>55</v>
      </c>
      <c r="C60" s="17" t="s">
        <v>53</v>
      </c>
      <c r="D60" s="11">
        <f>SUM(1363+1275+1471+1473)</f>
        <v>5582</v>
      </c>
      <c r="E60" s="11">
        <f>SUM(123+117+156+148)</f>
        <v>544</v>
      </c>
      <c r="F60" s="12">
        <f>SUM(D60/E60)</f>
        <v>10.261029411764707</v>
      </c>
      <c r="G60" s="11">
        <v>4</v>
      </c>
      <c r="H60" s="11">
        <v>1</v>
      </c>
      <c r="I60" s="11"/>
      <c r="J60" s="11"/>
      <c r="K60" s="11"/>
      <c r="L60" s="11">
        <v>7</v>
      </c>
      <c r="M60" s="13"/>
    </row>
    <row r="61" spans="1:18" ht="18.75" x14ac:dyDescent="0.3">
      <c r="A61" s="3">
        <v>60</v>
      </c>
      <c r="B61" s="38" t="s">
        <v>97</v>
      </c>
      <c r="C61" s="14" t="s">
        <v>47</v>
      </c>
      <c r="D61" s="11">
        <f>SUM(1376)</f>
        <v>1376</v>
      </c>
      <c r="E61" s="11">
        <f>SUM(138)</f>
        <v>138</v>
      </c>
      <c r="F61" s="12">
        <f>SUM(D61/E61)</f>
        <v>9.9710144927536231</v>
      </c>
      <c r="G61" s="11">
        <v>1</v>
      </c>
      <c r="H61" s="11"/>
      <c r="I61" s="11"/>
      <c r="J61" s="11"/>
      <c r="K61" s="11"/>
      <c r="L61" s="11">
        <v>2.5</v>
      </c>
      <c r="M61" s="13"/>
    </row>
    <row r="62" spans="1:18" ht="17.25" customHeight="1" thickBot="1" x14ac:dyDescent="0.3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8" ht="19.5" customHeight="1" thickBot="1" x14ac:dyDescent="0.35">
      <c r="A63" s="5"/>
      <c r="B63" s="39" t="s">
        <v>129</v>
      </c>
      <c r="C63" s="27" t="s">
        <v>65</v>
      </c>
      <c r="D63" s="28" t="s">
        <v>66</v>
      </c>
      <c r="E63" s="29" t="s">
        <v>67</v>
      </c>
      <c r="F63" s="20" t="s">
        <v>91</v>
      </c>
      <c r="G63" s="30" t="s">
        <v>68</v>
      </c>
      <c r="I63" s="50" t="s">
        <v>69</v>
      </c>
      <c r="J63" s="51"/>
      <c r="K63" s="51"/>
      <c r="L63" s="51"/>
      <c r="M63" s="51"/>
      <c r="N63" s="51"/>
      <c r="O63" s="51"/>
      <c r="P63" s="51"/>
      <c r="Q63" s="51"/>
      <c r="R63" s="52"/>
    </row>
    <row r="64" spans="1:18" ht="18.75" x14ac:dyDescent="0.3">
      <c r="A64" s="5"/>
      <c r="B64" s="40"/>
      <c r="C64" s="17" t="s">
        <v>82</v>
      </c>
      <c r="D64" s="7">
        <v>5</v>
      </c>
      <c r="E64" s="22">
        <v>0</v>
      </c>
      <c r="F64" s="15"/>
      <c r="G64" s="23">
        <v>85</v>
      </c>
      <c r="I64" s="42" t="s">
        <v>70</v>
      </c>
      <c r="J64" s="43"/>
      <c r="K64" s="43"/>
      <c r="L64" s="43"/>
      <c r="M64" s="43"/>
      <c r="N64" s="53" t="s">
        <v>122</v>
      </c>
      <c r="O64" s="53"/>
      <c r="P64" s="53"/>
      <c r="Q64" s="53"/>
      <c r="R64" s="54"/>
    </row>
    <row r="65" spans="1:18" ht="18.75" x14ac:dyDescent="0.3">
      <c r="A65" s="5"/>
      <c r="B65" s="40"/>
      <c r="C65" s="17" t="s">
        <v>77</v>
      </c>
      <c r="D65" s="7">
        <v>5</v>
      </c>
      <c r="E65" s="22">
        <v>0</v>
      </c>
      <c r="F65" s="15"/>
      <c r="G65" s="23">
        <v>74</v>
      </c>
      <c r="I65" s="44" t="s">
        <v>72</v>
      </c>
      <c r="J65" s="45"/>
      <c r="K65" s="45"/>
      <c r="L65" s="45"/>
      <c r="M65" s="45"/>
      <c r="N65" s="48" t="s">
        <v>128</v>
      </c>
      <c r="O65" s="48"/>
      <c r="P65" s="48"/>
      <c r="Q65" s="48"/>
      <c r="R65" s="49"/>
    </row>
    <row r="66" spans="1:18" ht="18.75" x14ac:dyDescent="0.3">
      <c r="A66" s="5"/>
      <c r="B66" s="40"/>
      <c r="C66" s="18" t="s">
        <v>83</v>
      </c>
      <c r="D66" s="9">
        <v>5</v>
      </c>
      <c r="E66" s="10">
        <v>0</v>
      </c>
      <c r="F66" s="15"/>
      <c r="G66" s="18">
        <v>72</v>
      </c>
      <c r="I66" s="44" t="s">
        <v>74</v>
      </c>
      <c r="J66" s="45"/>
      <c r="K66" s="45"/>
      <c r="L66" s="45"/>
      <c r="M66" s="45"/>
      <c r="N66" s="48" t="s">
        <v>127</v>
      </c>
      <c r="O66" s="48"/>
      <c r="P66" s="48"/>
      <c r="Q66" s="48"/>
      <c r="R66" s="49"/>
    </row>
    <row r="67" spans="1:18" ht="18.75" x14ac:dyDescent="0.3">
      <c r="A67" s="6"/>
      <c r="B67" s="40"/>
      <c r="C67" s="17" t="s">
        <v>71</v>
      </c>
      <c r="D67" s="7">
        <v>3</v>
      </c>
      <c r="E67" s="16">
        <v>2</v>
      </c>
      <c r="F67" s="15"/>
      <c r="G67" s="17">
        <v>70</v>
      </c>
      <c r="I67" s="44" t="s">
        <v>76</v>
      </c>
      <c r="J67" s="45"/>
      <c r="K67" s="45"/>
      <c r="L67" s="45"/>
      <c r="M67" s="45"/>
      <c r="N67" s="48" t="s">
        <v>126</v>
      </c>
      <c r="O67" s="48"/>
      <c r="P67" s="48"/>
      <c r="Q67" s="48"/>
      <c r="R67" s="49"/>
    </row>
    <row r="68" spans="1:18" ht="18" customHeight="1" x14ac:dyDescent="0.3">
      <c r="A68" s="6"/>
      <c r="B68" s="40"/>
      <c r="C68" s="17" t="s">
        <v>85</v>
      </c>
      <c r="D68" s="7">
        <v>2</v>
      </c>
      <c r="E68" s="22">
        <v>3</v>
      </c>
      <c r="F68" s="15"/>
      <c r="G68" s="23">
        <v>60</v>
      </c>
      <c r="I68" s="44" t="s">
        <v>78</v>
      </c>
      <c r="J68" s="45"/>
      <c r="K68" s="45"/>
      <c r="L68" s="45"/>
      <c r="M68" s="45"/>
      <c r="N68" s="48" t="s">
        <v>105</v>
      </c>
      <c r="O68" s="48"/>
      <c r="P68" s="48"/>
      <c r="Q68" s="48"/>
      <c r="R68" s="49"/>
    </row>
    <row r="69" spans="1:18" ht="18" customHeight="1" thickBot="1" x14ac:dyDescent="0.35">
      <c r="A69" s="6"/>
      <c r="B69" s="40"/>
      <c r="C69" s="18" t="s">
        <v>79</v>
      </c>
      <c r="D69" s="9">
        <v>2</v>
      </c>
      <c r="E69" s="10">
        <v>3</v>
      </c>
      <c r="F69" s="15"/>
      <c r="G69" s="18">
        <v>58</v>
      </c>
      <c r="I69" s="46" t="s">
        <v>80</v>
      </c>
      <c r="J69" s="47"/>
      <c r="K69" s="47"/>
      <c r="L69" s="47"/>
      <c r="M69" s="47"/>
      <c r="N69" s="48" t="s">
        <v>119</v>
      </c>
      <c r="O69" s="48"/>
      <c r="P69" s="48"/>
      <c r="Q69" s="48"/>
      <c r="R69" s="49"/>
    </row>
    <row r="70" spans="1:18" ht="18.75" x14ac:dyDescent="0.3">
      <c r="A70" s="6"/>
      <c r="B70" s="40"/>
      <c r="C70" s="17" t="s">
        <v>75</v>
      </c>
      <c r="D70" s="7">
        <v>2</v>
      </c>
      <c r="E70" s="22">
        <v>3</v>
      </c>
      <c r="F70" s="15"/>
      <c r="G70" s="23">
        <v>58</v>
      </c>
      <c r="H70" s="6"/>
      <c r="I70" s="6"/>
    </row>
    <row r="71" spans="1:18" ht="18.75" x14ac:dyDescent="0.3">
      <c r="A71" s="6"/>
      <c r="B71" s="40"/>
      <c r="C71" s="18" t="s">
        <v>86</v>
      </c>
      <c r="D71" s="9">
        <v>2</v>
      </c>
      <c r="E71" s="10">
        <v>3</v>
      </c>
      <c r="F71" s="15"/>
      <c r="G71" s="18">
        <v>56</v>
      </c>
      <c r="H71" s="6"/>
    </row>
    <row r="72" spans="1:18" ht="18.75" x14ac:dyDescent="0.3">
      <c r="B72" s="40"/>
      <c r="C72" s="17" t="s">
        <v>73</v>
      </c>
      <c r="D72" s="7">
        <v>2</v>
      </c>
      <c r="E72" s="22">
        <v>3</v>
      </c>
      <c r="F72" s="15"/>
      <c r="G72" s="23">
        <v>51</v>
      </c>
    </row>
    <row r="73" spans="1:18" ht="18.75" x14ac:dyDescent="0.3">
      <c r="B73" s="40"/>
      <c r="C73" s="19" t="s">
        <v>101</v>
      </c>
      <c r="D73" s="14">
        <v>1</v>
      </c>
      <c r="E73" s="21">
        <v>4</v>
      </c>
      <c r="F73" s="26"/>
      <c r="G73" s="19">
        <v>54</v>
      </c>
    </row>
    <row r="74" spans="1:18" ht="18.75" x14ac:dyDescent="0.3">
      <c r="B74" s="40"/>
      <c r="C74" s="17" t="s">
        <v>81</v>
      </c>
      <c r="D74" s="7">
        <v>1</v>
      </c>
      <c r="E74" s="16">
        <v>4</v>
      </c>
      <c r="F74" s="15"/>
      <c r="G74" s="17">
        <v>53</v>
      </c>
    </row>
    <row r="75" spans="1:18" ht="19.5" thickBot="1" x14ac:dyDescent="0.35">
      <c r="B75" s="41"/>
      <c r="C75" s="18" t="s">
        <v>84</v>
      </c>
      <c r="D75" s="9">
        <v>0</v>
      </c>
      <c r="E75" s="10">
        <v>5</v>
      </c>
      <c r="F75" s="15"/>
      <c r="G75" s="18">
        <v>29</v>
      </c>
    </row>
    <row r="76" spans="1:18" ht="15.75" thickBot="1" x14ac:dyDescent="0.3"/>
    <row r="77" spans="1:18" ht="19.5" thickBot="1" x14ac:dyDescent="0.35">
      <c r="C77" s="27" t="s">
        <v>87</v>
      </c>
      <c r="D77" s="28" t="s">
        <v>66</v>
      </c>
      <c r="E77" s="28" t="s">
        <v>67</v>
      </c>
      <c r="F77" s="20" t="s">
        <v>91</v>
      </c>
      <c r="G77" s="31" t="s">
        <v>68</v>
      </c>
    </row>
    <row r="78" spans="1:18" ht="18.75" x14ac:dyDescent="0.3">
      <c r="C78" s="14" t="s">
        <v>82</v>
      </c>
      <c r="D78" s="14">
        <v>5</v>
      </c>
      <c r="E78" s="24">
        <v>0</v>
      </c>
      <c r="F78" s="15"/>
      <c r="G78" s="25">
        <v>85</v>
      </c>
    </row>
    <row r="79" spans="1:18" ht="18.75" x14ac:dyDescent="0.3">
      <c r="C79" s="7" t="s">
        <v>77</v>
      </c>
      <c r="D79" s="7">
        <v>5</v>
      </c>
      <c r="E79" s="22">
        <v>0</v>
      </c>
      <c r="F79" s="15"/>
      <c r="G79" s="23">
        <v>74</v>
      </c>
    </row>
    <row r="80" spans="1:18" ht="18.75" x14ac:dyDescent="0.3">
      <c r="C80" s="14" t="s">
        <v>71</v>
      </c>
      <c r="D80" s="14">
        <v>3</v>
      </c>
      <c r="E80" s="21">
        <v>2</v>
      </c>
      <c r="F80" s="26"/>
      <c r="G80" s="19">
        <v>70</v>
      </c>
    </row>
    <row r="81" spans="3:7" ht="18.75" x14ac:dyDescent="0.3">
      <c r="C81" s="14" t="s">
        <v>75</v>
      </c>
      <c r="D81" s="14">
        <v>2</v>
      </c>
      <c r="E81" s="24">
        <v>3</v>
      </c>
      <c r="F81" s="26"/>
      <c r="G81" s="25">
        <v>58</v>
      </c>
    </row>
    <row r="82" spans="3:7" ht="15.75" thickBot="1" x14ac:dyDescent="0.3"/>
    <row r="83" spans="3:7" ht="19.5" thickBot="1" x14ac:dyDescent="0.35">
      <c r="C83" s="27" t="s">
        <v>88</v>
      </c>
      <c r="D83" s="28" t="s">
        <v>66</v>
      </c>
      <c r="E83" s="28" t="s">
        <v>67</v>
      </c>
      <c r="F83" s="20" t="s">
        <v>91</v>
      </c>
      <c r="G83" s="31" t="s">
        <v>68</v>
      </c>
    </row>
    <row r="84" spans="3:7" ht="18.75" x14ac:dyDescent="0.3">
      <c r="C84" s="9" t="s">
        <v>83</v>
      </c>
      <c r="D84" s="9">
        <v>4</v>
      </c>
      <c r="E84" s="10">
        <v>0</v>
      </c>
      <c r="F84" s="15"/>
      <c r="G84" s="18">
        <v>72</v>
      </c>
    </row>
    <row r="85" spans="3:7" ht="18.75" x14ac:dyDescent="0.3">
      <c r="C85" s="7" t="s">
        <v>85</v>
      </c>
      <c r="D85" s="7">
        <v>2</v>
      </c>
      <c r="E85" s="22">
        <v>3</v>
      </c>
      <c r="F85" s="15"/>
      <c r="G85" s="23">
        <v>60</v>
      </c>
    </row>
    <row r="86" spans="3:7" ht="18.75" x14ac:dyDescent="0.3">
      <c r="C86" s="9" t="s">
        <v>79</v>
      </c>
      <c r="D86" s="9">
        <v>2</v>
      </c>
      <c r="E86" s="10">
        <v>2</v>
      </c>
      <c r="F86" s="15"/>
      <c r="G86" s="18">
        <v>58</v>
      </c>
    </row>
    <row r="87" spans="3:7" ht="18.75" x14ac:dyDescent="0.3">
      <c r="C87" s="14" t="s">
        <v>101</v>
      </c>
      <c r="D87" s="14">
        <v>1</v>
      </c>
      <c r="E87" s="21">
        <v>4</v>
      </c>
      <c r="F87" s="26"/>
      <c r="G87" s="19">
        <v>54</v>
      </c>
    </row>
    <row r="88" spans="3:7" ht="15.75" thickBot="1" x14ac:dyDescent="0.3"/>
    <row r="89" spans="3:7" ht="19.5" thickBot="1" x14ac:dyDescent="0.35">
      <c r="C89" s="32" t="s">
        <v>89</v>
      </c>
      <c r="D89" s="33" t="s">
        <v>66</v>
      </c>
      <c r="E89" s="33" t="s">
        <v>67</v>
      </c>
      <c r="F89" s="20" t="s">
        <v>91</v>
      </c>
      <c r="G89" s="34" t="s">
        <v>68</v>
      </c>
    </row>
    <row r="90" spans="3:7" ht="18.75" x14ac:dyDescent="0.3">
      <c r="C90" s="9" t="s">
        <v>86</v>
      </c>
      <c r="D90" s="9">
        <v>2</v>
      </c>
      <c r="E90" s="10">
        <v>3</v>
      </c>
      <c r="F90" s="15"/>
      <c r="G90" s="18">
        <v>56</v>
      </c>
    </row>
    <row r="91" spans="3:7" ht="18.75" x14ac:dyDescent="0.3">
      <c r="C91" s="14" t="s">
        <v>73</v>
      </c>
      <c r="D91" s="14">
        <v>2</v>
      </c>
      <c r="E91" s="24">
        <v>3</v>
      </c>
      <c r="F91" s="15"/>
      <c r="G91" s="25">
        <v>51</v>
      </c>
    </row>
    <row r="92" spans="3:7" ht="18.75" x14ac:dyDescent="0.3">
      <c r="C92" s="7" t="s">
        <v>81</v>
      </c>
      <c r="D92" s="7">
        <v>1</v>
      </c>
      <c r="E92" s="16">
        <v>4</v>
      </c>
      <c r="F92" s="15"/>
      <c r="G92" s="17">
        <v>53</v>
      </c>
    </row>
    <row r="93" spans="3:7" ht="18.75" x14ac:dyDescent="0.3">
      <c r="C93" s="9" t="s">
        <v>84</v>
      </c>
      <c r="D93" s="9">
        <v>0</v>
      </c>
      <c r="E93" s="10">
        <v>5</v>
      </c>
      <c r="F93" s="15"/>
      <c r="G93" s="18">
        <v>29</v>
      </c>
    </row>
  </sheetData>
  <mergeCells count="14">
    <mergeCell ref="N69:R69"/>
    <mergeCell ref="I63:R63"/>
    <mergeCell ref="N64:R64"/>
    <mergeCell ref="N65:R65"/>
    <mergeCell ref="N66:R66"/>
    <mergeCell ref="N67:R67"/>
    <mergeCell ref="N68:R68"/>
    <mergeCell ref="B63:B75"/>
    <mergeCell ref="I64:M64"/>
    <mergeCell ref="I65:M65"/>
    <mergeCell ref="I66:M66"/>
    <mergeCell ref="I67:M67"/>
    <mergeCell ref="I68:M68"/>
    <mergeCell ref="I69:M6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workbookViewId="0">
      <pane ySplit="1" topLeftCell="A80" activePane="bottomLeft" state="frozen"/>
      <selection pane="bottomLeft" activeCell="J91" sqref="J91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13</v>
      </c>
      <c r="C2" s="4" t="s">
        <v>14</v>
      </c>
      <c r="D2" s="11">
        <f>SUM(1360+1372+1443+1499+1503+1503)</f>
        <v>8680</v>
      </c>
      <c r="E2" s="11">
        <f>SUM(71+94+91+92+82+84)</f>
        <v>514</v>
      </c>
      <c r="F2" s="12">
        <f>SUM(D2/E2)</f>
        <v>16.88715953307393</v>
      </c>
      <c r="G2" s="11">
        <v>6</v>
      </c>
      <c r="H2" s="11">
        <v>4</v>
      </c>
      <c r="I2" s="11">
        <v>2</v>
      </c>
      <c r="J2" s="11"/>
      <c r="K2" s="11"/>
      <c r="L2" s="11">
        <v>24</v>
      </c>
      <c r="M2" s="13"/>
    </row>
    <row r="3" spans="1:13" ht="18.75" x14ac:dyDescent="0.3">
      <c r="A3" s="3">
        <v>2</v>
      </c>
      <c r="B3" s="4" t="s">
        <v>25</v>
      </c>
      <c r="C3" s="4" t="s">
        <v>16</v>
      </c>
      <c r="D3" s="11">
        <f>SUM(1444+1481+1503+1503+1471+1503)</f>
        <v>8905</v>
      </c>
      <c r="E3" s="11">
        <f>SUM(74+87+96+88+103+80)</f>
        <v>528</v>
      </c>
      <c r="F3" s="12">
        <f>SUM(D3/E3)</f>
        <v>16.865530303030305</v>
      </c>
      <c r="G3" s="11">
        <v>6</v>
      </c>
      <c r="H3" s="11">
        <v>5</v>
      </c>
      <c r="I3" s="11">
        <v>1</v>
      </c>
      <c r="J3" s="11"/>
      <c r="K3" s="11"/>
      <c r="L3" s="11">
        <v>25</v>
      </c>
      <c r="M3" s="13">
        <v>10</v>
      </c>
    </row>
    <row r="4" spans="1:13" ht="18.75" x14ac:dyDescent="0.3">
      <c r="A4" s="3">
        <v>3</v>
      </c>
      <c r="B4" s="4" t="s">
        <v>37</v>
      </c>
      <c r="C4" s="4" t="s">
        <v>21</v>
      </c>
      <c r="D4" s="11">
        <f>SUM(1501+1495+1314+1407+1503+1405)</f>
        <v>8625</v>
      </c>
      <c r="E4" s="11">
        <f>SUM(106+86+87+95+80+84)</f>
        <v>538</v>
      </c>
      <c r="F4" s="12">
        <f>SUM(D4/E4)</f>
        <v>16.031598513011151</v>
      </c>
      <c r="G4" s="11">
        <v>6</v>
      </c>
      <c r="H4" s="11">
        <v>4</v>
      </c>
      <c r="I4" s="11"/>
      <c r="J4" s="11"/>
      <c r="K4" s="11"/>
      <c r="L4" s="11">
        <v>20</v>
      </c>
      <c r="M4" s="13">
        <v>10</v>
      </c>
    </row>
    <row r="5" spans="1:13" ht="18.75" x14ac:dyDescent="0.3">
      <c r="A5" s="3">
        <v>4</v>
      </c>
      <c r="B5" s="4" t="s">
        <v>33</v>
      </c>
      <c r="C5" s="4" t="s">
        <v>16</v>
      </c>
      <c r="D5" s="11">
        <f>SUM(1464+1483+1503+1503+1503+1496)</f>
        <v>8952</v>
      </c>
      <c r="E5" s="11">
        <f>SUM(83+89+91+74+88+135)</f>
        <v>560</v>
      </c>
      <c r="F5" s="12">
        <f>SUM(D5/E5)</f>
        <v>15.985714285714286</v>
      </c>
      <c r="G5" s="11">
        <v>6</v>
      </c>
      <c r="H5" s="11">
        <v>5</v>
      </c>
      <c r="I5" s="11"/>
      <c r="J5" s="11"/>
      <c r="K5" s="11"/>
      <c r="L5" s="11">
        <v>25</v>
      </c>
      <c r="M5" s="13">
        <v>5</v>
      </c>
    </row>
    <row r="6" spans="1:13" ht="18.75" x14ac:dyDescent="0.3">
      <c r="A6" s="3">
        <v>5</v>
      </c>
      <c r="B6" s="4" t="s">
        <v>11</v>
      </c>
      <c r="C6" s="4" t="s">
        <v>12</v>
      </c>
      <c r="D6" s="11">
        <f>SUM(1494+1503+1413+1503+1470+1483)</f>
        <v>8866</v>
      </c>
      <c r="E6" s="11">
        <f>SUM(102+87+93+89+89+99)</f>
        <v>559</v>
      </c>
      <c r="F6" s="12">
        <f>SUM(D6/E6)</f>
        <v>15.86046511627907</v>
      </c>
      <c r="G6" s="11">
        <v>6</v>
      </c>
      <c r="H6" s="11">
        <v>6</v>
      </c>
      <c r="I6" s="11"/>
      <c r="J6" s="11"/>
      <c r="K6" s="11"/>
      <c r="L6" s="11">
        <v>24</v>
      </c>
      <c r="M6" s="13">
        <v>5</v>
      </c>
    </row>
    <row r="7" spans="1:13" ht="18.75" x14ac:dyDescent="0.3">
      <c r="A7" s="3">
        <v>6</v>
      </c>
      <c r="B7" s="4" t="s">
        <v>17</v>
      </c>
      <c r="C7" s="4" t="s">
        <v>14</v>
      </c>
      <c r="D7" s="11">
        <f>SUM(1280+1503+1449+1503)</f>
        <v>5735</v>
      </c>
      <c r="E7" s="11">
        <f>SUM(79+100+93+90)</f>
        <v>362</v>
      </c>
      <c r="F7" s="12">
        <f>SUM(D7/E7)</f>
        <v>15.842541436464089</v>
      </c>
      <c r="G7" s="11">
        <v>4</v>
      </c>
      <c r="H7" s="11">
        <v>2</v>
      </c>
      <c r="I7" s="11"/>
      <c r="J7" s="11"/>
      <c r="K7" s="11"/>
      <c r="L7" s="35">
        <v>12</v>
      </c>
      <c r="M7" s="13"/>
    </row>
    <row r="8" spans="1:13" ht="18.75" x14ac:dyDescent="0.3">
      <c r="A8" s="3">
        <v>7</v>
      </c>
      <c r="B8" s="15" t="s">
        <v>131</v>
      </c>
      <c r="C8" s="4" t="s">
        <v>32</v>
      </c>
      <c r="D8" s="11">
        <f>SUM(1419)</f>
        <v>1419</v>
      </c>
      <c r="E8" s="11">
        <f>SUM(90)</f>
        <v>90</v>
      </c>
      <c r="F8" s="12">
        <f>SUM(D8/E8)</f>
        <v>15.766666666666667</v>
      </c>
      <c r="G8" s="11">
        <v>1</v>
      </c>
      <c r="H8" s="11"/>
      <c r="I8" s="11">
        <v>1</v>
      </c>
      <c r="J8" s="11"/>
      <c r="K8" s="11"/>
      <c r="L8" s="11">
        <v>2.5</v>
      </c>
      <c r="M8" s="13"/>
    </row>
    <row r="9" spans="1:13" ht="18.75" x14ac:dyDescent="0.3">
      <c r="A9" s="3">
        <v>8</v>
      </c>
      <c r="B9" s="4" t="s">
        <v>24</v>
      </c>
      <c r="C9" s="4" t="s">
        <v>23</v>
      </c>
      <c r="D9" s="11">
        <f>SUM(1501+1472+1503+1503+1503+1481)</f>
        <v>8963</v>
      </c>
      <c r="E9" s="11">
        <f>SUM(87+99+109+88+93+101)</f>
        <v>577</v>
      </c>
      <c r="F9" s="12">
        <f>SUM(D9/E9)</f>
        <v>15.533795493934143</v>
      </c>
      <c r="G9" s="11">
        <v>6</v>
      </c>
      <c r="H9" s="11">
        <v>4</v>
      </c>
      <c r="I9" s="11"/>
      <c r="J9" s="11"/>
      <c r="K9" s="11"/>
      <c r="L9" s="11">
        <v>20.5</v>
      </c>
      <c r="M9" s="13"/>
    </row>
    <row r="10" spans="1:13" ht="18.75" x14ac:dyDescent="0.3">
      <c r="A10" s="3">
        <v>9</v>
      </c>
      <c r="B10" s="15" t="s">
        <v>46</v>
      </c>
      <c r="C10" s="7" t="s">
        <v>47</v>
      </c>
      <c r="D10" s="11">
        <f>SUM(1503+1503+1427+1287+1279+1423)</f>
        <v>8422</v>
      </c>
      <c r="E10" s="11">
        <f>SUM(87+94+104+95+84+82)</f>
        <v>546</v>
      </c>
      <c r="F10" s="12">
        <f>SUM(D10/E10)</f>
        <v>15.424908424908425</v>
      </c>
      <c r="G10" s="11">
        <v>6</v>
      </c>
      <c r="H10" s="11">
        <v>3</v>
      </c>
      <c r="I10" s="11"/>
      <c r="J10" s="11"/>
      <c r="K10" s="11"/>
      <c r="L10" s="11">
        <v>18</v>
      </c>
      <c r="M10" s="13">
        <v>5</v>
      </c>
    </row>
    <row r="11" spans="1:13" ht="18.75" x14ac:dyDescent="0.3">
      <c r="A11" s="3">
        <v>10</v>
      </c>
      <c r="B11" s="15" t="s">
        <v>49</v>
      </c>
      <c r="C11" s="4" t="s">
        <v>28</v>
      </c>
      <c r="D11" s="11">
        <f>SUM(1503+1503+1426+1483+1290+1356)</f>
        <v>8561</v>
      </c>
      <c r="E11" s="11">
        <f>SUM(129+86+86+102+90+75)</f>
        <v>568</v>
      </c>
      <c r="F11" s="12">
        <f>SUM(D11/E11)</f>
        <v>15.07218309859155</v>
      </c>
      <c r="G11" s="11">
        <v>6</v>
      </c>
      <c r="H11" s="11">
        <v>4</v>
      </c>
      <c r="I11" s="11"/>
      <c r="J11" s="11"/>
      <c r="K11" s="11"/>
      <c r="L11" s="11">
        <v>18</v>
      </c>
      <c r="M11" s="13">
        <v>15</v>
      </c>
    </row>
    <row r="12" spans="1:13" ht="18.75" x14ac:dyDescent="0.3">
      <c r="A12" s="3">
        <v>11</v>
      </c>
      <c r="B12" s="4" t="s">
        <v>15</v>
      </c>
      <c r="C12" s="4" t="s">
        <v>16</v>
      </c>
      <c r="D12" s="11">
        <f>SUM(1503+1503+1503+1489+1501+1503)</f>
        <v>9002</v>
      </c>
      <c r="E12" s="11">
        <f>SUM(94+109+90+95+131+81)</f>
        <v>600</v>
      </c>
      <c r="F12" s="12">
        <f>SUM(D12/E12)</f>
        <v>15.003333333333334</v>
      </c>
      <c r="G12" s="11">
        <v>6</v>
      </c>
      <c r="H12" s="11">
        <v>6</v>
      </c>
      <c r="I12" s="11"/>
      <c r="J12" s="11"/>
      <c r="K12" s="11"/>
      <c r="L12" s="11">
        <v>28.5</v>
      </c>
      <c r="M12" s="13"/>
    </row>
    <row r="13" spans="1:13" ht="18.75" x14ac:dyDescent="0.3">
      <c r="A13" s="3">
        <v>12</v>
      </c>
      <c r="B13" s="15" t="s">
        <v>92</v>
      </c>
      <c r="C13" s="4" t="s">
        <v>42</v>
      </c>
      <c r="D13" s="11">
        <f>SUM(1319+1334+1503+1297+1394)</f>
        <v>6847</v>
      </c>
      <c r="E13" s="11">
        <f>SUM(106+84+103+90+78)</f>
        <v>461</v>
      </c>
      <c r="F13" s="12">
        <f>SUM(D13/E13)</f>
        <v>14.852494577006508</v>
      </c>
      <c r="G13" s="11">
        <v>5</v>
      </c>
      <c r="H13" s="11">
        <v>1</v>
      </c>
      <c r="I13" s="11"/>
      <c r="J13" s="11"/>
      <c r="K13" s="11"/>
      <c r="L13" s="11">
        <v>12.5</v>
      </c>
      <c r="M13" s="13"/>
    </row>
    <row r="14" spans="1:13" ht="18.75" x14ac:dyDescent="0.3">
      <c r="A14" s="3">
        <v>13</v>
      </c>
      <c r="B14" s="3" t="s">
        <v>31</v>
      </c>
      <c r="C14" s="4" t="s">
        <v>32</v>
      </c>
      <c r="D14" s="11">
        <f>SUM(1503+1469+1417+1109+1503)</f>
        <v>7001</v>
      </c>
      <c r="E14" s="11">
        <f>SUM(79+96+108+90+100)</f>
        <v>473</v>
      </c>
      <c r="F14" s="12">
        <f>SUM(D14/E14)</f>
        <v>14.801268498942918</v>
      </c>
      <c r="G14" s="11">
        <v>5</v>
      </c>
      <c r="H14" s="11">
        <v>2</v>
      </c>
      <c r="I14" s="11"/>
      <c r="J14" s="11"/>
      <c r="K14" s="11"/>
      <c r="L14" s="11">
        <v>14</v>
      </c>
      <c r="M14" s="13">
        <v>5</v>
      </c>
    </row>
    <row r="15" spans="1:13" ht="18.75" x14ac:dyDescent="0.3">
      <c r="A15" s="3">
        <v>14</v>
      </c>
      <c r="B15" s="4" t="s">
        <v>36</v>
      </c>
      <c r="C15" s="4" t="s">
        <v>12</v>
      </c>
      <c r="D15" s="11">
        <f>SUM(1503+1503+1503+1475+1483+1467)</f>
        <v>8934</v>
      </c>
      <c r="E15" s="11">
        <f>SUM(93+115+87+87+131+93)</f>
        <v>606</v>
      </c>
      <c r="F15" s="12">
        <f>SUM(D15/E15)</f>
        <v>14.742574257425742</v>
      </c>
      <c r="G15" s="11">
        <v>6</v>
      </c>
      <c r="H15" s="11">
        <v>4</v>
      </c>
      <c r="I15" s="11"/>
      <c r="J15" s="11"/>
      <c r="K15" s="11"/>
      <c r="L15" s="11">
        <v>22.5</v>
      </c>
      <c r="M15" s="13">
        <v>10</v>
      </c>
    </row>
    <row r="16" spans="1:13" ht="18.75" x14ac:dyDescent="0.3">
      <c r="A16" s="3">
        <v>15</v>
      </c>
      <c r="B16" s="4" t="s">
        <v>22</v>
      </c>
      <c r="C16" s="4" t="s">
        <v>23</v>
      </c>
      <c r="D16" s="11">
        <f>SUM(1499+1497+1503+1397+1272+1388)</f>
        <v>8556</v>
      </c>
      <c r="E16" s="11">
        <f>SUM(101+88+116+108+88+89)</f>
        <v>590</v>
      </c>
      <c r="F16" s="12">
        <f>SUM(D16/E16)</f>
        <v>14.501694915254237</v>
      </c>
      <c r="G16" s="11">
        <v>6</v>
      </c>
      <c r="H16" s="11">
        <v>5</v>
      </c>
      <c r="I16" s="11"/>
      <c r="J16" s="11"/>
      <c r="K16" s="11"/>
      <c r="L16" s="11">
        <v>21</v>
      </c>
      <c r="M16" s="13">
        <v>5</v>
      </c>
    </row>
    <row r="17" spans="1:13" ht="18.75" x14ac:dyDescent="0.3">
      <c r="A17" s="3">
        <v>16</v>
      </c>
      <c r="B17" s="4" t="s">
        <v>18</v>
      </c>
      <c r="C17" s="4" t="s">
        <v>19</v>
      </c>
      <c r="D17" s="11">
        <f>SUM(1403+1503+1328+1440+1487+1371)</f>
        <v>8532</v>
      </c>
      <c r="E17" s="11">
        <f>SUM(96+99+87+93+102+112)</f>
        <v>589</v>
      </c>
      <c r="F17" s="12">
        <f>SUM(D17/E17)</f>
        <v>14.485568760611205</v>
      </c>
      <c r="G17" s="11">
        <v>6</v>
      </c>
      <c r="H17" s="11">
        <v>2</v>
      </c>
      <c r="I17" s="11"/>
      <c r="J17" s="11"/>
      <c r="K17" s="11"/>
      <c r="L17" s="11">
        <v>17</v>
      </c>
      <c r="M17" s="13"/>
    </row>
    <row r="18" spans="1:13" ht="18.75" x14ac:dyDescent="0.3">
      <c r="A18" s="3">
        <v>17</v>
      </c>
      <c r="B18" s="15" t="s">
        <v>45</v>
      </c>
      <c r="C18" s="4" t="s">
        <v>32</v>
      </c>
      <c r="D18" s="11">
        <f>SUM(1503+1471+1326+953+1326+1439)</f>
        <v>8018</v>
      </c>
      <c r="E18" s="11">
        <f>SUM(100+103+79+72+91+110)</f>
        <v>555</v>
      </c>
      <c r="F18" s="12">
        <f>SUM(D18/E18)</f>
        <v>14.446846846846848</v>
      </c>
      <c r="G18" s="11">
        <v>6</v>
      </c>
      <c r="H18" s="11">
        <v>3</v>
      </c>
      <c r="I18" s="11"/>
      <c r="J18" s="11"/>
      <c r="K18" s="11"/>
      <c r="L18" s="11">
        <v>20.5</v>
      </c>
      <c r="M18" s="13"/>
    </row>
    <row r="19" spans="1:13" ht="18.75" x14ac:dyDescent="0.3">
      <c r="A19" s="3">
        <v>18</v>
      </c>
      <c r="B19" s="4" t="s">
        <v>62</v>
      </c>
      <c r="C19" s="7" t="s">
        <v>19</v>
      </c>
      <c r="D19" s="11">
        <f>SUM(1290+1479+1300+1217+1308)</f>
        <v>6594</v>
      </c>
      <c r="E19" s="11">
        <f>SUM(76+107+93+86+99)</f>
        <v>461</v>
      </c>
      <c r="F19" s="12">
        <f>SUM(D19/E19)</f>
        <v>14.303687635574837</v>
      </c>
      <c r="G19" s="11">
        <v>5</v>
      </c>
      <c r="H19" s="11">
        <v>1</v>
      </c>
      <c r="I19" s="11"/>
      <c r="J19" s="11"/>
      <c r="K19" s="11"/>
      <c r="L19" s="11">
        <v>15</v>
      </c>
      <c r="M19" s="13">
        <v>5</v>
      </c>
    </row>
    <row r="20" spans="1:13" ht="18.75" x14ac:dyDescent="0.3">
      <c r="A20" s="3">
        <v>19</v>
      </c>
      <c r="B20" s="15" t="s">
        <v>136</v>
      </c>
      <c r="C20" s="4" t="s">
        <v>12</v>
      </c>
      <c r="D20" s="11">
        <f>SUM(1375)</f>
        <v>1375</v>
      </c>
      <c r="E20" s="11">
        <f>SUM(97)</f>
        <v>97</v>
      </c>
      <c r="F20" s="12">
        <f>SUM(D20/E20)</f>
        <v>14.175257731958762</v>
      </c>
      <c r="G20" s="11">
        <v>1</v>
      </c>
      <c r="H20" s="11"/>
      <c r="I20" s="11"/>
      <c r="J20" s="11"/>
      <c r="K20" s="11"/>
      <c r="L20" s="11">
        <v>2</v>
      </c>
      <c r="M20" s="13"/>
    </row>
    <row r="21" spans="1:13" ht="18.75" x14ac:dyDescent="0.3">
      <c r="A21" s="3">
        <v>20</v>
      </c>
      <c r="B21" s="4" t="s">
        <v>43</v>
      </c>
      <c r="C21" s="4" t="s">
        <v>12</v>
      </c>
      <c r="D21" s="11">
        <f>SUM(1479+1503+1483+1474+1349+1471)</f>
        <v>8759</v>
      </c>
      <c r="E21" s="11">
        <f>SUM(130+97+96+123+86+87)</f>
        <v>619</v>
      </c>
      <c r="F21" s="12">
        <f>SUM(D21/E21)</f>
        <v>14.150242326332794</v>
      </c>
      <c r="G21" s="11">
        <v>6</v>
      </c>
      <c r="H21" s="11">
        <v>5</v>
      </c>
      <c r="I21" s="11"/>
      <c r="J21" s="11"/>
      <c r="K21" s="11"/>
      <c r="L21" s="11">
        <v>24</v>
      </c>
      <c r="M21" s="13"/>
    </row>
    <row r="22" spans="1:13" ht="18.75" x14ac:dyDescent="0.3">
      <c r="A22" s="3">
        <v>21</v>
      </c>
      <c r="B22" s="4" t="s">
        <v>90</v>
      </c>
      <c r="C22" s="4" t="s">
        <v>12</v>
      </c>
      <c r="D22" s="11">
        <f>SUM(1361+1497+1376+1453+1379)</f>
        <v>7066</v>
      </c>
      <c r="E22" s="11">
        <f>SUM(83+112+96+107+105)</f>
        <v>503</v>
      </c>
      <c r="F22" s="12">
        <f>SUM(D22/E22)</f>
        <v>14.047713717693837</v>
      </c>
      <c r="G22" s="11">
        <v>5</v>
      </c>
      <c r="H22" s="11">
        <v>3</v>
      </c>
      <c r="I22" s="11"/>
      <c r="J22" s="11"/>
      <c r="K22" s="11"/>
      <c r="L22" s="11">
        <v>14.5</v>
      </c>
      <c r="M22" s="13"/>
    </row>
    <row r="23" spans="1:13" ht="18.75" x14ac:dyDescent="0.3">
      <c r="A23" s="3">
        <v>22</v>
      </c>
      <c r="B23" s="4" t="s">
        <v>27</v>
      </c>
      <c r="C23" s="4" t="s">
        <v>28</v>
      </c>
      <c r="D23" s="11">
        <f>SUM(1471+1503+1503+1358+1473+1501)</f>
        <v>8809</v>
      </c>
      <c r="E23" s="11">
        <f>SUM(111+90+109+101+87+131)</f>
        <v>629</v>
      </c>
      <c r="F23" s="12">
        <f>SUM(D23/E23)</f>
        <v>14.00476947535771</v>
      </c>
      <c r="G23" s="11">
        <v>6</v>
      </c>
      <c r="H23" s="11">
        <v>6</v>
      </c>
      <c r="I23" s="11"/>
      <c r="J23" s="11"/>
      <c r="K23" s="11"/>
      <c r="L23" s="11">
        <v>24.5</v>
      </c>
      <c r="M23" s="13">
        <v>5</v>
      </c>
    </row>
    <row r="24" spans="1:13" ht="18.75" x14ac:dyDescent="0.3">
      <c r="A24" s="3">
        <v>23</v>
      </c>
      <c r="B24" s="3" t="s">
        <v>48</v>
      </c>
      <c r="C24" s="4" t="s">
        <v>32</v>
      </c>
      <c r="D24" s="11">
        <f>SUM(1239+1483+1425+1350+1493+1434)</f>
        <v>8424</v>
      </c>
      <c r="E24" s="11">
        <f>SUM(95+93+104+96+128+96)</f>
        <v>612</v>
      </c>
      <c r="F24" s="12">
        <f>SUM(D24/E24)</f>
        <v>13.764705882352942</v>
      </c>
      <c r="G24" s="11">
        <v>6</v>
      </c>
      <c r="H24" s="11">
        <v>1</v>
      </c>
      <c r="I24" s="11"/>
      <c r="J24" s="11"/>
      <c r="K24" s="11"/>
      <c r="L24" s="11">
        <v>16.5</v>
      </c>
      <c r="M24" s="13"/>
    </row>
    <row r="25" spans="1:13" ht="18.75" x14ac:dyDescent="0.3">
      <c r="A25" s="3">
        <v>24</v>
      </c>
      <c r="B25" s="15" t="s">
        <v>39</v>
      </c>
      <c r="C25" s="4" t="s">
        <v>23</v>
      </c>
      <c r="D25" s="11">
        <f>SUM(1332+1373+1492+1499+1481+1245)</f>
        <v>8422</v>
      </c>
      <c r="E25" s="11">
        <f>SUM(84+96+119+109+119+86)</f>
        <v>613</v>
      </c>
      <c r="F25" s="12">
        <f>SUM(D25/E25)</f>
        <v>13.738988580750409</v>
      </c>
      <c r="G25" s="11">
        <v>6</v>
      </c>
      <c r="H25" s="11">
        <v>1</v>
      </c>
      <c r="I25" s="11"/>
      <c r="J25" s="11"/>
      <c r="K25" s="11"/>
      <c r="L25" s="11">
        <v>14</v>
      </c>
      <c r="M25" s="13"/>
    </row>
    <row r="26" spans="1:13" ht="18.75" x14ac:dyDescent="0.3">
      <c r="A26" s="3">
        <v>25</v>
      </c>
      <c r="B26" s="15" t="s">
        <v>113</v>
      </c>
      <c r="C26" s="4" t="s">
        <v>16</v>
      </c>
      <c r="D26" s="11">
        <f>SUM(1503+1307+1309)</f>
        <v>4119</v>
      </c>
      <c r="E26" s="11">
        <f>SUM(104+111+88)</f>
        <v>303</v>
      </c>
      <c r="F26" s="12">
        <f>SUM(D26/E26)</f>
        <v>13.594059405940595</v>
      </c>
      <c r="G26" s="11">
        <v>3</v>
      </c>
      <c r="H26" s="11">
        <v>1</v>
      </c>
      <c r="I26" s="11"/>
      <c r="J26" s="11"/>
      <c r="K26" s="11"/>
      <c r="L26" s="11">
        <v>12.5</v>
      </c>
      <c r="M26" s="13"/>
    </row>
    <row r="27" spans="1:13" ht="18.75" x14ac:dyDescent="0.3">
      <c r="A27" s="3">
        <v>26</v>
      </c>
      <c r="B27" s="4" t="s">
        <v>61</v>
      </c>
      <c r="C27" s="4" t="s">
        <v>47</v>
      </c>
      <c r="D27" s="11">
        <f>SUM(1322+1462+1409+1497+1486+1453)</f>
        <v>8629</v>
      </c>
      <c r="E27" s="11">
        <f>SUM(111+98+102+120+98+106)</f>
        <v>635</v>
      </c>
      <c r="F27" s="12">
        <f>SUM(D27/E27)</f>
        <v>13.588976377952756</v>
      </c>
      <c r="G27" s="11">
        <v>6</v>
      </c>
      <c r="H27" s="11">
        <v>1</v>
      </c>
      <c r="I27" s="11"/>
      <c r="J27" s="11"/>
      <c r="K27" s="11"/>
      <c r="L27" s="11">
        <v>12</v>
      </c>
      <c r="M27" s="13"/>
    </row>
    <row r="28" spans="1:13" ht="18.75" x14ac:dyDescent="0.3">
      <c r="A28" s="3">
        <v>27</v>
      </c>
      <c r="B28" s="15" t="s">
        <v>111</v>
      </c>
      <c r="C28" s="7" t="s">
        <v>21</v>
      </c>
      <c r="D28" s="11">
        <f>SUM(1274+1414+1428+1463+1495)</f>
        <v>7074</v>
      </c>
      <c r="E28" s="11">
        <f>SUM(111+106+96+113+95)</f>
        <v>521</v>
      </c>
      <c r="F28" s="12">
        <f>SUM(D28/E28)</f>
        <v>13.577735124760077</v>
      </c>
      <c r="G28" s="11">
        <v>5</v>
      </c>
      <c r="H28" s="11">
        <v>2</v>
      </c>
      <c r="I28" s="11"/>
      <c r="J28" s="11"/>
      <c r="K28" s="11"/>
      <c r="L28" s="11">
        <v>14</v>
      </c>
      <c r="M28" s="13"/>
    </row>
    <row r="29" spans="1:13" ht="18.75" x14ac:dyDescent="0.3">
      <c r="A29" s="3">
        <v>28</v>
      </c>
      <c r="B29" s="15" t="s">
        <v>108</v>
      </c>
      <c r="C29" s="4" t="s">
        <v>19</v>
      </c>
      <c r="D29" s="11">
        <f>SUM(501+1503+1501+1455+1503)</f>
        <v>6463</v>
      </c>
      <c r="E29" s="11">
        <f>SUM(46+117+99+123+95)</f>
        <v>480</v>
      </c>
      <c r="F29" s="12">
        <f>SUM(D29/E29)</f>
        <v>13.464583333333334</v>
      </c>
      <c r="G29" s="11">
        <v>5</v>
      </c>
      <c r="H29" s="11">
        <v>4</v>
      </c>
      <c r="I29" s="11"/>
      <c r="J29" s="11">
        <v>1</v>
      </c>
      <c r="K29" s="11"/>
      <c r="L29" s="11">
        <v>19.5</v>
      </c>
      <c r="M29" s="13"/>
    </row>
    <row r="30" spans="1:13" ht="18.75" x14ac:dyDescent="0.3">
      <c r="A30" s="3">
        <v>29</v>
      </c>
      <c r="B30" s="7" t="s">
        <v>57</v>
      </c>
      <c r="C30" s="4" t="s">
        <v>95</v>
      </c>
      <c r="D30" s="11">
        <f>SUM(1463+1503+1503+1447)</f>
        <v>5916</v>
      </c>
      <c r="E30" s="11">
        <f>SUM(126+108+109+100)</f>
        <v>443</v>
      </c>
      <c r="F30" s="12">
        <f>SUM(D30/E30)</f>
        <v>13.354401805869074</v>
      </c>
      <c r="G30" s="11">
        <v>4</v>
      </c>
      <c r="H30" s="11">
        <v>2</v>
      </c>
      <c r="I30" s="11"/>
      <c r="J30" s="11"/>
      <c r="K30" s="11"/>
      <c r="L30" s="11">
        <v>14.5</v>
      </c>
      <c r="M30" s="13"/>
    </row>
    <row r="31" spans="1:13" ht="18.75" x14ac:dyDescent="0.3">
      <c r="A31" s="3">
        <v>30</v>
      </c>
      <c r="B31" s="7" t="s">
        <v>34</v>
      </c>
      <c r="C31" s="4" t="s">
        <v>32</v>
      </c>
      <c r="D31" s="11">
        <f>SUM(1204+1501+1396+1414+1498+1481)</f>
        <v>8494</v>
      </c>
      <c r="E31" s="11">
        <f>SUM(88+140+97+90+105+117)</f>
        <v>637</v>
      </c>
      <c r="F31" s="12">
        <f>SUM(D31/E31)</f>
        <v>13.334379905808477</v>
      </c>
      <c r="G31" s="11">
        <v>6</v>
      </c>
      <c r="H31" s="11">
        <v>3</v>
      </c>
      <c r="I31" s="11"/>
      <c r="J31" s="11"/>
      <c r="K31" s="11"/>
      <c r="L31" s="11">
        <v>19.5</v>
      </c>
      <c r="M31" s="13"/>
    </row>
    <row r="32" spans="1:13" ht="18.75" x14ac:dyDescent="0.3">
      <c r="A32" s="3">
        <v>31</v>
      </c>
      <c r="B32" s="57" t="s">
        <v>20</v>
      </c>
      <c r="C32" s="4" t="s">
        <v>21</v>
      </c>
      <c r="D32" s="11">
        <f>SUM(1243+1262+1307+1213+1469+1468)</f>
        <v>7962</v>
      </c>
      <c r="E32" s="11">
        <f>SUM(94+86+87+120+106+109)</f>
        <v>602</v>
      </c>
      <c r="F32" s="12">
        <f>SUM(D32/E32)</f>
        <v>13.225913621262459</v>
      </c>
      <c r="G32" s="11">
        <v>6</v>
      </c>
      <c r="H32" s="11">
        <v>2</v>
      </c>
      <c r="I32" s="11"/>
      <c r="J32" s="11"/>
      <c r="K32" s="11"/>
      <c r="L32" s="11">
        <v>14.5</v>
      </c>
      <c r="M32" s="13"/>
    </row>
    <row r="33" spans="1:13" ht="18.75" x14ac:dyDescent="0.3">
      <c r="A33" s="3">
        <v>32</v>
      </c>
      <c r="B33" s="9" t="s">
        <v>38</v>
      </c>
      <c r="C33" s="4" t="s">
        <v>28</v>
      </c>
      <c r="D33" s="11">
        <f>SUM(1503+1456+1500+1493+1179)</f>
        <v>7131</v>
      </c>
      <c r="E33" s="11">
        <f>SUM(107+134+103+122+81)</f>
        <v>547</v>
      </c>
      <c r="F33" s="12">
        <f>SUM(D33/E33)</f>
        <v>13.036563071297989</v>
      </c>
      <c r="G33" s="11">
        <v>5</v>
      </c>
      <c r="H33" s="11">
        <v>4</v>
      </c>
      <c r="I33" s="11"/>
      <c r="J33" s="11"/>
      <c r="K33" s="11"/>
      <c r="L33" s="11">
        <v>16.5</v>
      </c>
      <c r="M33" s="13"/>
    </row>
    <row r="34" spans="1:13" ht="18.75" x14ac:dyDescent="0.3">
      <c r="A34" s="3">
        <v>33</v>
      </c>
      <c r="B34" s="9" t="s">
        <v>93</v>
      </c>
      <c r="C34" s="4" t="s">
        <v>42</v>
      </c>
      <c r="D34" s="11">
        <f>SUM(1481+1499+1329+1503)</f>
        <v>5812</v>
      </c>
      <c r="E34" s="11">
        <f>SUM(97+130+104+115)</f>
        <v>446</v>
      </c>
      <c r="F34" s="12">
        <f>SUM(D34/E34)</f>
        <v>13.031390134529149</v>
      </c>
      <c r="G34" s="11">
        <v>4</v>
      </c>
      <c r="H34" s="11">
        <v>2</v>
      </c>
      <c r="I34" s="11"/>
      <c r="J34" s="11"/>
      <c r="K34" s="11"/>
      <c r="L34" s="11">
        <v>12</v>
      </c>
      <c r="M34" s="13">
        <v>5</v>
      </c>
    </row>
    <row r="35" spans="1:13" ht="18.75" x14ac:dyDescent="0.3">
      <c r="A35" s="3">
        <v>34</v>
      </c>
      <c r="B35" s="7" t="s">
        <v>35</v>
      </c>
      <c r="C35" s="4" t="s">
        <v>16</v>
      </c>
      <c r="D35" s="11">
        <f>SUM(1471+1503+1330)</f>
        <v>4304</v>
      </c>
      <c r="E35" s="11">
        <f>SUM(104+123+105)</f>
        <v>332</v>
      </c>
      <c r="F35" s="12">
        <f>SUM(D35/E35)</f>
        <v>12.963855421686747</v>
      </c>
      <c r="G35" s="11">
        <v>3</v>
      </c>
      <c r="H35" s="11">
        <v>2</v>
      </c>
      <c r="I35" s="11"/>
      <c r="J35" s="11"/>
      <c r="K35" s="11"/>
      <c r="L35" s="11">
        <v>10</v>
      </c>
      <c r="M35" s="13"/>
    </row>
    <row r="36" spans="1:13" ht="18.75" x14ac:dyDescent="0.3">
      <c r="A36" s="3">
        <v>35</v>
      </c>
      <c r="B36" s="55" t="s">
        <v>52</v>
      </c>
      <c r="C36" s="8" t="s">
        <v>53</v>
      </c>
      <c r="D36" s="11">
        <f>SUM(1503+1413+1348+1220+1173+1417)</f>
        <v>8074</v>
      </c>
      <c r="E36" s="11">
        <f>SUM(111+108+106+105+81+114)</f>
        <v>625</v>
      </c>
      <c r="F36" s="12">
        <f>SUM(D36/E36)</f>
        <v>12.9184</v>
      </c>
      <c r="G36" s="11">
        <v>6</v>
      </c>
      <c r="H36" s="11">
        <v>1</v>
      </c>
      <c r="I36" s="11"/>
      <c r="J36" s="11"/>
      <c r="K36" s="11"/>
      <c r="L36" s="11">
        <v>6.5</v>
      </c>
      <c r="M36" s="13"/>
    </row>
    <row r="37" spans="1:13" ht="18.75" x14ac:dyDescent="0.3">
      <c r="A37" s="3">
        <v>36</v>
      </c>
      <c r="B37" s="9" t="s">
        <v>29</v>
      </c>
      <c r="C37" s="7" t="s">
        <v>23</v>
      </c>
      <c r="D37" s="11">
        <f>SUM(1204+1459+1145+1498+1408+1456)</f>
        <v>8170</v>
      </c>
      <c r="E37" s="11">
        <f>SUM(99+135+102+104+101+97)</f>
        <v>638</v>
      </c>
      <c r="F37" s="12">
        <f>SUM(D37/E37)</f>
        <v>12.805642633228841</v>
      </c>
      <c r="G37" s="11">
        <v>6</v>
      </c>
      <c r="H37" s="11">
        <v>3</v>
      </c>
      <c r="I37" s="11"/>
      <c r="J37" s="11"/>
      <c r="K37" s="11"/>
      <c r="L37" s="11">
        <v>13.5</v>
      </c>
      <c r="M37" s="13"/>
    </row>
    <row r="38" spans="1:13" ht="18.75" x14ac:dyDescent="0.3">
      <c r="A38" s="3">
        <v>37</v>
      </c>
      <c r="B38" s="10" t="s">
        <v>64</v>
      </c>
      <c r="C38" s="7" t="s">
        <v>95</v>
      </c>
      <c r="D38" s="11">
        <f>SUM(1503+1457+1466+1503+1408+1180)</f>
        <v>8517</v>
      </c>
      <c r="E38" s="11">
        <f>SUM(123+117+121+103+121+81)</f>
        <v>666</v>
      </c>
      <c r="F38" s="12">
        <f>SUM(D38/E38)</f>
        <v>12.788288288288289</v>
      </c>
      <c r="G38" s="11">
        <v>6</v>
      </c>
      <c r="H38" s="11">
        <v>3</v>
      </c>
      <c r="I38" s="11"/>
      <c r="J38" s="11"/>
      <c r="K38" s="11"/>
      <c r="L38" s="11">
        <v>16</v>
      </c>
      <c r="M38" s="13"/>
    </row>
    <row r="39" spans="1:13" ht="18.75" x14ac:dyDescent="0.3">
      <c r="A39" s="3">
        <v>38</v>
      </c>
      <c r="B39" s="16" t="s">
        <v>41</v>
      </c>
      <c r="C39" s="8" t="s">
        <v>28</v>
      </c>
      <c r="D39" s="11">
        <f>SUM(1487+1499+1483+1499+1503+1498)</f>
        <v>8969</v>
      </c>
      <c r="E39" s="11">
        <f>SUM(120+141+99+139+108+105)</f>
        <v>712</v>
      </c>
      <c r="F39" s="12">
        <f>SUM(D39/E39)</f>
        <v>12.59691011235955</v>
      </c>
      <c r="G39" s="11">
        <v>6</v>
      </c>
      <c r="H39" s="11">
        <v>5</v>
      </c>
      <c r="I39" s="11"/>
      <c r="J39" s="11"/>
      <c r="K39" s="11"/>
      <c r="L39" s="11">
        <v>20</v>
      </c>
      <c r="M39" s="13"/>
    </row>
    <row r="40" spans="1:13" ht="18.75" x14ac:dyDescent="0.3">
      <c r="A40" s="3">
        <v>39</v>
      </c>
      <c r="B40" s="16" t="s">
        <v>40</v>
      </c>
      <c r="C40" s="4" t="s">
        <v>14</v>
      </c>
      <c r="D40" s="11">
        <f>SUM(1351+1493+1429+1206+1475+1484)</f>
        <v>8438</v>
      </c>
      <c r="E40" s="11">
        <f>SUM(100+138+96+96+129+115)</f>
        <v>674</v>
      </c>
      <c r="F40" s="12">
        <f>SUM(D40/E40)</f>
        <v>12.519287833827892</v>
      </c>
      <c r="G40" s="11">
        <v>6</v>
      </c>
      <c r="H40" s="11">
        <v>1</v>
      </c>
      <c r="I40" s="11"/>
      <c r="J40" s="11"/>
      <c r="K40" s="11"/>
      <c r="L40" s="11">
        <v>19</v>
      </c>
      <c r="M40" s="13"/>
    </row>
    <row r="41" spans="1:13" ht="18.75" x14ac:dyDescent="0.3">
      <c r="A41" s="3">
        <v>40</v>
      </c>
      <c r="B41" s="10" t="s">
        <v>60</v>
      </c>
      <c r="C41" s="7" t="s">
        <v>47</v>
      </c>
      <c r="D41" s="11">
        <f>SUM(1477+1291+1469+1471+1480+1218)</f>
        <v>8406</v>
      </c>
      <c r="E41" s="11">
        <f>SUM(126+87+136+98+131+94)</f>
        <v>672</v>
      </c>
      <c r="F41" s="12">
        <f>SUM(D41/E41)</f>
        <v>12.508928571428571</v>
      </c>
      <c r="G41" s="11">
        <v>6</v>
      </c>
      <c r="H41" s="11">
        <v>1</v>
      </c>
      <c r="I41" s="11"/>
      <c r="J41" s="11"/>
      <c r="K41" s="11"/>
      <c r="L41" s="11">
        <v>14.5</v>
      </c>
      <c r="M41" s="13"/>
    </row>
    <row r="42" spans="1:13" ht="18.75" x14ac:dyDescent="0.3">
      <c r="A42" s="3">
        <v>41</v>
      </c>
      <c r="B42" s="16" t="s">
        <v>26</v>
      </c>
      <c r="C42" s="7" t="s">
        <v>19</v>
      </c>
      <c r="D42" s="11">
        <f>SUM(1480+1503+1495+1352)</f>
        <v>5830</v>
      </c>
      <c r="E42" s="11">
        <f>SUM(128+118+124+108)</f>
        <v>478</v>
      </c>
      <c r="F42" s="12">
        <f>SUM(D42/E42)</f>
        <v>12.196652719665272</v>
      </c>
      <c r="G42" s="11">
        <v>4</v>
      </c>
      <c r="H42" s="11">
        <v>2</v>
      </c>
      <c r="I42" s="11"/>
      <c r="J42" s="11"/>
      <c r="K42" s="11"/>
      <c r="L42" s="11">
        <v>17</v>
      </c>
      <c r="M42" s="13"/>
    </row>
    <row r="43" spans="1:13" ht="18.75" x14ac:dyDescent="0.3">
      <c r="A43" s="3">
        <v>42</v>
      </c>
      <c r="B43" s="10" t="s">
        <v>50</v>
      </c>
      <c r="C43" s="7" t="s">
        <v>42</v>
      </c>
      <c r="D43" s="11">
        <f>SUM(1503+1083+1503+1401+1481+1497)</f>
        <v>8468</v>
      </c>
      <c r="E43" s="11">
        <f>SUM(137+81+126+109+117+135)</f>
        <v>705</v>
      </c>
      <c r="F43" s="12">
        <f>SUM(D43/E43)</f>
        <v>12.011347517730496</v>
      </c>
      <c r="G43" s="11">
        <v>6</v>
      </c>
      <c r="H43" s="11">
        <v>3</v>
      </c>
      <c r="I43" s="11"/>
      <c r="J43" s="11"/>
      <c r="K43" s="11"/>
      <c r="L43" s="11">
        <v>18.5</v>
      </c>
      <c r="M43" s="13">
        <v>5</v>
      </c>
    </row>
    <row r="44" spans="1:13" ht="18.75" x14ac:dyDescent="0.3">
      <c r="A44" s="3">
        <v>43</v>
      </c>
      <c r="B44" s="10" t="s">
        <v>58</v>
      </c>
      <c r="C44" s="7" t="s">
        <v>53</v>
      </c>
      <c r="D44" s="11">
        <f>SUM(1098+1207+1409+1390+1416+1444)</f>
        <v>7964</v>
      </c>
      <c r="E44" s="11">
        <f>SUM(87+93+129+99+124+132)</f>
        <v>664</v>
      </c>
      <c r="F44" s="12">
        <f>SUM(D44/E44)</f>
        <v>11.993975903614459</v>
      </c>
      <c r="G44" s="11">
        <v>6</v>
      </c>
      <c r="H44" s="11"/>
      <c r="I44" s="11"/>
      <c r="J44" s="11"/>
      <c r="K44" s="11"/>
      <c r="L44" s="11">
        <v>6.5</v>
      </c>
      <c r="M44" s="13"/>
    </row>
    <row r="45" spans="1:13" ht="18.75" x14ac:dyDescent="0.3">
      <c r="A45" s="3">
        <v>44</v>
      </c>
      <c r="B45" s="16" t="s">
        <v>44</v>
      </c>
      <c r="C45" s="7" t="s">
        <v>95</v>
      </c>
      <c r="D45" s="11">
        <f>SUM(1375+1355+1020+1503+1483+1440)</f>
        <v>8176</v>
      </c>
      <c r="E45" s="11">
        <f>SUM(106+108+111+122+121+116)</f>
        <v>684</v>
      </c>
      <c r="F45" s="12">
        <f>SUM(D45/E45)</f>
        <v>11.953216374269006</v>
      </c>
      <c r="G45" s="11">
        <v>6</v>
      </c>
      <c r="H45" s="11">
        <v>4</v>
      </c>
      <c r="I45" s="11"/>
      <c r="J45" s="11"/>
      <c r="K45" s="11"/>
      <c r="L45" s="11">
        <v>15</v>
      </c>
      <c r="M45" s="13"/>
    </row>
    <row r="46" spans="1:13" ht="18.75" x14ac:dyDescent="0.3">
      <c r="A46" s="3">
        <v>45</v>
      </c>
      <c r="B46" s="16" t="s">
        <v>30</v>
      </c>
      <c r="C46" s="4" t="s">
        <v>19</v>
      </c>
      <c r="D46" s="11">
        <f>SUM(1434+1354+1503+1495)</f>
        <v>5786</v>
      </c>
      <c r="E46" s="11">
        <f>SUM(100+90+162+135)</f>
        <v>487</v>
      </c>
      <c r="F46" s="12">
        <f>SUM(D46/E46)</f>
        <v>11.880903490759753</v>
      </c>
      <c r="G46" s="11">
        <v>4</v>
      </c>
      <c r="H46" s="11">
        <v>2</v>
      </c>
      <c r="I46" s="11"/>
      <c r="J46" s="11"/>
      <c r="K46" s="11"/>
      <c r="L46" s="11">
        <v>12.5</v>
      </c>
      <c r="M46" s="13"/>
    </row>
    <row r="47" spans="1:13" ht="18.75" x14ac:dyDescent="0.3">
      <c r="A47" s="3">
        <v>46</v>
      </c>
      <c r="B47" s="16" t="s">
        <v>125</v>
      </c>
      <c r="C47" s="7" t="s">
        <v>53</v>
      </c>
      <c r="D47" s="11">
        <f>SUM(1341)</f>
        <v>1341</v>
      </c>
      <c r="E47" s="11">
        <f>SUM(117)</f>
        <v>117</v>
      </c>
      <c r="F47" s="12">
        <f>SUM(D47/E47)</f>
        <v>11.461538461538462</v>
      </c>
      <c r="G47" s="11">
        <v>1</v>
      </c>
      <c r="H47" s="11"/>
      <c r="I47" s="11"/>
      <c r="J47" s="11"/>
      <c r="K47" s="11"/>
      <c r="L47" s="11"/>
      <c r="M47" s="13"/>
    </row>
    <row r="48" spans="1:13" ht="18.75" x14ac:dyDescent="0.3">
      <c r="A48" s="3">
        <v>47</v>
      </c>
      <c r="B48" s="36" t="s">
        <v>102</v>
      </c>
      <c r="C48" s="4" t="s">
        <v>21</v>
      </c>
      <c r="D48" s="11">
        <f>SUM(1467)</f>
        <v>1467</v>
      </c>
      <c r="E48" s="11">
        <f>SUM(130)</f>
        <v>130</v>
      </c>
      <c r="F48" s="12">
        <f>SUM(D48/E48)</f>
        <v>11.284615384615385</v>
      </c>
      <c r="G48" s="11">
        <v>1</v>
      </c>
      <c r="H48" s="11">
        <v>1</v>
      </c>
      <c r="I48" s="11"/>
      <c r="J48" s="11"/>
      <c r="K48" s="11"/>
      <c r="L48" s="11">
        <v>4</v>
      </c>
      <c r="M48" s="13"/>
    </row>
    <row r="49" spans="1:18" ht="18.75" x14ac:dyDescent="0.3">
      <c r="A49" s="3">
        <v>48</v>
      </c>
      <c r="B49" s="4" t="s">
        <v>51</v>
      </c>
      <c r="C49" s="4" t="s">
        <v>14</v>
      </c>
      <c r="D49" s="11">
        <f>SUM(1394+1122+1067+1482+1376+1498)</f>
        <v>7939</v>
      </c>
      <c r="E49" s="11">
        <f>SUM(93+86+81+162+144+145)</f>
        <v>711</v>
      </c>
      <c r="F49" s="12">
        <f>SUM(D49/E49)</f>
        <v>11.165963431786217</v>
      </c>
      <c r="G49" s="11">
        <v>6</v>
      </c>
      <c r="H49" s="11">
        <v>1</v>
      </c>
      <c r="I49" s="11"/>
      <c r="J49" s="11"/>
      <c r="K49" s="11"/>
      <c r="L49" s="11">
        <v>11.5</v>
      </c>
      <c r="M49" s="13"/>
    </row>
    <row r="50" spans="1:18" ht="18.75" x14ac:dyDescent="0.3">
      <c r="A50" s="3">
        <v>49</v>
      </c>
      <c r="B50" s="15" t="s">
        <v>63</v>
      </c>
      <c r="C50" s="17" t="s">
        <v>21</v>
      </c>
      <c r="D50" s="11">
        <f>SUM(1452+1495+1498+1503)</f>
        <v>5948</v>
      </c>
      <c r="E50" s="11">
        <f>SUM(135+120+143+139)</f>
        <v>537</v>
      </c>
      <c r="F50" s="12">
        <f>SUM(D50/E50)</f>
        <v>11.07635009310987</v>
      </c>
      <c r="G50" s="11">
        <v>4</v>
      </c>
      <c r="H50" s="11">
        <v>2</v>
      </c>
      <c r="I50" s="11"/>
      <c r="J50" s="11"/>
      <c r="K50" s="11"/>
      <c r="L50" s="11">
        <v>13</v>
      </c>
      <c r="M50" s="13"/>
    </row>
    <row r="51" spans="1:18" ht="18.75" x14ac:dyDescent="0.3">
      <c r="A51" s="3">
        <v>50</v>
      </c>
      <c r="B51" s="4" t="s">
        <v>56</v>
      </c>
      <c r="C51" s="4" t="s">
        <v>95</v>
      </c>
      <c r="D51" s="11">
        <f>SUM(1248+1064+1400+1411)</f>
        <v>5123</v>
      </c>
      <c r="E51" s="11">
        <f>SUM(105+84+133+141)</f>
        <v>463</v>
      </c>
      <c r="F51" s="12">
        <f>SUM(D51/E51)</f>
        <v>11.064794816414686</v>
      </c>
      <c r="G51" s="11">
        <v>4</v>
      </c>
      <c r="H51" s="11"/>
      <c r="I51" s="11"/>
      <c r="J51" s="11"/>
      <c r="K51" s="11"/>
      <c r="L51" s="11">
        <v>6</v>
      </c>
      <c r="M51" s="13"/>
    </row>
    <row r="52" spans="1:18" ht="18.75" x14ac:dyDescent="0.3">
      <c r="A52" s="3">
        <v>51</v>
      </c>
      <c r="B52" s="4" t="s">
        <v>54</v>
      </c>
      <c r="C52" s="4" t="s">
        <v>47</v>
      </c>
      <c r="D52" s="11">
        <f>SUM(1478+1353+1503+1472+1448)</f>
        <v>7254</v>
      </c>
      <c r="E52" s="11">
        <f>SUM(126+139+133+123+135)</f>
        <v>656</v>
      </c>
      <c r="F52" s="12">
        <f>SUM(D52/E52)</f>
        <v>11.057926829268293</v>
      </c>
      <c r="G52" s="11">
        <v>5</v>
      </c>
      <c r="H52" s="11">
        <v>2</v>
      </c>
      <c r="I52" s="11"/>
      <c r="J52" s="11"/>
      <c r="K52" s="11"/>
      <c r="L52" s="11">
        <v>12</v>
      </c>
      <c r="M52" s="13"/>
    </row>
    <row r="53" spans="1:18" ht="18.75" x14ac:dyDescent="0.3">
      <c r="A53" s="3">
        <v>52</v>
      </c>
      <c r="B53" s="15" t="s">
        <v>110</v>
      </c>
      <c r="C53" s="4" t="s">
        <v>21</v>
      </c>
      <c r="D53" s="11">
        <f>SUM(1250+1503)</f>
        <v>2753</v>
      </c>
      <c r="E53" s="11">
        <f>SUM(109+145)</f>
        <v>254</v>
      </c>
      <c r="F53" s="12">
        <f>SUM(D53/E53)</f>
        <v>10.838582677165354</v>
      </c>
      <c r="G53" s="11">
        <v>2</v>
      </c>
      <c r="H53" s="11">
        <v>1</v>
      </c>
      <c r="I53" s="11"/>
      <c r="J53" s="11"/>
      <c r="K53" s="11"/>
      <c r="L53" s="11">
        <v>3.5</v>
      </c>
      <c r="M53" s="13"/>
    </row>
    <row r="54" spans="1:18" ht="18.75" x14ac:dyDescent="0.3">
      <c r="A54" s="3">
        <v>53</v>
      </c>
      <c r="B54" s="15" t="s">
        <v>94</v>
      </c>
      <c r="C54" s="4" t="s">
        <v>42</v>
      </c>
      <c r="D54" s="11">
        <f>SUM(1484+1490+1474+1452+1499+1435)</f>
        <v>8834</v>
      </c>
      <c r="E54" s="11">
        <f>SUM(126+139+150+165+106+132)</f>
        <v>818</v>
      </c>
      <c r="F54" s="12">
        <f>SUM(D54/E54)</f>
        <v>10.799511002444987</v>
      </c>
      <c r="G54" s="11">
        <v>6</v>
      </c>
      <c r="H54" s="11">
        <v>1</v>
      </c>
      <c r="I54" s="11"/>
      <c r="J54" s="11"/>
      <c r="K54" s="11"/>
      <c r="L54" s="11">
        <v>18</v>
      </c>
      <c r="M54" s="13"/>
    </row>
    <row r="55" spans="1:18" ht="18.75" x14ac:dyDescent="0.3">
      <c r="A55" s="3">
        <v>54</v>
      </c>
      <c r="B55" s="4" t="s">
        <v>124</v>
      </c>
      <c r="C55" s="17" t="s">
        <v>28</v>
      </c>
      <c r="D55" s="11">
        <f>SUM(1416)</f>
        <v>1416</v>
      </c>
      <c r="E55" s="11">
        <f>SUM(132)</f>
        <v>132</v>
      </c>
      <c r="F55" s="12">
        <f>SUM(D55/E55)</f>
        <v>10.727272727272727</v>
      </c>
      <c r="G55" s="11">
        <v>1</v>
      </c>
      <c r="H55" s="11"/>
      <c r="I55" s="11"/>
      <c r="J55" s="11"/>
      <c r="K55" s="11"/>
      <c r="L55" s="11">
        <v>1</v>
      </c>
      <c r="M55" s="13"/>
    </row>
    <row r="56" spans="1:18" ht="18.75" x14ac:dyDescent="0.3">
      <c r="A56" s="3">
        <v>55</v>
      </c>
      <c r="B56" s="15" t="s">
        <v>112</v>
      </c>
      <c r="C56" s="17" t="s">
        <v>95</v>
      </c>
      <c r="D56" s="11">
        <f>SUM(1150+1237+1485+1478)</f>
        <v>5350</v>
      </c>
      <c r="E56" s="11">
        <f>SUM(90+108+153+148)</f>
        <v>499</v>
      </c>
      <c r="F56" s="12">
        <f>SUM(D56/E56)</f>
        <v>10.721442885771543</v>
      </c>
      <c r="G56" s="11">
        <v>4</v>
      </c>
      <c r="H56" s="11">
        <v>1</v>
      </c>
      <c r="I56" s="11"/>
      <c r="J56" s="11"/>
      <c r="K56" s="11"/>
      <c r="L56" s="11">
        <v>8</v>
      </c>
      <c r="M56" s="13"/>
    </row>
    <row r="57" spans="1:18" ht="18.75" x14ac:dyDescent="0.3">
      <c r="A57" s="3">
        <v>56</v>
      </c>
      <c r="B57" s="15" t="s">
        <v>55</v>
      </c>
      <c r="C57" s="4" t="s">
        <v>53</v>
      </c>
      <c r="D57" s="11">
        <f>SUM(1363+1275+1471+1473+1503)</f>
        <v>7085</v>
      </c>
      <c r="E57" s="11">
        <f>SUM(123+117+156+148+117)</f>
        <v>661</v>
      </c>
      <c r="F57" s="12">
        <f>SUM(D57/E57)</f>
        <v>10.718608169440243</v>
      </c>
      <c r="G57" s="11">
        <v>5</v>
      </c>
      <c r="H57" s="11">
        <v>2</v>
      </c>
      <c r="I57" s="11"/>
      <c r="J57" s="11"/>
      <c r="K57" s="11"/>
      <c r="L57" s="11">
        <v>12</v>
      </c>
      <c r="M57" s="13"/>
    </row>
    <row r="58" spans="1:18" ht="18.75" x14ac:dyDescent="0.3">
      <c r="A58" s="3">
        <v>57</v>
      </c>
      <c r="B58" s="15" t="s">
        <v>109</v>
      </c>
      <c r="C58" s="7" t="s">
        <v>53</v>
      </c>
      <c r="D58" s="11">
        <f>SUM(496+1498+1461+1497)</f>
        <v>4952</v>
      </c>
      <c r="E58" s="11">
        <f>SUM(45+156+130+134)</f>
        <v>465</v>
      </c>
      <c r="F58" s="12">
        <f>SUM(D58/E58)</f>
        <v>10.649462365591399</v>
      </c>
      <c r="G58" s="11">
        <v>4</v>
      </c>
      <c r="H58" s="11">
        <v>1</v>
      </c>
      <c r="I58" s="11"/>
      <c r="J58" s="11"/>
      <c r="K58" s="11"/>
      <c r="L58" s="11">
        <v>8.5</v>
      </c>
      <c r="M58" s="13"/>
    </row>
    <row r="59" spans="1:18" ht="18.75" x14ac:dyDescent="0.3">
      <c r="A59" s="3">
        <v>58</v>
      </c>
      <c r="B59" s="15" t="s">
        <v>59</v>
      </c>
      <c r="C59" s="4" t="s">
        <v>53</v>
      </c>
      <c r="D59" s="11">
        <f>SUM(1368+1501)</f>
        <v>2869</v>
      </c>
      <c r="E59" s="11">
        <f>SUM(122+148)</f>
        <v>270</v>
      </c>
      <c r="F59" s="12">
        <f>SUM(D59/E59)</f>
        <v>10.625925925925927</v>
      </c>
      <c r="G59" s="11">
        <v>2</v>
      </c>
      <c r="H59" s="11">
        <v>2</v>
      </c>
      <c r="I59" s="11"/>
      <c r="J59" s="11"/>
      <c r="K59" s="11"/>
      <c r="L59" s="11">
        <v>6.5</v>
      </c>
      <c r="M59" s="13"/>
    </row>
    <row r="60" spans="1:18" ht="18.75" x14ac:dyDescent="0.3">
      <c r="A60" s="3">
        <v>59</v>
      </c>
      <c r="B60" s="4" t="s">
        <v>118</v>
      </c>
      <c r="C60" s="58" t="s">
        <v>42</v>
      </c>
      <c r="D60" s="11">
        <f>SUM(1477+1499+1258)</f>
        <v>4234</v>
      </c>
      <c r="E60" s="11">
        <f>SUM(152+138+111)</f>
        <v>401</v>
      </c>
      <c r="F60" s="12">
        <f>SUM(D60/E60)</f>
        <v>10.558603491271821</v>
      </c>
      <c r="G60" s="11">
        <v>3</v>
      </c>
      <c r="H60" s="11">
        <v>2</v>
      </c>
      <c r="I60" s="11"/>
      <c r="J60" s="11"/>
      <c r="K60" s="11"/>
      <c r="L60" s="11">
        <v>8</v>
      </c>
      <c r="M60" s="13"/>
    </row>
    <row r="61" spans="1:18" ht="18.75" x14ac:dyDescent="0.3">
      <c r="A61" s="3">
        <v>60</v>
      </c>
      <c r="B61" s="15" t="s">
        <v>130</v>
      </c>
      <c r="C61" s="4" t="s">
        <v>14</v>
      </c>
      <c r="D61" s="11">
        <f>SUM(1489+1487)</f>
        <v>2976</v>
      </c>
      <c r="E61" s="11">
        <f>SUM(134+150)</f>
        <v>284</v>
      </c>
      <c r="F61" s="12">
        <f>SUM(D61/E61)</f>
        <v>10.47887323943662</v>
      </c>
      <c r="G61" s="11">
        <v>2</v>
      </c>
      <c r="H61" s="11">
        <v>2</v>
      </c>
      <c r="I61" s="11"/>
      <c r="J61" s="11"/>
      <c r="K61" s="11"/>
      <c r="L61" s="11">
        <v>8.5</v>
      </c>
      <c r="M61" s="13"/>
    </row>
    <row r="62" spans="1:18" ht="18.75" x14ac:dyDescent="0.3">
      <c r="A62" s="3">
        <v>61</v>
      </c>
      <c r="B62" s="38" t="s">
        <v>97</v>
      </c>
      <c r="C62" s="14" t="s">
        <v>47</v>
      </c>
      <c r="D62" s="11">
        <f>SUM(1376)</f>
        <v>1376</v>
      </c>
      <c r="E62" s="11">
        <f>SUM(138)</f>
        <v>138</v>
      </c>
      <c r="F62" s="12">
        <f>SUM(D62/E62)</f>
        <v>9.9710144927536231</v>
      </c>
      <c r="G62" s="11">
        <v>1</v>
      </c>
      <c r="H62" s="11"/>
      <c r="I62" s="11"/>
      <c r="J62" s="11"/>
      <c r="K62" s="11"/>
      <c r="L62" s="11">
        <v>2.5</v>
      </c>
      <c r="M62" s="13"/>
    </row>
    <row r="63" spans="1:18" ht="17.25" customHeight="1" thickBot="1" x14ac:dyDescent="0.3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8" ht="19.5" customHeight="1" thickBot="1" x14ac:dyDescent="0.35">
      <c r="A64" s="5"/>
      <c r="B64" s="39" t="s">
        <v>135</v>
      </c>
      <c r="C64" s="27" t="s">
        <v>65</v>
      </c>
      <c r="D64" s="28" t="s">
        <v>66</v>
      </c>
      <c r="E64" s="29" t="s">
        <v>67</v>
      </c>
      <c r="F64" s="20" t="s">
        <v>91</v>
      </c>
      <c r="G64" s="30" t="s">
        <v>68</v>
      </c>
      <c r="I64" s="50" t="s">
        <v>69</v>
      </c>
      <c r="J64" s="51"/>
      <c r="K64" s="51"/>
      <c r="L64" s="51"/>
      <c r="M64" s="51"/>
      <c r="N64" s="51"/>
      <c r="O64" s="51"/>
      <c r="P64" s="51"/>
      <c r="Q64" s="51"/>
      <c r="R64" s="52"/>
    </row>
    <row r="65" spans="1:18" ht="18.75" x14ac:dyDescent="0.3">
      <c r="A65" s="5"/>
      <c r="B65" s="40"/>
      <c r="C65" s="17" t="s">
        <v>82</v>
      </c>
      <c r="D65" s="7">
        <v>6</v>
      </c>
      <c r="E65" s="22">
        <v>0</v>
      </c>
      <c r="F65" s="15"/>
      <c r="G65" s="23">
        <v>101</v>
      </c>
      <c r="I65" s="42" t="s">
        <v>70</v>
      </c>
      <c r="J65" s="43"/>
      <c r="K65" s="43"/>
      <c r="L65" s="43"/>
      <c r="M65" s="43"/>
      <c r="N65" s="53" t="s">
        <v>122</v>
      </c>
      <c r="O65" s="53"/>
      <c r="P65" s="53"/>
      <c r="Q65" s="53"/>
      <c r="R65" s="54"/>
    </row>
    <row r="66" spans="1:18" ht="18.75" x14ac:dyDescent="0.3">
      <c r="A66" s="5"/>
      <c r="B66" s="40"/>
      <c r="C66" s="17" t="s">
        <v>77</v>
      </c>
      <c r="D66" s="7">
        <v>6</v>
      </c>
      <c r="E66" s="22">
        <v>0</v>
      </c>
      <c r="F66" s="15"/>
      <c r="G66" s="23">
        <v>87</v>
      </c>
      <c r="I66" s="44" t="s">
        <v>72</v>
      </c>
      <c r="J66" s="45"/>
      <c r="K66" s="45"/>
      <c r="L66" s="45"/>
      <c r="M66" s="45"/>
      <c r="N66" s="48" t="s">
        <v>134</v>
      </c>
      <c r="O66" s="48"/>
      <c r="P66" s="48"/>
      <c r="Q66" s="48"/>
      <c r="R66" s="49"/>
    </row>
    <row r="67" spans="1:18" ht="18.75" x14ac:dyDescent="0.3">
      <c r="A67" s="5"/>
      <c r="B67" s="40"/>
      <c r="C67" s="18" t="s">
        <v>83</v>
      </c>
      <c r="D67" s="9">
        <v>5</v>
      </c>
      <c r="E67" s="10">
        <v>1</v>
      </c>
      <c r="F67" s="15"/>
      <c r="G67" s="18">
        <v>80</v>
      </c>
      <c r="I67" s="44" t="s">
        <v>74</v>
      </c>
      <c r="J67" s="45"/>
      <c r="K67" s="45"/>
      <c r="L67" s="45"/>
      <c r="M67" s="45"/>
      <c r="N67" s="48" t="s">
        <v>132</v>
      </c>
      <c r="O67" s="48"/>
      <c r="P67" s="48"/>
      <c r="Q67" s="48"/>
      <c r="R67" s="49"/>
    </row>
    <row r="68" spans="1:18" ht="18.75" x14ac:dyDescent="0.3">
      <c r="A68" s="6"/>
      <c r="B68" s="40"/>
      <c r="C68" s="17" t="s">
        <v>71</v>
      </c>
      <c r="D68" s="7">
        <v>3</v>
      </c>
      <c r="E68" s="16">
        <v>3</v>
      </c>
      <c r="F68" s="15"/>
      <c r="G68" s="17">
        <v>81</v>
      </c>
      <c r="I68" s="44" t="s">
        <v>76</v>
      </c>
      <c r="J68" s="45"/>
      <c r="K68" s="45"/>
      <c r="L68" s="45"/>
      <c r="M68" s="45"/>
      <c r="N68" s="48" t="s">
        <v>133</v>
      </c>
      <c r="O68" s="48"/>
      <c r="P68" s="48"/>
      <c r="Q68" s="48"/>
      <c r="R68" s="49"/>
    </row>
    <row r="69" spans="1:18" ht="18" customHeight="1" x14ac:dyDescent="0.3">
      <c r="A69" s="6"/>
      <c r="B69" s="40"/>
      <c r="C69" s="17" t="s">
        <v>75</v>
      </c>
      <c r="D69" s="7">
        <v>3</v>
      </c>
      <c r="E69" s="22">
        <v>3</v>
      </c>
      <c r="F69" s="15"/>
      <c r="G69" s="23">
        <v>75</v>
      </c>
      <c r="I69" s="44" t="s">
        <v>78</v>
      </c>
      <c r="J69" s="45"/>
      <c r="K69" s="45"/>
      <c r="L69" s="45"/>
      <c r="M69" s="45"/>
      <c r="N69" s="48" t="s">
        <v>132</v>
      </c>
      <c r="O69" s="48"/>
      <c r="P69" s="48"/>
      <c r="Q69" s="48"/>
      <c r="R69" s="49"/>
    </row>
    <row r="70" spans="1:18" ht="18" customHeight="1" thickBot="1" x14ac:dyDescent="0.35">
      <c r="A70" s="6"/>
      <c r="B70" s="40"/>
      <c r="C70" s="17" t="s">
        <v>85</v>
      </c>
      <c r="D70" s="7">
        <v>3</v>
      </c>
      <c r="E70" s="22">
        <v>3</v>
      </c>
      <c r="F70" s="15"/>
      <c r="G70" s="23">
        <v>73</v>
      </c>
      <c r="I70" s="46" t="s">
        <v>80</v>
      </c>
      <c r="J70" s="47"/>
      <c r="K70" s="47"/>
      <c r="L70" s="47"/>
      <c r="M70" s="47"/>
      <c r="N70" s="48" t="s">
        <v>119</v>
      </c>
      <c r="O70" s="48"/>
      <c r="P70" s="48"/>
      <c r="Q70" s="48"/>
      <c r="R70" s="49"/>
    </row>
    <row r="71" spans="1:18" ht="18.75" x14ac:dyDescent="0.3">
      <c r="A71" s="6"/>
      <c r="B71" s="40"/>
      <c r="C71" s="18" t="s">
        <v>86</v>
      </c>
      <c r="D71" s="9">
        <v>3</v>
      </c>
      <c r="E71" s="10">
        <v>3</v>
      </c>
      <c r="F71" s="15"/>
      <c r="G71" s="18">
        <v>69</v>
      </c>
      <c r="H71" s="6"/>
      <c r="I71" s="6"/>
    </row>
    <row r="72" spans="1:18" ht="18.75" x14ac:dyDescent="0.3">
      <c r="A72" s="6"/>
      <c r="B72" s="40"/>
      <c r="C72" s="18" t="s">
        <v>79</v>
      </c>
      <c r="D72" s="9">
        <v>2</v>
      </c>
      <c r="E72" s="10">
        <v>4</v>
      </c>
      <c r="F72" s="15"/>
      <c r="G72" s="18">
        <v>69</v>
      </c>
      <c r="H72" s="6"/>
    </row>
    <row r="73" spans="1:18" ht="18.75" x14ac:dyDescent="0.3">
      <c r="B73" s="40"/>
      <c r="C73" s="17" t="s">
        <v>81</v>
      </c>
      <c r="D73" s="7">
        <v>2</v>
      </c>
      <c r="E73" s="16">
        <v>4</v>
      </c>
      <c r="F73" s="15"/>
      <c r="G73" s="17">
        <v>69</v>
      </c>
    </row>
    <row r="74" spans="1:18" ht="18.75" x14ac:dyDescent="0.3">
      <c r="B74" s="40"/>
      <c r="C74" s="17" t="s">
        <v>73</v>
      </c>
      <c r="D74" s="7">
        <v>2</v>
      </c>
      <c r="E74" s="22">
        <v>4</v>
      </c>
      <c r="F74" s="15"/>
      <c r="G74" s="23">
        <v>59</v>
      </c>
    </row>
    <row r="75" spans="1:18" ht="18.75" x14ac:dyDescent="0.3">
      <c r="B75" s="40"/>
      <c r="C75" s="19" t="s">
        <v>101</v>
      </c>
      <c r="D75" s="14">
        <v>1</v>
      </c>
      <c r="E75" s="21">
        <v>5</v>
      </c>
      <c r="F75" s="26"/>
      <c r="G75" s="19">
        <v>61</v>
      </c>
    </row>
    <row r="76" spans="1:18" ht="19.5" thickBot="1" x14ac:dyDescent="0.35">
      <c r="B76" s="41"/>
      <c r="C76" s="18" t="s">
        <v>84</v>
      </c>
      <c r="D76" s="9">
        <v>0</v>
      </c>
      <c r="E76" s="10">
        <v>6</v>
      </c>
      <c r="F76" s="15"/>
      <c r="G76" s="18">
        <v>40</v>
      </c>
    </row>
    <row r="77" spans="1:18" ht="15.75" thickBot="1" x14ac:dyDescent="0.3"/>
    <row r="78" spans="1:18" ht="19.5" thickBot="1" x14ac:dyDescent="0.35">
      <c r="C78" s="27" t="s">
        <v>87</v>
      </c>
      <c r="D78" s="28" t="s">
        <v>66</v>
      </c>
      <c r="E78" s="28" t="s">
        <v>67</v>
      </c>
      <c r="F78" s="20" t="s">
        <v>91</v>
      </c>
      <c r="G78" s="31" t="s">
        <v>68</v>
      </c>
    </row>
    <row r="79" spans="1:18" ht="18.75" x14ac:dyDescent="0.3">
      <c r="C79" s="14" t="s">
        <v>82</v>
      </c>
      <c r="D79" s="14">
        <v>6</v>
      </c>
      <c r="E79" s="24">
        <v>0</v>
      </c>
      <c r="F79" s="15"/>
      <c r="G79" s="25">
        <v>101</v>
      </c>
    </row>
    <row r="80" spans="1:18" ht="18.75" x14ac:dyDescent="0.3">
      <c r="C80" s="7" t="s">
        <v>77</v>
      </c>
      <c r="D80" s="7">
        <v>6</v>
      </c>
      <c r="E80" s="22">
        <v>0</v>
      </c>
      <c r="F80" s="15"/>
      <c r="G80" s="23">
        <v>87</v>
      </c>
    </row>
    <row r="81" spans="3:7" ht="18.75" x14ac:dyDescent="0.3">
      <c r="C81" s="14" t="s">
        <v>71</v>
      </c>
      <c r="D81" s="14">
        <v>3</v>
      </c>
      <c r="E81" s="21">
        <v>3</v>
      </c>
      <c r="F81" s="26"/>
      <c r="G81" s="19">
        <v>81</v>
      </c>
    </row>
    <row r="82" spans="3:7" ht="18.75" x14ac:dyDescent="0.3">
      <c r="C82" s="14" t="s">
        <v>75</v>
      </c>
      <c r="D82" s="14">
        <v>3</v>
      </c>
      <c r="E82" s="24">
        <v>3</v>
      </c>
      <c r="F82" s="26"/>
      <c r="G82" s="25">
        <v>75</v>
      </c>
    </row>
    <row r="83" spans="3:7" ht="15.75" thickBot="1" x14ac:dyDescent="0.3"/>
    <row r="84" spans="3:7" ht="19.5" thickBot="1" x14ac:dyDescent="0.35">
      <c r="C84" s="27" t="s">
        <v>88</v>
      </c>
      <c r="D84" s="28" t="s">
        <v>66</v>
      </c>
      <c r="E84" s="28" t="s">
        <v>67</v>
      </c>
      <c r="F84" s="20" t="s">
        <v>91</v>
      </c>
      <c r="G84" s="31" t="s">
        <v>68</v>
      </c>
    </row>
    <row r="85" spans="3:7" ht="18.75" x14ac:dyDescent="0.3">
      <c r="C85" s="9" t="s">
        <v>83</v>
      </c>
      <c r="D85" s="9">
        <v>5</v>
      </c>
      <c r="E85" s="10">
        <v>1</v>
      </c>
      <c r="F85" s="15"/>
      <c r="G85" s="18">
        <v>80</v>
      </c>
    </row>
    <row r="86" spans="3:7" ht="18.75" x14ac:dyDescent="0.3">
      <c r="C86" s="7" t="s">
        <v>85</v>
      </c>
      <c r="D86" s="7">
        <v>3</v>
      </c>
      <c r="E86" s="22">
        <v>3</v>
      </c>
      <c r="F86" s="15"/>
      <c r="G86" s="23">
        <v>73</v>
      </c>
    </row>
    <row r="87" spans="3:7" ht="18.75" x14ac:dyDescent="0.3">
      <c r="C87" s="9" t="s">
        <v>79</v>
      </c>
      <c r="D87" s="9">
        <v>2</v>
      </c>
      <c r="E87" s="10">
        <v>4</v>
      </c>
      <c r="F87" s="15"/>
      <c r="G87" s="18">
        <v>69</v>
      </c>
    </row>
    <row r="88" spans="3:7" ht="18.75" x14ac:dyDescent="0.3">
      <c r="C88" s="14" t="s">
        <v>101</v>
      </c>
      <c r="D88" s="14">
        <v>1</v>
      </c>
      <c r="E88" s="21">
        <v>5</v>
      </c>
      <c r="F88" s="26"/>
      <c r="G88" s="19">
        <v>61</v>
      </c>
    </row>
    <row r="89" spans="3:7" ht="15.75" thickBot="1" x14ac:dyDescent="0.3"/>
    <row r="90" spans="3:7" ht="19.5" thickBot="1" x14ac:dyDescent="0.35">
      <c r="C90" s="32" t="s">
        <v>89</v>
      </c>
      <c r="D90" s="33" t="s">
        <v>66</v>
      </c>
      <c r="E90" s="33" t="s">
        <v>67</v>
      </c>
      <c r="F90" s="20" t="s">
        <v>91</v>
      </c>
      <c r="G90" s="34" t="s">
        <v>68</v>
      </c>
    </row>
    <row r="91" spans="3:7" ht="18.75" x14ac:dyDescent="0.3">
      <c r="C91" s="9" t="s">
        <v>86</v>
      </c>
      <c r="D91" s="9">
        <v>3</v>
      </c>
      <c r="E91" s="10">
        <v>3</v>
      </c>
      <c r="F91" s="15"/>
      <c r="G91" s="18">
        <v>69</v>
      </c>
    </row>
    <row r="92" spans="3:7" ht="18.75" x14ac:dyDescent="0.3">
      <c r="C92" s="7" t="s">
        <v>81</v>
      </c>
      <c r="D92" s="7">
        <v>2</v>
      </c>
      <c r="E92" s="16">
        <v>4</v>
      </c>
      <c r="F92" s="15"/>
      <c r="G92" s="17">
        <v>69</v>
      </c>
    </row>
    <row r="93" spans="3:7" ht="18.75" x14ac:dyDescent="0.3">
      <c r="C93" s="14" t="s">
        <v>73</v>
      </c>
      <c r="D93" s="14">
        <v>2</v>
      </c>
      <c r="E93" s="24">
        <v>4</v>
      </c>
      <c r="F93" s="15"/>
      <c r="G93" s="25">
        <v>59</v>
      </c>
    </row>
    <row r="94" spans="3:7" ht="18.75" x14ac:dyDescent="0.3">
      <c r="C94" s="9" t="s">
        <v>84</v>
      </c>
      <c r="D94" s="9">
        <v>0</v>
      </c>
      <c r="E94" s="10">
        <v>6</v>
      </c>
      <c r="F94" s="15"/>
      <c r="G94" s="18">
        <v>40</v>
      </c>
    </row>
  </sheetData>
  <mergeCells count="14">
    <mergeCell ref="N70:R70"/>
    <mergeCell ref="I64:R64"/>
    <mergeCell ref="N65:R65"/>
    <mergeCell ref="N66:R66"/>
    <mergeCell ref="N67:R67"/>
    <mergeCell ref="N68:R68"/>
    <mergeCell ref="N69:R69"/>
    <mergeCell ref="B64:B76"/>
    <mergeCell ref="I65:M65"/>
    <mergeCell ref="I66:M66"/>
    <mergeCell ref="I67:M67"/>
    <mergeCell ref="I68:M68"/>
    <mergeCell ref="I69:M69"/>
    <mergeCell ref="I70:M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13</v>
      </c>
      <c r="C2" s="4" t="s">
        <v>14</v>
      </c>
      <c r="D2" s="11">
        <f>SUM(1360+1372+1443+1499+1503+1503+1493)</f>
        <v>10173</v>
      </c>
      <c r="E2" s="11">
        <f>SUM(71+94+91+92+82+84+97)</f>
        <v>611</v>
      </c>
      <c r="F2" s="12">
        <f>SUM(D2/E2)</f>
        <v>16.649754500818332</v>
      </c>
      <c r="G2" s="11">
        <v>7</v>
      </c>
      <c r="H2" s="11">
        <v>5</v>
      </c>
      <c r="I2" s="11">
        <v>2</v>
      </c>
      <c r="J2" s="11"/>
      <c r="K2" s="11"/>
      <c r="L2" s="11">
        <v>28</v>
      </c>
      <c r="M2" s="13"/>
    </row>
    <row r="3" spans="1:13" ht="18.75" x14ac:dyDescent="0.3">
      <c r="A3" s="3">
        <v>2</v>
      </c>
      <c r="B3" s="4" t="s">
        <v>25</v>
      </c>
      <c r="C3" s="4" t="s">
        <v>16</v>
      </c>
      <c r="D3" s="11">
        <f>SUM(1444+1481+1503+1503+1471+1503+1471)</f>
        <v>10376</v>
      </c>
      <c r="E3" s="11">
        <f>SUM(74+87+96+88+103+80+106)</f>
        <v>634</v>
      </c>
      <c r="F3" s="12">
        <f>SUM(D3/E3)</f>
        <v>16.365930599369086</v>
      </c>
      <c r="G3" s="11">
        <v>7</v>
      </c>
      <c r="H3" s="11">
        <v>6</v>
      </c>
      <c r="I3" s="11">
        <v>1</v>
      </c>
      <c r="J3" s="11"/>
      <c r="K3" s="11"/>
      <c r="L3" s="11">
        <v>29.5</v>
      </c>
      <c r="M3" s="13">
        <v>10</v>
      </c>
    </row>
    <row r="4" spans="1:13" ht="18.75" x14ac:dyDescent="0.3">
      <c r="A4" s="3">
        <v>3</v>
      </c>
      <c r="B4" s="4" t="s">
        <v>37</v>
      </c>
      <c r="C4" s="4" t="s">
        <v>21</v>
      </c>
      <c r="D4" s="11">
        <f>SUM(1501+1495+1314+1407+1503+1405+1426)</f>
        <v>10051</v>
      </c>
      <c r="E4" s="11">
        <f>SUM(106+86+87+95+80+84+86)</f>
        <v>624</v>
      </c>
      <c r="F4" s="12">
        <f>SUM(D4/E4)</f>
        <v>16.107371794871796</v>
      </c>
      <c r="G4" s="11">
        <v>7</v>
      </c>
      <c r="H4" s="11">
        <v>4</v>
      </c>
      <c r="I4" s="11"/>
      <c r="J4" s="11"/>
      <c r="K4" s="11"/>
      <c r="L4" s="11">
        <v>22</v>
      </c>
      <c r="M4" s="13">
        <v>10</v>
      </c>
    </row>
    <row r="5" spans="1:13" ht="18.75" x14ac:dyDescent="0.3">
      <c r="A5" s="3">
        <v>4</v>
      </c>
      <c r="B5" s="4" t="s">
        <v>33</v>
      </c>
      <c r="C5" s="4" t="s">
        <v>16</v>
      </c>
      <c r="D5" s="11">
        <f>SUM(1464+1483+1503+1503+1503+1496+1503)</f>
        <v>10455</v>
      </c>
      <c r="E5" s="11">
        <f>SUM(83+89+91+74+88+135+92)</f>
        <v>652</v>
      </c>
      <c r="F5" s="12">
        <f>SUM(D5/E5)</f>
        <v>16.035276073619631</v>
      </c>
      <c r="G5" s="11">
        <v>7</v>
      </c>
      <c r="H5" s="11">
        <v>6</v>
      </c>
      <c r="I5" s="11">
        <v>1</v>
      </c>
      <c r="J5" s="11"/>
      <c r="K5" s="11"/>
      <c r="L5" s="11">
        <v>31</v>
      </c>
      <c r="M5" s="13">
        <v>5</v>
      </c>
    </row>
    <row r="6" spans="1:13" ht="18.75" x14ac:dyDescent="0.3">
      <c r="A6" s="3">
        <v>5</v>
      </c>
      <c r="B6" s="4" t="s">
        <v>17</v>
      </c>
      <c r="C6" s="4" t="s">
        <v>14</v>
      </c>
      <c r="D6" s="11">
        <f>SUM(1280+1503+1449+1503+1425)</f>
        <v>7160</v>
      </c>
      <c r="E6" s="11">
        <f>SUM(79+100+93+90+92)</f>
        <v>454</v>
      </c>
      <c r="F6" s="12">
        <f>SUM(D6/E6)</f>
        <v>15.770925110132159</v>
      </c>
      <c r="G6" s="11">
        <v>5</v>
      </c>
      <c r="H6" s="11">
        <v>3</v>
      </c>
      <c r="I6" s="11"/>
      <c r="J6" s="11"/>
      <c r="K6" s="11"/>
      <c r="L6" s="35">
        <v>14.5</v>
      </c>
      <c r="M6" s="13"/>
    </row>
    <row r="7" spans="1:13" ht="18.75" x14ac:dyDescent="0.3">
      <c r="A7" s="3">
        <v>6</v>
      </c>
      <c r="B7" s="15" t="s">
        <v>131</v>
      </c>
      <c r="C7" s="4" t="s">
        <v>32</v>
      </c>
      <c r="D7" s="11">
        <f>SUM(1419)</f>
        <v>1419</v>
      </c>
      <c r="E7" s="11">
        <f>SUM(90)</f>
        <v>90</v>
      </c>
      <c r="F7" s="12">
        <f>SUM(D7/E7)</f>
        <v>15.766666666666667</v>
      </c>
      <c r="G7" s="11">
        <v>1</v>
      </c>
      <c r="H7" s="11"/>
      <c r="I7" s="11">
        <v>1</v>
      </c>
      <c r="J7" s="11"/>
      <c r="K7" s="11"/>
      <c r="L7" s="11">
        <v>2.5</v>
      </c>
      <c r="M7" s="13"/>
    </row>
    <row r="8" spans="1:13" ht="18.75" x14ac:dyDescent="0.3">
      <c r="A8" s="3">
        <v>7</v>
      </c>
      <c r="B8" s="4" t="s">
        <v>24</v>
      </c>
      <c r="C8" s="4" t="s">
        <v>23</v>
      </c>
      <c r="D8" s="11">
        <f>SUM(1501+1472+1503+1503+1503+1481+1363)</f>
        <v>10326</v>
      </c>
      <c r="E8" s="11">
        <f>SUM(87+99+109+88+93+101+89)</f>
        <v>666</v>
      </c>
      <c r="F8" s="12">
        <f>SUM(D8/E8)</f>
        <v>15.504504504504505</v>
      </c>
      <c r="G8" s="11">
        <v>7</v>
      </c>
      <c r="H8" s="11">
        <v>4</v>
      </c>
      <c r="I8" s="11"/>
      <c r="J8" s="11"/>
      <c r="K8" s="11"/>
      <c r="L8" s="11">
        <v>21.5</v>
      </c>
      <c r="M8" s="13"/>
    </row>
    <row r="9" spans="1:13" ht="18.75" x14ac:dyDescent="0.3">
      <c r="A9" s="3">
        <v>8</v>
      </c>
      <c r="B9" s="4" t="s">
        <v>15</v>
      </c>
      <c r="C9" s="4" t="s">
        <v>16</v>
      </c>
      <c r="D9" s="11">
        <f>SUM(1503+1503+1503+1489+1501+1503+1503)</f>
        <v>10505</v>
      </c>
      <c r="E9" s="11">
        <f>SUM(94+109+90+95+131+81+80)</f>
        <v>680</v>
      </c>
      <c r="F9" s="12">
        <f>SUM(D9/E9)</f>
        <v>15.448529411764707</v>
      </c>
      <c r="G9" s="11">
        <v>7</v>
      </c>
      <c r="H9" s="11">
        <v>7</v>
      </c>
      <c r="I9" s="11"/>
      <c r="J9" s="11"/>
      <c r="K9" s="11"/>
      <c r="L9" s="11">
        <v>33</v>
      </c>
      <c r="M9" s="13">
        <v>5</v>
      </c>
    </row>
    <row r="10" spans="1:13" ht="18.75" x14ac:dyDescent="0.3">
      <c r="A10" s="3">
        <v>9</v>
      </c>
      <c r="B10" s="4" t="s">
        <v>11</v>
      </c>
      <c r="C10" s="4" t="s">
        <v>12</v>
      </c>
      <c r="D10" s="11">
        <f>SUM(1494+1503+1413+1503+1470+1483+1489)</f>
        <v>10355</v>
      </c>
      <c r="E10" s="11">
        <f>SUM(102+87+93+89+89+99+113)</f>
        <v>672</v>
      </c>
      <c r="F10" s="12">
        <f>SUM(D10/E10)</f>
        <v>15.40922619047619</v>
      </c>
      <c r="G10" s="11">
        <v>7</v>
      </c>
      <c r="H10" s="11">
        <v>7</v>
      </c>
      <c r="I10" s="11"/>
      <c r="J10" s="11"/>
      <c r="K10" s="11"/>
      <c r="L10" s="11">
        <v>28.5</v>
      </c>
      <c r="M10" s="13">
        <v>5</v>
      </c>
    </row>
    <row r="11" spans="1:13" ht="18.75" x14ac:dyDescent="0.3">
      <c r="A11" s="3">
        <v>10</v>
      </c>
      <c r="B11" s="15" t="s">
        <v>49</v>
      </c>
      <c r="C11" s="4" t="s">
        <v>28</v>
      </c>
      <c r="D11" s="11">
        <f>SUM(1503+1503+1426+1483+1290+1356+1296)</f>
        <v>9857</v>
      </c>
      <c r="E11" s="11">
        <f>SUM(129+86+86+102+90+75+83)</f>
        <v>651</v>
      </c>
      <c r="F11" s="12">
        <f>SUM(D11/E11)</f>
        <v>15.141321044546851</v>
      </c>
      <c r="G11" s="11">
        <v>7</v>
      </c>
      <c r="H11" s="11">
        <v>4</v>
      </c>
      <c r="I11" s="11"/>
      <c r="J11" s="11"/>
      <c r="K11" s="11"/>
      <c r="L11" s="11">
        <v>20.5</v>
      </c>
      <c r="M11" s="13">
        <v>20</v>
      </c>
    </row>
    <row r="12" spans="1:13" ht="18.75" x14ac:dyDescent="0.3">
      <c r="A12" s="3">
        <v>11</v>
      </c>
      <c r="B12" s="15" t="s">
        <v>46</v>
      </c>
      <c r="C12" s="4" t="s">
        <v>47</v>
      </c>
      <c r="D12" s="11">
        <f>SUM(1503+1503+1427+1287+1279+1423+1463)</f>
        <v>9885</v>
      </c>
      <c r="E12" s="11">
        <f>SUM(87+94+104+95+84+82+111)</f>
        <v>657</v>
      </c>
      <c r="F12" s="12">
        <f>SUM(D12/E12)</f>
        <v>15.045662100456621</v>
      </c>
      <c r="G12" s="11">
        <v>7</v>
      </c>
      <c r="H12" s="11">
        <v>3</v>
      </c>
      <c r="I12" s="11"/>
      <c r="J12" s="11"/>
      <c r="K12" s="11"/>
      <c r="L12" s="11">
        <v>20.5</v>
      </c>
      <c r="M12" s="13">
        <v>10</v>
      </c>
    </row>
    <row r="13" spans="1:13" ht="18.75" x14ac:dyDescent="0.3">
      <c r="A13" s="3">
        <v>12</v>
      </c>
      <c r="B13" s="4" t="s">
        <v>18</v>
      </c>
      <c r="C13" s="4" t="s">
        <v>19</v>
      </c>
      <c r="D13" s="11">
        <f>SUM(1403+1503+1328+1440+1487+1371+1467)</f>
        <v>9999</v>
      </c>
      <c r="E13" s="11">
        <f>SUM(96+99+87+93+102+112+80)</f>
        <v>669</v>
      </c>
      <c r="F13" s="12">
        <f>SUM(D13/E13)</f>
        <v>14.946188340807176</v>
      </c>
      <c r="G13" s="11">
        <v>7</v>
      </c>
      <c r="H13" s="11">
        <v>3</v>
      </c>
      <c r="I13" s="11"/>
      <c r="J13" s="11"/>
      <c r="K13" s="11"/>
      <c r="L13" s="11">
        <v>20.5</v>
      </c>
      <c r="M13" s="13"/>
    </row>
    <row r="14" spans="1:13" ht="18.75" x14ac:dyDescent="0.3">
      <c r="A14" s="3">
        <v>13</v>
      </c>
      <c r="B14" s="4" t="s">
        <v>36</v>
      </c>
      <c r="C14" s="4" t="s">
        <v>12</v>
      </c>
      <c r="D14" s="11">
        <f>SUM(1503+1503+1503+1475+1483+1467+1479)</f>
        <v>10413</v>
      </c>
      <c r="E14" s="11">
        <f>SUM(93+115+87+87+131+93+98)</f>
        <v>704</v>
      </c>
      <c r="F14" s="12">
        <f>SUM(D14/E14)</f>
        <v>14.791193181818182</v>
      </c>
      <c r="G14" s="11">
        <v>7</v>
      </c>
      <c r="H14" s="11">
        <v>5</v>
      </c>
      <c r="I14" s="11"/>
      <c r="J14" s="11"/>
      <c r="K14" s="11"/>
      <c r="L14" s="11">
        <v>27</v>
      </c>
      <c r="M14" s="13">
        <v>10</v>
      </c>
    </row>
    <row r="15" spans="1:13" ht="18.75" x14ac:dyDescent="0.3">
      <c r="A15" s="3">
        <v>14</v>
      </c>
      <c r="B15" s="4" t="s">
        <v>62</v>
      </c>
      <c r="C15" s="4" t="s">
        <v>19</v>
      </c>
      <c r="D15" s="11">
        <f>SUM(1290+1479+1300+1217+1308+1400)</f>
        <v>7994</v>
      </c>
      <c r="E15" s="11">
        <f>SUM(76+107+93+86+99+80)</f>
        <v>541</v>
      </c>
      <c r="F15" s="12">
        <f>SUM(D15/E15)</f>
        <v>14.77634011090573</v>
      </c>
      <c r="G15" s="11">
        <v>6</v>
      </c>
      <c r="H15" s="11">
        <v>2</v>
      </c>
      <c r="I15" s="11"/>
      <c r="J15" s="11"/>
      <c r="K15" s="11"/>
      <c r="L15" s="11">
        <v>18.5</v>
      </c>
      <c r="M15" s="13">
        <v>5</v>
      </c>
    </row>
    <row r="16" spans="1:13" ht="18.75" x14ac:dyDescent="0.3">
      <c r="A16" s="3">
        <v>15</v>
      </c>
      <c r="B16" s="15" t="s">
        <v>92</v>
      </c>
      <c r="C16" s="4" t="s">
        <v>42</v>
      </c>
      <c r="D16" s="11">
        <f>SUM(1319+1334+1503+1297+1394+1360)</f>
        <v>8207</v>
      </c>
      <c r="E16" s="11">
        <f>SUM(106+84+103+90+78+99)</f>
        <v>560</v>
      </c>
      <c r="F16" s="12">
        <f>SUM(D16/E16)</f>
        <v>14.655357142857143</v>
      </c>
      <c r="G16" s="11">
        <v>6</v>
      </c>
      <c r="H16" s="11">
        <v>1</v>
      </c>
      <c r="I16" s="11"/>
      <c r="J16" s="11"/>
      <c r="K16" s="11"/>
      <c r="L16" s="11">
        <v>14.5</v>
      </c>
      <c r="M16" s="13"/>
    </row>
    <row r="17" spans="1:13" ht="18.75" x14ac:dyDescent="0.3">
      <c r="A17" s="3">
        <v>16</v>
      </c>
      <c r="B17" s="4" t="s">
        <v>22</v>
      </c>
      <c r="C17" s="4" t="s">
        <v>23</v>
      </c>
      <c r="D17" s="11">
        <f>SUM(1499+1497+1503+1397+1272+1388+1339)</f>
        <v>9895</v>
      </c>
      <c r="E17" s="11">
        <f>SUM(101+88+116+108+88+89+90)</f>
        <v>680</v>
      </c>
      <c r="F17" s="12">
        <f>SUM(D17/E17)</f>
        <v>14.551470588235293</v>
      </c>
      <c r="G17" s="11">
        <v>6</v>
      </c>
      <c r="H17" s="11">
        <v>5</v>
      </c>
      <c r="I17" s="11"/>
      <c r="J17" s="11"/>
      <c r="K17" s="11"/>
      <c r="L17" s="11">
        <v>22.5</v>
      </c>
      <c r="M17" s="13">
        <v>5</v>
      </c>
    </row>
    <row r="18" spans="1:13" ht="18.75" x14ac:dyDescent="0.3">
      <c r="A18" s="3">
        <v>17</v>
      </c>
      <c r="B18" s="15" t="s">
        <v>45</v>
      </c>
      <c r="C18" s="4" t="s">
        <v>32</v>
      </c>
      <c r="D18" s="11">
        <f>SUM(1503+1471+1326+953+1326+1439+1503)</f>
        <v>9521</v>
      </c>
      <c r="E18" s="11">
        <f>SUM(100+103+79+72+91+110+106)</f>
        <v>661</v>
      </c>
      <c r="F18" s="12">
        <f>SUM(D18/E18)</f>
        <v>14.40393343419062</v>
      </c>
      <c r="G18" s="11">
        <v>7</v>
      </c>
      <c r="H18" s="11">
        <v>4</v>
      </c>
      <c r="I18" s="11"/>
      <c r="J18" s="11"/>
      <c r="K18" s="11"/>
      <c r="L18" s="11">
        <v>26.5</v>
      </c>
      <c r="M18" s="13"/>
    </row>
    <row r="19" spans="1:13" ht="18.75" x14ac:dyDescent="0.3">
      <c r="A19" s="3">
        <v>18</v>
      </c>
      <c r="B19" s="3" t="s">
        <v>31</v>
      </c>
      <c r="C19" s="4" t="s">
        <v>32</v>
      </c>
      <c r="D19" s="11">
        <f>SUM(1503+1469+1417+1109+1503+1503)</f>
        <v>8504</v>
      </c>
      <c r="E19" s="11">
        <f>SUM(79+96+108+90+100+118)</f>
        <v>591</v>
      </c>
      <c r="F19" s="12">
        <f>SUM(D19/E19)</f>
        <v>14.38917089678511</v>
      </c>
      <c r="G19" s="11">
        <v>6</v>
      </c>
      <c r="H19" s="11">
        <v>3</v>
      </c>
      <c r="I19" s="11"/>
      <c r="J19" s="11"/>
      <c r="K19" s="11"/>
      <c r="L19" s="11">
        <v>20</v>
      </c>
      <c r="M19" s="13">
        <v>5</v>
      </c>
    </row>
    <row r="20" spans="1:13" ht="18.75" x14ac:dyDescent="0.3">
      <c r="A20" s="3">
        <v>19</v>
      </c>
      <c r="B20" s="4" t="s">
        <v>27</v>
      </c>
      <c r="C20" s="4" t="s">
        <v>28</v>
      </c>
      <c r="D20" s="11">
        <f>SUM(1471+1503+1503+1358+1473+1501+1372)</f>
        <v>10181</v>
      </c>
      <c r="E20" s="11">
        <f>SUM(111+90+109+101+87+131+81)</f>
        <v>710</v>
      </c>
      <c r="F20" s="12">
        <f>SUM(D20/E20)</f>
        <v>14.33943661971831</v>
      </c>
      <c r="G20" s="11">
        <v>7</v>
      </c>
      <c r="H20" s="11">
        <v>6</v>
      </c>
      <c r="I20" s="11"/>
      <c r="J20" s="11"/>
      <c r="K20" s="11"/>
      <c r="L20" s="11">
        <v>27</v>
      </c>
      <c r="M20" s="13">
        <v>5</v>
      </c>
    </row>
    <row r="21" spans="1:13" ht="18.75" x14ac:dyDescent="0.3">
      <c r="A21" s="3">
        <v>20</v>
      </c>
      <c r="B21" s="4" t="s">
        <v>90</v>
      </c>
      <c r="C21" s="4" t="s">
        <v>12</v>
      </c>
      <c r="D21" s="11">
        <f>SUM(1361+1497+1376+1453+1379+1503)</f>
        <v>8569</v>
      </c>
      <c r="E21" s="11">
        <f>SUM(83+112+96+107+105+101)</f>
        <v>604</v>
      </c>
      <c r="F21" s="12">
        <f>SUM(D21/E21)</f>
        <v>14.187086092715232</v>
      </c>
      <c r="G21" s="11">
        <v>6</v>
      </c>
      <c r="H21" s="11">
        <v>4</v>
      </c>
      <c r="I21" s="11"/>
      <c r="J21" s="11"/>
      <c r="K21" s="11"/>
      <c r="L21" s="11">
        <v>19</v>
      </c>
      <c r="M21" s="13"/>
    </row>
    <row r="22" spans="1:13" ht="18.75" x14ac:dyDescent="0.3">
      <c r="A22" s="3">
        <v>21</v>
      </c>
      <c r="B22" s="15" t="s">
        <v>136</v>
      </c>
      <c r="C22" s="4" t="s">
        <v>12</v>
      </c>
      <c r="D22" s="11">
        <f>SUM(1375)</f>
        <v>1375</v>
      </c>
      <c r="E22" s="11">
        <f>SUM(97)</f>
        <v>97</v>
      </c>
      <c r="F22" s="12">
        <f>SUM(D22/E22)</f>
        <v>14.175257731958762</v>
      </c>
      <c r="G22" s="11">
        <v>1</v>
      </c>
      <c r="H22" s="11"/>
      <c r="I22" s="11"/>
      <c r="J22" s="11"/>
      <c r="K22" s="11"/>
      <c r="L22" s="11">
        <v>2</v>
      </c>
      <c r="M22" s="13"/>
    </row>
    <row r="23" spans="1:13" ht="18.75" x14ac:dyDescent="0.3">
      <c r="A23" s="3">
        <v>22</v>
      </c>
      <c r="B23" s="4" t="s">
        <v>43</v>
      </c>
      <c r="C23" s="4" t="s">
        <v>12</v>
      </c>
      <c r="D23" s="11">
        <f>SUM(1479+1503+1483+1474+1349+1471+1503)</f>
        <v>10262</v>
      </c>
      <c r="E23" s="11">
        <f>SUM(130+97+96+123+86+87+114)</f>
        <v>733</v>
      </c>
      <c r="F23" s="12">
        <f>SUM(D23/E23)</f>
        <v>14</v>
      </c>
      <c r="G23" s="11">
        <v>7</v>
      </c>
      <c r="H23" s="11">
        <v>6</v>
      </c>
      <c r="I23" s="11"/>
      <c r="J23" s="11"/>
      <c r="K23" s="11"/>
      <c r="L23" s="11">
        <v>28.5</v>
      </c>
      <c r="M23" s="13"/>
    </row>
    <row r="24" spans="1:13" ht="18.75" x14ac:dyDescent="0.3">
      <c r="A24" s="3">
        <v>23</v>
      </c>
      <c r="B24" s="15" t="s">
        <v>113</v>
      </c>
      <c r="C24" s="4" t="s">
        <v>16</v>
      </c>
      <c r="D24" s="11">
        <f>SUM(1503+1307+1309+1503)</f>
        <v>5622</v>
      </c>
      <c r="E24" s="11">
        <f>SUM(104+111+88+99)</f>
        <v>402</v>
      </c>
      <c r="F24" s="12">
        <f>SUM(D24/E24)</f>
        <v>13.985074626865671</v>
      </c>
      <c r="G24" s="11">
        <v>4</v>
      </c>
      <c r="H24" s="11">
        <v>2</v>
      </c>
      <c r="I24" s="11"/>
      <c r="J24" s="11"/>
      <c r="K24" s="11"/>
      <c r="L24" s="11">
        <v>16</v>
      </c>
      <c r="M24" s="13"/>
    </row>
    <row r="25" spans="1:13" ht="18.75" x14ac:dyDescent="0.3">
      <c r="A25" s="3">
        <v>24</v>
      </c>
      <c r="B25" s="15" t="s">
        <v>39</v>
      </c>
      <c r="C25" s="4" t="s">
        <v>23</v>
      </c>
      <c r="D25" s="11">
        <f>SUM(1332+1373+1492+1499+1481+1245+1222)</f>
        <v>9644</v>
      </c>
      <c r="E25" s="11">
        <f>SUM(84+96+119+109+119+86+78)</f>
        <v>691</v>
      </c>
      <c r="F25" s="12">
        <f>SUM(D25/E25)</f>
        <v>13.956584659913169</v>
      </c>
      <c r="G25" s="11">
        <v>6</v>
      </c>
      <c r="H25" s="11">
        <v>1</v>
      </c>
      <c r="I25" s="11"/>
      <c r="J25" s="11"/>
      <c r="K25" s="11"/>
      <c r="L25" s="11">
        <v>15.5</v>
      </c>
      <c r="M25" s="13"/>
    </row>
    <row r="26" spans="1:13" ht="18.75" x14ac:dyDescent="0.3">
      <c r="A26" s="3">
        <v>25</v>
      </c>
      <c r="B26" s="4" t="s">
        <v>57</v>
      </c>
      <c r="C26" s="4" t="s">
        <v>95</v>
      </c>
      <c r="D26" s="11">
        <f>SUM(1463+1503+1503+1447+1363)</f>
        <v>7279</v>
      </c>
      <c r="E26" s="11">
        <f>SUM(126+108+109+100+85)</f>
        <v>528</v>
      </c>
      <c r="F26" s="12">
        <f>SUM(D26/E26)</f>
        <v>13.785984848484848</v>
      </c>
      <c r="G26" s="11">
        <v>5</v>
      </c>
      <c r="H26" s="11">
        <v>3</v>
      </c>
      <c r="I26" s="11"/>
      <c r="J26" s="11"/>
      <c r="K26" s="11"/>
      <c r="L26" s="11">
        <v>18.5</v>
      </c>
      <c r="M26" s="13"/>
    </row>
    <row r="27" spans="1:13" ht="18.75" x14ac:dyDescent="0.3">
      <c r="A27" s="3">
        <v>26</v>
      </c>
      <c r="B27" s="3" t="s">
        <v>48</v>
      </c>
      <c r="C27" s="4" t="s">
        <v>32</v>
      </c>
      <c r="D27" s="11">
        <f>SUM(1239+1483+1425+1350+1493+1434+1503)</f>
        <v>9927</v>
      </c>
      <c r="E27" s="11">
        <f>SUM(95+93+104+96+128+96+113)</f>
        <v>725</v>
      </c>
      <c r="F27" s="12">
        <f>SUM(D27/E27)</f>
        <v>13.692413793103448</v>
      </c>
      <c r="G27" s="11">
        <v>7</v>
      </c>
      <c r="H27" s="11">
        <v>2</v>
      </c>
      <c r="I27" s="11"/>
      <c r="J27" s="11"/>
      <c r="K27" s="11"/>
      <c r="L27" s="11">
        <v>21.5</v>
      </c>
      <c r="M27" s="13"/>
    </row>
    <row r="28" spans="1:13" ht="18.75" x14ac:dyDescent="0.3">
      <c r="A28" s="3">
        <v>27</v>
      </c>
      <c r="B28" s="4" t="s">
        <v>61</v>
      </c>
      <c r="C28" s="4" t="s">
        <v>47</v>
      </c>
      <c r="D28" s="11">
        <f>SUM(1322+1462+1409+1497+1486+1453+1329)</f>
        <v>9958</v>
      </c>
      <c r="E28" s="11">
        <f>SUM(111+98+102+120+98+106+97)</f>
        <v>732</v>
      </c>
      <c r="F28" s="12">
        <f>SUM(D28/E28)</f>
        <v>13.603825136612022</v>
      </c>
      <c r="G28" s="11">
        <v>7</v>
      </c>
      <c r="H28" s="11">
        <v>1</v>
      </c>
      <c r="I28" s="11"/>
      <c r="J28" s="11"/>
      <c r="K28" s="11"/>
      <c r="L28" s="11">
        <v>13.5</v>
      </c>
      <c r="M28" s="13"/>
    </row>
    <row r="29" spans="1:13" ht="18.75" x14ac:dyDescent="0.3">
      <c r="A29" s="3">
        <v>28</v>
      </c>
      <c r="B29" s="15" t="s">
        <v>111</v>
      </c>
      <c r="C29" s="4" t="s">
        <v>21</v>
      </c>
      <c r="D29" s="11">
        <f>SUM(1274+1414+1428+1463+1495+1440)</f>
        <v>8514</v>
      </c>
      <c r="E29" s="11">
        <f>SUM(111+106+96+113+95+105)</f>
        <v>626</v>
      </c>
      <c r="F29" s="12">
        <f>SUM(D29/E29)</f>
        <v>13.600638977635782</v>
      </c>
      <c r="G29" s="11">
        <v>6</v>
      </c>
      <c r="H29" s="11">
        <v>2</v>
      </c>
      <c r="I29" s="11"/>
      <c r="J29" s="11"/>
      <c r="K29" s="11"/>
      <c r="L29" s="11">
        <v>16.5</v>
      </c>
      <c r="M29" s="13"/>
    </row>
    <row r="30" spans="1:13" ht="18.75" x14ac:dyDescent="0.3">
      <c r="A30" s="3">
        <v>29</v>
      </c>
      <c r="B30" s="15" t="s">
        <v>93</v>
      </c>
      <c r="C30" s="4" t="s">
        <v>42</v>
      </c>
      <c r="D30" s="11">
        <f>SUM(1481+1499+1329+1503+1467)</f>
        <v>7279</v>
      </c>
      <c r="E30" s="11">
        <f>SUM(97+130+104+115+90)</f>
        <v>536</v>
      </c>
      <c r="F30" s="12">
        <f>SUM(D30/E30)</f>
        <v>13.580223880597014</v>
      </c>
      <c r="G30" s="11">
        <v>5</v>
      </c>
      <c r="H30" s="11">
        <v>2</v>
      </c>
      <c r="I30" s="11"/>
      <c r="J30" s="11"/>
      <c r="K30" s="11"/>
      <c r="L30" s="11">
        <v>15</v>
      </c>
      <c r="M30" s="13">
        <v>5</v>
      </c>
    </row>
    <row r="31" spans="1:13" ht="18.75" x14ac:dyDescent="0.3">
      <c r="A31" s="3">
        <v>30</v>
      </c>
      <c r="B31" s="15" t="s">
        <v>108</v>
      </c>
      <c r="C31" s="4" t="s">
        <v>19</v>
      </c>
      <c r="D31" s="11">
        <f>SUM(501+1503+1501+1455+1503)</f>
        <v>6463</v>
      </c>
      <c r="E31" s="11">
        <f>SUM(46+117+99+123+95)</f>
        <v>480</v>
      </c>
      <c r="F31" s="12">
        <f>SUM(D31/E31)</f>
        <v>13.464583333333334</v>
      </c>
      <c r="G31" s="11">
        <v>5</v>
      </c>
      <c r="H31" s="11">
        <v>4</v>
      </c>
      <c r="I31" s="11"/>
      <c r="J31" s="11">
        <v>1</v>
      </c>
      <c r="K31" s="11"/>
      <c r="L31" s="11">
        <v>19.5</v>
      </c>
      <c r="M31" s="13"/>
    </row>
    <row r="32" spans="1:13" ht="18.75" x14ac:dyDescent="0.3">
      <c r="A32" s="3">
        <v>31</v>
      </c>
      <c r="B32" s="3" t="s">
        <v>20</v>
      </c>
      <c r="C32" s="4" t="s">
        <v>21</v>
      </c>
      <c r="D32" s="11">
        <f>SUM(1243+1262+1307+1213+1469+1468+1415)</f>
        <v>9377</v>
      </c>
      <c r="E32" s="11">
        <f>SUM(94+86+87+120+106+109+104)</f>
        <v>706</v>
      </c>
      <c r="F32" s="12">
        <f>SUM(D32/E32)</f>
        <v>13.281869688385269</v>
      </c>
      <c r="G32" s="11">
        <v>7</v>
      </c>
      <c r="H32" s="11">
        <v>2</v>
      </c>
      <c r="I32" s="11"/>
      <c r="J32" s="11"/>
      <c r="K32" s="11"/>
      <c r="L32" s="11">
        <v>15.5</v>
      </c>
      <c r="M32" s="13"/>
    </row>
    <row r="33" spans="1:13" ht="18.75" x14ac:dyDescent="0.3">
      <c r="A33" s="3">
        <v>32</v>
      </c>
      <c r="B33" s="15" t="s">
        <v>38</v>
      </c>
      <c r="C33" s="4" t="s">
        <v>28</v>
      </c>
      <c r="D33" s="11">
        <f>SUM(1503+1456+1500+1493+1179+1395)</f>
        <v>8526</v>
      </c>
      <c r="E33" s="11">
        <f>SUM(107+134+103+122+81+108)</f>
        <v>655</v>
      </c>
      <c r="F33" s="12">
        <f>SUM(D33/E33)</f>
        <v>13.016793893129771</v>
      </c>
      <c r="G33" s="11">
        <v>6</v>
      </c>
      <c r="H33" s="11">
        <v>5</v>
      </c>
      <c r="I33" s="11"/>
      <c r="J33" s="11"/>
      <c r="K33" s="11"/>
      <c r="L33" s="11">
        <v>20</v>
      </c>
      <c r="M33" s="13"/>
    </row>
    <row r="34" spans="1:13" ht="18.75" x14ac:dyDescent="0.3">
      <c r="A34" s="3">
        <v>33</v>
      </c>
      <c r="B34" s="4" t="s">
        <v>35</v>
      </c>
      <c r="C34" s="4" t="s">
        <v>16</v>
      </c>
      <c r="D34" s="11">
        <f>SUM(1471+1503+1330)</f>
        <v>4304</v>
      </c>
      <c r="E34" s="11">
        <f>SUM(104+123+105)</f>
        <v>332</v>
      </c>
      <c r="F34" s="12">
        <f>SUM(D34/E34)</f>
        <v>12.963855421686747</v>
      </c>
      <c r="G34" s="11">
        <v>3</v>
      </c>
      <c r="H34" s="11">
        <v>2</v>
      </c>
      <c r="I34" s="11"/>
      <c r="J34" s="11"/>
      <c r="K34" s="11"/>
      <c r="L34" s="11">
        <v>11.5</v>
      </c>
      <c r="M34" s="13"/>
    </row>
    <row r="35" spans="1:13" ht="18.75" x14ac:dyDescent="0.3">
      <c r="A35" s="3">
        <v>34</v>
      </c>
      <c r="B35" s="15" t="s">
        <v>52</v>
      </c>
      <c r="C35" s="4" t="s">
        <v>53</v>
      </c>
      <c r="D35" s="11">
        <f>SUM(1503+1413+1348+1220+1173+1417)</f>
        <v>8074</v>
      </c>
      <c r="E35" s="11">
        <f>SUM(111+108+106+105+81+114)</f>
        <v>625</v>
      </c>
      <c r="F35" s="12">
        <f>SUM(D35/E35)</f>
        <v>12.9184</v>
      </c>
      <c r="G35" s="11">
        <v>6</v>
      </c>
      <c r="H35" s="11">
        <v>1</v>
      </c>
      <c r="I35" s="11"/>
      <c r="J35" s="11"/>
      <c r="K35" s="11"/>
      <c r="L35" s="11">
        <v>6.5</v>
      </c>
      <c r="M35" s="13"/>
    </row>
    <row r="36" spans="1:13" ht="18.75" x14ac:dyDescent="0.3">
      <c r="A36" s="3">
        <v>35</v>
      </c>
      <c r="B36" s="15" t="s">
        <v>64</v>
      </c>
      <c r="C36" s="4" t="s">
        <v>95</v>
      </c>
      <c r="D36" s="11">
        <f>SUM(1503+1457+1466+1503+1408+1180+1418)</f>
        <v>9935</v>
      </c>
      <c r="E36" s="11">
        <f>SUM(123+117+121+103+121+81+107)</f>
        <v>773</v>
      </c>
      <c r="F36" s="12">
        <f>SUM(D36/E36)</f>
        <v>12.852522639068564</v>
      </c>
      <c r="G36" s="11">
        <v>7</v>
      </c>
      <c r="H36" s="11">
        <v>4</v>
      </c>
      <c r="I36" s="11"/>
      <c r="J36" s="11"/>
      <c r="K36" s="11"/>
      <c r="L36" s="11">
        <v>20</v>
      </c>
      <c r="M36" s="13"/>
    </row>
    <row r="37" spans="1:13" ht="18.75" x14ac:dyDescent="0.3">
      <c r="A37" s="3">
        <v>36</v>
      </c>
      <c r="B37" s="15" t="s">
        <v>29</v>
      </c>
      <c r="C37" s="4" t="s">
        <v>23</v>
      </c>
      <c r="D37" s="11">
        <f>SUM(1204+1459+1145+1498+1408+1456)</f>
        <v>8170</v>
      </c>
      <c r="E37" s="11">
        <f>SUM(99+135+102+104+101+97)</f>
        <v>638</v>
      </c>
      <c r="F37" s="12">
        <f>SUM(D37/E37)</f>
        <v>12.805642633228841</v>
      </c>
      <c r="G37" s="11">
        <v>6</v>
      </c>
      <c r="H37" s="11">
        <v>3</v>
      </c>
      <c r="I37" s="11"/>
      <c r="J37" s="11"/>
      <c r="K37" s="11"/>
      <c r="L37" s="11">
        <v>13.5</v>
      </c>
      <c r="M37" s="13"/>
    </row>
    <row r="38" spans="1:13" ht="18.75" x14ac:dyDescent="0.3">
      <c r="A38" s="3">
        <v>37</v>
      </c>
      <c r="B38" s="4" t="s">
        <v>41</v>
      </c>
      <c r="C38" s="4" t="s">
        <v>28</v>
      </c>
      <c r="D38" s="11">
        <f>SUM(1487+1499+1483+1499+1503+1498+1463)</f>
        <v>10432</v>
      </c>
      <c r="E38" s="11">
        <f>SUM(120+141+99+139+108+105+106)</f>
        <v>818</v>
      </c>
      <c r="F38" s="12">
        <f>SUM(D38/E38)</f>
        <v>12.753056234718827</v>
      </c>
      <c r="G38" s="11">
        <v>7</v>
      </c>
      <c r="H38" s="11">
        <v>6</v>
      </c>
      <c r="I38" s="11"/>
      <c r="J38" s="11"/>
      <c r="K38" s="11"/>
      <c r="L38" s="11">
        <v>23.5</v>
      </c>
      <c r="M38" s="13">
        <v>5</v>
      </c>
    </row>
    <row r="39" spans="1:13" ht="18.75" x14ac:dyDescent="0.3">
      <c r="A39" s="3">
        <v>38</v>
      </c>
      <c r="B39" s="4" t="s">
        <v>34</v>
      </c>
      <c r="C39" s="4" t="s">
        <v>32</v>
      </c>
      <c r="D39" s="11">
        <f>SUM(1204+1501+1396+1414+1498+1481+1501)</f>
        <v>9995</v>
      </c>
      <c r="E39" s="11">
        <f>SUM(88+140+97+90+105+117+158)</f>
        <v>795</v>
      </c>
      <c r="F39" s="12">
        <f>SUM(D39/E39)</f>
        <v>12.572327044025156</v>
      </c>
      <c r="G39" s="11">
        <v>7</v>
      </c>
      <c r="H39" s="11">
        <v>4</v>
      </c>
      <c r="I39" s="11"/>
      <c r="J39" s="11"/>
      <c r="K39" s="11"/>
      <c r="L39" s="11">
        <v>25.5</v>
      </c>
      <c r="M39" s="13"/>
    </row>
    <row r="40" spans="1:13" ht="18.75" x14ac:dyDescent="0.3">
      <c r="A40" s="3">
        <v>39</v>
      </c>
      <c r="B40" s="4" t="s">
        <v>26</v>
      </c>
      <c r="C40" s="4" t="s">
        <v>19</v>
      </c>
      <c r="D40" s="11">
        <f>SUM(1480+1503+1495+1352+1496)</f>
        <v>7326</v>
      </c>
      <c r="E40" s="11">
        <f>SUM(128+118+124+108+107)</f>
        <v>585</v>
      </c>
      <c r="F40" s="12">
        <f>SUM(D40/E40)</f>
        <v>12.523076923076923</v>
      </c>
      <c r="G40" s="11">
        <v>5</v>
      </c>
      <c r="H40" s="11">
        <v>2</v>
      </c>
      <c r="I40" s="11"/>
      <c r="J40" s="11"/>
      <c r="K40" s="11"/>
      <c r="L40" s="11">
        <v>19.5</v>
      </c>
      <c r="M40" s="13"/>
    </row>
    <row r="41" spans="1:13" ht="18.75" x14ac:dyDescent="0.3">
      <c r="A41" s="3">
        <v>40</v>
      </c>
      <c r="B41" s="15" t="s">
        <v>60</v>
      </c>
      <c r="C41" s="4" t="s">
        <v>47</v>
      </c>
      <c r="D41" s="11">
        <f>SUM(1477+1291+1469+1471+1480+1218+1331)</f>
        <v>9737</v>
      </c>
      <c r="E41" s="11">
        <f>SUM(126+87+136+98+131+94+111)</f>
        <v>783</v>
      </c>
      <c r="F41" s="12">
        <f>SUM(D41/E41)</f>
        <v>12.435504469987229</v>
      </c>
      <c r="G41" s="11">
        <v>7</v>
      </c>
      <c r="H41" s="11">
        <v>1</v>
      </c>
      <c r="I41" s="11"/>
      <c r="J41" s="11"/>
      <c r="K41" s="11"/>
      <c r="L41" s="11">
        <v>15</v>
      </c>
      <c r="M41" s="13"/>
    </row>
    <row r="42" spans="1:13" ht="18.75" x14ac:dyDescent="0.3">
      <c r="A42" s="3">
        <v>41</v>
      </c>
      <c r="B42" s="4" t="s">
        <v>145</v>
      </c>
      <c r="C42" s="4" t="s">
        <v>23</v>
      </c>
      <c r="D42" s="11">
        <v>1173</v>
      </c>
      <c r="E42" s="11">
        <v>96</v>
      </c>
      <c r="F42" s="12">
        <f>D42/E42</f>
        <v>12.21875</v>
      </c>
      <c r="G42" s="11">
        <v>1</v>
      </c>
      <c r="H42" s="11">
        <v>0</v>
      </c>
      <c r="I42" s="11"/>
      <c r="J42" s="11"/>
      <c r="K42" s="11"/>
      <c r="L42" s="11">
        <v>0</v>
      </c>
      <c r="M42" s="13"/>
    </row>
    <row r="43" spans="1:13" ht="18.75" x14ac:dyDescent="0.3">
      <c r="A43" s="3">
        <v>42</v>
      </c>
      <c r="B43" s="15" t="s">
        <v>144</v>
      </c>
      <c r="C43" s="4" t="s">
        <v>53</v>
      </c>
      <c r="D43" s="11">
        <v>1244</v>
      </c>
      <c r="E43" s="11">
        <v>102</v>
      </c>
      <c r="F43" s="12">
        <v>12.196078431372548</v>
      </c>
      <c r="G43" s="11">
        <v>1</v>
      </c>
      <c r="H43" s="11">
        <v>0</v>
      </c>
      <c r="I43" s="11"/>
      <c r="J43" s="11"/>
      <c r="K43" s="11"/>
      <c r="L43" s="11">
        <v>0</v>
      </c>
      <c r="M43" s="13"/>
    </row>
    <row r="44" spans="1:13" ht="18.75" x14ac:dyDescent="0.3">
      <c r="A44" s="3">
        <v>43</v>
      </c>
      <c r="B44" s="4" t="s">
        <v>44</v>
      </c>
      <c r="C44" s="4" t="s">
        <v>95</v>
      </c>
      <c r="D44" s="11">
        <f>SUM(1375+1355+1020+1503+1483+1440+1375)</f>
        <v>9551</v>
      </c>
      <c r="E44" s="11">
        <f>SUM(106+108+111+122+121+116+105)</f>
        <v>789</v>
      </c>
      <c r="F44" s="12">
        <f>SUM(D44/E44)</f>
        <v>12.105196451204057</v>
      </c>
      <c r="G44" s="11">
        <v>7</v>
      </c>
      <c r="H44" s="11">
        <v>5</v>
      </c>
      <c r="I44" s="11"/>
      <c r="J44" s="11"/>
      <c r="K44" s="11"/>
      <c r="L44" s="11">
        <v>18.5</v>
      </c>
      <c r="M44" s="13"/>
    </row>
    <row r="45" spans="1:13" ht="18.75" x14ac:dyDescent="0.3">
      <c r="A45" s="3">
        <v>44</v>
      </c>
      <c r="B45" s="4" t="s">
        <v>40</v>
      </c>
      <c r="C45" s="4" t="s">
        <v>14</v>
      </c>
      <c r="D45" s="11">
        <f>SUM(1351+1493+1429+1206+1475+1484+1478)</f>
        <v>9916</v>
      </c>
      <c r="E45" s="11">
        <f>SUM(100+138+96+96+129+115+149)</f>
        <v>823</v>
      </c>
      <c r="F45" s="12">
        <f>SUM(D45/E45)</f>
        <v>12.048602673147023</v>
      </c>
      <c r="G45" s="11">
        <v>7</v>
      </c>
      <c r="H45" s="11">
        <v>2</v>
      </c>
      <c r="I45" s="11"/>
      <c r="J45" s="11"/>
      <c r="K45" s="11"/>
      <c r="L45" s="11">
        <v>23</v>
      </c>
      <c r="M45" s="13"/>
    </row>
    <row r="46" spans="1:13" ht="18.75" x14ac:dyDescent="0.3">
      <c r="A46" s="3">
        <v>45</v>
      </c>
      <c r="B46" s="15" t="s">
        <v>58</v>
      </c>
      <c r="C46" s="4" t="s">
        <v>53</v>
      </c>
      <c r="D46" s="11">
        <f>SUM(1098+1207+1409+1390+1416+1444+1373)</f>
        <v>9337</v>
      </c>
      <c r="E46" s="11">
        <f>SUM(87+93+129+99+124+132+113)</f>
        <v>777</v>
      </c>
      <c r="F46" s="12">
        <f>SUM(D46/E46)</f>
        <v>12.016731016731017</v>
      </c>
      <c r="G46" s="11">
        <v>7</v>
      </c>
      <c r="H46" s="11">
        <v>0</v>
      </c>
      <c r="I46" s="11"/>
      <c r="J46" s="11"/>
      <c r="K46" s="11"/>
      <c r="L46" s="11">
        <v>6.5</v>
      </c>
      <c r="M46" s="13"/>
    </row>
    <row r="47" spans="1:13" ht="18.75" x14ac:dyDescent="0.3">
      <c r="A47" s="3">
        <v>46</v>
      </c>
      <c r="B47" s="4" t="s">
        <v>30</v>
      </c>
      <c r="C47" s="4" t="s">
        <v>19</v>
      </c>
      <c r="D47" s="11">
        <f>SUM(1434+1354+1503+1495+1363)</f>
        <v>7149</v>
      </c>
      <c r="E47" s="11">
        <f>SUM(100+90+162+135+108)</f>
        <v>595</v>
      </c>
      <c r="F47" s="12">
        <f>SUM(D47/E47)</f>
        <v>12.015126050420168</v>
      </c>
      <c r="G47" s="11">
        <v>5</v>
      </c>
      <c r="H47" s="11">
        <v>2</v>
      </c>
      <c r="I47" s="11"/>
      <c r="J47" s="11"/>
      <c r="K47" s="11"/>
      <c r="L47" s="11">
        <v>15</v>
      </c>
      <c r="M47" s="13"/>
    </row>
    <row r="48" spans="1:13" ht="18.75" x14ac:dyDescent="0.3">
      <c r="A48" s="3">
        <v>47</v>
      </c>
      <c r="B48" s="15" t="s">
        <v>50</v>
      </c>
      <c r="C48" s="4" t="s">
        <v>42</v>
      </c>
      <c r="D48" s="11">
        <f>SUM(1503+1083+1503+1401+1481+1497+1497)</f>
        <v>9965</v>
      </c>
      <c r="E48" s="11">
        <f>SUM(137+81+126+109+117+135+149)</f>
        <v>854</v>
      </c>
      <c r="F48" s="12">
        <f>SUM(D48/E48)</f>
        <v>11.668618266978923</v>
      </c>
      <c r="G48" s="11">
        <v>7</v>
      </c>
      <c r="H48" s="11">
        <v>3</v>
      </c>
      <c r="I48" s="11"/>
      <c r="J48" s="11"/>
      <c r="K48" s="11"/>
      <c r="L48" s="11">
        <v>22</v>
      </c>
      <c r="M48" s="13">
        <v>5</v>
      </c>
    </row>
    <row r="49" spans="1:13" ht="18.75" x14ac:dyDescent="0.3">
      <c r="A49" s="3">
        <v>48</v>
      </c>
      <c r="B49" s="15" t="s">
        <v>143</v>
      </c>
      <c r="C49" s="4" t="s">
        <v>53</v>
      </c>
      <c r="D49" s="11">
        <v>1312</v>
      </c>
      <c r="E49" s="11">
        <v>113</v>
      </c>
      <c r="F49" s="12">
        <v>11.610619469026549</v>
      </c>
      <c r="G49" s="11">
        <v>1</v>
      </c>
      <c r="H49" s="11">
        <v>0</v>
      </c>
      <c r="I49" s="11"/>
      <c r="J49" s="11"/>
      <c r="K49" s="11"/>
      <c r="L49" s="11">
        <v>1</v>
      </c>
      <c r="M49" s="13"/>
    </row>
    <row r="50" spans="1:13" ht="18.75" x14ac:dyDescent="0.3">
      <c r="A50" s="3">
        <v>49</v>
      </c>
      <c r="B50" s="4" t="s">
        <v>125</v>
      </c>
      <c r="C50" s="4" t="s">
        <v>53</v>
      </c>
      <c r="D50" s="11">
        <f>SUM(1341)</f>
        <v>1341</v>
      </c>
      <c r="E50" s="11">
        <f>SUM(117)</f>
        <v>117</v>
      </c>
      <c r="F50" s="12">
        <f>SUM(D50/E50)</f>
        <v>11.461538461538462</v>
      </c>
      <c r="G50" s="11">
        <v>1</v>
      </c>
      <c r="H50" s="11">
        <v>0</v>
      </c>
      <c r="I50" s="11"/>
      <c r="J50" s="11"/>
      <c r="K50" s="11"/>
      <c r="L50" s="11">
        <v>0</v>
      </c>
      <c r="M50" s="13"/>
    </row>
    <row r="51" spans="1:13" ht="18.75" x14ac:dyDescent="0.3">
      <c r="A51" s="3">
        <v>50</v>
      </c>
      <c r="B51" s="15" t="s">
        <v>102</v>
      </c>
      <c r="C51" s="4" t="s">
        <v>21</v>
      </c>
      <c r="D51" s="11">
        <f>SUM(1467)</f>
        <v>1467</v>
      </c>
      <c r="E51" s="11">
        <f>SUM(130)</f>
        <v>130</v>
      </c>
      <c r="F51" s="12">
        <f>SUM(D51/E51)</f>
        <v>11.284615384615385</v>
      </c>
      <c r="G51" s="11">
        <v>1</v>
      </c>
      <c r="H51" s="11">
        <v>1</v>
      </c>
      <c r="I51" s="11"/>
      <c r="J51" s="11"/>
      <c r="K51" s="11"/>
      <c r="L51" s="11">
        <v>4</v>
      </c>
      <c r="M51" s="13"/>
    </row>
    <row r="52" spans="1:13" ht="18.75" x14ac:dyDescent="0.3">
      <c r="A52" s="3">
        <v>51</v>
      </c>
      <c r="B52" s="4" t="s">
        <v>54</v>
      </c>
      <c r="C52" s="4" t="s">
        <v>47</v>
      </c>
      <c r="D52" s="11">
        <f>SUM(1478+1353+1503+1472+1448+1079)</f>
        <v>8333</v>
      </c>
      <c r="E52" s="11">
        <f>SUM(126+139+133+123+135+92)</f>
        <v>748</v>
      </c>
      <c r="F52" s="12">
        <f>SUM(D52/E52)</f>
        <v>11.140374331550802</v>
      </c>
      <c r="G52" s="11">
        <v>6</v>
      </c>
      <c r="H52" s="11">
        <v>2</v>
      </c>
      <c r="I52" s="11"/>
      <c r="J52" s="11"/>
      <c r="K52" s="11"/>
      <c r="L52" s="11">
        <v>12</v>
      </c>
      <c r="M52" s="13"/>
    </row>
    <row r="53" spans="1:13" ht="18.75" x14ac:dyDescent="0.3">
      <c r="A53" s="3">
        <v>52</v>
      </c>
      <c r="B53" s="15" t="s">
        <v>63</v>
      </c>
      <c r="C53" s="4" t="s">
        <v>21</v>
      </c>
      <c r="D53" s="11">
        <f>SUM(1452+1495+1498+1503)</f>
        <v>5948</v>
      </c>
      <c r="E53" s="11">
        <f>SUM(135+120+143+139)</f>
        <v>537</v>
      </c>
      <c r="F53" s="12">
        <f>SUM(D53/E53)</f>
        <v>11.07635009310987</v>
      </c>
      <c r="G53" s="11">
        <v>4</v>
      </c>
      <c r="H53" s="11">
        <v>2</v>
      </c>
      <c r="I53" s="11"/>
      <c r="J53" s="11"/>
      <c r="K53" s="11"/>
      <c r="L53" s="11">
        <v>14</v>
      </c>
      <c r="M53" s="13"/>
    </row>
    <row r="54" spans="1:13" ht="18.75" x14ac:dyDescent="0.3">
      <c r="A54" s="3">
        <v>53</v>
      </c>
      <c r="B54" s="4" t="s">
        <v>51</v>
      </c>
      <c r="C54" s="4" t="s">
        <v>14</v>
      </c>
      <c r="D54" s="11">
        <f>SUM(1394+1122+1067+1482+1376+1498+1402)</f>
        <v>9341</v>
      </c>
      <c r="E54" s="11">
        <f>SUM(93+86+81+162+144+145+150)</f>
        <v>861</v>
      </c>
      <c r="F54" s="12">
        <f>SUM(D54/E54)</f>
        <v>10.849012775842045</v>
      </c>
      <c r="G54" s="11">
        <v>7</v>
      </c>
      <c r="H54" s="11">
        <v>1</v>
      </c>
      <c r="I54" s="11"/>
      <c r="J54" s="11"/>
      <c r="K54" s="11"/>
      <c r="L54" s="11">
        <v>13</v>
      </c>
      <c r="M54" s="13"/>
    </row>
    <row r="55" spans="1:13" ht="18.75" x14ac:dyDescent="0.3">
      <c r="A55" s="3">
        <v>54</v>
      </c>
      <c r="B55" s="4" t="s">
        <v>124</v>
      </c>
      <c r="C55" s="4" t="s">
        <v>28</v>
      </c>
      <c r="D55" s="11">
        <f>SUM(1416)</f>
        <v>1416</v>
      </c>
      <c r="E55" s="11">
        <f>SUM(132)</f>
        <v>132</v>
      </c>
      <c r="F55" s="12">
        <f>SUM(D55/E55)</f>
        <v>10.727272727272727</v>
      </c>
      <c r="G55" s="11">
        <v>1</v>
      </c>
      <c r="H55" s="11"/>
      <c r="I55" s="11"/>
      <c r="J55" s="11"/>
      <c r="K55" s="11"/>
      <c r="L55" s="11">
        <v>1</v>
      </c>
      <c r="M55" s="13"/>
    </row>
    <row r="56" spans="1:13" ht="18.75" x14ac:dyDescent="0.3">
      <c r="A56" s="3">
        <v>55</v>
      </c>
      <c r="B56" s="15" t="s">
        <v>112</v>
      </c>
      <c r="C56" s="4" t="s">
        <v>95</v>
      </c>
      <c r="D56" s="11">
        <f>SUM(1150+1237+1485+1478)</f>
        <v>5350</v>
      </c>
      <c r="E56" s="11">
        <f>SUM(90+108+153+148)</f>
        <v>499</v>
      </c>
      <c r="F56" s="12">
        <f>SUM(D56/E56)</f>
        <v>10.721442885771543</v>
      </c>
      <c r="G56" s="11">
        <v>4</v>
      </c>
      <c r="H56" s="11">
        <v>1</v>
      </c>
      <c r="I56" s="11"/>
      <c r="J56" s="11"/>
      <c r="K56" s="11"/>
      <c r="L56" s="11">
        <v>8</v>
      </c>
      <c r="M56" s="13"/>
    </row>
    <row r="57" spans="1:13" ht="18.75" x14ac:dyDescent="0.3">
      <c r="A57" s="3">
        <v>56</v>
      </c>
      <c r="B57" s="15" t="s">
        <v>94</v>
      </c>
      <c r="C57" s="4" t="s">
        <v>42</v>
      </c>
      <c r="D57" s="11">
        <f>SUM(1484+1490+1474+1452+1499+1435+1499)</f>
        <v>10333</v>
      </c>
      <c r="E57" s="11">
        <f>SUM(126+139+150+165+106+132+146)</f>
        <v>964</v>
      </c>
      <c r="F57" s="12">
        <f>SUM(D57/E57)</f>
        <v>10.718879668049793</v>
      </c>
      <c r="G57" s="11">
        <v>7</v>
      </c>
      <c r="H57" s="11">
        <v>2</v>
      </c>
      <c r="I57" s="11"/>
      <c r="J57" s="11"/>
      <c r="K57" s="11"/>
      <c r="L57" s="11">
        <v>21.5</v>
      </c>
      <c r="M57" s="13"/>
    </row>
    <row r="58" spans="1:13" ht="18.75" x14ac:dyDescent="0.3">
      <c r="A58" s="3">
        <v>57</v>
      </c>
      <c r="B58" s="15" t="s">
        <v>55</v>
      </c>
      <c r="C58" s="4" t="s">
        <v>53</v>
      </c>
      <c r="D58" s="11">
        <f>SUM(1363+1275+1471+1473+1503)</f>
        <v>7085</v>
      </c>
      <c r="E58" s="11">
        <f>SUM(123+117+156+148+117)</f>
        <v>661</v>
      </c>
      <c r="F58" s="12">
        <f>SUM(D58/E58)</f>
        <v>10.718608169440243</v>
      </c>
      <c r="G58" s="11">
        <v>5</v>
      </c>
      <c r="H58" s="11">
        <v>2</v>
      </c>
      <c r="I58" s="11"/>
      <c r="J58" s="11"/>
      <c r="K58" s="11"/>
      <c r="L58" s="11">
        <v>12</v>
      </c>
      <c r="M58" s="13"/>
    </row>
    <row r="59" spans="1:13" ht="18.75" x14ac:dyDescent="0.3">
      <c r="A59" s="3">
        <v>58</v>
      </c>
      <c r="B59" s="15" t="s">
        <v>109</v>
      </c>
      <c r="C59" s="4" t="s">
        <v>53</v>
      </c>
      <c r="D59" s="11">
        <f>SUM(496+1498+1461+1497)</f>
        <v>4952</v>
      </c>
      <c r="E59" s="11">
        <f>SUM(45+156+130+134)</f>
        <v>465</v>
      </c>
      <c r="F59" s="12">
        <f>SUM(D59/E59)</f>
        <v>10.649462365591399</v>
      </c>
      <c r="G59" s="11">
        <v>4</v>
      </c>
      <c r="H59" s="11">
        <v>1</v>
      </c>
      <c r="I59" s="11"/>
      <c r="J59" s="11"/>
      <c r="K59" s="11"/>
      <c r="L59" s="11">
        <v>8.5</v>
      </c>
      <c r="M59" s="13"/>
    </row>
    <row r="60" spans="1:13" ht="18.75" x14ac:dyDescent="0.3">
      <c r="A60" s="3">
        <v>59</v>
      </c>
      <c r="B60" s="15" t="s">
        <v>59</v>
      </c>
      <c r="C60" s="4" t="s">
        <v>53</v>
      </c>
      <c r="D60" s="11">
        <f>SUM(1368+1501)</f>
        <v>2869</v>
      </c>
      <c r="E60" s="11">
        <f>SUM(122+148)</f>
        <v>270</v>
      </c>
      <c r="F60" s="12">
        <f>SUM(D60/E60)</f>
        <v>10.625925925925927</v>
      </c>
      <c r="G60" s="11">
        <v>2</v>
      </c>
      <c r="H60" s="11">
        <v>2</v>
      </c>
      <c r="I60" s="11"/>
      <c r="J60" s="11"/>
      <c r="K60" s="11"/>
      <c r="L60" s="11">
        <v>6.5</v>
      </c>
      <c r="M60" s="13"/>
    </row>
    <row r="61" spans="1:13" ht="18.75" x14ac:dyDescent="0.3">
      <c r="A61" s="3">
        <v>60</v>
      </c>
      <c r="B61" s="4" t="s">
        <v>56</v>
      </c>
      <c r="C61" s="4" t="s">
        <v>95</v>
      </c>
      <c r="D61" s="11">
        <f>SUM(1248+1064+1400+1411+1387)</f>
        <v>6510</v>
      </c>
      <c r="E61" s="11">
        <f>SUM(105+84+133+141+150)</f>
        <v>613</v>
      </c>
      <c r="F61" s="12">
        <f>SUM(D61/E61)</f>
        <v>10.619902120717782</v>
      </c>
      <c r="G61" s="11">
        <v>5</v>
      </c>
      <c r="H61" s="11">
        <v>0</v>
      </c>
      <c r="I61" s="11"/>
      <c r="J61" s="11"/>
      <c r="K61" s="11"/>
      <c r="L61" s="11">
        <v>8.5</v>
      </c>
      <c r="M61" s="13"/>
    </row>
    <row r="62" spans="1:13" ht="18.75" x14ac:dyDescent="0.3">
      <c r="A62" s="3">
        <v>61</v>
      </c>
      <c r="B62" s="4" t="s">
        <v>118</v>
      </c>
      <c r="C62" s="4" t="s">
        <v>42</v>
      </c>
      <c r="D62" s="11">
        <f>SUM(1477+1499+1258)</f>
        <v>4234</v>
      </c>
      <c r="E62" s="11">
        <f>SUM(152+138+111)</f>
        <v>401</v>
      </c>
      <c r="F62" s="12">
        <f>SUM(D62/E62)</f>
        <v>10.558603491271821</v>
      </c>
      <c r="G62" s="11">
        <v>3</v>
      </c>
      <c r="H62" s="11">
        <v>2</v>
      </c>
      <c r="I62" s="11"/>
      <c r="J62" s="11"/>
      <c r="K62" s="11"/>
      <c r="L62" s="11">
        <v>8</v>
      </c>
      <c r="M62" s="13"/>
    </row>
    <row r="63" spans="1:13" ht="18.75" x14ac:dyDescent="0.3">
      <c r="A63" s="3">
        <v>62</v>
      </c>
      <c r="B63" s="15" t="s">
        <v>130</v>
      </c>
      <c r="C63" s="4" t="s">
        <v>14</v>
      </c>
      <c r="D63" s="11">
        <f>SUM(1489+1487)</f>
        <v>2976</v>
      </c>
      <c r="E63" s="11">
        <f>SUM(134+150)</f>
        <v>284</v>
      </c>
      <c r="F63" s="12">
        <f>SUM(D63/E63)</f>
        <v>10.47887323943662</v>
      </c>
      <c r="G63" s="11">
        <v>2</v>
      </c>
      <c r="H63" s="11">
        <v>2</v>
      </c>
      <c r="I63" s="11"/>
      <c r="J63" s="11"/>
      <c r="K63" s="11"/>
      <c r="L63" s="11">
        <v>8.5</v>
      </c>
      <c r="M63" s="13"/>
    </row>
    <row r="64" spans="1:13" ht="18.75" x14ac:dyDescent="0.3">
      <c r="A64" s="3">
        <v>63</v>
      </c>
      <c r="B64" s="15" t="s">
        <v>110</v>
      </c>
      <c r="C64" s="4" t="s">
        <v>21</v>
      </c>
      <c r="D64" s="11">
        <f>SUM(1250+1503+1491)</f>
        <v>4244</v>
      </c>
      <c r="E64" s="11">
        <f>SUM(109+145+155)</f>
        <v>409</v>
      </c>
      <c r="F64" s="12">
        <f>SUM(D64/E64)</f>
        <v>10.376528117359413</v>
      </c>
      <c r="G64" s="11">
        <v>3</v>
      </c>
      <c r="H64" s="11">
        <v>2</v>
      </c>
      <c r="I64" s="11"/>
      <c r="J64" s="11"/>
      <c r="K64" s="11"/>
      <c r="L64" s="11">
        <v>8</v>
      </c>
      <c r="M64" s="13"/>
    </row>
    <row r="65" spans="1:18" ht="18.75" x14ac:dyDescent="0.3">
      <c r="A65" s="3">
        <v>64</v>
      </c>
      <c r="B65" s="15" t="s">
        <v>97</v>
      </c>
      <c r="C65" s="4" t="s">
        <v>47</v>
      </c>
      <c r="D65" s="11">
        <f>SUM(1376)</f>
        <v>1376</v>
      </c>
      <c r="E65" s="11">
        <f>SUM(138)</f>
        <v>138</v>
      </c>
      <c r="F65" s="12">
        <f>SUM(D65/E65)</f>
        <v>9.9710144927536231</v>
      </c>
      <c r="G65" s="11">
        <v>1</v>
      </c>
      <c r="H65" s="11">
        <v>0</v>
      </c>
      <c r="I65" s="11"/>
      <c r="J65" s="11"/>
      <c r="K65" s="11"/>
      <c r="L65" s="11">
        <v>4</v>
      </c>
      <c r="M65" s="13"/>
    </row>
    <row r="66" spans="1:18" ht="18.75" x14ac:dyDescent="0.3">
      <c r="A66" s="3">
        <v>65</v>
      </c>
      <c r="B66" s="15" t="s">
        <v>142</v>
      </c>
      <c r="C66" s="4" t="s">
        <v>53</v>
      </c>
      <c r="D66" s="11">
        <v>1376</v>
      </c>
      <c r="E66" s="11">
        <v>157</v>
      </c>
      <c r="F66" s="12">
        <v>8.7643312101910826</v>
      </c>
      <c r="G66" s="11">
        <v>1</v>
      </c>
      <c r="H66" s="11">
        <v>0</v>
      </c>
      <c r="I66" s="11"/>
      <c r="J66" s="11"/>
      <c r="K66" s="11"/>
      <c r="L66" s="11">
        <v>0</v>
      </c>
      <c r="M66" s="13"/>
    </row>
    <row r="67" spans="1:18" ht="17.25" customHeight="1" thickBot="1" x14ac:dyDescent="0.3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8" ht="19.5" customHeight="1" thickBot="1" x14ac:dyDescent="0.35">
      <c r="A68" s="5"/>
      <c r="B68" s="39" t="s">
        <v>141</v>
      </c>
      <c r="C68" s="27" t="s">
        <v>65</v>
      </c>
      <c r="D68" s="28" t="s">
        <v>66</v>
      </c>
      <c r="E68" s="29" t="s">
        <v>67</v>
      </c>
      <c r="F68" s="20" t="s">
        <v>91</v>
      </c>
      <c r="G68" s="30" t="s">
        <v>68</v>
      </c>
      <c r="I68" s="50" t="s">
        <v>69</v>
      </c>
      <c r="J68" s="51"/>
      <c r="K68" s="51"/>
      <c r="L68" s="51"/>
      <c r="M68" s="51"/>
      <c r="N68" s="51"/>
      <c r="O68" s="51"/>
      <c r="P68" s="51"/>
      <c r="Q68" s="51"/>
      <c r="R68" s="52"/>
    </row>
    <row r="69" spans="1:18" ht="18.75" x14ac:dyDescent="0.3">
      <c r="A69" s="5"/>
      <c r="B69" s="40"/>
      <c r="C69" s="77" t="s">
        <v>82</v>
      </c>
      <c r="D69" s="76">
        <v>7</v>
      </c>
      <c r="E69" s="75">
        <v>0</v>
      </c>
      <c r="F69" s="74"/>
      <c r="G69" s="73">
        <v>121</v>
      </c>
      <c r="I69" s="42" t="s">
        <v>70</v>
      </c>
      <c r="J69" s="43"/>
      <c r="K69" s="43"/>
      <c r="L69" s="43"/>
      <c r="M69" s="43"/>
      <c r="N69" s="53" t="s">
        <v>122</v>
      </c>
      <c r="O69" s="53"/>
      <c r="P69" s="53"/>
      <c r="Q69" s="53"/>
      <c r="R69" s="54"/>
    </row>
    <row r="70" spans="1:18" ht="18.75" x14ac:dyDescent="0.3">
      <c r="A70" s="5"/>
      <c r="B70" s="40"/>
      <c r="C70" s="68" t="s">
        <v>77</v>
      </c>
      <c r="D70" s="7">
        <v>7</v>
      </c>
      <c r="E70" s="22">
        <v>0</v>
      </c>
      <c r="F70" s="15"/>
      <c r="G70" s="67">
        <v>105</v>
      </c>
      <c r="I70" s="44" t="s">
        <v>72</v>
      </c>
      <c r="J70" s="45"/>
      <c r="K70" s="45"/>
      <c r="L70" s="45"/>
      <c r="M70" s="45"/>
      <c r="N70" s="48" t="s">
        <v>140</v>
      </c>
      <c r="O70" s="48"/>
      <c r="P70" s="48"/>
      <c r="Q70" s="48"/>
      <c r="R70" s="49"/>
    </row>
    <row r="71" spans="1:18" ht="18.75" x14ac:dyDescent="0.3">
      <c r="A71" s="5"/>
      <c r="B71" s="40"/>
      <c r="C71" s="70" t="s">
        <v>83</v>
      </c>
      <c r="D71" s="9">
        <v>5</v>
      </c>
      <c r="E71" s="10">
        <v>2</v>
      </c>
      <c r="F71" s="15"/>
      <c r="G71" s="59">
        <v>92</v>
      </c>
      <c r="I71" s="44" t="s">
        <v>74</v>
      </c>
      <c r="J71" s="45"/>
      <c r="K71" s="45"/>
      <c r="L71" s="45"/>
      <c r="M71" s="45"/>
      <c r="N71" s="48" t="s">
        <v>139</v>
      </c>
      <c r="O71" s="48"/>
      <c r="P71" s="48"/>
      <c r="Q71" s="48"/>
      <c r="R71" s="49"/>
    </row>
    <row r="72" spans="1:18" ht="18.75" x14ac:dyDescent="0.3">
      <c r="A72" s="6"/>
      <c r="B72" s="40"/>
      <c r="C72" s="68" t="s">
        <v>71</v>
      </c>
      <c r="D72" s="7">
        <v>4</v>
      </c>
      <c r="E72" s="16">
        <v>3</v>
      </c>
      <c r="F72" s="15"/>
      <c r="G72" s="69">
        <v>93</v>
      </c>
      <c r="I72" s="44" t="s">
        <v>76</v>
      </c>
      <c r="J72" s="45"/>
      <c r="K72" s="45"/>
      <c r="L72" s="45"/>
      <c r="M72" s="45"/>
      <c r="N72" s="48" t="s">
        <v>138</v>
      </c>
      <c r="O72" s="48"/>
      <c r="P72" s="48"/>
      <c r="Q72" s="48"/>
      <c r="R72" s="49"/>
    </row>
    <row r="73" spans="1:18" ht="18" customHeight="1" x14ac:dyDescent="0.3">
      <c r="A73" s="6"/>
      <c r="B73" s="40"/>
      <c r="C73" s="68" t="s">
        <v>75</v>
      </c>
      <c r="D73" s="7">
        <v>4</v>
      </c>
      <c r="E73" s="22">
        <v>3</v>
      </c>
      <c r="F73" s="15"/>
      <c r="G73" s="67">
        <v>87</v>
      </c>
      <c r="I73" s="44" t="s">
        <v>78</v>
      </c>
      <c r="J73" s="45"/>
      <c r="K73" s="45"/>
      <c r="L73" s="45"/>
      <c r="M73" s="45"/>
      <c r="N73" s="48" t="s">
        <v>137</v>
      </c>
      <c r="O73" s="48"/>
      <c r="P73" s="48"/>
      <c r="Q73" s="48"/>
      <c r="R73" s="49"/>
    </row>
    <row r="74" spans="1:18" ht="18" customHeight="1" thickBot="1" x14ac:dyDescent="0.35">
      <c r="A74" s="6"/>
      <c r="B74" s="40"/>
      <c r="C74" s="68" t="s">
        <v>85</v>
      </c>
      <c r="D74" s="7">
        <v>4</v>
      </c>
      <c r="E74" s="22">
        <v>3</v>
      </c>
      <c r="F74" s="15"/>
      <c r="G74" s="67">
        <v>96</v>
      </c>
      <c r="I74" s="46" t="s">
        <v>80</v>
      </c>
      <c r="J74" s="47"/>
      <c r="K74" s="47"/>
      <c r="L74" s="47"/>
      <c r="M74" s="47"/>
      <c r="N74" s="72" t="s">
        <v>119</v>
      </c>
      <c r="O74" s="72"/>
      <c r="P74" s="72"/>
      <c r="Q74" s="72"/>
      <c r="R74" s="71"/>
    </row>
    <row r="75" spans="1:18" ht="18.75" x14ac:dyDescent="0.3">
      <c r="A75" s="6"/>
      <c r="B75" s="40"/>
      <c r="C75" s="70" t="s">
        <v>86</v>
      </c>
      <c r="D75" s="9">
        <v>3</v>
      </c>
      <c r="E75" s="10">
        <v>4</v>
      </c>
      <c r="F75" s="15"/>
      <c r="G75" s="59">
        <v>81</v>
      </c>
      <c r="H75" s="6"/>
      <c r="I75" s="6"/>
    </row>
    <row r="76" spans="1:18" ht="18.75" x14ac:dyDescent="0.3">
      <c r="A76" s="6"/>
      <c r="B76" s="40"/>
      <c r="C76" s="70" t="s">
        <v>79</v>
      </c>
      <c r="D76" s="9">
        <v>2</v>
      </c>
      <c r="E76" s="10">
        <v>5</v>
      </c>
      <c r="F76" s="15"/>
      <c r="G76" s="59">
        <v>73</v>
      </c>
      <c r="H76" s="6"/>
    </row>
    <row r="77" spans="1:18" ht="18.75" x14ac:dyDescent="0.3">
      <c r="B77" s="40"/>
      <c r="C77" s="68" t="s">
        <v>81</v>
      </c>
      <c r="D77" s="7">
        <v>2</v>
      </c>
      <c r="E77" s="16">
        <v>5</v>
      </c>
      <c r="F77" s="15"/>
      <c r="G77" s="69">
        <v>80</v>
      </c>
    </row>
    <row r="78" spans="1:18" ht="18.75" x14ac:dyDescent="0.3">
      <c r="B78" s="40"/>
      <c r="C78" s="68" t="s">
        <v>73</v>
      </c>
      <c r="D78" s="7">
        <v>2</v>
      </c>
      <c r="E78" s="22">
        <v>5</v>
      </c>
      <c r="F78" s="15"/>
      <c r="G78" s="67">
        <v>67</v>
      </c>
    </row>
    <row r="79" spans="1:18" ht="18.75" x14ac:dyDescent="0.3">
      <c r="B79" s="40"/>
      <c r="C79" s="66" t="s">
        <v>101</v>
      </c>
      <c r="D79" s="14">
        <v>2</v>
      </c>
      <c r="E79" s="21">
        <v>5</v>
      </c>
      <c r="F79" s="26"/>
      <c r="G79" s="65">
        <v>74</v>
      </c>
    </row>
    <row r="80" spans="1:18" ht="19.5" thickBot="1" x14ac:dyDescent="0.35">
      <c r="B80" s="41"/>
      <c r="C80" s="64" t="s">
        <v>84</v>
      </c>
      <c r="D80" s="63">
        <v>0</v>
      </c>
      <c r="E80" s="62">
        <v>7</v>
      </c>
      <c r="F80" s="61"/>
      <c r="G80" s="60">
        <v>41</v>
      </c>
    </row>
    <row r="81" spans="3:7" ht="15.75" thickBot="1" x14ac:dyDescent="0.3"/>
    <row r="82" spans="3:7" ht="19.5" thickBot="1" x14ac:dyDescent="0.35">
      <c r="C82" s="27" t="s">
        <v>87</v>
      </c>
      <c r="D82" s="28" t="s">
        <v>66</v>
      </c>
      <c r="E82" s="28" t="s">
        <v>67</v>
      </c>
      <c r="F82" s="20" t="s">
        <v>91</v>
      </c>
      <c r="G82" s="31" t="s">
        <v>68</v>
      </c>
    </row>
    <row r="83" spans="3:7" ht="18.75" x14ac:dyDescent="0.3">
      <c r="C83" s="14" t="s">
        <v>82</v>
      </c>
      <c r="D83" s="14">
        <v>7</v>
      </c>
      <c r="E83" s="24">
        <v>0</v>
      </c>
      <c r="F83" s="15"/>
      <c r="G83" s="25">
        <v>121</v>
      </c>
    </row>
    <row r="84" spans="3:7" ht="18.75" x14ac:dyDescent="0.3">
      <c r="C84" s="7" t="s">
        <v>77</v>
      </c>
      <c r="D84" s="7">
        <v>7</v>
      </c>
      <c r="E84" s="22">
        <v>0</v>
      </c>
      <c r="F84" s="15"/>
      <c r="G84" s="23">
        <v>105</v>
      </c>
    </row>
    <row r="85" spans="3:7" ht="18.75" x14ac:dyDescent="0.3">
      <c r="C85" s="14" t="s">
        <v>71</v>
      </c>
      <c r="D85" s="14">
        <v>4</v>
      </c>
      <c r="E85" s="21">
        <v>3</v>
      </c>
      <c r="F85" s="26"/>
      <c r="G85" s="19">
        <v>93</v>
      </c>
    </row>
    <row r="86" spans="3:7" ht="18.75" x14ac:dyDescent="0.3">
      <c r="C86" s="14" t="s">
        <v>75</v>
      </c>
      <c r="D86" s="7">
        <v>4</v>
      </c>
      <c r="E86" s="22">
        <v>3</v>
      </c>
      <c r="F86" s="15"/>
      <c r="G86" s="23">
        <v>87</v>
      </c>
    </row>
    <row r="87" spans="3:7" ht="15.75" thickBot="1" x14ac:dyDescent="0.3"/>
    <row r="88" spans="3:7" ht="19.5" thickBot="1" x14ac:dyDescent="0.35">
      <c r="C88" s="27" t="s">
        <v>88</v>
      </c>
      <c r="D88" s="28" t="s">
        <v>66</v>
      </c>
      <c r="E88" s="28" t="s">
        <v>67</v>
      </c>
      <c r="F88" s="20" t="s">
        <v>91</v>
      </c>
      <c r="G88" s="31" t="s">
        <v>68</v>
      </c>
    </row>
    <row r="89" spans="3:7" ht="18.75" x14ac:dyDescent="0.3">
      <c r="C89" s="9" t="s">
        <v>83</v>
      </c>
      <c r="D89" s="9">
        <v>5</v>
      </c>
      <c r="E89" s="10">
        <v>2</v>
      </c>
      <c r="F89" s="15"/>
      <c r="G89" s="59">
        <v>92</v>
      </c>
    </row>
    <row r="90" spans="3:7" ht="18.75" x14ac:dyDescent="0.3">
      <c r="C90" s="7" t="s">
        <v>85</v>
      </c>
      <c r="D90" s="7">
        <v>4</v>
      </c>
      <c r="E90" s="22">
        <v>3</v>
      </c>
      <c r="F90" s="15"/>
      <c r="G90" s="23">
        <v>96</v>
      </c>
    </row>
    <row r="91" spans="3:7" ht="18.75" x14ac:dyDescent="0.3">
      <c r="C91" s="9" t="s">
        <v>79</v>
      </c>
      <c r="D91" s="9">
        <v>2</v>
      </c>
      <c r="E91" s="10">
        <v>5</v>
      </c>
      <c r="F91" s="15"/>
      <c r="G91" s="18">
        <v>73</v>
      </c>
    </row>
    <row r="92" spans="3:7" ht="18.75" x14ac:dyDescent="0.3">
      <c r="C92" s="14" t="s">
        <v>101</v>
      </c>
      <c r="D92" s="14">
        <v>2</v>
      </c>
      <c r="E92" s="21">
        <v>5</v>
      </c>
      <c r="F92" s="26"/>
      <c r="G92" s="19">
        <v>74</v>
      </c>
    </row>
    <row r="93" spans="3:7" ht="15.75" thickBot="1" x14ac:dyDescent="0.3"/>
    <row r="94" spans="3:7" ht="19.5" thickBot="1" x14ac:dyDescent="0.35">
      <c r="C94" s="32" t="s">
        <v>89</v>
      </c>
      <c r="D94" s="33" t="s">
        <v>66</v>
      </c>
      <c r="E94" s="33" t="s">
        <v>67</v>
      </c>
      <c r="F94" s="20" t="s">
        <v>91</v>
      </c>
      <c r="G94" s="34" t="s">
        <v>68</v>
      </c>
    </row>
    <row r="95" spans="3:7" ht="18.75" x14ac:dyDescent="0.3">
      <c r="C95" s="9" t="s">
        <v>86</v>
      </c>
      <c r="D95" s="9">
        <v>3</v>
      </c>
      <c r="E95" s="10">
        <v>4</v>
      </c>
      <c r="F95" s="15"/>
      <c r="G95" s="18">
        <v>81</v>
      </c>
    </row>
    <row r="96" spans="3:7" ht="18.75" x14ac:dyDescent="0.3">
      <c r="C96" s="7" t="s">
        <v>81</v>
      </c>
      <c r="D96" s="7">
        <v>2</v>
      </c>
      <c r="E96" s="16">
        <v>5</v>
      </c>
      <c r="F96" s="15"/>
      <c r="G96" s="17">
        <v>80</v>
      </c>
    </row>
    <row r="97" spans="3:7" ht="18.75" x14ac:dyDescent="0.3">
      <c r="C97" s="14" t="s">
        <v>73</v>
      </c>
      <c r="D97" s="14">
        <v>2</v>
      </c>
      <c r="E97" s="24">
        <v>5</v>
      </c>
      <c r="F97" s="15"/>
      <c r="G97" s="25">
        <v>67</v>
      </c>
    </row>
    <row r="98" spans="3:7" ht="18.75" x14ac:dyDescent="0.3">
      <c r="C98" s="9" t="s">
        <v>84</v>
      </c>
      <c r="D98" s="9">
        <v>0</v>
      </c>
      <c r="E98" s="10">
        <v>7</v>
      </c>
      <c r="F98" s="15"/>
      <c r="G98" s="18">
        <v>41</v>
      </c>
    </row>
  </sheetData>
  <autoFilter ref="A1:M66">
    <sortState ref="A2:M66">
      <sortCondition descending="1" ref="F2:F66"/>
    </sortState>
  </autoFilter>
  <mergeCells count="14">
    <mergeCell ref="B68:B80"/>
    <mergeCell ref="I69:M69"/>
    <mergeCell ref="I70:M70"/>
    <mergeCell ref="I71:M71"/>
    <mergeCell ref="I72:M72"/>
    <mergeCell ref="I73:M73"/>
    <mergeCell ref="I74:M74"/>
    <mergeCell ref="N74:R74"/>
    <mergeCell ref="I68:R68"/>
    <mergeCell ref="N69:R69"/>
    <mergeCell ref="N70:R70"/>
    <mergeCell ref="N71:R71"/>
    <mergeCell ref="N72:R72"/>
    <mergeCell ref="N73:R7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ySplit="1" topLeftCell="A2" activePane="bottomLeft" state="frozen"/>
      <selection pane="bottomLeft" activeCell="K80" sqref="K80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SUM(1444+1481+1503+1503+1471+1503+1471+1499)</f>
        <v>11875</v>
      </c>
      <c r="E2" s="11">
        <f>SUM(74+87+96+88+103+80+96+92)</f>
        <v>716</v>
      </c>
      <c r="F2" s="12">
        <f>SUM(D2/E2)</f>
        <v>16.585195530726256</v>
      </c>
      <c r="G2" s="11">
        <v>8</v>
      </c>
      <c r="H2" s="11">
        <v>7</v>
      </c>
      <c r="I2" s="11">
        <v>1</v>
      </c>
      <c r="J2" s="11"/>
      <c r="K2" s="11"/>
      <c r="L2" s="11">
        <v>32.5</v>
      </c>
      <c r="M2" s="13">
        <v>10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SUM(1360+1372+1443+1499+1503+1503+1493+1503)</f>
        <v>11676</v>
      </c>
      <c r="E3" s="11">
        <f>SUM(71+94+91+92+82+84+97+100)</f>
        <v>711</v>
      </c>
      <c r="F3" s="12">
        <f>SUM(D3/E3)</f>
        <v>16.421940928270043</v>
      </c>
      <c r="G3" s="11">
        <v>8</v>
      </c>
      <c r="H3" s="11">
        <v>6</v>
      </c>
      <c r="I3" s="11">
        <v>2</v>
      </c>
      <c r="J3" s="11"/>
      <c r="K3" s="11"/>
      <c r="L3" s="11">
        <v>32.5</v>
      </c>
      <c r="M3" s="13"/>
    </row>
    <row r="4" spans="1:13" ht="18.75" x14ac:dyDescent="0.3">
      <c r="A4" s="3">
        <v>3</v>
      </c>
      <c r="B4" s="4" t="s">
        <v>37</v>
      </c>
      <c r="C4" s="4" t="s">
        <v>21</v>
      </c>
      <c r="D4" s="11">
        <f>SUM(1501+1495+1314+1407+1503+1405+1426+1455)</f>
        <v>11506</v>
      </c>
      <c r="E4" s="11">
        <f>SUM(106+86+87+95+80+84+86+83)</f>
        <v>707</v>
      </c>
      <c r="F4" s="12">
        <f>SUM(D4/E4)</f>
        <v>16.274398868458274</v>
      </c>
      <c r="G4" s="11">
        <v>8</v>
      </c>
      <c r="H4" s="11">
        <v>5</v>
      </c>
      <c r="I4" s="11"/>
      <c r="J4" s="11"/>
      <c r="K4" s="11"/>
      <c r="L4" s="11">
        <v>25</v>
      </c>
      <c r="M4" s="13">
        <v>10</v>
      </c>
    </row>
    <row r="5" spans="1:13" ht="18.75" x14ac:dyDescent="0.3">
      <c r="A5" s="3">
        <v>4</v>
      </c>
      <c r="B5" s="4" t="s">
        <v>33</v>
      </c>
      <c r="C5" s="4" t="s">
        <v>16</v>
      </c>
      <c r="D5" s="11">
        <f>SUM(1464+1483+1503+1503+1503+1496+1503+1503)</f>
        <v>11958</v>
      </c>
      <c r="E5" s="11">
        <f>SUM(83+89+91+74+88+135+92+97)</f>
        <v>749</v>
      </c>
      <c r="F5" s="12">
        <f>SUM(D5/E5)</f>
        <v>15.965287049399199</v>
      </c>
      <c r="G5" s="11">
        <v>8</v>
      </c>
      <c r="H5" s="11">
        <v>7</v>
      </c>
      <c r="I5" s="11">
        <v>1</v>
      </c>
      <c r="J5" s="11"/>
      <c r="K5" s="11"/>
      <c r="L5" s="11">
        <v>34.5</v>
      </c>
      <c r="M5" s="13">
        <v>5</v>
      </c>
    </row>
    <row r="6" spans="1:13" ht="18.75" x14ac:dyDescent="0.3">
      <c r="A6" s="3">
        <v>5</v>
      </c>
      <c r="B6" s="15" t="s">
        <v>131</v>
      </c>
      <c r="C6" s="4" t="s">
        <v>32</v>
      </c>
      <c r="D6" s="11">
        <f>SUM(1419)</f>
        <v>1419</v>
      </c>
      <c r="E6" s="11">
        <f>SUM(90)</f>
        <v>90</v>
      </c>
      <c r="F6" s="12">
        <f>SUM(D6/E6)</f>
        <v>15.766666666666667</v>
      </c>
      <c r="G6" s="11">
        <v>1</v>
      </c>
      <c r="H6" s="11"/>
      <c r="I6" s="11">
        <v>1</v>
      </c>
      <c r="J6" s="11"/>
      <c r="K6" s="11"/>
      <c r="L6" s="11">
        <v>2.5</v>
      </c>
      <c r="M6" s="13"/>
    </row>
    <row r="7" spans="1:13" ht="18.75" x14ac:dyDescent="0.3">
      <c r="A7" s="3">
        <v>6</v>
      </c>
      <c r="B7" s="4" t="s">
        <v>15</v>
      </c>
      <c r="C7" s="4" t="s">
        <v>16</v>
      </c>
      <c r="D7" s="11">
        <f>SUM(1503+1503+1503+1489+1501+1503+1503+1479)</f>
        <v>11984</v>
      </c>
      <c r="E7" s="11">
        <f>SUM(94+109+90+95+131+81+80+82)</f>
        <v>762</v>
      </c>
      <c r="F7" s="12">
        <f>SUM(D7/E7)</f>
        <v>15.727034120734908</v>
      </c>
      <c r="G7" s="11">
        <v>8</v>
      </c>
      <c r="H7" s="11">
        <v>8</v>
      </c>
      <c r="I7" s="11"/>
      <c r="J7" s="11"/>
      <c r="K7" s="11"/>
      <c r="L7" s="11">
        <v>36.5</v>
      </c>
      <c r="M7" s="13">
        <v>5</v>
      </c>
    </row>
    <row r="8" spans="1:13" ht="18.75" x14ac:dyDescent="0.3">
      <c r="A8" s="3">
        <v>7</v>
      </c>
      <c r="B8" s="4" t="s">
        <v>17</v>
      </c>
      <c r="C8" s="4" t="s">
        <v>14</v>
      </c>
      <c r="D8" s="11">
        <f>SUM(1280+1503+1449+1503+1425+1321)</f>
        <v>8481</v>
      </c>
      <c r="E8" s="11">
        <f>SUM(79+100+93+90+92+88)</f>
        <v>542</v>
      </c>
      <c r="F8" s="12">
        <f>SUM(D8/E8)</f>
        <v>15.64760147601476</v>
      </c>
      <c r="G8" s="11">
        <v>6</v>
      </c>
      <c r="H8" s="11">
        <v>3</v>
      </c>
      <c r="I8" s="11"/>
      <c r="J8" s="11"/>
      <c r="K8" s="11"/>
      <c r="L8" s="35">
        <v>17</v>
      </c>
      <c r="M8" s="13"/>
    </row>
    <row r="9" spans="1:13" ht="18.75" x14ac:dyDescent="0.3">
      <c r="A9" s="3">
        <v>8</v>
      </c>
      <c r="B9" s="4" t="s">
        <v>24</v>
      </c>
      <c r="C9" s="4" t="s">
        <v>23</v>
      </c>
      <c r="D9" s="11">
        <f>SUM(1501+1472+1503+1503+1503+1481+1363+1503)</f>
        <v>11829</v>
      </c>
      <c r="E9" s="11">
        <f>SUM(87+99+109+88+93+101+89+92)</f>
        <v>758</v>
      </c>
      <c r="F9" s="12">
        <f>SUM(D9/E9)</f>
        <v>15.605540897097626</v>
      </c>
      <c r="G9" s="11">
        <v>8</v>
      </c>
      <c r="H9" s="11">
        <v>5</v>
      </c>
      <c r="I9" s="11"/>
      <c r="J9" s="11"/>
      <c r="K9" s="11"/>
      <c r="L9" s="11">
        <v>26.5</v>
      </c>
      <c r="M9" s="13">
        <v>5</v>
      </c>
    </row>
    <row r="10" spans="1:13" ht="18.75" x14ac:dyDescent="0.3">
      <c r="A10" s="3">
        <v>9</v>
      </c>
      <c r="B10" s="4" t="s">
        <v>11</v>
      </c>
      <c r="C10" s="7" t="s">
        <v>12</v>
      </c>
      <c r="D10" s="11">
        <f>SUM(1494+1503+1413+1503+1470+1483+1489+1503)</f>
        <v>11858</v>
      </c>
      <c r="E10" s="11">
        <f>SUM(102+87+93+89+89+99+113+97)</f>
        <v>769</v>
      </c>
      <c r="F10" s="12">
        <f>SUM(D10/E10)</f>
        <v>15.42002600780234</v>
      </c>
      <c r="G10" s="11">
        <v>8</v>
      </c>
      <c r="H10" s="11">
        <v>8</v>
      </c>
      <c r="I10" s="11"/>
      <c r="J10" s="11"/>
      <c r="K10" s="11"/>
      <c r="L10" s="11">
        <v>33.5</v>
      </c>
      <c r="M10" s="13">
        <v>5</v>
      </c>
    </row>
    <row r="11" spans="1:13" ht="18.75" x14ac:dyDescent="0.3">
      <c r="A11" s="3">
        <v>10</v>
      </c>
      <c r="B11" s="15" t="s">
        <v>136</v>
      </c>
      <c r="C11" s="4" t="s">
        <v>12</v>
      </c>
      <c r="D11" s="11">
        <f>SUM(1375+1503)</f>
        <v>2878</v>
      </c>
      <c r="E11" s="11">
        <f>SUM(97+91)</f>
        <v>188</v>
      </c>
      <c r="F11" s="12">
        <f>SUM(D11/E11)</f>
        <v>15.308510638297872</v>
      </c>
      <c r="G11" s="11">
        <v>2</v>
      </c>
      <c r="H11" s="11">
        <v>1</v>
      </c>
      <c r="I11" s="11"/>
      <c r="J11" s="11"/>
      <c r="K11" s="11"/>
      <c r="L11" s="11">
        <v>8</v>
      </c>
      <c r="M11" s="13"/>
    </row>
    <row r="12" spans="1:13" ht="18.75" x14ac:dyDescent="0.3">
      <c r="A12" s="3">
        <v>11</v>
      </c>
      <c r="B12" s="15" t="s">
        <v>49</v>
      </c>
      <c r="C12" s="4" t="s">
        <v>28</v>
      </c>
      <c r="D12" s="11">
        <f>SUM(1503+1503+1426+1483+1290+1356+1296+1399)</f>
        <v>11256</v>
      </c>
      <c r="E12" s="11">
        <f>SUM(129+86+86+102+90+75+83+86)</f>
        <v>737</v>
      </c>
      <c r="F12" s="12">
        <f>SUM(D12/E12)</f>
        <v>15.272727272727273</v>
      </c>
      <c r="G12" s="11">
        <v>8</v>
      </c>
      <c r="H12" s="11">
        <v>4</v>
      </c>
      <c r="I12" s="11"/>
      <c r="J12" s="11"/>
      <c r="K12" s="11"/>
      <c r="L12" s="11">
        <v>23.5</v>
      </c>
      <c r="M12" s="13">
        <v>20</v>
      </c>
    </row>
    <row r="13" spans="1:13" ht="18.75" x14ac:dyDescent="0.3">
      <c r="A13" s="3">
        <v>12</v>
      </c>
      <c r="B13" s="4" t="s">
        <v>18</v>
      </c>
      <c r="C13" s="4" t="s">
        <v>19</v>
      </c>
      <c r="D13" s="11">
        <f>SUM(1403+1503+1328+1440+1487+1371+1467+1414)</f>
        <v>11413</v>
      </c>
      <c r="E13" s="11">
        <f>SUM(96+99+87+93+102+112+80+90)</f>
        <v>759</v>
      </c>
      <c r="F13" s="12">
        <f>SUM(D13/E13)</f>
        <v>15.036890645586297</v>
      </c>
      <c r="G13" s="11">
        <v>8</v>
      </c>
      <c r="H13" s="11">
        <v>3</v>
      </c>
      <c r="I13" s="11"/>
      <c r="J13" s="11"/>
      <c r="K13" s="11"/>
      <c r="L13" s="11">
        <v>23</v>
      </c>
      <c r="M13" s="13"/>
    </row>
    <row r="14" spans="1:13" ht="18.75" x14ac:dyDescent="0.3">
      <c r="A14" s="3">
        <v>13</v>
      </c>
      <c r="B14" s="15" t="s">
        <v>46</v>
      </c>
      <c r="C14" s="4" t="s">
        <v>47</v>
      </c>
      <c r="D14" s="11">
        <f>SUM(1503+1503+1427+1287+1279+1423+1463+1289)</f>
        <v>11174</v>
      </c>
      <c r="E14" s="11">
        <f>SUM(87+94+104+95+84+82+111+90)</f>
        <v>747</v>
      </c>
      <c r="F14" s="12">
        <f>SUM(D14/E14)</f>
        <v>14.958500669344042</v>
      </c>
      <c r="G14" s="11">
        <v>8</v>
      </c>
      <c r="H14" s="11">
        <v>3</v>
      </c>
      <c r="I14" s="11"/>
      <c r="J14" s="11"/>
      <c r="K14" s="11"/>
      <c r="L14" s="11">
        <v>21.5</v>
      </c>
      <c r="M14" s="13">
        <v>10</v>
      </c>
    </row>
    <row r="15" spans="1:13" ht="18.75" x14ac:dyDescent="0.3">
      <c r="A15" s="3">
        <v>14</v>
      </c>
      <c r="B15" s="15" t="s">
        <v>92</v>
      </c>
      <c r="C15" s="4" t="s">
        <v>42</v>
      </c>
      <c r="D15" s="11">
        <f>SUM(1319+1334+1503+1297+1394+1360+1378)</f>
        <v>9585</v>
      </c>
      <c r="E15" s="11">
        <f>SUM(106+84+103+90+78+99+92)</f>
        <v>652</v>
      </c>
      <c r="F15" s="12">
        <f>SUM(D15/E15)</f>
        <v>14.700920245398773</v>
      </c>
      <c r="G15" s="11">
        <v>7</v>
      </c>
      <c r="H15" s="11">
        <v>1</v>
      </c>
      <c r="I15" s="11">
        <v>1</v>
      </c>
      <c r="J15" s="11"/>
      <c r="K15" s="11"/>
      <c r="L15" s="11">
        <v>16.5</v>
      </c>
      <c r="M15" s="13"/>
    </row>
    <row r="16" spans="1:13" ht="18.75" x14ac:dyDescent="0.3">
      <c r="A16" s="3">
        <v>15</v>
      </c>
      <c r="B16" s="4" t="s">
        <v>36</v>
      </c>
      <c r="C16" s="4" t="s">
        <v>12</v>
      </c>
      <c r="D16" s="11">
        <f>SUM(1503+1503+1503+1475+1483+1467+1479+1503)</f>
        <v>11916</v>
      </c>
      <c r="E16" s="11">
        <f>SUM(93+115+87+87+131+93+98+111)</f>
        <v>815</v>
      </c>
      <c r="F16" s="12">
        <f>SUM(D16/E16)</f>
        <v>14.620858895705522</v>
      </c>
      <c r="G16" s="11">
        <v>8</v>
      </c>
      <c r="H16" s="11">
        <v>6</v>
      </c>
      <c r="I16" s="11"/>
      <c r="J16" s="11"/>
      <c r="K16" s="11"/>
      <c r="L16" s="11">
        <v>33</v>
      </c>
      <c r="M16" s="13">
        <v>10</v>
      </c>
    </row>
    <row r="17" spans="1:13" ht="18.75" x14ac:dyDescent="0.3">
      <c r="A17" s="3">
        <v>16</v>
      </c>
      <c r="B17" s="3" t="s">
        <v>31</v>
      </c>
      <c r="C17" s="4" t="s">
        <v>32</v>
      </c>
      <c r="D17" s="11">
        <f>SUM(1503+1469+1417+1109+1503+1503+1495)</f>
        <v>9999</v>
      </c>
      <c r="E17" s="11">
        <f>SUM(79+96+108+90+100+118+93)</f>
        <v>684</v>
      </c>
      <c r="F17" s="12">
        <f>SUM(D17/E17)</f>
        <v>14.618421052631579</v>
      </c>
      <c r="G17" s="11">
        <v>7</v>
      </c>
      <c r="H17" s="11">
        <v>4</v>
      </c>
      <c r="I17" s="11"/>
      <c r="J17" s="11"/>
      <c r="K17" s="11"/>
      <c r="L17" s="11">
        <v>24</v>
      </c>
      <c r="M17" s="13">
        <v>5</v>
      </c>
    </row>
    <row r="18" spans="1:13" ht="18.75" x14ac:dyDescent="0.3">
      <c r="A18" s="3">
        <v>17</v>
      </c>
      <c r="B18" s="4" t="s">
        <v>27</v>
      </c>
      <c r="C18" s="4" t="s">
        <v>28</v>
      </c>
      <c r="D18" s="11">
        <f>SUM(1471+1503+1503+1358+1473+1501+1372+1503)</f>
        <v>11684</v>
      </c>
      <c r="E18" s="11">
        <f>SUM(111+90+109+101+87+131+81+100)</f>
        <v>810</v>
      </c>
      <c r="F18" s="12">
        <f>SUM(D18/E18)</f>
        <v>14.424691358024692</v>
      </c>
      <c r="G18" s="11">
        <v>8</v>
      </c>
      <c r="H18" s="11">
        <v>7</v>
      </c>
      <c r="I18" s="11"/>
      <c r="J18" s="11"/>
      <c r="K18" s="11"/>
      <c r="L18" s="11">
        <v>33</v>
      </c>
      <c r="M18" s="13">
        <v>5</v>
      </c>
    </row>
    <row r="19" spans="1:13" ht="18.75" x14ac:dyDescent="0.3">
      <c r="A19" s="3">
        <v>18</v>
      </c>
      <c r="B19" s="4" t="s">
        <v>62</v>
      </c>
      <c r="C19" s="7" t="s">
        <v>19</v>
      </c>
      <c r="D19" s="11">
        <f>SUM(1290+1479+1300+1217+1308+1400+1216)</f>
        <v>9210</v>
      </c>
      <c r="E19" s="11">
        <f>SUM(76+107+93+86+99+80+99)</f>
        <v>640</v>
      </c>
      <c r="F19" s="12">
        <f>SUM(D19/E19)</f>
        <v>14.390625</v>
      </c>
      <c r="G19" s="11">
        <v>7</v>
      </c>
      <c r="H19" s="11">
        <v>2</v>
      </c>
      <c r="I19" s="11"/>
      <c r="J19" s="11"/>
      <c r="K19" s="11"/>
      <c r="L19" s="11">
        <v>21</v>
      </c>
      <c r="M19" s="13">
        <v>5</v>
      </c>
    </row>
    <row r="20" spans="1:13" ht="18.75" x14ac:dyDescent="0.3">
      <c r="A20" s="3">
        <v>19</v>
      </c>
      <c r="B20" s="4" t="s">
        <v>22</v>
      </c>
      <c r="C20" s="4" t="s">
        <v>23</v>
      </c>
      <c r="D20" s="11">
        <f>SUM(1499+1497+1503+1397+1272+1388+1340+1425)</f>
        <v>11321</v>
      </c>
      <c r="E20" s="11">
        <f>SUM(101+88+116+108+88+89+90+117)</f>
        <v>797</v>
      </c>
      <c r="F20" s="12">
        <f>SUM(D20/E20)</f>
        <v>14.204516938519449</v>
      </c>
      <c r="G20" s="11">
        <v>8</v>
      </c>
      <c r="H20" s="11">
        <v>5</v>
      </c>
      <c r="I20" s="11"/>
      <c r="J20" s="11"/>
      <c r="K20" s="11"/>
      <c r="L20" s="11">
        <v>24</v>
      </c>
      <c r="M20" s="13">
        <v>5</v>
      </c>
    </row>
    <row r="21" spans="1:13" ht="18.75" x14ac:dyDescent="0.3">
      <c r="A21" s="3">
        <v>20</v>
      </c>
      <c r="B21" s="15" t="s">
        <v>45</v>
      </c>
      <c r="C21" s="4" t="s">
        <v>32</v>
      </c>
      <c r="D21" s="11">
        <f>SUM(1503+1471+1326+953+1326+1439+1503+1267)</f>
        <v>10788</v>
      </c>
      <c r="E21" s="11">
        <f>SUM(100+103+79+72+91+110+106+99)</f>
        <v>760</v>
      </c>
      <c r="F21" s="12">
        <f>SUM(D21/E21)</f>
        <v>14.194736842105263</v>
      </c>
      <c r="G21" s="11">
        <v>8</v>
      </c>
      <c r="H21" s="11">
        <v>4</v>
      </c>
      <c r="I21" s="11"/>
      <c r="J21" s="11"/>
      <c r="K21" s="11"/>
      <c r="L21" s="11">
        <v>27.5</v>
      </c>
      <c r="M21" s="13"/>
    </row>
    <row r="22" spans="1:13" ht="18.75" x14ac:dyDescent="0.3">
      <c r="A22" s="3">
        <v>21</v>
      </c>
      <c r="B22" s="4" t="s">
        <v>90</v>
      </c>
      <c r="C22" s="4" t="s">
        <v>12</v>
      </c>
      <c r="D22" s="11">
        <f>SUM(1361+1497+1376+1453+1379+1503)</f>
        <v>8569</v>
      </c>
      <c r="E22" s="11">
        <f>SUM(83+112+96+107+105+101)</f>
        <v>604</v>
      </c>
      <c r="F22" s="12">
        <f>SUM(D22/E22)</f>
        <v>14.187086092715232</v>
      </c>
      <c r="G22" s="11">
        <v>6</v>
      </c>
      <c r="H22" s="11">
        <v>4</v>
      </c>
      <c r="I22" s="11"/>
      <c r="J22" s="11"/>
      <c r="K22" s="11"/>
      <c r="L22" s="11">
        <v>19</v>
      </c>
      <c r="M22" s="13"/>
    </row>
    <row r="23" spans="1:13" ht="18.75" x14ac:dyDescent="0.3">
      <c r="A23" s="3">
        <v>22</v>
      </c>
      <c r="B23" s="15" t="s">
        <v>108</v>
      </c>
      <c r="C23" s="4" t="s">
        <v>19</v>
      </c>
      <c r="D23" s="11">
        <f>SUM(501+1503+1501+1455+1503+1411)</f>
        <v>7874</v>
      </c>
      <c r="E23" s="11">
        <f>SUM(46+117+99+123+95+77)</f>
        <v>557</v>
      </c>
      <c r="F23" s="12">
        <f>SUM(D23/E23)</f>
        <v>14.136445242369838</v>
      </c>
      <c r="G23" s="11">
        <v>6</v>
      </c>
      <c r="H23" s="11">
        <v>4</v>
      </c>
      <c r="I23" s="11"/>
      <c r="J23" s="11">
        <v>1</v>
      </c>
      <c r="K23" s="11"/>
      <c r="L23" s="11">
        <v>22.5</v>
      </c>
      <c r="M23" s="13">
        <v>5</v>
      </c>
    </row>
    <row r="24" spans="1:13" ht="18.75" x14ac:dyDescent="0.3">
      <c r="A24" s="3">
        <v>23</v>
      </c>
      <c r="B24" s="4" t="s">
        <v>57</v>
      </c>
      <c r="C24" s="4" t="s">
        <v>95</v>
      </c>
      <c r="D24" s="11">
        <f>SUM(1463+1503+1503+1447+1363+1487)</f>
        <v>8766</v>
      </c>
      <c r="E24" s="11">
        <f>SUM(126+108+109+100+85+95)</f>
        <v>623</v>
      </c>
      <c r="F24" s="12">
        <f>SUM(D24/E24)</f>
        <v>14.070626003210274</v>
      </c>
      <c r="G24" s="11">
        <v>6</v>
      </c>
      <c r="H24" s="11">
        <v>4</v>
      </c>
      <c r="I24" s="11"/>
      <c r="J24" s="11"/>
      <c r="K24" s="11"/>
      <c r="L24" s="11">
        <v>22</v>
      </c>
      <c r="M24" s="13"/>
    </row>
    <row r="25" spans="1:13" ht="18.75" x14ac:dyDescent="0.3">
      <c r="A25" s="3">
        <v>24</v>
      </c>
      <c r="B25" s="15" t="s">
        <v>113</v>
      </c>
      <c r="C25" s="4" t="s">
        <v>16</v>
      </c>
      <c r="D25" s="11">
        <f>SUM(1503+1307+1309+1503)</f>
        <v>5622</v>
      </c>
      <c r="E25" s="11">
        <f>SUM(104+111+88+99)</f>
        <v>402</v>
      </c>
      <c r="F25" s="12">
        <f>SUM(D25/E25)</f>
        <v>13.985074626865671</v>
      </c>
      <c r="G25" s="11">
        <v>4</v>
      </c>
      <c r="H25" s="11">
        <v>2</v>
      </c>
      <c r="I25" s="11"/>
      <c r="J25" s="11"/>
      <c r="K25" s="11"/>
      <c r="L25" s="11">
        <v>18</v>
      </c>
      <c r="M25" s="13"/>
    </row>
    <row r="26" spans="1:13" ht="18.75" x14ac:dyDescent="0.3">
      <c r="A26" s="3">
        <v>25</v>
      </c>
      <c r="B26" s="3" t="s">
        <v>48</v>
      </c>
      <c r="C26" s="4" t="s">
        <v>32</v>
      </c>
      <c r="D26" s="11">
        <f>SUM(1239+1483+1425+1350+1493+1434+1501+1503)</f>
        <v>11428</v>
      </c>
      <c r="E26" s="11">
        <f>SUM(95+93+104+96+128+96+113+99)</f>
        <v>824</v>
      </c>
      <c r="F26" s="12">
        <f>SUM(D26/E26)</f>
        <v>13.868932038834952</v>
      </c>
      <c r="G26" s="11">
        <v>8</v>
      </c>
      <c r="H26" s="11">
        <v>3</v>
      </c>
      <c r="I26" s="11"/>
      <c r="J26" s="11"/>
      <c r="K26" s="11"/>
      <c r="L26" s="11">
        <v>26.5</v>
      </c>
      <c r="M26" s="13"/>
    </row>
    <row r="27" spans="1:13" ht="18.75" x14ac:dyDescent="0.3">
      <c r="A27" s="3">
        <v>26</v>
      </c>
      <c r="B27" s="15" t="s">
        <v>93</v>
      </c>
      <c r="C27" s="4" t="s">
        <v>42</v>
      </c>
      <c r="D27" s="11">
        <f>SUM(1481+1499+1329+1503+1467+1487)</f>
        <v>8766</v>
      </c>
      <c r="E27" s="11">
        <f>SUM(97+130+104+115+90+99)</f>
        <v>635</v>
      </c>
      <c r="F27" s="12">
        <f>SUM(D27/E27)</f>
        <v>13.804724409448818</v>
      </c>
      <c r="G27" s="11">
        <v>6</v>
      </c>
      <c r="H27" s="11">
        <v>3</v>
      </c>
      <c r="I27" s="11"/>
      <c r="J27" s="11"/>
      <c r="K27" s="11"/>
      <c r="L27" s="11">
        <v>18</v>
      </c>
      <c r="M27" s="13">
        <v>5</v>
      </c>
    </row>
    <row r="28" spans="1:13" ht="18.75" x14ac:dyDescent="0.3">
      <c r="A28" s="3">
        <v>27</v>
      </c>
      <c r="B28" s="4" t="s">
        <v>43</v>
      </c>
      <c r="C28" s="7" t="s">
        <v>12</v>
      </c>
      <c r="D28" s="11">
        <f>SUM(1479+1503+1483+1474+1349+1471+1503+1458)</f>
        <v>11720</v>
      </c>
      <c r="E28" s="11">
        <f>SUM(130+97+96+123+86+87+114+116)</f>
        <v>849</v>
      </c>
      <c r="F28" s="12">
        <f>SUM(D28/E28)</f>
        <v>13.804475853945819</v>
      </c>
      <c r="G28" s="11">
        <v>8</v>
      </c>
      <c r="H28" s="11">
        <v>7</v>
      </c>
      <c r="I28" s="11"/>
      <c r="J28" s="11"/>
      <c r="K28" s="11"/>
      <c r="L28" s="11">
        <v>32.5</v>
      </c>
      <c r="M28" s="13"/>
    </row>
    <row r="29" spans="1:13" ht="18.75" x14ac:dyDescent="0.3">
      <c r="A29" s="3">
        <v>28</v>
      </c>
      <c r="B29" s="15" t="s">
        <v>39</v>
      </c>
      <c r="C29" s="4" t="s">
        <v>23</v>
      </c>
      <c r="D29" s="11">
        <f>SUM(1332+1373+1492+1499+1481+1245+1220+1503)</f>
        <v>11145</v>
      </c>
      <c r="E29" s="11">
        <f>SUM(84+96+119+109+119+86+78+117)</f>
        <v>808</v>
      </c>
      <c r="F29" s="12">
        <f>SUM(D29/E29)</f>
        <v>13.793316831683168</v>
      </c>
      <c r="G29" s="11">
        <v>8</v>
      </c>
      <c r="H29" s="11">
        <v>2</v>
      </c>
      <c r="I29" s="11"/>
      <c r="J29" s="11"/>
      <c r="K29" s="11"/>
      <c r="L29" s="11">
        <v>20</v>
      </c>
      <c r="M29" s="13"/>
    </row>
    <row r="30" spans="1:13" ht="18.75" x14ac:dyDescent="0.3">
      <c r="A30" s="3">
        <v>29</v>
      </c>
      <c r="B30" s="9" t="s">
        <v>111</v>
      </c>
      <c r="C30" s="4" t="s">
        <v>21</v>
      </c>
      <c r="D30" s="11">
        <f>SUM(1274+1414+1428+1463+1495+1440)</f>
        <v>8514</v>
      </c>
      <c r="E30" s="11">
        <f>SUM(111+106+96+113+95+105)</f>
        <v>626</v>
      </c>
      <c r="F30" s="12">
        <f>SUM(D30/E30)</f>
        <v>13.600638977635782</v>
      </c>
      <c r="G30" s="11">
        <v>6</v>
      </c>
      <c r="H30" s="11">
        <v>2</v>
      </c>
      <c r="I30" s="11"/>
      <c r="J30" s="11"/>
      <c r="K30" s="11"/>
      <c r="L30" s="11">
        <v>16.5</v>
      </c>
      <c r="M30" s="13"/>
    </row>
    <row r="31" spans="1:13" ht="18.75" x14ac:dyDescent="0.3">
      <c r="A31" s="3">
        <v>30</v>
      </c>
      <c r="B31" s="7" t="s">
        <v>61</v>
      </c>
      <c r="C31" s="4" t="s">
        <v>47</v>
      </c>
      <c r="D31" s="11">
        <f>SUM(1322+1462+1409+1497+1486+1453+1329+1503)</f>
        <v>11461</v>
      </c>
      <c r="E31" s="11">
        <f>SUM(111+98+102+120+98+106+97+118)</f>
        <v>850</v>
      </c>
      <c r="F31" s="12">
        <f>SUM(D31/E31)</f>
        <v>13.483529411764707</v>
      </c>
      <c r="G31" s="11">
        <v>8</v>
      </c>
      <c r="H31" s="11">
        <v>2</v>
      </c>
      <c r="I31" s="11"/>
      <c r="J31" s="11"/>
      <c r="K31" s="11"/>
      <c r="L31" s="11">
        <v>18</v>
      </c>
      <c r="M31" s="13"/>
    </row>
    <row r="32" spans="1:13" ht="18.75" x14ac:dyDescent="0.3">
      <c r="A32" s="3">
        <v>31</v>
      </c>
      <c r="B32" s="7" t="s">
        <v>35</v>
      </c>
      <c r="C32" s="4" t="s">
        <v>16</v>
      </c>
      <c r="D32" s="11">
        <f>SUM(1471+1503+1330+1362)</f>
        <v>5666</v>
      </c>
      <c r="E32" s="11">
        <f>SUM(104+123+105+89)</f>
        <v>421</v>
      </c>
      <c r="F32" s="12">
        <f>SUM(D32/E32)</f>
        <v>13.458432304038006</v>
      </c>
      <c r="G32" s="11">
        <v>4</v>
      </c>
      <c r="H32" s="11">
        <v>3</v>
      </c>
      <c r="I32" s="11"/>
      <c r="J32" s="11"/>
      <c r="K32" s="11"/>
      <c r="L32" s="11">
        <v>13.5</v>
      </c>
      <c r="M32" s="13">
        <v>5</v>
      </c>
    </row>
    <row r="33" spans="1:13" ht="18.75" x14ac:dyDescent="0.3">
      <c r="A33" s="3">
        <v>32</v>
      </c>
      <c r="B33" s="57" t="s">
        <v>20</v>
      </c>
      <c r="C33" s="4" t="s">
        <v>21</v>
      </c>
      <c r="D33" s="11">
        <f>SUM(1243+1262+1307+1213+1469+1468+1415+1376)</f>
        <v>10753</v>
      </c>
      <c r="E33" s="11">
        <f>SUM(94+86+87+120+106+109+104+99)</f>
        <v>805</v>
      </c>
      <c r="F33" s="12">
        <f>SUM(D33/E33)</f>
        <v>13.357763975155279</v>
      </c>
      <c r="G33" s="11">
        <v>8</v>
      </c>
      <c r="H33" s="11">
        <v>2</v>
      </c>
      <c r="I33" s="11"/>
      <c r="J33" s="11"/>
      <c r="K33" s="11"/>
      <c r="L33" s="11">
        <v>16.5</v>
      </c>
      <c r="M33" s="13"/>
    </row>
    <row r="34" spans="1:13" ht="18.75" x14ac:dyDescent="0.3">
      <c r="A34" s="3">
        <v>33</v>
      </c>
      <c r="B34" s="9" t="s">
        <v>64</v>
      </c>
      <c r="C34" s="4" t="s">
        <v>95</v>
      </c>
      <c r="D34" s="11">
        <f>SUM(1503+1457+1466+1503+1408+1180+1418+1426)</f>
        <v>11361</v>
      </c>
      <c r="E34" s="11">
        <f>SUM(123+117+121+103+121+81+107+105)</f>
        <v>878</v>
      </c>
      <c r="F34" s="12">
        <f>SUM(D34/E34)</f>
        <v>12.939635535307517</v>
      </c>
      <c r="G34" s="11">
        <v>8</v>
      </c>
      <c r="H34" s="11">
        <v>4</v>
      </c>
      <c r="I34" s="11"/>
      <c r="J34" s="11"/>
      <c r="K34" s="11"/>
      <c r="L34" s="11">
        <v>23</v>
      </c>
      <c r="M34" s="13"/>
    </row>
    <row r="35" spans="1:13" ht="18.75" x14ac:dyDescent="0.3">
      <c r="A35" s="3">
        <v>34</v>
      </c>
      <c r="B35" s="9" t="s">
        <v>52</v>
      </c>
      <c r="C35" s="4" t="s">
        <v>53</v>
      </c>
      <c r="D35" s="11">
        <f>SUM(1503+1413+1348+1220+1173+1417+1195)</f>
        <v>9269</v>
      </c>
      <c r="E35" s="11">
        <f>SUM(111+108+106+105+81+114+93)</f>
        <v>718</v>
      </c>
      <c r="F35" s="12">
        <f>SUM(D35/E35)</f>
        <v>12.909470752089137</v>
      </c>
      <c r="G35" s="11">
        <v>7</v>
      </c>
      <c r="H35" s="11">
        <v>1</v>
      </c>
      <c r="I35" s="11"/>
      <c r="J35" s="11"/>
      <c r="K35" s="11"/>
      <c r="L35" s="11">
        <v>7</v>
      </c>
      <c r="M35" s="13"/>
    </row>
    <row r="36" spans="1:13" ht="18.75" x14ac:dyDescent="0.3">
      <c r="A36" s="3">
        <v>35</v>
      </c>
      <c r="B36" s="55" t="s">
        <v>38</v>
      </c>
      <c r="C36" s="8" t="s">
        <v>28</v>
      </c>
      <c r="D36" s="11">
        <f>SUM(1503+1456+1500+1493+1179+1395+1495)</f>
        <v>10021</v>
      </c>
      <c r="E36" s="11">
        <f>SUM(107+134+103+122+81+108+127)</f>
        <v>782</v>
      </c>
      <c r="F36" s="12">
        <f>SUM(D36/E36)</f>
        <v>12.81457800511509</v>
      </c>
      <c r="G36" s="11">
        <v>7</v>
      </c>
      <c r="H36" s="11">
        <v>6</v>
      </c>
      <c r="I36" s="11"/>
      <c r="J36" s="11"/>
      <c r="K36" s="11"/>
      <c r="L36" s="11">
        <v>24</v>
      </c>
      <c r="M36" s="13"/>
    </row>
    <row r="37" spans="1:13" ht="18.75" x14ac:dyDescent="0.3">
      <c r="A37" s="3">
        <v>36</v>
      </c>
      <c r="B37" s="7" t="s">
        <v>41</v>
      </c>
      <c r="C37" s="7" t="s">
        <v>28</v>
      </c>
      <c r="D37" s="11">
        <f>SUM(1487+1499+1483+1499+1503+1498+1463+1483)</f>
        <v>11915</v>
      </c>
      <c r="E37" s="11">
        <f>SUM(120+141+99+139+108+105+106+118)</f>
        <v>936</v>
      </c>
      <c r="F37" s="12">
        <f>SUM(D37/E37)</f>
        <v>12.729700854700855</v>
      </c>
      <c r="G37" s="11">
        <v>8</v>
      </c>
      <c r="H37" s="11">
        <v>7</v>
      </c>
      <c r="I37" s="11"/>
      <c r="J37" s="11"/>
      <c r="K37" s="11"/>
      <c r="L37" s="11">
        <v>28.5</v>
      </c>
      <c r="M37" s="13">
        <v>5</v>
      </c>
    </row>
    <row r="38" spans="1:13" ht="18.75" x14ac:dyDescent="0.3">
      <c r="A38" s="3">
        <v>37</v>
      </c>
      <c r="B38" s="16" t="s">
        <v>26</v>
      </c>
      <c r="C38" s="7" t="s">
        <v>19</v>
      </c>
      <c r="D38" s="11">
        <f>SUM(1480+1503+1495+1352+1496)</f>
        <v>7326</v>
      </c>
      <c r="E38" s="11">
        <f>SUM(128+118+124+108+107)</f>
        <v>585</v>
      </c>
      <c r="F38" s="12">
        <f>SUM(D38/E38)</f>
        <v>12.523076923076923</v>
      </c>
      <c r="G38" s="11">
        <v>5</v>
      </c>
      <c r="H38" s="11">
        <v>2</v>
      </c>
      <c r="I38" s="11"/>
      <c r="J38" s="11"/>
      <c r="K38" s="11"/>
      <c r="L38" s="11">
        <v>19.5</v>
      </c>
      <c r="M38" s="13"/>
    </row>
    <row r="39" spans="1:13" ht="18.75" x14ac:dyDescent="0.3">
      <c r="A39" s="3">
        <v>38</v>
      </c>
      <c r="B39" s="16" t="s">
        <v>30</v>
      </c>
      <c r="C39" s="8" t="s">
        <v>19</v>
      </c>
      <c r="D39" s="11">
        <f>SUM(1434+1354+1503+1495+1363+1374)</f>
        <v>8523</v>
      </c>
      <c r="E39" s="11">
        <f>SUM(100+90+162+135+108+88)</f>
        <v>683</v>
      </c>
      <c r="F39" s="12">
        <f>SUM(D39/E39)</f>
        <v>12.478770131771595</v>
      </c>
      <c r="G39" s="11">
        <v>6</v>
      </c>
      <c r="H39" s="11">
        <v>2</v>
      </c>
      <c r="I39" s="11"/>
      <c r="J39" s="11"/>
      <c r="K39" s="11"/>
      <c r="L39" s="11">
        <v>17</v>
      </c>
      <c r="M39" s="13"/>
    </row>
    <row r="40" spans="1:13" ht="18.75" x14ac:dyDescent="0.3">
      <c r="A40" s="3">
        <v>39</v>
      </c>
      <c r="B40" s="16" t="s">
        <v>44</v>
      </c>
      <c r="C40" s="4" t="s">
        <v>95</v>
      </c>
      <c r="D40" s="11">
        <f>SUM(1375+1355+1020+1503+1483+1440+1375+1415)</f>
        <v>10966</v>
      </c>
      <c r="E40" s="11">
        <f>SUM(106+108+111+122+121+116+105+92)</f>
        <v>881</v>
      </c>
      <c r="F40" s="12">
        <f>SUM(D40/E40)</f>
        <v>12.4472190692395</v>
      </c>
      <c r="G40" s="11">
        <v>8</v>
      </c>
      <c r="H40" s="11">
        <v>5</v>
      </c>
      <c r="I40" s="11"/>
      <c r="J40" s="11"/>
      <c r="K40" s="11"/>
      <c r="L40" s="11">
        <v>21.5</v>
      </c>
      <c r="M40" s="13"/>
    </row>
    <row r="41" spans="1:13" ht="18.75" x14ac:dyDescent="0.3">
      <c r="A41" s="3">
        <v>40</v>
      </c>
      <c r="B41" s="16" t="s">
        <v>34</v>
      </c>
      <c r="C41" s="7" t="s">
        <v>32</v>
      </c>
      <c r="D41" s="11">
        <f>SUM(1204+1501+1396+1414+1498+1481+1501+1483)</f>
        <v>11478</v>
      </c>
      <c r="E41" s="11">
        <f>SUM(88+140+97+90+105+117+158+129)</f>
        <v>924</v>
      </c>
      <c r="F41" s="12">
        <f>SUM(D41/E41)</f>
        <v>12.422077922077921</v>
      </c>
      <c r="G41" s="11">
        <v>8</v>
      </c>
      <c r="H41" s="11">
        <v>5</v>
      </c>
      <c r="I41" s="11"/>
      <c r="J41" s="11"/>
      <c r="K41" s="11"/>
      <c r="L41" s="11">
        <v>28.5</v>
      </c>
      <c r="M41" s="13"/>
    </row>
    <row r="42" spans="1:13" ht="18.75" x14ac:dyDescent="0.3">
      <c r="A42" s="3">
        <v>41</v>
      </c>
      <c r="B42" s="10" t="s">
        <v>29</v>
      </c>
      <c r="C42" s="7" t="s">
        <v>23</v>
      </c>
      <c r="D42" s="11">
        <f>SUM(1204+1459+1145+1498+1408+1456+1499)</f>
        <v>9669</v>
      </c>
      <c r="E42" s="11">
        <f>SUM(99+135+102+104+101+97+143)</f>
        <v>781</v>
      </c>
      <c r="F42" s="12">
        <f>SUM(D42/E42)</f>
        <v>12.380281690140846</v>
      </c>
      <c r="G42" s="11">
        <v>7</v>
      </c>
      <c r="H42" s="11">
        <v>3</v>
      </c>
      <c r="I42" s="11"/>
      <c r="J42" s="11"/>
      <c r="K42" s="11"/>
      <c r="L42" s="11">
        <v>16.5</v>
      </c>
      <c r="M42" s="13"/>
    </row>
    <row r="43" spans="1:13" ht="18.75" x14ac:dyDescent="0.3">
      <c r="A43" s="3">
        <v>42</v>
      </c>
      <c r="B43" s="10" t="s">
        <v>60</v>
      </c>
      <c r="C43" s="7" t="s">
        <v>47</v>
      </c>
      <c r="D43" s="11">
        <f>SUM(1477+1291+1469+1471+1480+1218+1331+1359)</f>
        <v>11096</v>
      </c>
      <c r="E43" s="11">
        <f>SUM(126+87+136+98+131+94+111+114)</f>
        <v>897</v>
      </c>
      <c r="F43" s="12">
        <f>SUM(D43/E43)</f>
        <v>12.370122630992196</v>
      </c>
      <c r="G43" s="11">
        <v>8</v>
      </c>
      <c r="H43" s="11">
        <v>1</v>
      </c>
      <c r="I43" s="11"/>
      <c r="J43" s="11"/>
      <c r="K43" s="11"/>
      <c r="L43" s="11">
        <v>16.5</v>
      </c>
      <c r="M43" s="13"/>
    </row>
    <row r="44" spans="1:13" ht="18.75" x14ac:dyDescent="0.3">
      <c r="A44" s="3">
        <v>43</v>
      </c>
      <c r="B44" s="16" t="s">
        <v>40</v>
      </c>
      <c r="C44" s="7" t="s">
        <v>14</v>
      </c>
      <c r="D44" s="11">
        <f>SUM(1351+1493+1429+1206+1475+1484+1478+1387)</f>
        <v>11303</v>
      </c>
      <c r="E44" s="11">
        <f>SUM(100+138+96+96+129+115+149+96)</f>
        <v>919</v>
      </c>
      <c r="F44" s="12">
        <f>SUM(D44/E44)</f>
        <v>12.299238302502721</v>
      </c>
      <c r="G44" s="11">
        <v>8</v>
      </c>
      <c r="H44" s="11">
        <v>2</v>
      </c>
      <c r="I44" s="11"/>
      <c r="J44" s="11"/>
      <c r="K44" s="11"/>
      <c r="L44" s="11">
        <v>24.5</v>
      </c>
      <c r="M44" s="13"/>
    </row>
    <row r="45" spans="1:13" ht="18.75" x14ac:dyDescent="0.3">
      <c r="A45" s="3">
        <v>44</v>
      </c>
      <c r="B45" s="16" t="s">
        <v>145</v>
      </c>
      <c r="C45" s="7" t="s">
        <v>23</v>
      </c>
      <c r="D45" s="11">
        <f>SUM(1173)</f>
        <v>1173</v>
      </c>
      <c r="E45" s="11">
        <f>SUM(96)</f>
        <v>96</v>
      </c>
      <c r="F45" s="12">
        <f>SUM(D45/E45)</f>
        <v>12.21875</v>
      </c>
      <c r="G45" s="11">
        <v>1</v>
      </c>
      <c r="H45" s="11"/>
      <c r="I45" s="11"/>
      <c r="J45" s="11"/>
      <c r="K45" s="11"/>
      <c r="L45" s="11"/>
      <c r="M45" s="13"/>
    </row>
    <row r="46" spans="1:13" ht="18.75" x14ac:dyDescent="0.3">
      <c r="A46" s="3">
        <v>45</v>
      </c>
      <c r="B46" s="16" t="s">
        <v>144</v>
      </c>
      <c r="C46" s="4" t="s">
        <v>53</v>
      </c>
      <c r="D46" s="11">
        <f>SUM(1244)</f>
        <v>1244</v>
      </c>
      <c r="E46" s="11">
        <f>SUM(102)</f>
        <v>102</v>
      </c>
      <c r="F46" s="12">
        <f>SUM(D46/E46)</f>
        <v>12.196078431372548</v>
      </c>
      <c r="G46" s="11">
        <v>1</v>
      </c>
      <c r="H46" s="11"/>
      <c r="I46" s="11"/>
      <c r="J46" s="11"/>
      <c r="K46" s="11"/>
      <c r="L46" s="11"/>
      <c r="M46" s="13"/>
    </row>
    <row r="47" spans="1:13" ht="18.75" x14ac:dyDescent="0.3">
      <c r="A47" s="3">
        <v>46</v>
      </c>
      <c r="B47" s="10" t="s">
        <v>50</v>
      </c>
      <c r="C47" s="7" t="s">
        <v>42</v>
      </c>
      <c r="D47" s="11">
        <f>SUM(1503+1083+1503+1401+1481+1497+1501+1196)</f>
        <v>11165</v>
      </c>
      <c r="E47" s="11">
        <f>SUM(137+81+126+109+117+135+149+91)</f>
        <v>945</v>
      </c>
      <c r="F47" s="12">
        <f>SUM(D47/E47)</f>
        <v>11.814814814814815</v>
      </c>
      <c r="G47" s="11">
        <v>8</v>
      </c>
      <c r="H47" s="11">
        <v>4</v>
      </c>
      <c r="I47" s="11"/>
      <c r="J47" s="11"/>
      <c r="K47" s="11"/>
      <c r="L47" s="11">
        <v>25.5</v>
      </c>
      <c r="M47" s="13">
        <v>5</v>
      </c>
    </row>
    <row r="48" spans="1:13" ht="18.75" x14ac:dyDescent="0.3">
      <c r="A48" s="3">
        <v>47</v>
      </c>
      <c r="B48" s="36" t="s">
        <v>58</v>
      </c>
      <c r="C48" s="4" t="s">
        <v>53</v>
      </c>
      <c r="D48" s="11">
        <f>SUM(1098+1207+1409+1390+1416+1444+1373+1009)</f>
        <v>10346</v>
      </c>
      <c r="E48" s="11">
        <f>SUM(87+93+129+99+124+132+113+105)</f>
        <v>882</v>
      </c>
      <c r="F48" s="12">
        <f>SUM(D48/E48)</f>
        <v>11.730158730158729</v>
      </c>
      <c r="G48" s="11">
        <v>8</v>
      </c>
      <c r="H48" s="11"/>
      <c r="I48" s="11"/>
      <c r="J48" s="11"/>
      <c r="K48" s="11"/>
      <c r="L48" s="11">
        <v>7.5</v>
      </c>
      <c r="M48" s="13"/>
    </row>
    <row r="49" spans="1:13" ht="18.75" x14ac:dyDescent="0.3">
      <c r="A49" s="3">
        <v>48</v>
      </c>
      <c r="B49" s="4" t="s">
        <v>143</v>
      </c>
      <c r="C49" s="4" t="s">
        <v>53</v>
      </c>
      <c r="D49" s="11">
        <f>SUM(1312)</f>
        <v>1312</v>
      </c>
      <c r="E49" s="11">
        <f>SUM(113)</f>
        <v>113</v>
      </c>
      <c r="F49" s="12">
        <f>SUM(D49/E49)</f>
        <v>11.610619469026549</v>
      </c>
      <c r="G49" s="11">
        <v>1</v>
      </c>
      <c r="H49" s="11"/>
      <c r="I49" s="11"/>
      <c r="J49" s="11"/>
      <c r="K49" s="11"/>
      <c r="L49" s="11">
        <v>1</v>
      </c>
      <c r="M49" s="13"/>
    </row>
    <row r="50" spans="1:13" ht="18.75" x14ac:dyDescent="0.3">
      <c r="A50" s="3">
        <v>49</v>
      </c>
      <c r="B50" s="4" t="s">
        <v>125</v>
      </c>
      <c r="C50" s="17" t="s">
        <v>53</v>
      </c>
      <c r="D50" s="11">
        <f>SUM(1341)</f>
        <v>1341</v>
      </c>
      <c r="E50" s="11">
        <f>SUM(117)</f>
        <v>117</v>
      </c>
      <c r="F50" s="12">
        <f>SUM(D50/E50)</f>
        <v>11.461538461538462</v>
      </c>
      <c r="G50" s="11">
        <v>1</v>
      </c>
      <c r="H50" s="11"/>
      <c r="I50" s="11"/>
      <c r="J50" s="11"/>
      <c r="K50" s="11"/>
      <c r="L50" s="11"/>
      <c r="M50" s="13"/>
    </row>
    <row r="51" spans="1:13" ht="18.75" x14ac:dyDescent="0.3">
      <c r="A51" s="3">
        <v>50</v>
      </c>
      <c r="B51" s="15" t="s">
        <v>102</v>
      </c>
      <c r="C51" s="4" t="s">
        <v>21</v>
      </c>
      <c r="D51" s="11">
        <f>SUM(1467)</f>
        <v>1467</v>
      </c>
      <c r="E51" s="11">
        <f>SUM(130)</f>
        <v>130</v>
      </c>
      <c r="F51" s="12">
        <f>SUM(D51/E51)</f>
        <v>11.284615384615385</v>
      </c>
      <c r="G51" s="11">
        <v>1</v>
      </c>
      <c r="H51" s="11">
        <v>1</v>
      </c>
      <c r="I51" s="11"/>
      <c r="J51" s="11"/>
      <c r="K51" s="11"/>
      <c r="L51" s="11">
        <v>4</v>
      </c>
      <c r="M51" s="13"/>
    </row>
    <row r="52" spans="1:13" ht="18.75" x14ac:dyDescent="0.3">
      <c r="A52" s="3">
        <v>51</v>
      </c>
      <c r="B52" s="15" t="s">
        <v>63</v>
      </c>
      <c r="C52" s="4" t="s">
        <v>21</v>
      </c>
      <c r="D52" s="11">
        <f>SUM(1452+1495+1498+1503+1492)</f>
        <v>7440</v>
      </c>
      <c r="E52" s="11">
        <f>SUM(135+120+143+139+128)</f>
        <v>665</v>
      </c>
      <c r="F52" s="12">
        <f>SUM(D52/E52)</f>
        <v>11.18796992481203</v>
      </c>
      <c r="G52" s="11">
        <v>5</v>
      </c>
      <c r="H52" s="11">
        <v>2</v>
      </c>
      <c r="I52" s="11"/>
      <c r="J52" s="11"/>
      <c r="K52" s="11"/>
      <c r="L52" s="11">
        <v>15</v>
      </c>
      <c r="M52" s="13"/>
    </row>
    <row r="53" spans="1:13" ht="18.75" x14ac:dyDescent="0.3">
      <c r="A53" s="3">
        <v>52</v>
      </c>
      <c r="B53" s="15" t="s">
        <v>109</v>
      </c>
      <c r="C53" s="4" t="s">
        <v>53</v>
      </c>
      <c r="D53" s="11">
        <f>SUM(496+1498+1461+1497+1433)</f>
        <v>6385</v>
      </c>
      <c r="E53" s="11">
        <f>SUM(45+156+130+134+114)</f>
        <v>579</v>
      </c>
      <c r="F53" s="12">
        <f>SUM(D53/E53)</f>
        <v>11.027633851468048</v>
      </c>
      <c r="G53" s="11">
        <v>5</v>
      </c>
      <c r="H53" s="11">
        <v>1</v>
      </c>
      <c r="I53" s="11"/>
      <c r="J53" s="11"/>
      <c r="K53" s="11"/>
      <c r="L53" s="11">
        <v>10</v>
      </c>
      <c r="M53" s="13"/>
    </row>
    <row r="54" spans="1:13" ht="18.75" x14ac:dyDescent="0.3">
      <c r="A54" s="3">
        <v>53</v>
      </c>
      <c r="B54" s="4" t="s">
        <v>54</v>
      </c>
      <c r="C54" s="4" t="s">
        <v>47</v>
      </c>
      <c r="D54" s="11">
        <f>SUM(1478+1353+1503+1472+1448+1079+1478)</f>
        <v>9811</v>
      </c>
      <c r="E54" s="11">
        <f>SUM(126+139+133+123+135+93+143)</f>
        <v>892</v>
      </c>
      <c r="F54" s="12">
        <f>SUM(D54/E54)</f>
        <v>10.998878923766815</v>
      </c>
      <c r="G54" s="11">
        <v>7</v>
      </c>
      <c r="H54" s="11">
        <v>3</v>
      </c>
      <c r="I54" s="11"/>
      <c r="J54" s="11"/>
      <c r="K54" s="11"/>
      <c r="L54" s="11">
        <v>15</v>
      </c>
      <c r="M54" s="13"/>
    </row>
    <row r="55" spans="1:13" ht="18.75" x14ac:dyDescent="0.3">
      <c r="A55" s="3">
        <v>54</v>
      </c>
      <c r="B55" s="4" t="s">
        <v>51</v>
      </c>
      <c r="C55" s="17" t="s">
        <v>14</v>
      </c>
      <c r="D55" s="11">
        <f>SUM(1394+1122+1067+1482+1376+1498+1402+1456)</f>
        <v>10797</v>
      </c>
      <c r="E55" s="11">
        <f>SUM(93+86+81+162+144+145+150+125)</f>
        <v>986</v>
      </c>
      <c r="F55" s="12">
        <f>SUM(D55/E55)</f>
        <v>10.950304259634889</v>
      </c>
      <c r="G55" s="11">
        <v>8</v>
      </c>
      <c r="H55" s="11">
        <v>1</v>
      </c>
      <c r="I55" s="11"/>
      <c r="J55" s="11"/>
      <c r="K55" s="11"/>
      <c r="L55" s="11">
        <v>15.5</v>
      </c>
      <c r="M55" s="13"/>
    </row>
    <row r="56" spans="1:13" ht="18.75" x14ac:dyDescent="0.3">
      <c r="A56" s="3">
        <v>55</v>
      </c>
      <c r="B56" s="15" t="s">
        <v>94</v>
      </c>
      <c r="C56" s="17" t="s">
        <v>42</v>
      </c>
      <c r="D56" s="11">
        <f>SUM(1484+1490+1474+1452+1499+1435+1499+1463)</f>
        <v>11796</v>
      </c>
      <c r="E56" s="11">
        <f>SUM(126+139+150+165+106+132+146+114)</f>
        <v>1078</v>
      </c>
      <c r="F56" s="12">
        <f>SUM(D56/E56)</f>
        <v>10.942486085343228</v>
      </c>
      <c r="G56" s="11">
        <v>8</v>
      </c>
      <c r="H56" s="11">
        <v>3</v>
      </c>
      <c r="I56" s="11"/>
      <c r="J56" s="11"/>
      <c r="K56" s="11"/>
      <c r="L56" s="11">
        <v>25</v>
      </c>
      <c r="M56" s="13"/>
    </row>
    <row r="57" spans="1:13" ht="18.75" x14ac:dyDescent="0.3">
      <c r="A57" s="3">
        <v>56</v>
      </c>
      <c r="B57" s="15" t="s">
        <v>55</v>
      </c>
      <c r="C57" s="4" t="s">
        <v>53</v>
      </c>
      <c r="D57" s="11">
        <f>SUM(1363+1275+1471+1473+1503+1072)</f>
        <v>8157</v>
      </c>
      <c r="E57" s="11">
        <f>SUM(123+117+156+148+117+87)</f>
        <v>748</v>
      </c>
      <c r="F57" s="12">
        <f>SUM(D57/E57)</f>
        <v>10.905080213903743</v>
      </c>
      <c r="G57" s="11">
        <v>6</v>
      </c>
      <c r="H57" s="11">
        <v>2</v>
      </c>
      <c r="I57" s="11"/>
      <c r="J57" s="11"/>
      <c r="K57" s="11"/>
      <c r="L57" s="11">
        <v>12</v>
      </c>
      <c r="M57" s="13"/>
    </row>
    <row r="58" spans="1:13" ht="18.75" x14ac:dyDescent="0.3">
      <c r="A58" s="3">
        <v>57</v>
      </c>
      <c r="B58" s="4" t="s">
        <v>56</v>
      </c>
      <c r="C58" s="7" t="s">
        <v>95</v>
      </c>
      <c r="D58" s="11">
        <f>SUM(1248+1064+1400+1411+1387+1347)</f>
        <v>7857</v>
      </c>
      <c r="E58" s="11">
        <f>SUM(105+84+133+141+150+112)</f>
        <v>725</v>
      </c>
      <c r="F58" s="12">
        <f>SUM(D58/E58)</f>
        <v>10.837241379310345</v>
      </c>
      <c r="G58" s="11">
        <v>6</v>
      </c>
      <c r="H58" s="11"/>
      <c r="I58" s="11"/>
      <c r="J58" s="11"/>
      <c r="K58" s="11"/>
      <c r="L58" s="11">
        <v>10</v>
      </c>
      <c r="M58" s="13"/>
    </row>
    <row r="59" spans="1:13" ht="18.75" x14ac:dyDescent="0.3">
      <c r="A59" s="3">
        <v>58</v>
      </c>
      <c r="B59" s="4" t="s">
        <v>124</v>
      </c>
      <c r="C59" s="4" t="s">
        <v>28</v>
      </c>
      <c r="D59" s="11">
        <f>SUM(1416)</f>
        <v>1416</v>
      </c>
      <c r="E59" s="11">
        <f>SUM(132)</f>
        <v>132</v>
      </c>
      <c r="F59" s="12">
        <f>SUM(D59/E59)</f>
        <v>10.727272727272727</v>
      </c>
      <c r="G59" s="11">
        <v>1</v>
      </c>
      <c r="H59" s="11"/>
      <c r="I59" s="11"/>
      <c r="J59" s="11"/>
      <c r="K59" s="11"/>
      <c r="L59" s="11">
        <v>1</v>
      </c>
      <c r="M59" s="13"/>
    </row>
    <row r="60" spans="1:13" ht="18.75" x14ac:dyDescent="0.3">
      <c r="A60" s="3">
        <v>59</v>
      </c>
      <c r="B60" s="15" t="s">
        <v>112</v>
      </c>
      <c r="C60" s="58" t="s">
        <v>95</v>
      </c>
      <c r="D60" s="11">
        <f>SUM(1150+1237+1485+1478)</f>
        <v>5350</v>
      </c>
      <c r="E60" s="11">
        <f>SUM(90+108+153+148)</f>
        <v>499</v>
      </c>
      <c r="F60" s="12">
        <f>SUM(D60/E60)</f>
        <v>10.721442885771543</v>
      </c>
      <c r="G60" s="11">
        <v>4</v>
      </c>
      <c r="H60" s="11">
        <v>1</v>
      </c>
      <c r="I60" s="11"/>
      <c r="J60" s="11"/>
      <c r="K60" s="11"/>
      <c r="L60" s="11">
        <v>8</v>
      </c>
      <c r="M60" s="13"/>
    </row>
    <row r="61" spans="1:13" ht="18.75" x14ac:dyDescent="0.3">
      <c r="A61" s="3">
        <v>60</v>
      </c>
      <c r="B61" s="15" t="s">
        <v>59</v>
      </c>
      <c r="C61" s="4" t="s">
        <v>53</v>
      </c>
      <c r="D61" s="11">
        <f>SUM(1368+1501)</f>
        <v>2869</v>
      </c>
      <c r="E61" s="11">
        <f>SUM(122+148)</f>
        <v>270</v>
      </c>
      <c r="F61" s="12">
        <f>SUM(D61/E61)</f>
        <v>10.625925925925927</v>
      </c>
      <c r="G61" s="11">
        <v>2</v>
      </c>
      <c r="H61" s="11">
        <v>2</v>
      </c>
      <c r="I61" s="11"/>
      <c r="J61" s="11"/>
      <c r="K61" s="11"/>
      <c r="L61" s="11">
        <v>6.5</v>
      </c>
      <c r="M61" s="13"/>
    </row>
    <row r="62" spans="1:13" ht="18.75" x14ac:dyDescent="0.3">
      <c r="A62" s="3">
        <v>61</v>
      </c>
      <c r="B62" s="4" t="s">
        <v>118</v>
      </c>
      <c r="C62" s="7" t="s">
        <v>42</v>
      </c>
      <c r="D62" s="11">
        <f>SUM(1477+1499+1258)</f>
        <v>4234</v>
      </c>
      <c r="E62" s="11">
        <f>SUM(152+138+111)</f>
        <v>401</v>
      </c>
      <c r="F62" s="12">
        <f>SUM(D62/E62)</f>
        <v>10.558603491271821</v>
      </c>
      <c r="G62" s="11">
        <v>3</v>
      </c>
      <c r="H62" s="11">
        <v>2</v>
      </c>
      <c r="I62" s="11"/>
      <c r="J62" s="11"/>
      <c r="K62" s="11"/>
      <c r="L62" s="11">
        <v>8</v>
      </c>
      <c r="M62" s="13"/>
    </row>
    <row r="63" spans="1:13" ht="18.75" x14ac:dyDescent="0.3">
      <c r="A63" s="3">
        <v>62</v>
      </c>
      <c r="B63" s="15" t="s">
        <v>110</v>
      </c>
      <c r="C63" s="7" t="s">
        <v>21</v>
      </c>
      <c r="D63" s="11">
        <f>SUM(1250+1503+1491+1315)</f>
        <v>5559</v>
      </c>
      <c r="E63" s="11">
        <f>SUM(109+145+155+119)</f>
        <v>528</v>
      </c>
      <c r="F63" s="12">
        <f>SUM(D63/E63)</f>
        <v>10.528409090909092</v>
      </c>
      <c r="G63" s="11">
        <v>4</v>
      </c>
      <c r="H63" s="11">
        <v>2</v>
      </c>
      <c r="I63" s="11"/>
      <c r="J63" s="11"/>
      <c r="K63" s="11"/>
      <c r="L63" s="11">
        <v>9</v>
      </c>
      <c r="M63" s="13"/>
    </row>
    <row r="64" spans="1:13" ht="18.75" x14ac:dyDescent="0.3">
      <c r="A64" s="3">
        <v>63</v>
      </c>
      <c r="B64" s="15" t="s">
        <v>130</v>
      </c>
      <c r="C64" s="7" t="s">
        <v>14</v>
      </c>
      <c r="D64" s="11">
        <f>SUM(1489+1487)</f>
        <v>2976</v>
      </c>
      <c r="E64" s="11">
        <f>SUM(134+150)</f>
        <v>284</v>
      </c>
      <c r="F64" s="12">
        <f>SUM(D64/E64)</f>
        <v>10.47887323943662</v>
      </c>
      <c r="G64" s="11">
        <v>2</v>
      </c>
      <c r="H64" s="11">
        <v>2</v>
      </c>
      <c r="I64" s="11"/>
      <c r="J64" s="11"/>
      <c r="K64" s="11"/>
      <c r="L64" s="11">
        <v>8.5</v>
      </c>
      <c r="M64" s="13"/>
    </row>
    <row r="65" spans="1:18" ht="18.75" x14ac:dyDescent="0.3">
      <c r="A65" s="3">
        <v>64</v>
      </c>
      <c r="B65" s="15" t="s">
        <v>97</v>
      </c>
      <c r="C65" s="4" t="s">
        <v>47</v>
      </c>
      <c r="D65" s="11">
        <f>SUM(1376)</f>
        <v>1376</v>
      </c>
      <c r="E65" s="11">
        <f>SUM(138)</f>
        <v>138</v>
      </c>
      <c r="F65" s="12">
        <f>SUM(D65/E65)</f>
        <v>9.9710144927536231</v>
      </c>
      <c r="G65" s="11">
        <v>1</v>
      </c>
      <c r="H65" s="11"/>
      <c r="I65" s="11"/>
      <c r="J65" s="11"/>
      <c r="K65" s="11"/>
      <c r="L65" s="11">
        <v>4</v>
      </c>
      <c r="M65" s="13"/>
    </row>
    <row r="66" spans="1:18" ht="18.75" x14ac:dyDescent="0.3">
      <c r="A66" s="3">
        <v>65</v>
      </c>
      <c r="B66" s="21" t="s">
        <v>142</v>
      </c>
      <c r="C66" s="14" t="s">
        <v>53</v>
      </c>
      <c r="D66" s="11">
        <f>SUM(1376)</f>
        <v>1376</v>
      </c>
      <c r="E66" s="11">
        <f>SUM(157)</f>
        <v>157</v>
      </c>
      <c r="F66" s="12">
        <f>SUM(D66/E66)</f>
        <v>8.7643312101910826</v>
      </c>
      <c r="G66" s="11">
        <v>1</v>
      </c>
      <c r="H66" s="11"/>
      <c r="I66" s="11"/>
      <c r="J66" s="11"/>
      <c r="K66" s="11"/>
      <c r="L66" s="11"/>
      <c r="M66" s="13"/>
    </row>
    <row r="67" spans="1:18" ht="17.25" customHeight="1" thickBot="1" x14ac:dyDescent="0.3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8" ht="19.5" customHeight="1" thickBot="1" x14ac:dyDescent="0.35">
      <c r="A68" s="5"/>
      <c r="B68" s="39" t="s">
        <v>149</v>
      </c>
      <c r="C68" s="27" t="s">
        <v>65</v>
      </c>
      <c r="D68" s="28" t="s">
        <v>66</v>
      </c>
      <c r="E68" s="29" t="s">
        <v>67</v>
      </c>
      <c r="F68" s="20" t="s">
        <v>91</v>
      </c>
      <c r="G68" s="30" t="s">
        <v>68</v>
      </c>
      <c r="I68" s="50" t="s">
        <v>69</v>
      </c>
      <c r="J68" s="51"/>
      <c r="K68" s="51"/>
      <c r="L68" s="51"/>
      <c r="M68" s="51"/>
      <c r="N68" s="51"/>
      <c r="O68" s="51"/>
      <c r="P68" s="51"/>
      <c r="Q68" s="51"/>
      <c r="R68" s="52"/>
    </row>
    <row r="69" spans="1:18" ht="18.75" x14ac:dyDescent="0.3">
      <c r="A69" s="5"/>
      <c r="B69" s="40"/>
      <c r="C69" s="17" t="s">
        <v>82</v>
      </c>
      <c r="D69" s="7">
        <v>8</v>
      </c>
      <c r="E69" s="22">
        <v>0</v>
      </c>
      <c r="F69" s="15"/>
      <c r="G69" s="23">
        <v>135</v>
      </c>
      <c r="I69" s="42" t="s">
        <v>70</v>
      </c>
      <c r="J69" s="43"/>
      <c r="K69" s="43"/>
      <c r="L69" s="43"/>
      <c r="M69" s="43"/>
      <c r="N69" s="53" t="s">
        <v>122</v>
      </c>
      <c r="O69" s="53"/>
      <c r="P69" s="53"/>
      <c r="Q69" s="53"/>
      <c r="R69" s="54"/>
    </row>
    <row r="70" spans="1:18" ht="18.75" x14ac:dyDescent="0.3">
      <c r="A70" s="5"/>
      <c r="B70" s="40"/>
      <c r="C70" s="17" t="s">
        <v>77</v>
      </c>
      <c r="D70" s="7">
        <v>8</v>
      </c>
      <c r="E70" s="22">
        <v>0</v>
      </c>
      <c r="F70" s="15"/>
      <c r="G70" s="23">
        <v>126</v>
      </c>
      <c r="I70" s="44" t="s">
        <v>72</v>
      </c>
      <c r="J70" s="45"/>
      <c r="K70" s="45"/>
      <c r="L70" s="45"/>
      <c r="M70" s="45"/>
      <c r="N70" s="48" t="s">
        <v>148</v>
      </c>
      <c r="O70" s="48"/>
      <c r="P70" s="48"/>
      <c r="Q70" s="48"/>
      <c r="R70" s="49"/>
    </row>
    <row r="71" spans="1:18" ht="18.75" x14ac:dyDescent="0.3">
      <c r="A71" s="5"/>
      <c r="B71" s="40"/>
      <c r="C71" s="18" t="s">
        <v>83</v>
      </c>
      <c r="D71" s="9">
        <v>6</v>
      </c>
      <c r="E71" s="10">
        <v>2</v>
      </c>
      <c r="F71" s="15"/>
      <c r="G71" s="18">
        <v>110</v>
      </c>
      <c r="I71" s="44" t="s">
        <v>74</v>
      </c>
      <c r="J71" s="45"/>
      <c r="K71" s="45"/>
      <c r="L71" s="45"/>
      <c r="M71" s="45"/>
      <c r="N71" s="48" t="s">
        <v>147</v>
      </c>
      <c r="O71" s="48"/>
      <c r="P71" s="48"/>
      <c r="Q71" s="48"/>
      <c r="R71" s="49"/>
    </row>
    <row r="72" spans="1:18" ht="18.75" x14ac:dyDescent="0.3">
      <c r="A72" s="6"/>
      <c r="B72" s="40"/>
      <c r="C72" s="17" t="s">
        <v>85</v>
      </c>
      <c r="D72" s="7">
        <v>5</v>
      </c>
      <c r="E72" s="22">
        <v>3</v>
      </c>
      <c r="F72" s="15"/>
      <c r="G72" s="23">
        <v>109</v>
      </c>
      <c r="I72" s="44" t="s">
        <v>76</v>
      </c>
      <c r="J72" s="45"/>
      <c r="K72" s="45"/>
      <c r="L72" s="45"/>
      <c r="M72" s="45"/>
      <c r="N72" s="48" t="s">
        <v>146</v>
      </c>
      <c r="O72" s="48"/>
      <c r="P72" s="48"/>
      <c r="Q72" s="48"/>
      <c r="R72" s="49"/>
    </row>
    <row r="73" spans="1:18" ht="18" customHeight="1" x14ac:dyDescent="0.3">
      <c r="A73" s="6"/>
      <c r="B73" s="40"/>
      <c r="C73" s="17" t="s">
        <v>71</v>
      </c>
      <c r="D73" s="7">
        <v>4</v>
      </c>
      <c r="E73" s="16">
        <v>4</v>
      </c>
      <c r="F73" s="15"/>
      <c r="G73" s="17">
        <v>103</v>
      </c>
      <c r="I73" s="44" t="s">
        <v>78</v>
      </c>
      <c r="J73" s="45"/>
      <c r="K73" s="45"/>
      <c r="L73" s="45"/>
      <c r="M73" s="45"/>
      <c r="N73" s="48" t="s">
        <v>132</v>
      </c>
      <c r="O73" s="48"/>
      <c r="P73" s="48"/>
      <c r="Q73" s="48"/>
      <c r="R73" s="49"/>
    </row>
    <row r="74" spans="1:18" ht="18" customHeight="1" thickBot="1" x14ac:dyDescent="0.35">
      <c r="A74" s="6"/>
      <c r="B74" s="40"/>
      <c r="C74" s="17" t="s">
        <v>75</v>
      </c>
      <c r="D74" s="7">
        <v>4</v>
      </c>
      <c r="E74" s="22">
        <v>4</v>
      </c>
      <c r="F74" s="15"/>
      <c r="G74" s="23">
        <v>98</v>
      </c>
      <c r="I74" s="46" t="s">
        <v>80</v>
      </c>
      <c r="J74" s="47"/>
      <c r="K74" s="47"/>
      <c r="L74" s="47"/>
      <c r="M74" s="47"/>
      <c r="N74" s="48" t="s">
        <v>119</v>
      </c>
      <c r="O74" s="48"/>
      <c r="P74" s="48"/>
      <c r="Q74" s="48"/>
      <c r="R74" s="49"/>
    </row>
    <row r="75" spans="1:18" ht="18.75" x14ac:dyDescent="0.3">
      <c r="A75" s="6"/>
      <c r="B75" s="40"/>
      <c r="C75" s="18" t="s">
        <v>86</v>
      </c>
      <c r="D75" s="9">
        <v>3</v>
      </c>
      <c r="E75" s="10">
        <v>5</v>
      </c>
      <c r="F75" s="15"/>
      <c r="G75" s="18">
        <v>93</v>
      </c>
      <c r="H75" s="6"/>
      <c r="I75" s="6"/>
    </row>
    <row r="76" spans="1:18" ht="18.75" x14ac:dyDescent="0.3">
      <c r="A76" s="6"/>
      <c r="B76" s="40"/>
      <c r="C76" s="18" t="s">
        <v>79</v>
      </c>
      <c r="D76" s="9">
        <v>3</v>
      </c>
      <c r="E76" s="10">
        <v>5</v>
      </c>
      <c r="F76" s="15"/>
      <c r="G76" s="18">
        <v>87</v>
      </c>
      <c r="H76" s="6"/>
    </row>
    <row r="77" spans="1:18" ht="18.75" x14ac:dyDescent="0.3">
      <c r="B77" s="40"/>
      <c r="C77" s="19" t="s">
        <v>101</v>
      </c>
      <c r="D77" s="14">
        <v>3</v>
      </c>
      <c r="E77" s="21">
        <v>5</v>
      </c>
      <c r="F77" s="26"/>
      <c r="G77" s="19">
        <v>86</v>
      </c>
    </row>
    <row r="78" spans="1:18" ht="18.75" x14ac:dyDescent="0.3">
      <c r="B78" s="40"/>
      <c r="C78" s="17" t="s">
        <v>81</v>
      </c>
      <c r="D78" s="7">
        <v>2</v>
      </c>
      <c r="E78" s="16">
        <v>6</v>
      </c>
      <c r="F78" s="15"/>
      <c r="G78" s="17">
        <v>86</v>
      </c>
    </row>
    <row r="79" spans="1:18" ht="18.75" x14ac:dyDescent="0.3">
      <c r="B79" s="40"/>
      <c r="C79" s="17" t="s">
        <v>73</v>
      </c>
      <c r="D79" s="7">
        <v>2</v>
      </c>
      <c r="E79" s="22">
        <v>6</v>
      </c>
      <c r="F79" s="15"/>
      <c r="G79" s="23">
        <v>75</v>
      </c>
    </row>
    <row r="80" spans="1:18" ht="19.5" thickBot="1" x14ac:dyDescent="0.35">
      <c r="B80" s="41"/>
      <c r="C80" s="18" t="s">
        <v>84</v>
      </c>
      <c r="D80" s="9">
        <v>0</v>
      </c>
      <c r="E80" s="10">
        <v>8</v>
      </c>
      <c r="F80" s="15"/>
      <c r="G80" s="18">
        <v>44</v>
      </c>
    </row>
    <row r="81" spans="3:7" ht="15.75" thickBot="1" x14ac:dyDescent="0.3"/>
    <row r="82" spans="3:7" ht="19.5" thickBot="1" x14ac:dyDescent="0.35">
      <c r="C82" s="27" t="s">
        <v>87</v>
      </c>
      <c r="D82" s="28" t="s">
        <v>66</v>
      </c>
      <c r="E82" s="28" t="s">
        <v>67</v>
      </c>
      <c r="F82" s="20" t="s">
        <v>91</v>
      </c>
      <c r="G82" s="31" t="s">
        <v>68</v>
      </c>
    </row>
    <row r="83" spans="3:7" ht="18.75" x14ac:dyDescent="0.3">
      <c r="C83" s="14" t="s">
        <v>82</v>
      </c>
      <c r="D83" s="14">
        <v>8</v>
      </c>
      <c r="E83" s="24">
        <v>0</v>
      </c>
      <c r="F83" s="15"/>
      <c r="G83" s="25">
        <v>135</v>
      </c>
    </row>
    <row r="84" spans="3:7" ht="18.75" x14ac:dyDescent="0.3">
      <c r="C84" s="7" t="s">
        <v>77</v>
      </c>
      <c r="D84" s="7">
        <v>8</v>
      </c>
      <c r="E84" s="22">
        <v>0</v>
      </c>
      <c r="F84" s="15"/>
      <c r="G84" s="23">
        <v>126</v>
      </c>
    </row>
    <row r="85" spans="3:7" ht="18.75" x14ac:dyDescent="0.3">
      <c r="C85" s="14" t="s">
        <v>71</v>
      </c>
      <c r="D85" s="14">
        <v>4</v>
      </c>
      <c r="E85" s="21">
        <v>4</v>
      </c>
      <c r="F85" s="26"/>
      <c r="G85" s="19">
        <v>103</v>
      </c>
    </row>
    <row r="86" spans="3:7" ht="18.75" x14ac:dyDescent="0.3">
      <c r="C86" s="14" t="s">
        <v>75</v>
      </c>
      <c r="D86" s="14">
        <v>4</v>
      </c>
      <c r="E86" s="24">
        <v>4</v>
      </c>
      <c r="F86" s="26"/>
      <c r="G86" s="25">
        <v>98</v>
      </c>
    </row>
    <row r="87" spans="3:7" ht="15.75" thickBot="1" x14ac:dyDescent="0.3"/>
    <row r="88" spans="3:7" ht="19.5" thickBot="1" x14ac:dyDescent="0.35">
      <c r="C88" s="27" t="s">
        <v>88</v>
      </c>
      <c r="D88" s="28" t="s">
        <v>66</v>
      </c>
      <c r="E88" s="28" t="s">
        <v>67</v>
      </c>
      <c r="F88" s="20" t="s">
        <v>91</v>
      </c>
      <c r="G88" s="31" t="s">
        <v>68</v>
      </c>
    </row>
    <row r="89" spans="3:7" ht="18.75" x14ac:dyDescent="0.3">
      <c r="C89" s="9" t="s">
        <v>83</v>
      </c>
      <c r="D89" s="9">
        <v>6</v>
      </c>
      <c r="E89" s="10">
        <v>2</v>
      </c>
      <c r="F89" s="15"/>
      <c r="G89" s="18">
        <v>110</v>
      </c>
    </row>
    <row r="90" spans="3:7" ht="18.75" x14ac:dyDescent="0.3">
      <c r="C90" s="7" t="s">
        <v>85</v>
      </c>
      <c r="D90" s="7">
        <v>5</v>
      </c>
      <c r="E90" s="22">
        <v>3</v>
      </c>
      <c r="F90" s="15"/>
      <c r="G90" s="23">
        <v>109</v>
      </c>
    </row>
    <row r="91" spans="3:7" ht="18.75" x14ac:dyDescent="0.3">
      <c r="C91" s="9" t="s">
        <v>79</v>
      </c>
      <c r="D91" s="9">
        <v>3</v>
      </c>
      <c r="E91" s="10">
        <v>5</v>
      </c>
      <c r="F91" s="15"/>
      <c r="G91" s="18">
        <v>87</v>
      </c>
    </row>
    <row r="92" spans="3:7" ht="18.75" x14ac:dyDescent="0.3">
      <c r="C92" s="14" t="s">
        <v>101</v>
      </c>
      <c r="D92" s="14">
        <v>3</v>
      </c>
      <c r="E92" s="21">
        <v>5</v>
      </c>
      <c r="F92" s="26"/>
      <c r="G92" s="19">
        <v>86</v>
      </c>
    </row>
    <row r="93" spans="3:7" ht="15.75" thickBot="1" x14ac:dyDescent="0.3"/>
    <row r="94" spans="3:7" ht="19.5" thickBot="1" x14ac:dyDescent="0.35">
      <c r="C94" s="32" t="s">
        <v>89</v>
      </c>
      <c r="D94" s="33" t="s">
        <v>66</v>
      </c>
      <c r="E94" s="33" t="s">
        <v>67</v>
      </c>
      <c r="F94" s="20" t="s">
        <v>91</v>
      </c>
      <c r="G94" s="34" t="s">
        <v>68</v>
      </c>
    </row>
    <row r="95" spans="3:7" ht="18.75" x14ac:dyDescent="0.3">
      <c r="C95" s="9" t="s">
        <v>86</v>
      </c>
      <c r="D95" s="9">
        <v>3</v>
      </c>
      <c r="E95" s="10">
        <v>5</v>
      </c>
      <c r="F95" s="15"/>
      <c r="G95" s="18">
        <v>93</v>
      </c>
    </row>
    <row r="96" spans="3:7" ht="18.75" x14ac:dyDescent="0.3">
      <c r="C96" s="7" t="s">
        <v>81</v>
      </c>
      <c r="D96" s="7">
        <v>2</v>
      </c>
      <c r="E96" s="16">
        <v>6</v>
      </c>
      <c r="F96" s="15"/>
      <c r="G96" s="17">
        <v>86</v>
      </c>
    </row>
    <row r="97" spans="3:7" ht="18.75" x14ac:dyDescent="0.3">
      <c r="C97" s="14" t="s">
        <v>73</v>
      </c>
      <c r="D97" s="14">
        <v>2</v>
      </c>
      <c r="E97" s="24">
        <v>6</v>
      </c>
      <c r="F97" s="15"/>
      <c r="G97" s="25">
        <v>75</v>
      </c>
    </row>
    <row r="98" spans="3:7" ht="18.75" x14ac:dyDescent="0.3">
      <c r="C98" s="9" t="s">
        <v>84</v>
      </c>
      <c r="D98" s="9">
        <v>0</v>
      </c>
      <c r="E98" s="10">
        <v>8</v>
      </c>
      <c r="F98" s="15"/>
      <c r="G98" s="18">
        <v>44</v>
      </c>
    </row>
  </sheetData>
  <mergeCells count="14">
    <mergeCell ref="N74:R74"/>
    <mergeCell ref="I68:R68"/>
    <mergeCell ref="N69:R69"/>
    <mergeCell ref="N70:R70"/>
    <mergeCell ref="N71:R71"/>
    <mergeCell ref="N72:R72"/>
    <mergeCell ref="N73:R73"/>
    <mergeCell ref="B68:B80"/>
    <mergeCell ref="I69:M69"/>
    <mergeCell ref="I70:M70"/>
    <mergeCell ref="I71:M71"/>
    <mergeCell ref="I72:M72"/>
    <mergeCell ref="I73:M73"/>
    <mergeCell ref="I74:M7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ySplit="1" topLeftCell="A2" activePane="bottomLeft" state="frozen"/>
      <selection pane="bottomLeft" activeCell="E75" sqref="E75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SUM(1444+1481+1503+1503+1471+1503+1471+1499+1495)</f>
        <v>13370</v>
      </c>
      <c r="E2" s="11">
        <f>SUM(74+87+96+88+103+80+96+92+81)</f>
        <v>797</v>
      </c>
      <c r="F2" s="12">
        <f>SUM(D2/E2)</f>
        <v>16.775407779171896</v>
      </c>
      <c r="G2" s="11">
        <v>9</v>
      </c>
      <c r="H2" s="11">
        <v>8</v>
      </c>
      <c r="I2" s="11">
        <v>1</v>
      </c>
      <c r="J2" s="11"/>
      <c r="K2" s="11">
        <v>1</v>
      </c>
      <c r="L2" s="11">
        <v>37.5</v>
      </c>
      <c r="M2" s="13">
        <v>15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SUM(1360+1372+1443+1499+1503+1503+1493+1503)</f>
        <v>11676</v>
      </c>
      <c r="E3" s="11">
        <f>SUM(71+94+91+92+82+84+97+100)</f>
        <v>711</v>
      </c>
      <c r="F3" s="12">
        <f>SUM(D3/E3)</f>
        <v>16.421940928270043</v>
      </c>
      <c r="G3" s="11">
        <v>8</v>
      </c>
      <c r="H3" s="11">
        <v>6</v>
      </c>
      <c r="I3" s="11">
        <v>2</v>
      </c>
      <c r="J3" s="11"/>
      <c r="K3" s="11"/>
      <c r="L3" s="11">
        <v>32.5</v>
      </c>
      <c r="M3" s="13"/>
    </row>
    <row r="4" spans="1:13" ht="18.75" x14ac:dyDescent="0.3">
      <c r="A4" s="3">
        <v>3</v>
      </c>
      <c r="B4" s="4" t="s">
        <v>37</v>
      </c>
      <c r="C4" s="4" t="s">
        <v>21</v>
      </c>
      <c r="D4" s="11">
        <f>SUM(1501+1495+1314+1407+1503+1405+1426+1455)</f>
        <v>11506</v>
      </c>
      <c r="E4" s="11">
        <f>SUM(106+86+87+95+80+84+86+83)</f>
        <v>707</v>
      </c>
      <c r="F4" s="12">
        <f>SUM(D4/E4)</f>
        <v>16.274398868458274</v>
      </c>
      <c r="G4" s="11">
        <v>8</v>
      </c>
      <c r="H4" s="11">
        <v>5</v>
      </c>
      <c r="I4" s="11"/>
      <c r="J4" s="11"/>
      <c r="K4" s="11"/>
      <c r="L4" s="11">
        <v>25</v>
      </c>
      <c r="M4" s="13">
        <v>10</v>
      </c>
    </row>
    <row r="5" spans="1:13" ht="18.75" x14ac:dyDescent="0.3">
      <c r="A5" s="3">
        <v>4</v>
      </c>
      <c r="B5" s="4" t="s">
        <v>33</v>
      </c>
      <c r="C5" s="4" t="s">
        <v>16</v>
      </c>
      <c r="D5" s="11">
        <f>SUM(1464+1483+1503+1503+1503+1496+1503+1503+1290)</f>
        <v>13248</v>
      </c>
      <c r="E5" s="11">
        <f>SUM(83+89+91+74+88+135+92+97+83)</f>
        <v>832</v>
      </c>
      <c r="F5" s="12">
        <f>SUM(D5/E5)</f>
        <v>15.923076923076923</v>
      </c>
      <c r="G5" s="11">
        <v>9</v>
      </c>
      <c r="H5" s="11">
        <v>7</v>
      </c>
      <c r="I5" s="11">
        <v>1</v>
      </c>
      <c r="J5" s="11"/>
      <c r="K5" s="11"/>
      <c r="L5" s="11">
        <v>38</v>
      </c>
      <c r="M5" s="13">
        <v>5</v>
      </c>
    </row>
    <row r="6" spans="1:13" ht="18.75" x14ac:dyDescent="0.3">
      <c r="A6" s="3">
        <v>5</v>
      </c>
      <c r="B6" s="15" t="s">
        <v>131</v>
      </c>
      <c r="C6" s="4" t="s">
        <v>32</v>
      </c>
      <c r="D6" s="11">
        <f>SUM(1419)</f>
        <v>1419</v>
      </c>
      <c r="E6" s="11">
        <f>SUM(90)</f>
        <v>90</v>
      </c>
      <c r="F6" s="12">
        <f>SUM(D6/E6)</f>
        <v>15.766666666666667</v>
      </c>
      <c r="G6" s="11">
        <v>1</v>
      </c>
      <c r="H6" s="11"/>
      <c r="I6" s="11">
        <v>1</v>
      </c>
      <c r="J6" s="11"/>
      <c r="K6" s="11"/>
      <c r="L6" s="11">
        <v>2.5</v>
      </c>
      <c r="M6" s="13"/>
    </row>
    <row r="7" spans="1:13" ht="18.75" x14ac:dyDescent="0.3">
      <c r="A7" s="3">
        <v>6</v>
      </c>
      <c r="B7" s="4" t="s">
        <v>15</v>
      </c>
      <c r="C7" s="4" t="s">
        <v>16</v>
      </c>
      <c r="D7" s="11">
        <f>SUM(1503+1503+1503+1489+1501+1503+1503+1479+1491)</f>
        <v>13475</v>
      </c>
      <c r="E7" s="11">
        <f>SUM(94+109+90+95+131+81+80+82+99)</f>
        <v>861</v>
      </c>
      <c r="F7" s="12">
        <f>SUM(D7/E7)</f>
        <v>15.650406504065041</v>
      </c>
      <c r="G7" s="11">
        <v>9</v>
      </c>
      <c r="H7" s="11">
        <v>8</v>
      </c>
      <c r="I7" s="11"/>
      <c r="J7" s="11"/>
      <c r="K7" s="11"/>
      <c r="L7" s="11">
        <v>40</v>
      </c>
      <c r="M7" s="13">
        <v>5</v>
      </c>
    </row>
    <row r="8" spans="1:13" ht="18.75" x14ac:dyDescent="0.3">
      <c r="A8" s="3">
        <v>8</v>
      </c>
      <c r="B8" s="4" t="s">
        <v>17</v>
      </c>
      <c r="C8" s="4" t="s">
        <v>14</v>
      </c>
      <c r="D8" s="11">
        <f>SUM(1280+1503+1449+1503+1425+1321)</f>
        <v>8481</v>
      </c>
      <c r="E8" s="11">
        <f>SUM(79+100+93+90+92+88)</f>
        <v>542</v>
      </c>
      <c r="F8" s="12">
        <f>SUM(D8/E8)</f>
        <v>15.64760147601476</v>
      </c>
      <c r="G8" s="11">
        <v>6</v>
      </c>
      <c r="H8" s="11">
        <v>3</v>
      </c>
      <c r="I8" s="11"/>
      <c r="J8" s="11"/>
      <c r="K8" s="11"/>
      <c r="L8" s="35">
        <v>17</v>
      </c>
      <c r="M8" s="13"/>
    </row>
    <row r="9" spans="1:13" ht="18.75" x14ac:dyDescent="0.3">
      <c r="A9" s="3">
        <v>9</v>
      </c>
      <c r="B9" s="15" t="s">
        <v>49</v>
      </c>
      <c r="C9" s="4" t="s">
        <v>28</v>
      </c>
      <c r="D9" s="11">
        <f>SUM(1503+1503+1426+1483+1290+1356+1296+1399+1503)</f>
        <v>12759</v>
      </c>
      <c r="E9" s="11">
        <f>SUM(129+86+86+102+90+75+83+86+88)</f>
        <v>825</v>
      </c>
      <c r="F9" s="12">
        <f>SUM(D9/E9)</f>
        <v>15.465454545454545</v>
      </c>
      <c r="G9" s="11">
        <v>9</v>
      </c>
      <c r="H9" s="11">
        <v>5</v>
      </c>
      <c r="I9" s="11"/>
      <c r="J9" s="11"/>
      <c r="K9" s="11"/>
      <c r="L9" s="11">
        <v>27.5</v>
      </c>
      <c r="M9" s="13">
        <v>20</v>
      </c>
    </row>
    <row r="10" spans="1:13" ht="18.75" x14ac:dyDescent="0.3">
      <c r="A10" s="3">
        <v>10</v>
      </c>
      <c r="B10" s="4" t="s">
        <v>11</v>
      </c>
      <c r="C10" s="7" t="s">
        <v>12</v>
      </c>
      <c r="D10" s="11">
        <f>SUM(1494+1503+1413+1503+1470+1483+1489+1503+1503)</f>
        <v>13361</v>
      </c>
      <c r="E10" s="11">
        <f>SUM(102+87+93+89+89+99+113+97+95)</f>
        <v>864</v>
      </c>
      <c r="F10" s="12">
        <f>SUM(D10/E10)</f>
        <v>15.46412037037037</v>
      </c>
      <c r="G10" s="11">
        <v>9</v>
      </c>
      <c r="H10" s="11">
        <v>9</v>
      </c>
      <c r="I10" s="11"/>
      <c r="J10" s="11"/>
      <c r="K10" s="11"/>
      <c r="L10" s="11">
        <v>38.5</v>
      </c>
      <c r="M10" s="13">
        <v>5</v>
      </c>
    </row>
    <row r="11" spans="1:13" ht="18.75" x14ac:dyDescent="0.3">
      <c r="A11" s="3">
        <v>11</v>
      </c>
      <c r="B11" s="15" t="s">
        <v>136</v>
      </c>
      <c r="C11" s="4" t="s">
        <v>12</v>
      </c>
      <c r="D11" s="11">
        <f>SUM(1375+1503)</f>
        <v>2878</v>
      </c>
      <c r="E11" s="11">
        <f>SUM(97+91)</f>
        <v>188</v>
      </c>
      <c r="F11" s="12">
        <f>SUM(D11/E11)</f>
        <v>15.308510638297872</v>
      </c>
      <c r="G11" s="11">
        <v>2</v>
      </c>
      <c r="H11" s="11">
        <v>1</v>
      </c>
      <c r="I11" s="11"/>
      <c r="J11" s="11"/>
      <c r="K11" s="11"/>
      <c r="L11" s="11">
        <v>8</v>
      </c>
      <c r="M11" s="13"/>
    </row>
    <row r="12" spans="1:13" ht="18.75" x14ac:dyDescent="0.3">
      <c r="A12" s="3">
        <v>12</v>
      </c>
      <c r="B12" s="4" t="s">
        <v>24</v>
      </c>
      <c r="C12" s="4" t="s">
        <v>23</v>
      </c>
      <c r="D12" s="11">
        <f>SUM(1501+1472+1503+1503+1503+1481+1363+1503+1503)</f>
        <v>13332</v>
      </c>
      <c r="E12" s="11">
        <f>SUM(87+99+109+88+93+101+89+92+116)</f>
        <v>874</v>
      </c>
      <c r="F12" s="12">
        <f>SUM(D12/E12)</f>
        <v>15.254004576659039</v>
      </c>
      <c r="G12" s="11">
        <v>9</v>
      </c>
      <c r="H12" s="11">
        <v>6</v>
      </c>
      <c r="I12" s="11"/>
      <c r="J12" s="11"/>
      <c r="K12" s="11"/>
      <c r="L12" s="11">
        <v>32</v>
      </c>
      <c r="M12" s="13">
        <v>5</v>
      </c>
    </row>
    <row r="13" spans="1:13" ht="18.75" x14ac:dyDescent="0.3">
      <c r="A13" s="3">
        <v>13</v>
      </c>
      <c r="B13" s="15" t="s">
        <v>92</v>
      </c>
      <c r="C13" s="4" t="s">
        <v>42</v>
      </c>
      <c r="D13" s="11">
        <f>SUM(1319+1334+1503+1297+1394+1360+1378+1358)</f>
        <v>10943</v>
      </c>
      <c r="E13" s="11">
        <f>SUM(106+84+103+90+78+99+92+90)</f>
        <v>742</v>
      </c>
      <c r="F13" s="12">
        <f>SUM(D13/E13)</f>
        <v>14.747978436657682</v>
      </c>
      <c r="G13" s="11">
        <v>8</v>
      </c>
      <c r="H13" s="11">
        <v>1</v>
      </c>
      <c r="I13" s="11">
        <v>1</v>
      </c>
      <c r="J13" s="11"/>
      <c r="K13" s="11"/>
      <c r="L13" s="11">
        <v>17.5</v>
      </c>
      <c r="M13" s="13"/>
    </row>
    <row r="14" spans="1:13" ht="18.75" x14ac:dyDescent="0.3">
      <c r="A14" s="3">
        <v>14</v>
      </c>
      <c r="B14" s="4" t="s">
        <v>36</v>
      </c>
      <c r="C14" s="4" t="s">
        <v>12</v>
      </c>
      <c r="D14" s="11">
        <f>SUM(1503+1503+1503+1475+1483+1467+1479+1503+1471)</f>
        <v>13387</v>
      </c>
      <c r="E14" s="11">
        <f>SUM(93+115+87+87+131+93+98+111+94)</f>
        <v>909</v>
      </c>
      <c r="F14" s="12">
        <f>SUM(D14/E14)</f>
        <v>14.727172717271728</v>
      </c>
      <c r="G14" s="11">
        <v>9</v>
      </c>
      <c r="H14" s="11">
        <v>7</v>
      </c>
      <c r="I14" s="11"/>
      <c r="J14" s="11"/>
      <c r="K14" s="11"/>
      <c r="L14" s="11">
        <v>37</v>
      </c>
      <c r="M14" s="13">
        <v>10</v>
      </c>
    </row>
    <row r="15" spans="1:13" ht="18.75" x14ac:dyDescent="0.3">
      <c r="A15" s="3">
        <v>15</v>
      </c>
      <c r="B15" s="4" t="s">
        <v>18</v>
      </c>
      <c r="C15" s="4" t="s">
        <v>19</v>
      </c>
      <c r="D15" s="11">
        <f>SUM(1403+1503+1328+1440+1487+1371+1467+1414+1500)</f>
        <v>12913</v>
      </c>
      <c r="E15" s="11">
        <f>SUM(96+99+87+93+102+112+80+90+122)</f>
        <v>881</v>
      </c>
      <c r="F15" s="12">
        <f>SUM(D15/E15)</f>
        <v>14.657207718501702</v>
      </c>
      <c r="G15" s="11">
        <v>9</v>
      </c>
      <c r="H15" s="11">
        <v>4</v>
      </c>
      <c r="I15" s="11"/>
      <c r="J15" s="11"/>
      <c r="K15" s="11"/>
      <c r="L15" s="11">
        <v>26.5</v>
      </c>
      <c r="M15" s="13"/>
    </row>
    <row r="16" spans="1:13" ht="18.75" x14ac:dyDescent="0.3">
      <c r="A16" s="3">
        <v>16</v>
      </c>
      <c r="B16" s="15" t="s">
        <v>46</v>
      </c>
      <c r="C16" s="4" t="s">
        <v>47</v>
      </c>
      <c r="D16" s="11">
        <f>SUM(1503+1503+1427+1287+1279+1423+1463+1289+1480)</f>
        <v>12654</v>
      </c>
      <c r="E16" s="11">
        <f>SUM(87+94+104+95+84+82+111+90+124)</f>
        <v>871</v>
      </c>
      <c r="F16" s="12">
        <f>SUM(D16/E16)</f>
        <v>14.52812858783008</v>
      </c>
      <c r="G16" s="11">
        <v>9</v>
      </c>
      <c r="H16" s="11">
        <v>3</v>
      </c>
      <c r="I16" s="11"/>
      <c r="J16" s="11"/>
      <c r="K16" s="11"/>
      <c r="L16" s="11">
        <v>22.5</v>
      </c>
      <c r="M16" s="13">
        <v>10</v>
      </c>
    </row>
    <row r="17" spans="1:13" ht="18.75" x14ac:dyDescent="0.3">
      <c r="A17" s="3">
        <v>17</v>
      </c>
      <c r="B17" s="4" t="s">
        <v>22</v>
      </c>
      <c r="C17" s="4" t="s">
        <v>23</v>
      </c>
      <c r="D17" s="11">
        <f>SUM(1499+1497+1503+1397+1272+1388+1340+1425+1503)</f>
        <v>12824</v>
      </c>
      <c r="E17" s="11">
        <f>SUM(101+88+116+108+88+89+90+117+86)</f>
        <v>883</v>
      </c>
      <c r="F17" s="12">
        <f>SUM(D17/E17)</f>
        <v>14.523216308040769</v>
      </c>
      <c r="G17" s="11">
        <v>9</v>
      </c>
      <c r="H17" s="11">
        <v>6</v>
      </c>
      <c r="I17" s="11"/>
      <c r="J17" s="11"/>
      <c r="K17" s="11"/>
      <c r="L17" s="11">
        <v>30</v>
      </c>
      <c r="M17" s="13">
        <v>5</v>
      </c>
    </row>
    <row r="18" spans="1:13" ht="18.75" x14ac:dyDescent="0.3">
      <c r="A18" s="3">
        <v>18</v>
      </c>
      <c r="B18" s="3" t="s">
        <v>31</v>
      </c>
      <c r="C18" s="4" t="s">
        <v>32</v>
      </c>
      <c r="D18" s="11">
        <f>SUM(1503+1469+1417+1109+1503+1503+1495+1138)</f>
        <v>11137</v>
      </c>
      <c r="E18" s="11">
        <f>SUM(79+96+108+90+100+118+93+84)</f>
        <v>768</v>
      </c>
      <c r="F18" s="12">
        <f>SUM(D18/E18)</f>
        <v>14.501302083333334</v>
      </c>
      <c r="G18" s="11">
        <v>8</v>
      </c>
      <c r="H18" s="11">
        <v>4</v>
      </c>
      <c r="I18" s="11"/>
      <c r="J18" s="11"/>
      <c r="K18" s="11"/>
      <c r="L18" s="11">
        <v>27</v>
      </c>
      <c r="M18" s="13">
        <v>5</v>
      </c>
    </row>
    <row r="19" spans="1:13" ht="18.75" x14ac:dyDescent="0.3">
      <c r="A19" s="3">
        <v>19</v>
      </c>
      <c r="B19" s="4" t="s">
        <v>27</v>
      </c>
      <c r="C19" s="7" t="s">
        <v>28</v>
      </c>
      <c r="D19" s="11">
        <f>SUM(1471+1503+1503+1358+1473+1501+1372+1503+1503)</f>
        <v>13187</v>
      </c>
      <c r="E19" s="11">
        <f>SUM(111+90+109+101+87+131+81+100+100)</f>
        <v>910</v>
      </c>
      <c r="F19" s="12">
        <f>SUM(D19/E19)</f>
        <v>14.491208791208791</v>
      </c>
      <c r="G19" s="11">
        <v>9</v>
      </c>
      <c r="H19" s="11">
        <v>8</v>
      </c>
      <c r="I19" s="11"/>
      <c r="J19" s="11"/>
      <c r="K19" s="11"/>
      <c r="L19" s="11">
        <v>36</v>
      </c>
      <c r="M19" s="13">
        <v>5</v>
      </c>
    </row>
    <row r="20" spans="1:13" ht="18.75" x14ac:dyDescent="0.3">
      <c r="A20" s="3">
        <v>20</v>
      </c>
      <c r="B20" s="4" t="s">
        <v>57</v>
      </c>
      <c r="C20" s="4" t="s">
        <v>95</v>
      </c>
      <c r="D20" s="11">
        <f>SUM(1463+1503+1503+1447+1363+1487+1262)</f>
        <v>10028</v>
      </c>
      <c r="E20" s="11">
        <f>SUM(126+108+109+100+85+95+82)</f>
        <v>705</v>
      </c>
      <c r="F20" s="12">
        <f>SUM(D20/E20)</f>
        <v>14.224113475177305</v>
      </c>
      <c r="G20" s="11">
        <v>7</v>
      </c>
      <c r="H20" s="11">
        <v>4</v>
      </c>
      <c r="I20" s="11"/>
      <c r="J20" s="11"/>
      <c r="K20" s="11"/>
      <c r="L20" s="11">
        <v>23</v>
      </c>
      <c r="M20" s="13"/>
    </row>
    <row r="21" spans="1:13" ht="18.75" x14ac:dyDescent="0.3">
      <c r="A21" s="3">
        <v>21</v>
      </c>
      <c r="B21" s="15" t="s">
        <v>45</v>
      </c>
      <c r="C21" s="4" t="s">
        <v>32</v>
      </c>
      <c r="D21" s="11">
        <f>SUM(1503+1471+1326+953+1326+1439+1503+1267+1329)</f>
        <v>12117</v>
      </c>
      <c r="E21" s="11">
        <f>SUM(100+103+79+72+91+110+106+99+96)</f>
        <v>856</v>
      </c>
      <c r="F21" s="12">
        <f>SUM(D21/E21)</f>
        <v>14.155373831775702</v>
      </c>
      <c r="G21" s="11">
        <v>9</v>
      </c>
      <c r="H21" s="11">
        <v>4</v>
      </c>
      <c r="I21" s="11"/>
      <c r="J21" s="11"/>
      <c r="K21" s="11"/>
      <c r="L21" s="11">
        <v>29.5</v>
      </c>
      <c r="M21" s="13"/>
    </row>
    <row r="22" spans="1:13" ht="18.75" x14ac:dyDescent="0.3">
      <c r="A22" s="3">
        <v>22</v>
      </c>
      <c r="B22" s="4" t="s">
        <v>90</v>
      </c>
      <c r="C22" s="4" t="s">
        <v>12</v>
      </c>
      <c r="D22" s="11">
        <f>SUM(1361+1497+1376+1453+1379+1503+1313)</f>
        <v>9882</v>
      </c>
      <c r="E22" s="11">
        <f>SUM(83+112+96+107+105+101+95)</f>
        <v>699</v>
      </c>
      <c r="F22" s="12">
        <f>SUM(D22/E22)</f>
        <v>14.137339055793991</v>
      </c>
      <c r="G22" s="11">
        <v>7</v>
      </c>
      <c r="H22" s="11">
        <v>4</v>
      </c>
      <c r="I22" s="11"/>
      <c r="J22" s="11"/>
      <c r="K22" s="11"/>
      <c r="L22" s="11">
        <v>22.5</v>
      </c>
      <c r="M22" s="13"/>
    </row>
    <row r="23" spans="1:13" ht="18.75" x14ac:dyDescent="0.3">
      <c r="A23" s="3">
        <v>23</v>
      </c>
      <c r="B23" s="15" t="s">
        <v>108</v>
      </c>
      <c r="C23" s="4" t="s">
        <v>19</v>
      </c>
      <c r="D23" s="11">
        <f>SUM(501+1503+1501+1455+1503+1411)</f>
        <v>7874</v>
      </c>
      <c r="E23" s="11">
        <f>SUM(46+117+99+123+95+77)</f>
        <v>557</v>
      </c>
      <c r="F23" s="12">
        <f>SUM(D23/E23)</f>
        <v>14.136445242369838</v>
      </c>
      <c r="G23" s="11">
        <v>6</v>
      </c>
      <c r="H23" s="11">
        <v>4</v>
      </c>
      <c r="I23" s="11"/>
      <c r="J23" s="11">
        <v>1</v>
      </c>
      <c r="K23" s="11"/>
      <c r="L23" s="11">
        <v>25.5</v>
      </c>
      <c r="M23" s="13">
        <v>5</v>
      </c>
    </row>
    <row r="24" spans="1:13" ht="18.75" x14ac:dyDescent="0.3">
      <c r="A24" s="3">
        <v>24</v>
      </c>
      <c r="B24" s="4" t="s">
        <v>62</v>
      </c>
      <c r="C24" s="4" t="s">
        <v>19</v>
      </c>
      <c r="D24" s="11">
        <f>SUM(1290+1479+1300+1217+1308+1400+1216+1414)</f>
        <v>10624</v>
      </c>
      <c r="E24" s="11">
        <f>SUM(76+107+93+86+99+80+99+114)</f>
        <v>754</v>
      </c>
      <c r="F24" s="12">
        <f>SUM(D24/E24)</f>
        <v>14.090185676392572</v>
      </c>
      <c r="G24" s="11">
        <v>8</v>
      </c>
      <c r="H24" s="11">
        <v>2</v>
      </c>
      <c r="I24" s="11"/>
      <c r="J24" s="11"/>
      <c r="K24" s="11"/>
      <c r="L24" s="11">
        <v>24</v>
      </c>
      <c r="M24" s="13">
        <v>5</v>
      </c>
    </row>
    <row r="25" spans="1:13" ht="18.75" x14ac:dyDescent="0.3">
      <c r="A25" s="3">
        <v>25</v>
      </c>
      <c r="B25" s="15" t="s">
        <v>113</v>
      </c>
      <c r="C25" s="4" t="s">
        <v>16</v>
      </c>
      <c r="D25" s="11">
        <f>SUM(1503+1307+1309+1503+1487)</f>
        <v>7109</v>
      </c>
      <c r="E25" s="11">
        <f>SUM(104+111+88+99+103)</f>
        <v>505</v>
      </c>
      <c r="F25" s="12">
        <f>SUM(D25/E25)</f>
        <v>14.077227722772276</v>
      </c>
      <c r="G25" s="11">
        <v>5</v>
      </c>
      <c r="H25" s="11">
        <v>3</v>
      </c>
      <c r="I25" s="11"/>
      <c r="J25" s="11"/>
      <c r="K25" s="11"/>
      <c r="L25" s="11">
        <v>23</v>
      </c>
      <c r="M25" s="13"/>
    </row>
    <row r="26" spans="1:13" ht="18.75" x14ac:dyDescent="0.3">
      <c r="A26" s="3">
        <v>26</v>
      </c>
      <c r="B26" s="15" t="s">
        <v>93</v>
      </c>
      <c r="C26" s="4" t="s">
        <v>42</v>
      </c>
      <c r="D26" s="11">
        <f>SUM(1481+1499+1329+1503+1467+1487+1431)</f>
        <v>10197</v>
      </c>
      <c r="E26" s="11">
        <f>SUM(97+130+104+115+90+99+90)</f>
        <v>725</v>
      </c>
      <c r="F26" s="12">
        <f>SUM(D26/E26)</f>
        <v>14.064827586206897</v>
      </c>
      <c r="G26" s="11">
        <v>7</v>
      </c>
      <c r="H26" s="11">
        <v>3</v>
      </c>
      <c r="I26" s="11"/>
      <c r="J26" s="11"/>
      <c r="K26" s="11"/>
      <c r="L26" s="11">
        <v>20</v>
      </c>
      <c r="M26" s="13">
        <v>10</v>
      </c>
    </row>
    <row r="27" spans="1:13" ht="18.75" x14ac:dyDescent="0.3">
      <c r="A27" s="3">
        <v>27</v>
      </c>
      <c r="B27" s="15" t="s">
        <v>39</v>
      </c>
      <c r="C27" s="4" t="s">
        <v>23</v>
      </c>
      <c r="D27" s="11">
        <f>SUM(1332+1373+1492+1499+1481+1245+1220+1503+1503)</f>
        <v>12648</v>
      </c>
      <c r="E27" s="11">
        <f>SUM(84+96+119+109+119+86+78+117+105)</f>
        <v>913</v>
      </c>
      <c r="F27" s="12">
        <f>SUM(D27/E27)</f>
        <v>13.853231106243154</v>
      </c>
      <c r="G27" s="11">
        <v>9</v>
      </c>
      <c r="H27" s="11">
        <v>3</v>
      </c>
      <c r="I27" s="11"/>
      <c r="J27" s="11"/>
      <c r="K27" s="11"/>
      <c r="L27" s="11">
        <v>26</v>
      </c>
      <c r="M27" s="13"/>
    </row>
    <row r="28" spans="1:13" ht="18.75" x14ac:dyDescent="0.3">
      <c r="A28" s="3">
        <v>28</v>
      </c>
      <c r="B28" s="3" t="s">
        <v>48</v>
      </c>
      <c r="C28" s="7" t="s">
        <v>32</v>
      </c>
      <c r="D28" s="11">
        <f>SUM(1239+1483+1425+1350+1493+1434+1501+1503+1483)</f>
        <v>12911</v>
      </c>
      <c r="E28" s="11">
        <f>SUM(95+93+104+96+128+96+113+99+113)</f>
        <v>937</v>
      </c>
      <c r="F28" s="12">
        <f>SUM(D28/E28)</f>
        <v>13.779082177161152</v>
      </c>
      <c r="G28" s="11">
        <v>9</v>
      </c>
      <c r="H28" s="11">
        <v>4</v>
      </c>
      <c r="I28" s="11"/>
      <c r="J28" s="11"/>
      <c r="K28" s="11"/>
      <c r="L28" s="11">
        <v>30.5</v>
      </c>
      <c r="M28" s="13">
        <v>5</v>
      </c>
    </row>
    <row r="29" spans="1:13" ht="18.75" x14ac:dyDescent="0.3">
      <c r="A29" s="3">
        <v>29</v>
      </c>
      <c r="B29" s="15" t="s">
        <v>111</v>
      </c>
      <c r="C29" s="4" t="s">
        <v>21</v>
      </c>
      <c r="D29" s="11">
        <f>SUM(1274+1414+1428+1463+1495+1440)</f>
        <v>8514</v>
      </c>
      <c r="E29" s="11">
        <f>SUM(111+106+96+113+95+105)</f>
        <v>626</v>
      </c>
      <c r="F29" s="12">
        <f>SUM(D29/E29)</f>
        <v>13.600638977635782</v>
      </c>
      <c r="G29" s="11">
        <v>6</v>
      </c>
      <c r="H29" s="11">
        <v>2</v>
      </c>
      <c r="I29" s="11"/>
      <c r="J29" s="11"/>
      <c r="K29" s="11"/>
      <c r="L29" s="11">
        <v>16.5</v>
      </c>
      <c r="M29" s="13"/>
    </row>
    <row r="30" spans="1:13" ht="18.75" x14ac:dyDescent="0.3">
      <c r="A30" s="3">
        <v>30</v>
      </c>
      <c r="B30" s="7" t="s">
        <v>35</v>
      </c>
      <c r="C30" s="4" t="s">
        <v>16</v>
      </c>
      <c r="D30" s="11">
        <f>SUM(1471+1503+1330+1362)</f>
        <v>5666</v>
      </c>
      <c r="E30" s="11">
        <f>SUM(104+123+105+89)</f>
        <v>421</v>
      </c>
      <c r="F30" s="12">
        <f>SUM(D30/E30)</f>
        <v>13.458432304038006</v>
      </c>
      <c r="G30" s="11">
        <v>4</v>
      </c>
      <c r="H30" s="11">
        <v>3</v>
      </c>
      <c r="I30" s="11"/>
      <c r="J30" s="11"/>
      <c r="K30" s="11"/>
      <c r="L30" s="11">
        <v>13.5</v>
      </c>
      <c r="M30" s="13">
        <v>5</v>
      </c>
    </row>
    <row r="31" spans="1:13" ht="18.75" x14ac:dyDescent="0.3">
      <c r="A31" s="3">
        <v>31</v>
      </c>
      <c r="B31" s="57" t="s">
        <v>20</v>
      </c>
      <c r="C31" s="4" t="s">
        <v>21</v>
      </c>
      <c r="D31" s="11">
        <f>SUM(1243+1262+1307+1213+1469+1468+1415+1376)</f>
        <v>10753</v>
      </c>
      <c r="E31" s="11">
        <f>SUM(94+86+87+120+106+109+104+99)</f>
        <v>805</v>
      </c>
      <c r="F31" s="12">
        <f>SUM(D31/E31)</f>
        <v>13.357763975155279</v>
      </c>
      <c r="G31" s="11">
        <v>8</v>
      </c>
      <c r="H31" s="11">
        <v>2</v>
      </c>
      <c r="I31" s="11"/>
      <c r="J31" s="11"/>
      <c r="K31" s="11"/>
      <c r="L31" s="11">
        <v>16.5</v>
      </c>
      <c r="M31" s="13"/>
    </row>
    <row r="32" spans="1:13" ht="18.75" x14ac:dyDescent="0.3">
      <c r="A32" s="3">
        <v>32</v>
      </c>
      <c r="B32" s="7" t="s">
        <v>61</v>
      </c>
      <c r="C32" s="4" t="s">
        <v>47</v>
      </c>
      <c r="D32" s="11">
        <f>SUM(1322+1462+1409+1497+1486+1453+1329+1503+1503)</f>
        <v>12964</v>
      </c>
      <c r="E32" s="11">
        <f>SUM(111+98+102+120+98+106+97+118+122)</f>
        <v>972</v>
      </c>
      <c r="F32" s="12">
        <f>SUM(D32/E32)</f>
        <v>13.337448559670781</v>
      </c>
      <c r="G32" s="11">
        <v>9</v>
      </c>
      <c r="H32" s="11">
        <v>3</v>
      </c>
      <c r="I32" s="11"/>
      <c r="J32" s="11"/>
      <c r="K32" s="11"/>
      <c r="L32" s="11">
        <v>21.5</v>
      </c>
      <c r="M32" s="13"/>
    </row>
    <row r="33" spans="1:13" ht="18.75" x14ac:dyDescent="0.3">
      <c r="A33" s="3">
        <v>33</v>
      </c>
      <c r="B33" s="9" t="s">
        <v>64</v>
      </c>
      <c r="C33" s="4" t="s">
        <v>95</v>
      </c>
      <c r="D33" s="11">
        <f>SUM(1503+1457+1466+1503+1408+1180+1418+1426+1495)</f>
        <v>12856</v>
      </c>
      <c r="E33" s="11">
        <f>SUM(123+117+121+103+121+81+107+105+89)</f>
        <v>967</v>
      </c>
      <c r="F33" s="12">
        <f>SUM(D33/E33)</f>
        <v>13.294725956566701</v>
      </c>
      <c r="G33" s="11">
        <v>9</v>
      </c>
      <c r="H33" s="11">
        <v>5</v>
      </c>
      <c r="I33" s="11"/>
      <c r="J33" s="11"/>
      <c r="K33" s="11"/>
      <c r="L33" s="11">
        <v>25.5</v>
      </c>
      <c r="M33" s="13"/>
    </row>
    <row r="34" spans="1:13" ht="18.75" x14ac:dyDescent="0.3">
      <c r="A34" s="3">
        <v>34</v>
      </c>
      <c r="B34" s="7" t="s">
        <v>43</v>
      </c>
      <c r="C34" s="4" t="s">
        <v>12</v>
      </c>
      <c r="D34" s="11">
        <f>SUM(1479+1503+1483+1474+1349+1471+1503+1458+1493)</f>
        <v>13213</v>
      </c>
      <c r="E34" s="11">
        <f>SUM(130+97+96+123+86+87+114+116+153)</f>
        <v>1002</v>
      </c>
      <c r="F34" s="12">
        <f>SUM(D34/E34)</f>
        <v>13.186626746506986</v>
      </c>
      <c r="G34" s="11">
        <v>9</v>
      </c>
      <c r="H34" s="11">
        <v>8</v>
      </c>
      <c r="I34" s="11"/>
      <c r="J34" s="11"/>
      <c r="K34" s="11"/>
      <c r="L34" s="11">
        <v>37</v>
      </c>
      <c r="M34" s="13"/>
    </row>
    <row r="35" spans="1:13" ht="18.75" x14ac:dyDescent="0.3">
      <c r="A35" s="3">
        <v>35</v>
      </c>
      <c r="B35" s="9" t="s">
        <v>38</v>
      </c>
      <c r="C35" s="4" t="s">
        <v>28</v>
      </c>
      <c r="D35" s="11">
        <f>SUM(1503+1456+1500+1493+1179+1395+1495+1458)</f>
        <v>11479</v>
      </c>
      <c r="E35" s="11">
        <f>SUM(107+134+103+122+81+108+127+113)</f>
        <v>895</v>
      </c>
      <c r="F35" s="12">
        <f>SUM(D35/E35)</f>
        <v>12.825698324022346</v>
      </c>
      <c r="G35" s="11">
        <v>8</v>
      </c>
      <c r="H35" s="11">
        <v>6</v>
      </c>
      <c r="I35" s="11"/>
      <c r="J35" s="11"/>
      <c r="K35" s="11"/>
      <c r="L35" s="11">
        <v>25</v>
      </c>
      <c r="M35" s="13"/>
    </row>
    <row r="36" spans="1:13" ht="18.75" x14ac:dyDescent="0.3">
      <c r="A36" s="3">
        <v>36</v>
      </c>
      <c r="B36" s="55" t="s">
        <v>52</v>
      </c>
      <c r="C36" s="8" t="s">
        <v>53</v>
      </c>
      <c r="D36" s="11">
        <f>SUM(1503+1413+1348+1220+1173+1417+1195+1350)</f>
        <v>10619</v>
      </c>
      <c r="E36" s="11">
        <f>SUM(111+108+106+105+81+114+93+114)</f>
        <v>832</v>
      </c>
      <c r="F36" s="12">
        <f>SUM(D36/E36)</f>
        <v>12.763221153846153</v>
      </c>
      <c r="G36" s="11">
        <v>8</v>
      </c>
      <c r="H36" s="11">
        <v>1</v>
      </c>
      <c r="I36" s="11"/>
      <c r="J36" s="11"/>
      <c r="K36" s="11"/>
      <c r="L36" s="11">
        <v>7.5</v>
      </c>
      <c r="M36" s="13"/>
    </row>
    <row r="37" spans="1:13" ht="18.75" x14ac:dyDescent="0.3">
      <c r="A37" s="3">
        <v>37</v>
      </c>
      <c r="B37" s="7" t="s">
        <v>44</v>
      </c>
      <c r="C37" s="7" t="s">
        <v>95</v>
      </c>
      <c r="D37" s="11">
        <f>SUM(1375+1355+1020+1503+1483+1440+1375+1415+1415)</f>
        <v>12381</v>
      </c>
      <c r="E37" s="11">
        <f>SUM(106+108+111+122+121+116+105+92+101)</f>
        <v>982</v>
      </c>
      <c r="F37" s="12">
        <f>SUM(D37/E37)</f>
        <v>12.607942973523421</v>
      </c>
      <c r="G37" s="11">
        <v>9</v>
      </c>
      <c r="H37" s="11">
        <v>6</v>
      </c>
      <c r="I37" s="11"/>
      <c r="J37" s="11"/>
      <c r="K37" s="11"/>
      <c r="L37" s="11">
        <v>24</v>
      </c>
      <c r="M37" s="13"/>
    </row>
    <row r="38" spans="1:13" ht="18.75" x14ac:dyDescent="0.3">
      <c r="A38" s="3">
        <v>38</v>
      </c>
      <c r="B38" s="16" t="s">
        <v>26</v>
      </c>
      <c r="C38" s="7" t="s">
        <v>19</v>
      </c>
      <c r="D38" s="11">
        <f>SUM(1480+1503+1495+1352+1496+1503)</f>
        <v>8829</v>
      </c>
      <c r="E38" s="11">
        <f>SUM(128+118+124+108+107+120)</f>
        <v>705</v>
      </c>
      <c r="F38" s="12">
        <f>SUM(D38/E38)</f>
        <v>12.523404255319148</v>
      </c>
      <c r="G38" s="11">
        <v>6</v>
      </c>
      <c r="H38" s="11">
        <v>3</v>
      </c>
      <c r="I38" s="11"/>
      <c r="J38" s="11"/>
      <c r="K38" s="11"/>
      <c r="L38" s="11">
        <v>25</v>
      </c>
      <c r="M38" s="13"/>
    </row>
    <row r="39" spans="1:13" ht="18.75" x14ac:dyDescent="0.3">
      <c r="A39" s="3">
        <v>39</v>
      </c>
      <c r="B39" s="16" t="s">
        <v>30</v>
      </c>
      <c r="C39" s="8" t="s">
        <v>19</v>
      </c>
      <c r="D39" s="11">
        <f>SUM(1434+1354+1503+1495+1363+1374+1503)</f>
        <v>10026</v>
      </c>
      <c r="E39" s="11">
        <f>SUM(100+90+162+135+108+88+123)</f>
        <v>806</v>
      </c>
      <c r="F39" s="12">
        <f>SUM(D39/E39)</f>
        <v>12.439205955334987</v>
      </c>
      <c r="G39" s="11">
        <v>7</v>
      </c>
      <c r="H39" s="11">
        <v>3</v>
      </c>
      <c r="I39" s="11"/>
      <c r="J39" s="11"/>
      <c r="K39" s="11"/>
      <c r="L39" s="11">
        <v>21</v>
      </c>
      <c r="M39" s="13"/>
    </row>
    <row r="40" spans="1:13" ht="18.75" x14ac:dyDescent="0.3">
      <c r="A40" s="3">
        <v>40</v>
      </c>
      <c r="B40" s="16" t="s">
        <v>41</v>
      </c>
      <c r="C40" s="4" t="s">
        <v>28</v>
      </c>
      <c r="D40" s="11">
        <f>SUM(1487+1499+1483+1499+1503+1498+1463+1483+1483)</f>
        <v>13398</v>
      </c>
      <c r="E40" s="11">
        <f>SUM(120+141+99+139+108+105+106+118+142)</f>
        <v>1078</v>
      </c>
      <c r="F40" s="12">
        <f>SUM(D40/E40)</f>
        <v>12.428571428571429</v>
      </c>
      <c r="G40" s="11">
        <v>9</v>
      </c>
      <c r="H40" s="11">
        <v>8</v>
      </c>
      <c r="I40" s="11"/>
      <c r="J40" s="11"/>
      <c r="K40" s="11"/>
      <c r="L40" s="11">
        <v>31.5</v>
      </c>
      <c r="M40" s="13">
        <v>5</v>
      </c>
    </row>
    <row r="41" spans="1:13" ht="18.75" x14ac:dyDescent="0.3">
      <c r="A41" s="3">
        <v>41</v>
      </c>
      <c r="B41" s="10" t="s">
        <v>60</v>
      </c>
      <c r="C41" s="7" t="s">
        <v>47</v>
      </c>
      <c r="D41" s="11">
        <f>SUM(1477+1291+1469+1471+1480+1218+1331+1359+1415)</f>
        <v>12511</v>
      </c>
      <c r="E41" s="11">
        <f>SUM(126+87+136+98+131+94+111+114+114)</f>
        <v>1011</v>
      </c>
      <c r="F41" s="12">
        <f>SUM(D41/E41)</f>
        <v>12.374876360039565</v>
      </c>
      <c r="G41" s="11">
        <v>9</v>
      </c>
      <c r="H41" s="11">
        <v>1</v>
      </c>
      <c r="I41" s="11"/>
      <c r="J41" s="11"/>
      <c r="K41" s="11"/>
      <c r="L41" s="11">
        <v>17</v>
      </c>
      <c r="M41" s="13"/>
    </row>
    <row r="42" spans="1:13" ht="18.75" x14ac:dyDescent="0.3">
      <c r="A42" s="3">
        <v>42</v>
      </c>
      <c r="B42" s="16" t="s">
        <v>40</v>
      </c>
      <c r="C42" s="7" t="s">
        <v>14</v>
      </c>
      <c r="D42" s="11">
        <f>SUM(1351+1493+1429+1206+1475+1484+1478+1387)</f>
        <v>11303</v>
      </c>
      <c r="E42" s="11">
        <f>SUM(100+138+96+96+129+115+149+96)</f>
        <v>919</v>
      </c>
      <c r="F42" s="12">
        <f>SUM(D42/E42)</f>
        <v>12.299238302502721</v>
      </c>
      <c r="G42" s="11">
        <v>8</v>
      </c>
      <c r="H42" s="11">
        <v>2</v>
      </c>
      <c r="I42" s="11"/>
      <c r="J42" s="11"/>
      <c r="K42" s="11"/>
      <c r="L42" s="11">
        <v>24.5</v>
      </c>
      <c r="M42" s="13"/>
    </row>
    <row r="43" spans="1:13" ht="18.75" x14ac:dyDescent="0.3">
      <c r="A43" s="3">
        <v>43</v>
      </c>
      <c r="B43" s="16" t="s">
        <v>34</v>
      </c>
      <c r="C43" s="7" t="s">
        <v>32</v>
      </c>
      <c r="D43" s="11">
        <f>SUM(1204+1501+1396+1414+1498+1481+1501+1483+1481)</f>
        <v>12959</v>
      </c>
      <c r="E43" s="11">
        <f>SUM(88+140+97+90+105+117+158+129+130)</f>
        <v>1054</v>
      </c>
      <c r="F43" s="12">
        <f>SUM(D43/E43)</f>
        <v>12.295066413662239</v>
      </c>
      <c r="G43" s="11">
        <v>9</v>
      </c>
      <c r="H43" s="11">
        <v>5</v>
      </c>
      <c r="I43" s="11"/>
      <c r="J43" s="11"/>
      <c r="K43" s="11"/>
      <c r="L43" s="11">
        <v>32.5</v>
      </c>
      <c r="M43" s="13"/>
    </row>
    <row r="44" spans="1:13" ht="18.75" x14ac:dyDescent="0.3">
      <c r="A44" s="3">
        <v>44</v>
      </c>
      <c r="B44" s="10" t="s">
        <v>29</v>
      </c>
      <c r="C44" s="7" t="s">
        <v>23</v>
      </c>
      <c r="D44" s="11">
        <f>SUM(1204+1459+1145+1498+1408+1456+1499+1480)</f>
        <v>11149</v>
      </c>
      <c r="E44" s="11">
        <f>SUM(99+135+102+104+101+97+143+130)</f>
        <v>911</v>
      </c>
      <c r="F44" s="12">
        <f>SUM(D44/E44)</f>
        <v>12.238199780461033</v>
      </c>
      <c r="G44" s="11">
        <v>8</v>
      </c>
      <c r="H44" s="11">
        <v>4</v>
      </c>
      <c r="I44" s="11"/>
      <c r="J44" s="11"/>
      <c r="K44" s="11"/>
      <c r="L44" s="11">
        <v>21</v>
      </c>
      <c r="M44" s="13"/>
    </row>
    <row r="45" spans="1:13" ht="18.75" x14ac:dyDescent="0.3">
      <c r="A45" s="3">
        <v>45</v>
      </c>
      <c r="B45" s="16" t="s">
        <v>145</v>
      </c>
      <c r="C45" s="7" t="s">
        <v>23</v>
      </c>
      <c r="D45" s="11">
        <f>SUM(1173)</f>
        <v>1173</v>
      </c>
      <c r="E45" s="11">
        <f>SUM(96)</f>
        <v>96</v>
      </c>
      <c r="F45" s="12">
        <f>SUM(D45/E45)</f>
        <v>12.21875</v>
      </c>
      <c r="G45" s="11">
        <v>1</v>
      </c>
      <c r="H45" s="11"/>
      <c r="I45" s="11"/>
      <c r="J45" s="11"/>
      <c r="K45" s="11"/>
      <c r="L45" s="11"/>
      <c r="M45" s="13"/>
    </row>
    <row r="46" spans="1:13" ht="18.75" x14ac:dyDescent="0.3">
      <c r="A46" s="3">
        <v>46</v>
      </c>
      <c r="B46" s="16" t="s">
        <v>144</v>
      </c>
      <c r="C46" s="4" t="s">
        <v>53</v>
      </c>
      <c r="D46" s="11">
        <f>SUM(1244)</f>
        <v>1244</v>
      </c>
      <c r="E46" s="11">
        <f>SUM(102)</f>
        <v>102</v>
      </c>
      <c r="F46" s="12">
        <f>SUM(D46/E46)</f>
        <v>12.196078431372548</v>
      </c>
      <c r="G46" s="11">
        <v>1</v>
      </c>
      <c r="H46" s="11"/>
      <c r="I46" s="11"/>
      <c r="J46" s="11"/>
      <c r="K46" s="11"/>
      <c r="L46" s="11"/>
      <c r="M46" s="13"/>
    </row>
    <row r="47" spans="1:13" ht="18.75" x14ac:dyDescent="0.3">
      <c r="A47" s="3">
        <v>47</v>
      </c>
      <c r="B47" s="10" t="s">
        <v>50</v>
      </c>
      <c r="C47" s="7" t="s">
        <v>42</v>
      </c>
      <c r="D47" s="11">
        <f>SUM(1503+1083+1503+1401+1481+1497+1501+1196+1485)</f>
        <v>12650</v>
      </c>
      <c r="E47" s="11">
        <f>SUM(137+81+126+109+117+135+149+91+99)</f>
        <v>1044</v>
      </c>
      <c r="F47" s="12">
        <f>SUM(D47/E47)</f>
        <v>12.116858237547893</v>
      </c>
      <c r="G47" s="11">
        <v>9</v>
      </c>
      <c r="H47" s="11">
        <v>5</v>
      </c>
      <c r="I47" s="11"/>
      <c r="J47" s="11"/>
      <c r="K47" s="11"/>
      <c r="L47" s="11">
        <v>28</v>
      </c>
      <c r="M47" s="13">
        <v>5</v>
      </c>
    </row>
    <row r="48" spans="1:13" ht="18.75" x14ac:dyDescent="0.3">
      <c r="A48" s="3">
        <v>48</v>
      </c>
      <c r="B48" s="36" t="s">
        <v>58</v>
      </c>
      <c r="C48" s="4" t="s">
        <v>53</v>
      </c>
      <c r="D48" s="11">
        <f>SUM(1098+1207+1409+1390+1416+1444+1373+1009+1044)</f>
        <v>11390</v>
      </c>
      <c r="E48" s="11">
        <f>SUM(87+93+129+99+124+132+113+105+81)</f>
        <v>963</v>
      </c>
      <c r="F48" s="12">
        <f>SUM(D48/E48)</f>
        <v>11.827622014537903</v>
      </c>
      <c r="G48" s="11">
        <v>9</v>
      </c>
      <c r="H48" s="11"/>
      <c r="I48" s="11"/>
      <c r="J48" s="11"/>
      <c r="K48" s="11"/>
      <c r="L48" s="11">
        <v>8</v>
      </c>
      <c r="M48" s="13"/>
    </row>
    <row r="49" spans="1:13" ht="18.75" x14ac:dyDescent="0.3">
      <c r="A49" s="3">
        <v>49</v>
      </c>
      <c r="B49" s="4" t="s">
        <v>143</v>
      </c>
      <c r="C49" s="4" t="s">
        <v>53</v>
      </c>
      <c r="D49" s="11">
        <f>SUM(1312)</f>
        <v>1312</v>
      </c>
      <c r="E49" s="11">
        <f>SUM(113)</f>
        <v>113</v>
      </c>
      <c r="F49" s="12">
        <f>SUM(D49/E49)</f>
        <v>11.610619469026549</v>
      </c>
      <c r="G49" s="11">
        <v>1</v>
      </c>
      <c r="H49" s="11"/>
      <c r="I49" s="11"/>
      <c r="J49" s="11"/>
      <c r="K49" s="11"/>
      <c r="L49" s="11">
        <v>1</v>
      </c>
      <c r="M49" s="13"/>
    </row>
    <row r="50" spans="1:13" ht="18.75" x14ac:dyDescent="0.3">
      <c r="A50" s="3">
        <v>50</v>
      </c>
      <c r="B50" s="4" t="s">
        <v>125</v>
      </c>
      <c r="C50" s="17" t="s">
        <v>53</v>
      </c>
      <c r="D50" s="11">
        <f>SUM(1341)</f>
        <v>1341</v>
      </c>
      <c r="E50" s="11">
        <f>SUM(117)</f>
        <v>117</v>
      </c>
      <c r="F50" s="12">
        <f>SUM(D50/E50)</f>
        <v>11.461538461538462</v>
      </c>
      <c r="G50" s="11">
        <v>1</v>
      </c>
      <c r="H50" s="11"/>
      <c r="I50" s="11"/>
      <c r="J50" s="11"/>
      <c r="K50" s="11"/>
      <c r="L50" s="11"/>
      <c r="M50" s="13"/>
    </row>
    <row r="51" spans="1:13" ht="18.75" x14ac:dyDescent="0.3">
      <c r="A51" s="3">
        <v>51</v>
      </c>
      <c r="B51" s="15" t="s">
        <v>109</v>
      </c>
      <c r="C51" s="4" t="s">
        <v>53</v>
      </c>
      <c r="D51" s="11">
        <f>SUM(496+1498+1461+1497+1433+1359)</f>
        <v>7744</v>
      </c>
      <c r="E51" s="11">
        <f>SUM(45+156+130+134+114+102)</f>
        <v>681</v>
      </c>
      <c r="F51" s="12">
        <f>SUM(D51/E51)</f>
        <v>11.37151248164464</v>
      </c>
      <c r="G51" s="11">
        <v>6</v>
      </c>
      <c r="H51" s="11">
        <v>1</v>
      </c>
      <c r="I51" s="11"/>
      <c r="J51" s="11"/>
      <c r="K51" s="11"/>
      <c r="L51" s="11">
        <v>10</v>
      </c>
      <c r="M51" s="13"/>
    </row>
    <row r="52" spans="1:13" ht="18.75" x14ac:dyDescent="0.3">
      <c r="A52" s="3">
        <v>52</v>
      </c>
      <c r="B52" s="15" t="s">
        <v>102</v>
      </c>
      <c r="C52" s="4" t="s">
        <v>21</v>
      </c>
      <c r="D52" s="11">
        <f>SUM(1467)</f>
        <v>1467</v>
      </c>
      <c r="E52" s="11">
        <f>SUM(130)</f>
        <v>130</v>
      </c>
      <c r="F52" s="12">
        <f>SUM(D52/E52)</f>
        <v>11.284615384615385</v>
      </c>
      <c r="G52" s="11">
        <v>1</v>
      </c>
      <c r="H52" s="11">
        <v>1</v>
      </c>
      <c r="I52" s="11"/>
      <c r="J52" s="11"/>
      <c r="K52" s="11"/>
      <c r="L52" s="11">
        <v>4</v>
      </c>
      <c r="M52" s="13"/>
    </row>
    <row r="53" spans="1:13" ht="18.75" x14ac:dyDescent="0.3">
      <c r="A53" s="3">
        <v>53</v>
      </c>
      <c r="B53" s="15" t="s">
        <v>63</v>
      </c>
      <c r="C53" s="4" t="s">
        <v>21</v>
      </c>
      <c r="D53" s="11">
        <f>SUM(1452+1495+1498+1503+1492)</f>
        <v>7440</v>
      </c>
      <c r="E53" s="11">
        <f>SUM(135+120+143+139+128)</f>
        <v>665</v>
      </c>
      <c r="F53" s="12">
        <f>SUM(D53/E53)</f>
        <v>11.18796992481203</v>
      </c>
      <c r="G53" s="11">
        <v>5</v>
      </c>
      <c r="H53" s="11">
        <v>2</v>
      </c>
      <c r="I53" s="11"/>
      <c r="J53" s="11"/>
      <c r="K53" s="11"/>
      <c r="L53" s="11">
        <v>15</v>
      </c>
      <c r="M53" s="13"/>
    </row>
    <row r="54" spans="1:13" ht="18.75" x14ac:dyDescent="0.3">
      <c r="A54" s="3">
        <v>54</v>
      </c>
      <c r="B54" s="4" t="s">
        <v>56</v>
      </c>
      <c r="C54" s="4" t="s">
        <v>95</v>
      </c>
      <c r="D54" s="11">
        <f>SUM(1248+1064+1400+1411+1387+1347+1413)</f>
        <v>9270</v>
      </c>
      <c r="E54" s="11">
        <f>SUM(105+84+133+141+150+112+108)</f>
        <v>833</v>
      </c>
      <c r="F54" s="12">
        <f>SUM(D54/E54)</f>
        <v>11.128451380552221</v>
      </c>
      <c r="G54" s="11">
        <v>7</v>
      </c>
      <c r="H54" s="11"/>
      <c r="I54" s="11"/>
      <c r="J54" s="11"/>
      <c r="K54" s="11"/>
      <c r="L54" s="11">
        <v>11</v>
      </c>
      <c r="M54" s="13"/>
    </row>
    <row r="55" spans="1:13" ht="18.75" x14ac:dyDescent="0.3">
      <c r="A55" s="3">
        <v>55</v>
      </c>
      <c r="B55" s="4" t="s">
        <v>54</v>
      </c>
      <c r="C55" s="17" t="s">
        <v>47</v>
      </c>
      <c r="D55" s="11">
        <f>SUM(1478+1353+1503+1472+1448+1079+1478+1286)</f>
        <v>11097</v>
      </c>
      <c r="E55" s="11">
        <f>SUM(126+139+133+123+135+93+143+117)</f>
        <v>1009</v>
      </c>
      <c r="F55" s="12">
        <f>SUM(D55/E55)</f>
        <v>10.998017839444994</v>
      </c>
      <c r="G55" s="11">
        <v>8</v>
      </c>
      <c r="H55" s="11">
        <v>3</v>
      </c>
      <c r="I55" s="11"/>
      <c r="J55" s="11"/>
      <c r="K55" s="11"/>
      <c r="L55" s="11">
        <v>15</v>
      </c>
      <c r="M55" s="13"/>
    </row>
    <row r="56" spans="1:13" ht="18.75" x14ac:dyDescent="0.3">
      <c r="A56" s="3">
        <v>56</v>
      </c>
      <c r="B56" s="4" t="s">
        <v>51</v>
      </c>
      <c r="C56" s="17" t="s">
        <v>14</v>
      </c>
      <c r="D56" s="11">
        <f>SUM(1394+1122+1067+1482+1376+1498+1402+1456)</f>
        <v>10797</v>
      </c>
      <c r="E56" s="11">
        <f>SUM(93+86+81+162+144+145+150+125)</f>
        <v>986</v>
      </c>
      <c r="F56" s="12">
        <f>SUM(D56/E56)</f>
        <v>10.950304259634889</v>
      </c>
      <c r="G56" s="11">
        <v>8</v>
      </c>
      <c r="H56" s="11">
        <v>1</v>
      </c>
      <c r="I56" s="11"/>
      <c r="J56" s="11"/>
      <c r="K56" s="11"/>
      <c r="L56" s="11">
        <v>15.5</v>
      </c>
      <c r="M56" s="13"/>
    </row>
    <row r="57" spans="1:13" ht="18.75" x14ac:dyDescent="0.3">
      <c r="A57" s="3">
        <v>57</v>
      </c>
      <c r="B57" s="15" t="s">
        <v>55</v>
      </c>
      <c r="C57" s="4" t="s">
        <v>53</v>
      </c>
      <c r="D57" s="11">
        <f>SUM(1363+1275+1471+1473+1503+1072+1459)</f>
        <v>9616</v>
      </c>
      <c r="E57" s="11">
        <f>SUM(123+117+156+148+117+87+131)</f>
        <v>879</v>
      </c>
      <c r="F57" s="12">
        <f>SUM(D57/E57)</f>
        <v>10.939704209328783</v>
      </c>
      <c r="G57" s="11">
        <v>7</v>
      </c>
      <c r="H57" s="11">
        <v>2</v>
      </c>
      <c r="I57" s="11"/>
      <c r="J57" s="11"/>
      <c r="K57" s="11"/>
      <c r="L57" s="11">
        <v>13</v>
      </c>
      <c r="M57" s="13"/>
    </row>
    <row r="58" spans="1:13" ht="18.75" x14ac:dyDescent="0.3">
      <c r="A58" s="3">
        <v>58</v>
      </c>
      <c r="B58" s="15" t="s">
        <v>94</v>
      </c>
      <c r="C58" s="7" t="s">
        <v>42</v>
      </c>
      <c r="D58" s="11">
        <f>SUM(1484+1490+1474+1452+1499+1435+1499+1463+1469)</f>
        <v>13265</v>
      </c>
      <c r="E58" s="11">
        <f>SUM(126+139+150+165+106+132+146+114+150)</f>
        <v>1228</v>
      </c>
      <c r="F58" s="12">
        <f>SUM(D58/E58)</f>
        <v>10.802117263843648</v>
      </c>
      <c r="G58" s="11">
        <v>9</v>
      </c>
      <c r="H58" s="11">
        <v>3</v>
      </c>
      <c r="I58" s="11"/>
      <c r="J58" s="11"/>
      <c r="K58" s="11"/>
      <c r="L58" s="11">
        <v>26.5</v>
      </c>
      <c r="M58" s="13"/>
    </row>
    <row r="59" spans="1:13" ht="18.75" x14ac:dyDescent="0.3">
      <c r="A59" s="3">
        <v>59</v>
      </c>
      <c r="B59" s="4" t="s">
        <v>124</v>
      </c>
      <c r="C59" s="4" t="s">
        <v>28</v>
      </c>
      <c r="D59" s="11">
        <f>SUM(1416)</f>
        <v>1416</v>
      </c>
      <c r="E59" s="11">
        <f>SUM(132)</f>
        <v>132</v>
      </c>
      <c r="F59" s="12">
        <f>SUM(D59/E59)</f>
        <v>10.727272727272727</v>
      </c>
      <c r="G59" s="11">
        <v>1</v>
      </c>
      <c r="H59" s="11"/>
      <c r="I59" s="11"/>
      <c r="J59" s="11"/>
      <c r="K59" s="11"/>
      <c r="L59" s="11">
        <v>1</v>
      </c>
      <c r="M59" s="13"/>
    </row>
    <row r="60" spans="1:13" ht="18.75" x14ac:dyDescent="0.3">
      <c r="A60" s="3">
        <v>60</v>
      </c>
      <c r="B60" s="15" t="s">
        <v>112</v>
      </c>
      <c r="C60" s="58" t="s">
        <v>95</v>
      </c>
      <c r="D60" s="11">
        <f>SUM(1150+1237+1485+1478)</f>
        <v>5350</v>
      </c>
      <c r="E60" s="11">
        <f>SUM(90+108+153+148)</f>
        <v>499</v>
      </c>
      <c r="F60" s="12">
        <f>SUM(D60/E60)</f>
        <v>10.721442885771543</v>
      </c>
      <c r="G60" s="11">
        <v>4</v>
      </c>
      <c r="H60" s="11">
        <v>1</v>
      </c>
      <c r="I60" s="11"/>
      <c r="J60" s="11"/>
      <c r="K60" s="11"/>
      <c r="L60" s="11">
        <v>8</v>
      </c>
      <c r="M60" s="13"/>
    </row>
    <row r="61" spans="1:13" ht="18.75" x14ac:dyDescent="0.3">
      <c r="A61" s="3">
        <v>61</v>
      </c>
      <c r="B61" s="15" t="s">
        <v>59</v>
      </c>
      <c r="C61" s="4" t="s">
        <v>53</v>
      </c>
      <c r="D61" s="11">
        <f>SUM(1368+1501)</f>
        <v>2869</v>
      </c>
      <c r="E61" s="11">
        <f>SUM(122+148)</f>
        <v>270</v>
      </c>
      <c r="F61" s="12">
        <f>SUM(D61/E61)</f>
        <v>10.625925925925927</v>
      </c>
      <c r="G61" s="11">
        <v>2</v>
      </c>
      <c r="H61" s="11">
        <v>2</v>
      </c>
      <c r="I61" s="11"/>
      <c r="J61" s="11"/>
      <c r="K61" s="11"/>
      <c r="L61" s="11">
        <v>6.5</v>
      </c>
      <c r="M61" s="13"/>
    </row>
    <row r="62" spans="1:13" ht="18.75" x14ac:dyDescent="0.3">
      <c r="A62" s="3">
        <v>62</v>
      </c>
      <c r="B62" s="4" t="s">
        <v>118</v>
      </c>
      <c r="C62" s="7" t="s">
        <v>42</v>
      </c>
      <c r="D62" s="11">
        <f>SUM(1477+1499+1258)</f>
        <v>4234</v>
      </c>
      <c r="E62" s="11">
        <f>SUM(152+138+111)</f>
        <v>401</v>
      </c>
      <c r="F62" s="12">
        <f>SUM(D62/E62)</f>
        <v>10.558603491271821</v>
      </c>
      <c r="G62" s="11">
        <v>3</v>
      </c>
      <c r="H62" s="11">
        <v>2</v>
      </c>
      <c r="I62" s="11"/>
      <c r="J62" s="11"/>
      <c r="K62" s="11"/>
      <c r="L62" s="11">
        <v>8</v>
      </c>
      <c r="M62" s="13"/>
    </row>
    <row r="63" spans="1:13" ht="18.75" x14ac:dyDescent="0.3">
      <c r="A63" s="3">
        <v>63</v>
      </c>
      <c r="B63" s="15" t="s">
        <v>110</v>
      </c>
      <c r="C63" s="7" t="s">
        <v>21</v>
      </c>
      <c r="D63" s="11">
        <f>SUM(1250+1503+1491+1315)</f>
        <v>5559</v>
      </c>
      <c r="E63" s="11">
        <f>SUM(109+145+155+119)</f>
        <v>528</v>
      </c>
      <c r="F63" s="12">
        <f>SUM(D63/E63)</f>
        <v>10.528409090909092</v>
      </c>
      <c r="G63" s="11">
        <v>4</v>
      </c>
      <c r="H63" s="11">
        <v>2</v>
      </c>
      <c r="I63" s="11"/>
      <c r="J63" s="11"/>
      <c r="K63" s="11"/>
      <c r="L63" s="11">
        <v>9</v>
      </c>
      <c r="M63" s="13"/>
    </row>
    <row r="64" spans="1:13" ht="18.75" x14ac:dyDescent="0.3">
      <c r="A64" s="3">
        <v>64</v>
      </c>
      <c r="B64" s="15" t="s">
        <v>130</v>
      </c>
      <c r="C64" s="7" t="s">
        <v>14</v>
      </c>
      <c r="D64" s="11">
        <f>SUM(1489+1487)</f>
        <v>2976</v>
      </c>
      <c r="E64" s="11">
        <f>SUM(134+150)</f>
        <v>284</v>
      </c>
      <c r="F64" s="12">
        <f>SUM(D64/E64)</f>
        <v>10.47887323943662</v>
      </c>
      <c r="G64" s="11">
        <v>2</v>
      </c>
      <c r="H64" s="11">
        <v>2</v>
      </c>
      <c r="I64" s="11"/>
      <c r="J64" s="11"/>
      <c r="K64" s="11"/>
      <c r="L64" s="11">
        <v>8.5</v>
      </c>
      <c r="M64" s="13"/>
    </row>
    <row r="65" spans="1:18" ht="18.75" x14ac:dyDescent="0.3">
      <c r="A65" s="3">
        <v>65</v>
      </c>
      <c r="B65" s="15" t="s">
        <v>97</v>
      </c>
      <c r="C65" s="4" t="s">
        <v>47</v>
      </c>
      <c r="D65" s="11">
        <f>SUM(1376)</f>
        <v>1376</v>
      </c>
      <c r="E65" s="11">
        <f>SUM(138)</f>
        <v>138</v>
      </c>
      <c r="F65" s="12">
        <f>SUM(D65/E65)</f>
        <v>9.9710144927536231</v>
      </c>
      <c r="G65" s="11">
        <v>1</v>
      </c>
      <c r="H65" s="11"/>
      <c r="I65" s="11"/>
      <c r="J65" s="11"/>
      <c r="K65" s="11"/>
      <c r="L65" s="11">
        <v>4</v>
      </c>
      <c r="M65" s="13"/>
    </row>
    <row r="66" spans="1:18" ht="18.75" x14ac:dyDescent="0.3">
      <c r="A66" s="3">
        <v>66</v>
      </c>
      <c r="B66" s="21" t="s">
        <v>142</v>
      </c>
      <c r="C66" s="14" t="s">
        <v>53</v>
      </c>
      <c r="D66" s="11">
        <f>SUM(1376)</f>
        <v>1376</v>
      </c>
      <c r="E66" s="11">
        <f>SUM(157)</f>
        <v>157</v>
      </c>
      <c r="F66" s="12">
        <f>SUM(D66/E66)</f>
        <v>8.7643312101910826</v>
      </c>
      <c r="G66" s="11">
        <v>1</v>
      </c>
      <c r="H66" s="11"/>
      <c r="I66" s="11"/>
      <c r="J66" s="11"/>
      <c r="K66" s="11"/>
      <c r="L66" s="11"/>
      <c r="M66" s="13"/>
    </row>
    <row r="67" spans="1:18" ht="17.25" customHeight="1" thickBot="1" x14ac:dyDescent="0.3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8" ht="19.5" customHeight="1" thickBot="1" x14ac:dyDescent="0.35">
      <c r="A68" s="5"/>
      <c r="B68" s="39" t="s">
        <v>153</v>
      </c>
      <c r="C68" s="27" t="s">
        <v>65</v>
      </c>
      <c r="D68" s="28" t="s">
        <v>66</v>
      </c>
      <c r="E68" s="29" t="s">
        <v>67</v>
      </c>
      <c r="F68" s="20" t="s">
        <v>91</v>
      </c>
      <c r="G68" s="30" t="s">
        <v>68</v>
      </c>
      <c r="I68" s="50" t="s">
        <v>69</v>
      </c>
      <c r="J68" s="51"/>
      <c r="K68" s="51"/>
      <c r="L68" s="51"/>
      <c r="M68" s="51"/>
      <c r="N68" s="51"/>
      <c r="O68" s="51"/>
      <c r="P68" s="51"/>
      <c r="Q68" s="51"/>
      <c r="R68" s="52"/>
    </row>
    <row r="69" spans="1:18" ht="18.75" x14ac:dyDescent="0.3">
      <c r="A69" s="5"/>
      <c r="B69" s="40"/>
      <c r="C69" s="17" t="s">
        <v>82</v>
      </c>
      <c r="D69" s="7">
        <v>9</v>
      </c>
      <c r="E69" s="22">
        <v>0</v>
      </c>
      <c r="F69" s="15"/>
      <c r="G69" s="23">
        <v>152</v>
      </c>
      <c r="I69" s="42" t="s">
        <v>70</v>
      </c>
      <c r="J69" s="43"/>
      <c r="K69" s="43"/>
      <c r="L69" s="43"/>
      <c r="M69" s="43"/>
      <c r="N69" s="53" t="s">
        <v>122</v>
      </c>
      <c r="O69" s="53"/>
      <c r="P69" s="53"/>
      <c r="Q69" s="53"/>
      <c r="R69" s="54"/>
    </row>
    <row r="70" spans="1:18" ht="18.75" x14ac:dyDescent="0.3">
      <c r="A70" s="5"/>
      <c r="B70" s="40"/>
      <c r="C70" s="17" t="s">
        <v>77</v>
      </c>
      <c r="D70" s="7">
        <v>9</v>
      </c>
      <c r="E70" s="22">
        <v>0</v>
      </c>
      <c r="F70" s="15"/>
      <c r="G70" s="23">
        <v>143</v>
      </c>
      <c r="I70" s="44" t="s">
        <v>72</v>
      </c>
      <c r="J70" s="45"/>
      <c r="K70" s="45"/>
      <c r="L70" s="45"/>
      <c r="M70" s="45"/>
      <c r="N70" s="48" t="s">
        <v>152</v>
      </c>
      <c r="O70" s="48"/>
      <c r="P70" s="48"/>
      <c r="Q70" s="48"/>
      <c r="R70" s="49"/>
    </row>
    <row r="71" spans="1:18" ht="18.75" x14ac:dyDescent="0.3">
      <c r="A71" s="5"/>
      <c r="B71" s="40"/>
      <c r="C71" s="18" t="s">
        <v>83</v>
      </c>
      <c r="D71" s="9">
        <v>6</v>
      </c>
      <c r="E71" s="10">
        <v>3</v>
      </c>
      <c r="F71" s="15"/>
      <c r="G71" s="18">
        <v>121</v>
      </c>
      <c r="I71" s="44" t="s">
        <v>74</v>
      </c>
      <c r="J71" s="45"/>
      <c r="K71" s="45"/>
      <c r="L71" s="45"/>
      <c r="M71" s="45"/>
      <c r="N71" s="48" t="s">
        <v>151</v>
      </c>
      <c r="O71" s="48"/>
      <c r="P71" s="48"/>
      <c r="Q71" s="48"/>
      <c r="R71" s="49"/>
    </row>
    <row r="72" spans="1:18" ht="18.75" x14ac:dyDescent="0.3">
      <c r="A72" s="6"/>
      <c r="B72" s="40"/>
      <c r="C72" s="17" t="s">
        <v>85</v>
      </c>
      <c r="D72" s="7">
        <v>6</v>
      </c>
      <c r="E72" s="22">
        <v>3</v>
      </c>
      <c r="F72" s="15"/>
      <c r="G72" s="23">
        <v>122</v>
      </c>
      <c r="I72" s="44" t="s">
        <v>76</v>
      </c>
      <c r="J72" s="45"/>
      <c r="K72" s="45"/>
      <c r="L72" s="45"/>
      <c r="M72" s="45"/>
      <c r="N72" s="48" t="s">
        <v>150</v>
      </c>
      <c r="O72" s="48"/>
      <c r="P72" s="48"/>
      <c r="Q72" s="48"/>
      <c r="R72" s="49"/>
    </row>
    <row r="73" spans="1:18" ht="18" customHeight="1" x14ac:dyDescent="0.3">
      <c r="A73" s="6"/>
      <c r="B73" s="40"/>
      <c r="C73" s="17" t="s">
        <v>71</v>
      </c>
      <c r="D73" s="7">
        <v>5</v>
      </c>
      <c r="E73" s="16">
        <v>4</v>
      </c>
      <c r="F73" s="15"/>
      <c r="G73" s="17">
        <v>122</v>
      </c>
      <c r="I73" s="44" t="s">
        <v>78</v>
      </c>
      <c r="J73" s="45"/>
      <c r="K73" s="45"/>
      <c r="L73" s="45"/>
      <c r="M73" s="45"/>
      <c r="N73" s="48" t="s">
        <v>132</v>
      </c>
      <c r="O73" s="48"/>
      <c r="P73" s="48"/>
      <c r="Q73" s="48"/>
      <c r="R73" s="49"/>
    </row>
    <row r="74" spans="1:18" ht="18" customHeight="1" thickBot="1" x14ac:dyDescent="0.35">
      <c r="A74" s="6"/>
      <c r="B74" s="40"/>
      <c r="C74" s="17" t="s">
        <v>75</v>
      </c>
      <c r="D74" s="7">
        <v>4</v>
      </c>
      <c r="E74" s="22">
        <v>4</v>
      </c>
      <c r="F74" s="15"/>
      <c r="G74" s="23">
        <v>98</v>
      </c>
      <c r="I74" s="46" t="s">
        <v>80</v>
      </c>
      <c r="J74" s="47"/>
      <c r="K74" s="47"/>
      <c r="L74" s="47"/>
      <c r="M74" s="47"/>
      <c r="N74" s="48" t="s">
        <v>119</v>
      </c>
      <c r="O74" s="48"/>
      <c r="P74" s="48"/>
      <c r="Q74" s="48"/>
      <c r="R74" s="49"/>
    </row>
    <row r="75" spans="1:18" ht="18.75" x14ac:dyDescent="0.3">
      <c r="A75" s="6"/>
      <c r="B75" s="40"/>
      <c r="C75" s="18" t="s">
        <v>79</v>
      </c>
      <c r="D75" s="9">
        <v>4</v>
      </c>
      <c r="E75" s="10">
        <v>5</v>
      </c>
      <c r="F75" s="15"/>
      <c r="G75" s="18">
        <v>109</v>
      </c>
      <c r="H75" s="6"/>
      <c r="I75" s="6"/>
    </row>
    <row r="76" spans="1:18" ht="18.75" x14ac:dyDescent="0.3">
      <c r="A76" s="6"/>
      <c r="B76" s="40"/>
      <c r="C76" s="18" t="s">
        <v>86</v>
      </c>
      <c r="D76" s="9">
        <v>3</v>
      </c>
      <c r="E76" s="10">
        <v>6</v>
      </c>
      <c r="F76" s="15"/>
      <c r="G76" s="18">
        <v>100</v>
      </c>
      <c r="H76" s="6"/>
    </row>
    <row r="77" spans="1:18" ht="18.75" x14ac:dyDescent="0.3">
      <c r="B77" s="40"/>
      <c r="C77" s="19" t="s">
        <v>101</v>
      </c>
      <c r="D77" s="14">
        <v>3</v>
      </c>
      <c r="E77" s="21">
        <v>6</v>
      </c>
      <c r="F77" s="26"/>
      <c r="G77" s="19">
        <v>93</v>
      </c>
    </row>
    <row r="78" spans="1:18" ht="18.75" x14ac:dyDescent="0.3">
      <c r="B78" s="40"/>
      <c r="C78" s="17" t="s">
        <v>81</v>
      </c>
      <c r="D78" s="7">
        <v>2</v>
      </c>
      <c r="E78" s="16">
        <v>6</v>
      </c>
      <c r="F78" s="15"/>
      <c r="G78" s="17">
        <v>86</v>
      </c>
    </row>
    <row r="79" spans="1:18" ht="18.75" x14ac:dyDescent="0.3">
      <c r="B79" s="40"/>
      <c r="C79" s="17" t="s">
        <v>73</v>
      </c>
      <c r="D79" s="7">
        <v>2</v>
      </c>
      <c r="E79" s="22">
        <v>7</v>
      </c>
      <c r="F79" s="15"/>
      <c r="G79" s="23">
        <v>80</v>
      </c>
    </row>
    <row r="80" spans="1:18" ht="19.5" thickBot="1" x14ac:dyDescent="0.35">
      <c r="B80" s="41"/>
      <c r="C80" s="18" t="s">
        <v>84</v>
      </c>
      <c r="D80" s="9">
        <v>0</v>
      </c>
      <c r="E80" s="10">
        <v>9</v>
      </c>
      <c r="F80" s="15"/>
      <c r="G80" s="18">
        <v>46</v>
      </c>
    </row>
    <row r="81" spans="3:7" ht="15.75" thickBot="1" x14ac:dyDescent="0.3"/>
    <row r="82" spans="3:7" ht="19.5" thickBot="1" x14ac:dyDescent="0.35">
      <c r="C82" s="27" t="s">
        <v>87</v>
      </c>
      <c r="D82" s="28" t="s">
        <v>66</v>
      </c>
      <c r="E82" s="28" t="s">
        <v>67</v>
      </c>
      <c r="F82" s="20" t="s">
        <v>91</v>
      </c>
      <c r="G82" s="31" t="s">
        <v>68</v>
      </c>
    </row>
    <row r="83" spans="3:7" ht="18.75" x14ac:dyDescent="0.3">
      <c r="C83" s="14" t="s">
        <v>82</v>
      </c>
      <c r="D83" s="14">
        <v>9</v>
      </c>
      <c r="E83" s="24">
        <v>0</v>
      </c>
      <c r="F83" s="15"/>
      <c r="G83" s="25">
        <v>152</v>
      </c>
    </row>
    <row r="84" spans="3:7" ht="18.75" x14ac:dyDescent="0.3">
      <c r="C84" s="7" t="s">
        <v>77</v>
      </c>
      <c r="D84" s="7">
        <v>9</v>
      </c>
      <c r="E84" s="22">
        <v>0</v>
      </c>
      <c r="F84" s="15"/>
      <c r="G84" s="23">
        <v>143</v>
      </c>
    </row>
    <row r="85" spans="3:7" ht="18.75" x14ac:dyDescent="0.3">
      <c r="C85" s="14" t="s">
        <v>71</v>
      </c>
      <c r="D85" s="14">
        <v>5</v>
      </c>
      <c r="E85" s="21">
        <v>4</v>
      </c>
      <c r="F85" s="26"/>
      <c r="G85" s="19">
        <v>122</v>
      </c>
    </row>
    <row r="86" spans="3:7" ht="18.75" x14ac:dyDescent="0.3">
      <c r="C86" s="14" t="s">
        <v>75</v>
      </c>
      <c r="D86" s="14">
        <v>4</v>
      </c>
      <c r="E86" s="24">
        <v>4</v>
      </c>
      <c r="F86" s="26"/>
      <c r="G86" s="25">
        <v>98</v>
      </c>
    </row>
    <row r="87" spans="3:7" ht="15.75" thickBot="1" x14ac:dyDescent="0.3"/>
    <row r="88" spans="3:7" ht="19.5" thickBot="1" x14ac:dyDescent="0.35">
      <c r="C88" s="27" t="s">
        <v>88</v>
      </c>
      <c r="D88" s="28" t="s">
        <v>66</v>
      </c>
      <c r="E88" s="28" t="s">
        <v>67</v>
      </c>
      <c r="F88" s="20" t="s">
        <v>91</v>
      </c>
      <c r="G88" s="31" t="s">
        <v>68</v>
      </c>
    </row>
    <row r="89" spans="3:7" ht="18.75" x14ac:dyDescent="0.3">
      <c r="C89" s="9" t="s">
        <v>83</v>
      </c>
      <c r="D89" s="9">
        <v>6</v>
      </c>
      <c r="E89" s="10">
        <v>3</v>
      </c>
      <c r="F89" s="15"/>
      <c r="G89" s="18">
        <v>121</v>
      </c>
    </row>
    <row r="90" spans="3:7" ht="18.75" x14ac:dyDescent="0.3">
      <c r="C90" s="7" t="s">
        <v>85</v>
      </c>
      <c r="D90" s="7">
        <v>6</v>
      </c>
      <c r="E90" s="22">
        <v>3</v>
      </c>
      <c r="F90" s="15"/>
      <c r="G90" s="23">
        <v>122</v>
      </c>
    </row>
    <row r="91" spans="3:7" ht="18.75" x14ac:dyDescent="0.3">
      <c r="C91" s="9" t="s">
        <v>79</v>
      </c>
      <c r="D91" s="9">
        <v>4</v>
      </c>
      <c r="E91" s="10">
        <v>5</v>
      </c>
      <c r="F91" s="15"/>
      <c r="G91" s="18">
        <v>109</v>
      </c>
    </row>
    <row r="92" spans="3:7" ht="18.75" x14ac:dyDescent="0.3">
      <c r="C92" s="14" t="s">
        <v>101</v>
      </c>
      <c r="D92" s="14">
        <v>3</v>
      </c>
      <c r="E92" s="21">
        <v>6</v>
      </c>
      <c r="F92" s="26"/>
      <c r="G92" s="19">
        <v>93</v>
      </c>
    </row>
    <row r="93" spans="3:7" ht="15.75" thickBot="1" x14ac:dyDescent="0.3"/>
    <row r="94" spans="3:7" ht="19.5" thickBot="1" x14ac:dyDescent="0.35">
      <c r="C94" s="32" t="s">
        <v>89</v>
      </c>
      <c r="D94" s="33" t="s">
        <v>66</v>
      </c>
      <c r="E94" s="33" t="s">
        <v>67</v>
      </c>
      <c r="F94" s="20" t="s">
        <v>91</v>
      </c>
      <c r="G94" s="34" t="s">
        <v>68</v>
      </c>
    </row>
    <row r="95" spans="3:7" ht="18.75" x14ac:dyDescent="0.3">
      <c r="C95" s="9" t="s">
        <v>86</v>
      </c>
      <c r="D95" s="9">
        <v>3</v>
      </c>
      <c r="E95" s="10">
        <v>6</v>
      </c>
      <c r="F95" s="15"/>
      <c r="G95" s="18">
        <v>100</v>
      </c>
    </row>
    <row r="96" spans="3:7" ht="18.75" x14ac:dyDescent="0.3">
      <c r="C96" s="7" t="s">
        <v>81</v>
      </c>
      <c r="D96" s="7">
        <v>2</v>
      </c>
      <c r="E96" s="16">
        <v>6</v>
      </c>
      <c r="F96" s="15"/>
      <c r="G96" s="17">
        <v>86</v>
      </c>
    </row>
    <row r="97" spans="3:7" ht="18.75" x14ac:dyDescent="0.3">
      <c r="C97" s="14" t="s">
        <v>73</v>
      </c>
      <c r="D97" s="14">
        <v>2</v>
      </c>
      <c r="E97" s="24">
        <v>7</v>
      </c>
      <c r="F97" s="15"/>
      <c r="G97" s="25">
        <v>80</v>
      </c>
    </row>
    <row r="98" spans="3:7" ht="18.75" x14ac:dyDescent="0.3">
      <c r="C98" s="9" t="s">
        <v>84</v>
      </c>
      <c r="D98" s="9">
        <v>0</v>
      </c>
      <c r="E98" s="10">
        <v>9</v>
      </c>
      <c r="F98" s="15"/>
      <c r="G98" s="18">
        <v>46</v>
      </c>
    </row>
  </sheetData>
  <mergeCells count="14">
    <mergeCell ref="N74:R74"/>
    <mergeCell ref="I68:R68"/>
    <mergeCell ref="N69:R69"/>
    <mergeCell ref="N70:R70"/>
    <mergeCell ref="N71:R71"/>
    <mergeCell ref="N72:R72"/>
    <mergeCell ref="N73:R73"/>
    <mergeCell ref="B68:B80"/>
    <mergeCell ref="I69:M69"/>
    <mergeCell ref="I70:M70"/>
    <mergeCell ref="I71:M71"/>
    <mergeCell ref="I72:M72"/>
    <mergeCell ref="I73:M73"/>
    <mergeCell ref="I74:M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Sam</dc:creator>
  <cp:keywords/>
  <dc:description/>
  <cp:lastModifiedBy>Mellie, Gabriella</cp:lastModifiedBy>
  <cp:revision/>
  <dcterms:created xsi:type="dcterms:W3CDTF">2023-09-18T23:48:25Z</dcterms:created>
  <dcterms:modified xsi:type="dcterms:W3CDTF">2025-05-19T02:01:30Z</dcterms:modified>
  <cp:category/>
  <cp:contentStatus/>
</cp:coreProperties>
</file>