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liga1\Desktop\Darts\"/>
    </mc:Choice>
  </mc:AlternateContent>
  <bookViews>
    <workbookView xWindow="0" yWindow="0" windowWidth="20490" windowHeight="7755"/>
  </bookViews>
  <sheets>
    <sheet name="Week 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E36" i="1"/>
  <c r="D36" i="1"/>
  <c r="E18" i="1"/>
  <c r="D18" i="1"/>
  <c r="E12" i="1"/>
  <c r="D12" i="1"/>
  <c r="E63" i="1"/>
  <c r="D63" i="1"/>
  <c r="E52" i="1"/>
  <c r="D52" i="1"/>
  <c r="E33" i="1"/>
  <c r="D33" i="1"/>
  <c r="E4" i="1"/>
  <c r="D4" i="1"/>
  <c r="E42" i="1"/>
  <c r="D42" i="1"/>
  <c r="E29" i="1"/>
  <c r="D29" i="1"/>
  <c r="E20" i="1"/>
  <c r="D20" i="1"/>
  <c r="E9" i="1"/>
  <c r="D9" i="1"/>
  <c r="E54" i="1"/>
  <c r="D54" i="1"/>
  <c r="E43" i="1"/>
  <c r="D43" i="1"/>
  <c r="E31" i="1"/>
  <c r="D31" i="1"/>
  <c r="E14" i="1"/>
  <c r="D14" i="1"/>
  <c r="E41" i="1"/>
  <c r="D41" i="1"/>
  <c r="E26" i="1"/>
  <c r="D26" i="1"/>
  <c r="E17" i="1"/>
  <c r="D17" i="1"/>
  <c r="E21" i="1"/>
  <c r="D21" i="1"/>
  <c r="E55" i="1"/>
  <c r="D55" i="1"/>
  <c r="E44" i="1"/>
  <c r="D44" i="1"/>
  <c r="E8" i="1"/>
  <c r="D8" i="1"/>
  <c r="E3" i="1"/>
  <c r="D3" i="1"/>
  <c r="E56" i="1"/>
  <c r="D56" i="1"/>
  <c r="E47" i="1"/>
  <c r="D47" i="1"/>
  <c r="E27" i="1"/>
  <c r="D27" i="1"/>
  <c r="E15" i="1"/>
  <c r="D15" i="1"/>
  <c r="E58" i="1"/>
  <c r="D58" i="1"/>
  <c r="E40" i="1"/>
  <c r="D40" i="1"/>
  <c r="E34" i="1"/>
  <c r="D34" i="1"/>
  <c r="E24" i="1"/>
  <c r="D24" i="1"/>
  <c r="E39" i="1"/>
  <c r="D39" i="1"/>
  <c r="E23" i="1"/>
  <c r="D23" i="1"/>
  <c r="E19" i="1"/>
  <c r="D19" i="1"/>
  <c r="E13" i="1"/>
  <c r="D13" i="1"/>
  <c r="E32" i="1"/>
  <c r="D32" i="1"/>
  <c r="E7" i="1"/>
  <c r="D7" i="1"/>
  <c r="E5" i="1"/>
  <c r="D5" i="1"/>
  <c r="E2" i="1"/>
  <c r="D2" i="1"/>
  <c r="E53" i="1"/>
  <c r="D53" i="1"/>
  <c r="E57" i="1"/>
  <c r="D57" i="1"/>
  <c r="E48" i="1"/>
  <c r="D48" i="1"/>
  <c r="E35" i="1"/>
  <c r="D35" i="1"/>
  <c r="E28" i="1"/>
  <c r="D28" i="1"/>
  <c r="E11" i="1"/>
  <c r="D11" i="1"/>
  <c r="E16" i="1"/>
  <c r="D16" i="1"/>
  <c r="E10" i="1"/>
  <c r="D10" i="1"/>
  <c r="E30" i="1"/>
  <c r="D30" i="1"/>
  <c r="E38" i="1"/>
  <c r="D38" i="1"/>
  <c r="F46" i="1"/>
  <c r="F49" i="1"/>
  <c r="F66" i="1"/>
  <c r="E66" i="1"/>
  <c r="D66" i="1"/>
  <c r="E49" i="1"/>
  <c r="D49" i="1"/>
  <c r="E46" i="1"/>
  <c r="D46" i="1"/>
  <c r="E25" i="1"/>
  <c r="D25" i="1"/>
  <c r="F25" i="1" s="1"/>
  <c r="E45" i="1"/>
  <c r="D45" i="1"/>
  <c r="E22" i="1"/>
  <c r="D22" i="1"/>
  <c r="F23" i="1"/>
  <c r="E62" i="1"/>
  <c r="D62" i="1"/>
  <c r="F11" i="1"/>
  <c r="E60" i="1"/>
  <c r="D60" i="1"/>
  <c r="E64" i="1"/>
  <c r="D64" i="1"/>
  <c r="F64" i="1" s="1"/>
  <c r="E6" i="1"/>
  <c r="F6" i="1" s="1"/>
  <c r="D6" i="1"/>
  <c r="E65" i="1"/>
  <c r="D65" i="1"/>
  <c r="E59" i="1"/>
  <c r="D59" i="1"/>
  <c r="E50" i="1"/>
  <c r="D50" i="1"/>
  <c r="E61" i="1"/>
  <c r="D61" i="1"/>
  <c r="E51" i="1"/>
  <c r="D51" i="1"/>
  <c r="F59" i="1" l="1"/>
  <c r="F45" i="1"/>
  <c r="F65" i="1"/>
  <c r="F62" i="1"/>
  <c r="F63" i="1"/>
  <c r="F53" i="1"/>
  <c r="F50" i="1"/>
  <c r="F30" i="1"/>
  <c r="F60" i="1"/>
  <c r="F34" i="1"/>
  <c r="F56" i="1"/>
  <c r="F52" i="1"/>
  <c r="F27" i="1"/>
  <c r="F15" i="1"/>
  <c r="F47" i="1"/>
  <c r="F43" i="1"/>
  <c r="F61" i="1"/>
  <c r="F35" i="1"/>
  <c r="F36" i="1"/>
  <c r="F18" i="1"/>
  <c r="F21" i="1"/>
  <c r="F17" i="1"/>
  <c r="F28" i="1"/>
  <c r="F5" i="1"/>
  <c r="F31" i="1"/>
  <c r="F48" i="1"/>
  <c r="F57" i="1"/>
  <c r="F40" i="1"/>
  <c r="F13" i="1" l="1"/>
  <c r="F39" i="1"/>
  <c r="F51" i="1"/>
  <c r="F42" i="1"/>
  <c r="F33" i="1"/>
  <c r="F8" i="1"/>
  <c r="F22" i="1"/>
  <c r="F10" i="1"/>
  <c r="F41" i="1"/>
  <c r="F26" i="1"/>
  <c r="F12" i="1"/>
  <c r="F29" i="1"/>
  <c r="F2" i="1"/>
  <c r="F32" i="1"/>
  <c r="F19" i="1"/>
  <c r="F16" i="1"/>
  <c r="F24" i="1"/>
  <c r="F58" i="1"/>
  <c r="F54" i="1"/>
  <c r="F9" i="1"/>
  <c r="F20" i="1"/>
  <c r="F37" i="1"/>
  <c r="F4" i="1"/>
  <c r="F38" i="1"/>
  <c r="F3" i="1"/>
  <c r="F44" i="1"/>
  <c r="F7" i="1"/>
  <c r="F14" i="1"/>
  <c r="F55" i="1"/>
</calcChain>
</file>

<file path=xl/sharedStrings.xml><?xml version="1.0" encoding="utf-8"?>
<sst xmlns="http://schemas.openxmlformats.org/spreadsheetml/2006/main" count="199" uniqueCount="122">
  <si>
    <t>Rank</t>
  </si>
  <si>
    <t>Player</t>
  </si>
  <si>
    <t>Team</t>
  </si>
  <si>
    <t>Total Points</t>
  </si>
  <si>
    <t>Total Darts</t>
  </si>
  <si>
    <t>Total PPD</t>
  </si>
  <si>
    <t>Wks Played</t>
  </si>
  <si>
    <t>501 BP</t>
  </si>
  <si>
    <t>RON</t>
  </si>
  <si>
    <t xml:space="preserve"> MVP Pts</t>
  </si>
  <si>
    <t>Payout</t>
  </si>
  <si>
    <t>Richie Thomas</t>
  </si>
  <si>
    <t>Luigi's Loose Change</t>
  </si>
  <si>
    <t>Jeff Headley</t>
  </si>
  <si>
    <t>Pop-A-Top 1</t>
  </si>
  <si>
    <t>Ed Davis</t>
  </si>
  <si>
    <t>VFW 1589 Bad Monkeys</t>
  </si>
  <si>
    <t xml:space="preserve">Bob Fox </t>
  </si>
  <si>
    <t>Larry Jenkins</t>
  </si>
  <si>
    <t xml:space="preserve">Purple Cow 1  </t>
  </si>
  <si>
    <t>Pat Nabors</t>
  </si>
  <si>
    <t>Elks Wiseguys</t>
  </si>
  <si>
    <t>Jerry Shiflett</t>
  </si>
  <si>
    <t>Legion Post 174 Misfits</t>
  </si>
  <si>
    <t>Allen Collins</t>
  </si>
  <si>
    <t>Matt Nacarate</t>
  </si>
  <si>
    <t>Justin Smyth</t>
  </si>
  <si>
    <t>Seth Boyles</t>
  </si>
  <si>
    <t>Pop-A-Top 2</t>
  </si>
  <si>
    <t>Tim Rosati</t>
  </si>
  <si>
    <t>Steve Stockett</t>
  </si>
  <si>
    <t>Jimmy Smith</t>
  </si>
  <si>
    <t>Legion Post 174 Snipers</t>
  </si>
  <si>
    <t xml:space="preserve">Sam Powers </t>
  </si>
  <si>
    <t>Richard Whisler</t>
  </si>
  <si>
    <t>Josh Jenkins</t>
  </si>
  <si>
    <t>Beaver Galusky</t>
  </si>
  <si>
    <t>Rob Cicchino</t>
  </si>
  <si>
    <t>Billy Allen</t>
  </si>
  <si>
    <t>Jeff Schliffka</t>
  </si>
  <si>
    <t>Doug Tennant</t>
  </si>
  <si>
    <t>Tammy Allen</t>
  </si>
  <si>
    <t>Elks Jolly</t>
  </si>
  <si>
    <t>Zach Barlow</t>
  </si>
  <si>
    <t>Travis Ruckle</t>
  </si>
  <si>
    <t>John Powers</t>
  </si>
  <si>
    <t>Griffin Wilcox</t>
  </si>
  <si>
    <t>VFW 1589 Dissapointers</t>
  </si>
  <si>
    <t>Ryan Swaniger</t>
  </si>
  <si>
    <t>Nate Cope</t>
  </si>
  <si>
    <t>Jon Kline</t>
  </si>
  <si>
    <t>Michaela Headley</t>
  </si>
  <si>
    <t>Frank Mellie</t>
  </si>
  <si>
    <t>VFW 9916 Vets</t>
  </si>
  <si>
    <t>Gabbie Mellie</t>
  </si>
  <si>
    <t>Billy Anderson</t>
  </si>
  <si>
    <t>Steve Root</t>
  </si>
  <si>
    <t>Barb Hardy</t>
  </si>
  <si>
    <t>Kevin Ruckle</t>
  </si>
  <si>
    <t>Alex Keenan</t>
  </si>
  <si>
    <t>BJ Trickett</t>
  </si>
  <si>
    <t>JL Brown</t>
  </si>
  <si>
    <t>Joe White</t>
  </si>
  <si>
    <t>Marshall Jenkins</t>
  </si>
  <si>
    <t>Alex Rice</t>
  </si>
  <si>
    <t>Brian Keown</t>
  </si>
  <si>
    <t>Bryant Losh</t>
  </si>
  <si>
    <t xml:space="preserve">Teams - Overall </t>
  </si>
  <si>
    <t>Wins</t>
  </si>
  <si>
    <t>Lose</t>
  </si>
  <si>
    <t>Points</t>
  </si>
  <si>
    <t>Weekly Payouts and Season High's</t>
  </si>
  <si>
    <t xml:space="preserve">Season Best Game 501:  </t>
  </si>
  <si>
    <t xml:space="preserve">PURPLE COW 1 </t>
  </si>
  <si>
    <t xml:space="preserve">High Average for Week:   </t>
  </si>
  <si>
    <t>VFW 1589 DISSAPOINTERS</t>
  </si>
  <si>
    <t xml:space="preserve">High in 301 for the week: </t>
  </si>
  <si>
    <t>POP A TOP 1</t>
  </si>
  <si>
    <t xml:space="preserve">High Out for the week: </t>
  </si>
  <si>
    <t>LUIGI'S LOOSE CHANGE</t>
  </si>
  <si>
    <t xml:space="preserve">Season High In for 301:  </t>
  </si>
  <si>
    <t>LEGION POST 174 MISFITS</t>
  </si>
  <si>
    <t xml:space="preserve">Season High Out:    </t>
  </si>
  <si>
    <t>ELKS WISEGUYS</t>
  </si>
  <si>
    <t>VFW 1589 BAD MONKEYS</t>
  </si>
  <si>
    <t>POP A TOP 2</t>
  </si>
  <si>
    <t>VFW 9916 VETS</t>
  </si>
  <si>
    <t>LEGION POST 174 SNIPERS</t>
  </si>
  <si>
    <t>ELKS JOLLY</t>
  </si>
  <si>
    <t>Teams - Division A</t>
  </si>
  <si>
    <t>Teams - Disivion B</t>
  </si>
  <si>
    <t>Teams - Division C</t>
  </si>
  <si>
    <t>John Sinclair</t>
  </si>
  <si>
    <t>Tie</t>
  </si>
  <si>
    <t>Stephen Thurbon</t>
  </si>
  <si>
    <t>Gary Daft</t>
  </si>
  <si>
    <t>Alwyn Thurbon</t>
  </si>
  <si>
    <t>Purple Cow Tippers</t>
  </si>
  <si>
    <t>Angela Bell</t>
  </si>
  <si>
    <t>PURPLE COW TIPPERS</t>
  </si>
  <si>
    <t>Mark Taylor</t>
  </si>
  <si>
    <t>April Sphar</t>
  </si>
  <si>
    <t>Timmy Frymyer</t>
  </si>
  <si>
    <t>Todd Wotring</t>
  </si>
  <si>
    <t>Doug Himes</t>
  </si>
  <si>
    <t>Tom Gallegly</t>
  </si>
  <si>
    <t>Kim Mellie</t>
  </si>
  <si>
    <t>Mark Gregware</t>
  </si>
  <si>
    <t>Marshall Jenkins/Sam Powers 19 Dart Game</t>
  </si>
  <si>
    <t>Jerry Shiflett 149 Out</t>
  </si>
  <si>
    <t>Zack Myers</t>
  </si>
  <si>
    <t>Jim Scudiere</t>
  </si>
  <si>
    <t>Richie Thomas 120 In</t>
  </si>
  <si>
    <t>Kenny Goldsborough</t>
  </si>
  <si>
    <t>Jacob Collins</t>
  </si>
  <si>
    <t>Sharea Bishop</t>
  </si>
  <si>
    <t>Joe Dinkel</t>
  </si>
  <si>
    <t>Everett Mulkeen</t>
  </si>
  <si>
    <t>Josh Jenkins 114 In</t>
  </si>
  <si>
    <t>Tom Gallegly 18.32</t>
  </si>
  <si>
    <t>Week 8</t>
  </si>
  <si>
    <t>Allen Collins 98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</si>
</sst>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09]* #,##0.00_);_([$$-409]* \(#,##0.00\);_([$$-409]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textRotation="73"/>
    </xf>
    <xf numFmtId="0" fontId="1" fillId="2" borderId="1" xfId="0" applyFont="1" applyFill="1" applyBorder="1" applyAlignment="1">
      <alignment textRotation="73" wrapText="1"/>
    </xf>
    <xf numFmtId="0" fontId="2" fillId="0" borderId="2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2" xfId="0" applyFont="1" applyBorder="1"/>
    <xf numFmtId="0" fontId="1" fillId="0" borderId="5" xfId="0" applyFont="1" applyBorder="1"/>
    <xf numFmtId="0" fontId="1" fillId="0" borderId="18" xfId="0" applyFont="1" applyBorder="1"/>
    <xf numFmtId="0" fontId="3" fillId="0" borderId="18" xfId="0" applyFont="1" applyBorder="1"/>
    <xf numFmtId="0" fontId="1" fillId="0" borderId="20" xfId="0" applyFont="1" applyBorder="1"/>
    <xf numFmtId="0" fontId="1" fillId="4" borderId="21" xfId="0" applyFont="1" applyFill="1" applyBorder="1"/>
    <xf numFmtId="0" fontId="1" fillId="0" borderId="22" xfId="0" applyFont="1" applyBorder="1"/>
    <xf numFmtId="0" fontId="2" fillId="0" borderId="5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0" xfId="0" applyFont="1" applyBorder="1"/>
    <xf numFmtId="0" fontId="3" fillId="0" borderId="23" xfId="0" applyFont="1" applyBorder="1"/>
    <xf numFmtId="0" fontId="1" fillId="4" borderId="24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29" xfId="0" applyFont="1" applyFill="1" applyBorder="1"/>
    <xf numFmtId="0" fontId="1" fillId="4" borderId="30" xfId="0" applyFont="1" applyFill="1" applyBorder="1"/>
    <xf numFmtId="0" fontId="1" fillId="4" borderId="31" xfId="0" applyFont="1" applyFill="1" applyBorder="1"/>
    <xf numFmtId="165" fontId="2" fillId="0" borderId="2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33" xfId="0" applyFont="1" applyBorder="1"/>
    <xf numFmtId="0" fontId="2" fillId="0" borderId="3" xfId="0" applyFont="1" applyBorder="1"/>
    <xf numFmtId="0" fontId="3" fillId="0" borderId="32" xfId="0" applyFont="1" applyBorder="1"/>
    <xf numFmtId="0" fontId="1" fillId="3" borderId="19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workbookViewId="0">
      <pane ySplit="1" topLeftCell="A2" activePane="bottomLeft" state="frozen"/>
      <selection pane="bottomLeft" activeCell="K80" sqref="K80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1">
        <f>SUM(1444+1481+1503+1503+1471+1503+1471+1499)</f>
        <v>11875</v>
      </c>
      <c r="E2" s="11">
        <f>SUM(74+87+96+88+103+80+96+92)</f>
        <v>716</v>
      </c>
      <c r="F2" s="12">
        <f t="shared" ref="F2:F33" si="0">SUM(D2/E2)</f>
        <v>16.585195530726256</v>
      </c>
      <c r="G2" s="11">
        <v>8</v>
      </c>
      <c r="H2" s="11">
        <v>7</v>
      </c>
      <c r="I2" s="11">
        <v>1</v>
      </c>
      <c r="J2" s="11"/>
      <c r="K2" s="11"/>
      <c r="L2" s="11">
        <v>32.5</v>
      </c>
      <c r="M2" s="13">
        <v>10</v>
      </c>
    </row>
    <row r="3" spans="1:13" ht="18.75" x14ac:dyDescent="0.3">
      <c r="A3" s="3">
        <v>2</v>
      </c>
      <c r="B3" s="4" t="s">
        <v>13</v>
      </c>
      <c r="C3" s="4" t="s">
        <v>14</v>
      </c>
      <c r="D3" s="11">
        <f>SUM(1360+1372+1443+1499+1503+1503+1493+1503)</f>
        <v>11676</v>
      </c>
      <c r="E3" s="11">
        <f>SUM(71+94+91+92+82+84+97+100)</f>
        <v>711</v>
      </c>
      <c r="F3" s="12">
        <f t="shared" si="0"/>
        <v>16.421940928270043</v>
      </c>
      <c r="G3" s="11">
        <v>8</v>
      </c>
      <c r="H3" s="11">
        <v>6</v>
      </c>
      <c r="I3" s="11">
        <v>2</v>
      </c>
      <c r="J3" s="11"/>
      <c r="K3" s="11"/>
      <c r="L3" s="11">
        <v>32.5</v>
      </c>
      <c r="M3" s="13"/>
    </row>
    <row r="4" spans="1:13" ht="18.75" x14ac:dyDescent="0.3">
      <c r="A4" s="3">
        <v>3</v>
      </c>
      <c r="B4" s="4" t="s">
        <v>37</v>
      </c>
      <c r="C4" s="4" t="s">
        <v>21</v>
      </c>
      <c r="D4" s="11">
        <f>SUM(1501+1495+1314+1407+1503+1405+1426+1455)</f>
        <v>11506</v>
      </c>
      <c r="E4" s="11">
        <f>SUM(106+86+87+95+80+84+86+83)</f>
        <v>707</v>
      </c>
      <c r="F4" s="12">
        <f t="shared" si="0"/>
        <v>16.274398868458274</v>
      </c>
      <c r="G4" s="11">
        <v>8</v>
      </c>
      <c r="H4" s="11">
        <v>5</v>
      </c>
      <c r="I4" s="11"/>
      <c r="J4" s="11"/>
      <c r="K4" s="11"/>
      <c r="L4" s="11">
        <v>25</v>
      </c>
      <c r="M4" s="13">
        <v>10</v>
      </c>
    </row>
    <row r="5" spans="1:13" ht="18.75" x14ac:dyDescent="0.3">
      <c r="A5" s="3">
        <v>4</v>
      </c>
      <c r="B5" s="4" t="s">
        <v>33</v>
      </c>
      <c r="C5" s="4" t="s">
        <v>16</v>
      </c>
      <c r="D5" s="11">
        <f>SUM(1464+1483+1503+1503+1503+1496+1503+1503)</f>
        <v>11958</v>
      </c>
      <c r="E5" s="11">
        <f>SUM(83+89+91+74+88+135+92+97)</f>
        <v>749</v>
      </c>
      <c r="F5" s="12">
        <f t="shared" si="0"/>
        <v>15.965287049399199</v>
      </c>
      <c r="G5" s="11">
        <v>8</v>
      </c>
      <c r="H5" s="11">
        <v>7</v>
      </c>
      <c r="I5" s="11">
        <v>1</v>
      </c>
      <c r="J5" s="11"/>
      <c r="K5" s="11"/>
      <c r="L5" s="11">
        <v>34.5</v>
      </c>
      <c r="M5" s="13">
        <v>5</v>
      </c>
    </row>
    <row r="6" spans="1:13" ht="18.75" x14ac:dyDescent="0.3">
      <c r="A6" s="3">
        <v>5</v>
      </c>
      <c r="B6" s="15" t="s">
        <v>111</v>
      </c>
      <c r="C6" s="4" t="s">
        <v>32</v>
      </c>
      <c r="D6" s="11">
        <f>SUM(1419)</f>
        <v>1419</v>
      </c>
      <c r="E6" s="11">
        <f>SUM(90)</f>
        <v>90</v>
      </c>
      <c r="F6" s="12">
        <f t="shared" si="0"/>
        <v>15.766666666666667</v>
      </c>
      <c r="G6" s="11">
        <v>1</v>
      </c>
      <c r="H6" s="11"/>
      <c r="I6" s="11">
        <v>1</v>
      </c>
      <c r="J6" s="11"/>
      <c r="K6" s="11"/>
      <c r="L6" s="11">
        <v>2.5</v>
      </c>
      <c r="M6" s="13"/>
    </row>
    <row r="7" spans="1:13" ht="18.75" x14ac:dyDescent="0.3">
      <c r="A7" s="3">
        <v>6</v>
      </c>
      <c r="B7" s="4" t="s">
        <v>15</v>
      </c>
      <c r="C7" s="4" t="s">
        <v>16</v>
      </c>
      <c r="D7" s="11">
        <f>SUM(1503+1503+1503+1489+1501+1503+1503+1479)</f>
        <v>11984</v>
      </c>
      <c r="E7" s="11">
        <f>SUM(94+109+90+95+131+81+80+82)</f>
        <v>762</v>
      </c>
      <c r="F7" s="12">
        <f t="shared" si="0"/>
        <v>15.727034120734908</v>
      </c>
      <c r="G7" s="11">
        <v>8</v>
      </c>
      <c r="H7" s="11">
        <v>8</v>
      </c>
      <c r="I7" s="11"/>
      <c r="J7" s="11"/>
      <c r="K7" s="11"/>
      <c r="L7" s="11">
        <v>36.5</v>
      </c>
      <c r="M7" s="13">
        <v>5</v>
      </c>
    </row>
    <row r="8" spans="1:13" ht="18.75" x14ac:dyDescent="0.3">
      <c r="A8" s="3">
        <v>7</v>
      </c>
      <c r="B8" s="4" t="s">
        <v>17</v>
      </c>
      <c r="C8" s="4" t="s">
        <v>14</v>
      </c>
      <c r="D8" s="11">
        <f>SUM(1280+1503+1449+1503+1425+1321)</f>
        <v>8481</v>
      </c>
      <c r="E8" s="11">
        <f>SUM(79+100+93+90+92+88)</f>
        <v>542</v>
      </c>
      <c r="F8" s="12">
        <f t="shared" si="0"/>
        <v>15.64760147601476</v>
      </c>
      <c r="G8" s="11">
        <v>6</v>
      </c>
      <c r="H8" s="11">
        <v>3</v>
      </c>
      <c r="I8" s="11"/>
      <c r="J8" s="11"/>
      <c r="K8" s="11"/>
      <c r="L8" s="35">
        <v>17</v>
      </c>
      <c r="M8" s="13"/>
    </row>
    <row r="9" spans="1:13" ht="18.75" x14ac:dyDescent="0.3">
      <c r="A9" s="3">
        <v>8</v>
      </c>
      <c r="B9" s="4" t="s">
        <v>24</v>
      </c>
      <c r="C9" s="4" t="s">
        <v>23</v>
      </c>
      <c r="D9" s="11">
        <f>SUM(1501+1472+1503+1503+1503+1481+1363+1503)</f>
        <v>11829</v>
      </c>
      <c r="E9" s="11">
        <f>SUM(87+99+109+88+93+101+89+92)</f>
        <v>758</v>
      </c>
      <c r="F9" s="12">
        <f t="shared" si="0"/>
        <v>15.605540897097626</v>
      </c>
      <c r="G9" s="11">
        <v>8</v>
      </c>
      <c r="H9" s="11">
        <v>5</v>
      </c>
      <c r="I9" s="11"/>
      <c r="J9" s="11"/>
      <c r="K9" s="11"/>
      <c r="L9" s="11">
        <v>26.5</v>
      </c>
      <c r="M9" s="13">
        <v>5</v>
      </c>
    </row>
    <row r="10" spans="1:13" ht="18.75" x14ac:dyDescent="0.3">
      <c r="A10" s="3">
        <v>9</v>
      </c>
      <c r="B10" s="4" t="s">
        <v>11</v>
      </c>
      <c r="C10" s="7" t="s">
        <v>12</v>
      </c>
      <c r="D10" s="11">
        <f>SUM(1494+1503+1413+1503+1470+1483+1489+1503)</f>
        <v>11858</v>
      </c>
      <c r="E10" s="11">
        <f>SUM(102+87+93+89+89+99+113+97)</f>
        <v>769</v>
      </c>
      <c r="F10" s="12">
        <f t="shared" si="0"/>
        <v>15.42002600780234</v>
      </c>
      <c r="G10" s="11">
        <v>8</v>
      </c>
      <c r="H10" s="11">
        <v>8</v>
      </c>
      <c r="I10" s="11"/>
      <c r="J10" s="11"/>
      <c r="K10" s="11"/>
      <c r="L10" s="11">
        <v>33.5</v>
      </c>
      <c r="M10" s="13">
        <v>5</v>
      </c>
    </row>
    <row r="11" spans="1:13" ht="18.75" x14ac:dyDescent="0.3">
      <c r="A11" s="3">
        <v>10</v>
      </c>
      <c r="B11" s="15" t="s">
        <v>113</v>
      </c>
      <c r="C11" s="4" t="s">
        <v>12</v>
      </c>
      <c r="D11" s="11">
        <f>SUM(1375+1503)</f>
        <v>2878</v>
      </c>
      <c r="E11" s="11">
        <f>SUM(97+91)</f>
        <v>188</v>
      </c>
      <c r="F11" s="12">
        <f t="shared" si="0"/>
        <v>15.308510638297872</v>
      </c>
      <c r="G11" s="11">
        <v>2</v>
      </c>
      <c r="H11" s="11">
        <v>1</v>
      </c>
      <c r="I11" s="11"/>
      <c r="J11" s="11"/>
      <c r="K11" s="11"/>
      <c r="L11" s="11">
        <v>8</v>
      </c>
      <c r="M11" s="13"/>
    </row>
    <row r="12" spans="1:13" ht="18.75" x14ac:dyDescent="0.3">
      <c r="A12" s="3">
        <v>11</v>
      </c>
      <c r="B12" s="15" t="s">
        <v>49</v>
      </c>
      <c r="C12" s="4" t="s">
        <v>28</v>
      </c>
      <c r="D12" s="11">
        <f>SUM(1503+1503+1426+1483+1290+1356+1296+1399)</f>
        <v>11256</v>
      </c>
      <c r="E12" s="11">
        <f>SUM(129+86+86+102+90+75+83+86)</f>
        <v>737</v>
      </c>
      <c r="F12" s="12">
        <f t="shared" si="0"/>
        <v>15.272727272727273</v>
      </c>
      <c r="G12" s="11">
        <v>8</v>
      </c>
      <c r="H12" s="11">
        <v>4</v>
      </c>
      <c r="I12" s="11"/>
      <c r="J12" s="11"/>
      <c r="K12" s="11"/>
      <c r="L12" s="11">
        <v>23.5</v>
      </c>
      <c r="M12" s="13">
        <v>20</v>
      </c>
    </row>
    <row r="13" spans="1:13" ht="18.75" x14ac:dyDescent="0.3">
      <c r="A13" s="3">
        <v>12</v>
      </c>
      <c r="B13" s="4" t="s">
        <v>18</v>
      </c>
      <c r="C13" s="4" t="s">
        <v>19</v>
      </c>
      <c r="D13" s="11">
        <f>SUM(1403+1503+1328+1440+1487+1371+1467+1414)</f>
        <v>11413</v>
      </c>
      <c r="E13" s="11">
        <f>SUM(96+99+87+93+102+112+80+90)</f>
        <v>759</v>
      </c>
      <c r="F13" s="12">
        <f t="shared" si="0"/>
        <v>15.036890645586297</v>
      </c>
      <c r="G13" s="11">
        <v>8</v>
      </c>
      <c r="H13" s="11">
        <v>3</v>
      </c>
      <c r="I13" s="11"/>
      <c r="J13" s="11"/>
      <c r="K13" s="11"/>
      <c r="L13" s="11">
        <v>23</v>
      </c>
      <c r="M13" s="13"/>
    </row>
    <row r="14" spans="1:13" ht="18.75" x14ac:dyDescent="0.3">
      <c r="A14" s="3">
        <v>13</v>
      </c>
      <c r="B14" s="15" t="s">
        <v>46</v>
      </c>
      <c r="C14" s="4" t="s">
        <v>47</v>
      </c>
      <c r="D14" s="11">
        <f>SUM(1503+1503+1427+1287+1279+1423+1463+1289)</f>
        <v>11174</v>
      </c>
      <c r="E14" s="11">
        <f>SUM(87+94+104+95+84+82+111+90)</f>
        <v>747</v>
      </c>
      <c r="F14" s="12">
        <f t="shared" si="0"/>
        <v>14.958500669344042</v>
      </c>
      <c r="G14" s="11">
        <v>8</v>
      </c>
      <c r="H14" s="11">
        <v>3</v>
      </c>
      <c r="I14" s="11"/>
      <c r="J14" s="11"/>
      <c r="K14" s="11"/>
      <c r="L14" s="11">
        <v>21.5</v>
      </c>
      <c r="M14" s="13">
        <v>10</v>
      </c>
    </row>
    <row r="15" spans="1:13" ht="18.75" x14ac:dyDescent="0.3">
      <c r="A15" s="3">
        <v>14</v>
      </c>
      <c r="B15" s="15" t="s">
        <v>94</v>
      </c>
      <c r="C15" s="4" t="s">
        <v>42</v>
      </c>
      <c r="D15" s="11">
        <f>SUM(1319+1334+1503+1297+1394+1360+1378)</f>
        <v>9585</v>
      </c>
      <c r="E15" s="11">
        <f>SUM(106+84+103+90+78+99+92)</f>
        <v>652</v>
      </c>
      <c r="F15" s="12">
        <f t="shared" si="0"/>
        <v>14.700920245398773</v>
      </c>
      <c r="G15" s="11">
        <v>7</v>
      </c>
      <c r="H15" s="11">
        <v>1</v>
      </c>
      <c r="I15" s="11">
        <v>1</v>
      </c>
      <c r="J15" s="11"/>
      <c r="K15" s="11"/>
      <c r="L15" s="11">
        <v>16.5</v>
      </c>
      <c r="M15" s="13"/>
    </row>
    <row r="16" spans="1:13" ht="18.75" x14ac:dyDescent="0.3">
      <c r="A16" s="3">
        <v>15</v>
      </c>
      <c r="B16" s="4" t="s">
        <v>36</v>
      </c>
      <c r="C16" s="4" t="s">
        <v>12</v>
      </c>
      <c r="D16" s="11">
        <f>SUM(1503+1503+1503+1475+1483+1467+1479+1503)</f>
        <v>11916</v>
      </c>
      <c r="E16" s="11">
        <f>SUM(93+115+87+87+131+93+98+111)</f>
        <v>815</v>
      </c>
      <c r="F16" s="12">
        <f t="shared" si="0"/>
        <v>14.620858895705522</v>
      </c>
      <c r="G16" s="11">
        <v>8</v>
      </c>
      <c r="H16" s="11">
        <v>6</v>
      </c>
      <c r="I16" s="11"/>
      <c r="J16" s="11"/>
      <c r="K16" s="11"/>
      <c r="L16" s="11">
        <v>33</v>
      </c>
      <c r="M16" s="13">
        <v>10</v>
      </c>
    </row>
    <row r="17" spans="1:13" ht="18.75" x14ac:dyDescent="0.3">
      <c r="A17" s="3">
        <v>16</v>
      </c>
      <c r="B17" s="3" t="s">
        <v>31</v>
      </c>
      <c r="C17" s="4" t="s">
        <v>32</v>
      </c>
      <c r="D17" s="11">
        <f>SUM(1503+1469+1417+1109+1503+1503+1495)</f>
        <v>9999</v>
      </c>
      <c r="E17" s="11">
        <f>SUM(79+96+108+90+100+118+93)</f>
        <v>684</v>
      </c>
      <c r="F17" s="12">
        <f t="shared" si="0"/>
        <v>14.618421052631579</v>
      </c>
      <c r="G17" s="11">
        <v>7</v>
      </c>
      <c r="H17" s="11">
        <v>4</v>
      </c>
      <c r="I17" s="11"/>
      <c r="J17" s="11"/>
      <c r="K17" s="11"/>
      <c r="L17" s="11">
        <v>24</v>
      </c>
      <c r="M17" s="13">
        <v>5</v>
      </c>
    </row>
    <row r="18" spans="1:13" ht="18.75" x14ac:dyDescent="0.3">
      <c r="A18" s="3">
        <v>17</v>
      </c>
      <c r="B18" s="4" t="s">
        <v>27</v>
      </c>
      <c r="C18" s="4" t="s">
        <v>28</v>
      </c>
      <c r="D18" s="11">
        <f>SUM(1471+1503+1503+1358+1473+1501+1372+1503)</f>
        <v>11684</v>
      </c>
      <c r="E18" s="11">
        <f>SUM(111+90+109+101+87+131+81+100)</f>
        <v>810</v>
      </c>
      <c r="F18" s="12">
        <f t="shared" si="0"/>
        <v>14.424691358024692</v>
      </c>
      <c r="G18" s="11">
        <v>8</v>
      </c>
      <c r="H18" s="11">
        <v>7</v>
      </c>
      <c r="I18" s="11"/>
      <c r="J18" s="11"/>
      <c r="K18" s="11"/>
      <c r="L18" s="11">
        <v>33</v>
      </c>
      <c r="M18" s="13">
        <v>5</v>
      </c>
    </row>
    <row r="19" spans="1:13" ht="18.75" x14ac:dyDescent="0.3">
      <c r="A19" s="3">
        <v>18</v>
      </c>
      <c r="B19" s="4" t="s">
        <v>63</v>
      </c>
      <c r="C19" s="7" t="s">
        <v>19</v>
      </c>
      <c r="D19" s="11">
        <f>SUM(1290+1479+1300+1217+1308+1400+1216)</f>
        <v>9210</v>
      </c>
      <c r="E19" s="11">
        <f>SUM(76+107+93+86+99+80+99)</f>
        <v>640</v>
      </c>
      <c r="F19" s="12">
        <f t="shared" si="0"/>
        <v>14.390625</v>
      </c>
      <c r="G19" s="11">
        <v>7</v>
      </c>
      <c r="H19" s="11">
        <v>2</v>
      </c>
      <c r="I19" s="11"/>
      <c r="J19" s="11"/>
      <c r="K19" s="11"/>
      <c r="L19" s="11">
        <v>21</v>
      </c>
      <c r="M19" s="13">
        <v>5</v>
      </c>
    </row>
    <row r="20" spans="1:13" ht="18.75" x14ac:dyDescent="0.3">
      <c r="A20" s="3">
        <v>19</v>
      </c>
      <c r="B20" s="4" t="s">
        <v>22</v>
      </c>
      <c r="C20" s="4" t="s">
        <v>23</v>
      </c>
      <c r="D20" s="11">
        <f>SUM(1499+1497+1503+1397+1272+1388+1340+1425)</f>
        <v>11321</v>
      </c>
      <c r="E20" s="11">
        <f>SUM(101+88+116+108+88+89+90+117)</f>
        <v>797</v>
      </c>
      <c r="F20" s="12">
        <f t="shared" si="0"/>
        <v>14.204516938519449</v>
      </c>
      <c r="G20" s="11">
        <v>8</v>
      </c>
      <c r="H20" s="11">
        <v>5</v>
      </c>
      <c r="I20" s="11"/>
      <c r="J20" s="11"/>
      <c r="K20" s="11"/>
      <c r="L20" s="11">
        <v>24</v>
      </c>
      <c r="M20" s="13">
        <v>5</v>
      </c>
    </row>
    <row r="21" spans="1:13" ht="18.75" x14ac:dyDescent="0.3">
      <c r="A21" s="3">
        <v>20</v>
      </c>
      <c r="B21" s="15" t="s">
        <v>45</v>
      </c>
      <c r="C21" s="4" t="s">
        <v>32</v>
      </c>
      <c r="D21" s="11">
        <f>SUM(1503+1471+1326+953+1326+1439+1503+1267)</f>
        <v>10788</v>
      </c>
      <c r="E21" s="11">
        <f>SUM(100+103+79+72+91+110+106+99)</f>
        <v>760</v>
      </c>
      <c r="F21" s="12">
        <f t="shared" si="0"/>
        <v>14.194736842105263</v>
      </c>
      <c r="G21" s="11">
        <v>8</v>
      </c>
      <c r="H21" s="11">
        <v>4</v>
      </c>
      <c r="I21" s="11"/>
      <c r="J21" s="11"/>
      <c r="K21" s="11"/>
      <c r="L21" s="11">
        <v>27.5</v>
      </c>
      <c r="M21" s="13"/>
    </row>
    <row r="22" spans="1:13" ht="18.75" x14ac:dyDescent="0.3">
      <c r="A22" s="3">
        <v>21</v>
      </c>
      <c r="B22" s="4" t="s">
        <v>92</v>
      </c>
      <c r="C22" s="4" t="s">
        <v>12</v>
      </c>
      <c r="D22" s="11">
        <f>SUM(1361+1497+1376+1453+1379+1503)</f>
        <v>8569</v>
      </c>
      <c r="E22" s="11">
        <f>SUM(83+112+96+107+105+101)</f>
        <v>604</v>
      </c>
      <c r="F22" s="12">
        <f t="shared" si="0"/>
        <v>14.187086092715232</v>
      </c>
      <c r="G22" s="11">
        <v>6</v>
      </c>
      <c r="H22" s="11">
        <v>4</v>
      </c>
      <c r="I22" s="11"/>
      <c r="J22" s="11"/>
      <c r="K22" s="11"/>
      <c r="L22" s="11">
        <v>19</v>
      </c>
      <c r="M22" s="13"/>
    </row>
    <row r="23" spans="1:13" ht="18.75" x14ac:dyDescent="0.3">
      <c r="A23" s="3">
        <v>22</v>
      </c>
      <c r="B23" s="15" t="s">
        <v>105</v>
      </c>
      <c r="C23" s="4" t="s">
        <v>19</v>
      </c>
      <c r="D23" s="11">
        <f>SUM(501+1503+1501+1455+1503+1411)</f>
        <v>7874</v>
      </c>
      <c r="E23" s="11">
        <f>SUM(46+117+99+123+95+77)</f>
        <v>557</v>
      </c>
      <c r="F23" s="12">
        <f t="shared" si="0"/>
        <v>14.136445242369838</v>
      </c>
      <c r="G23" s="11">
        <v>6</v>
      </c>
      <c r="H23" s="11">
        <v>4</v>
      </c>
      <c r="I23" s="11"/>
      <c r="J23" s="11">
        <v>1</v>
      </c>
      <c r="K23" s="11"/>
      <c r="L23" s="11">
        <v>22.5</v>
      </c>
      <c r="M23" s="13">
        <v>5</v>
      </c>
    </row>
    <row r="24" spans="1:13" ht="18.75" x14ac:dyDescent="0.3">
      <c r="A24" s="3">
        <v>23</v>
      </c>
      <c r="B24" s="4" t="s">
        <v>58</v>
      </c>
      <c r="C24" s="4" t="s">
        <v>97</v>
      </c>
      <c r="D24" s="11">
        <f>SUM(1463+1503+1503+1447+1363+1487)</f>
        <v>8766</v>
      </c>
      <c r="E24" s="11">
        <f>SUM(126+108+109+100+85+95)</f>
        <v>623</v>
      </c>
      <c r="F24" s="12">
        <f t="shared" si="0"/>
        <v>14.070626003210274</v>
      </c>
      <c r="G24" s="11">
        <v>6</v>
      </c>
      <c r="H24" s="11">
        <v>4</v>
      </c>
      <c r="I24" s="11"/>
      <c r="J24" s="11"/>
      <c r="K24" s="11"/>
      <c r="L24" s="11">
        <v>22</v>
      </c>
      <c r="M24" s="13"/>
    </row>
    <row r="25" spans="1:13" ht="18.75" x14ac:dyDescent="0.3">
      <c r="A25" s="3">
        <v>24</v>
      </c>
      <c r="B25" s="15" t="s">
        <v>102</v>
      </c>
      <c r="C25" s="4" t="s">
        <v>16</v>
      </c>
      <c r="D25" s="11">
        <f>SUM(1503+1307+1309+1503)</f>
        <v>5622</v>
      </c>
      <c r="E25" s="11">
        <f>SUM(104+111+88+99)</f>
        <v>402</v>
      </c>
      <c r="F25" s="12">
        <f t="shared" si="0"/>
        <v>13.985074626865671</v>
      </c>
      <c r="G25" s="11">
        <v>4</v>
      </c>
      <c r="H25" s="11">
        <v>2</v>
      </c>
      <c r="I25" s="11"/>
      <c r="J25" s="11"/>
      <c r="K25" s="11"/>
      <c r="L25" s="11">
        <v>18</v>
      </c>
      <c r="M25" s="13"/>
    </row>
    <row r="26" spans="1:13" ht="18.75" x14ac:dyDescent="0.3">
      <c r="A26" s="3">
        <v>25</v>
      </c>
      <c r="B26" s="3" t="s">
        <v>48</v>
      </c>
      <c r="C26" s="4" t="s">
        <v>32</v>
      </c>
      <c r="D26" s="11">
        <f>SUM(1239+1483+1425+1350+1493+1434+1501+1503)</f>
        <v>11428</v>
      </c>
      <c r="E26" s="11">
        <f>SUM(95+93+104+96+128+96+113+99)</f>
        <v>824</v>
      </c>
      <c r="F26" s="12">
        <f t="shared" si="0"/>
        <v>13.868932038834952</v>
      </c>
      <c r="G26" s="11">
        <v>8</v>
      </c>
      <c r="H26" s="11">
        <v>3</v>
      </c>
      <c r="I26" s="11"/>
      <c r="J26" s="11"/>
      <c r="K26" s="11"/>
      <c r="L26" s="11">
        <v>26.5</v>
      </c>
      <c r="M26" s="13"/>
    </row>
    <row r="27" spans="1:13" ht="18.75" x14ac:dyDescent="0.3">
      <c r="A27" s="3">
        <v>26</v>
      </c>
      <c r="B27" s="15" t="s">
        <v>95</v>
      </c>
      <c r="C27" s="4" t="s">
        <v>42</v>
      </c>
      <c r="D27" s="11">
        <f>SUM(1481+1499+1329+1503+1467+1487)</f>
        <v>8766</v>
      </c>
      <c r="E27" s="11">
        <f>SUM(97+130+104+115+90+99)</f>
        <v>635</v>
      </c>
      <c r="F27" s="12">
        <f t="shared" si="0"/>
        <v>13.804724409448818</v>
      </c>
      <c r="G27" s="11">
        <v>6</v>
      </c>
      <c r="H27" s="11">
        <v>3</v>
      </c>
      <c r="I27" s="11"/>
      <c r="J27" s="11"/>
      <c r="K27" s="11"/>
      <c r="L27" s="11">
        <v>18</v>
      </c>
      <c r="M27" s="13">
        <v>5</v>
      </c>
    </row>
    <row r="28" spans="1:13" ht="18.75" x14ac:dyDescent="0.3">
      <c r="A28" s="3">
        <v>27</v>
      </c>
      <c r="B28" s="4" t="s">
        <v>43</v>
      </c>
      <c r="C28" s="7" t="s">
        <v>12</v>
      </c>
      <c r="D28" s="11">
        <f>SUM(1479+1503+1483+1474+1349+1471+1503+1458)</f>
        <v>11720</v>
      </c>
      <c r="E28" s="11">
        <f>SUM(130+97+96+123+86+87+114+116)</f>
        <v>849</v>
      </c>
      <c r="F28" s="12">
        <f t="shared" si="0"/>
        <v>13.804475853945819</v>
      </c>
      <c r="G28" s="11">
        <v>8</v>
      </c>
      <c r="H28" s="11">
        <v>7</v>
      </c>
      <c r="I28" s="11"/>
      <c r="J28" s="11"/>
      <c r="K28" s="11"/>
      <c r="L28" s="11">
        <v>32.5</v>
      </c>
      <c r="M28" s="13"/>
    </row>
    <row r="29" spans="1:13" ht="18.75" x14ac:dyDescent="0.3">
      <c r="A29" s="3">
        <v>28</v>
      </c>
      <c r="B29" s="15" t="s">
        <v>39</v>
      </c>
      <c r="C29" s="4" t="s">
        <v>23</v>
      </c>
      <c r="D29" s="11">
        <f>SUM(1332+1373+1492+1499+1481+1245+1220+1503)</f>
        <v>11145</v>
      </c>
      <c r="E29" s="11">
        <f>SUM(84+96+119+109+119+86+78+117)</f>
        <v>808</v>
      </c>
      <c r="F29" s="12">
        <f t="shared" si="0"/>
        <v>13.793316831683168</v>
      </c>
      <c r="G29" s="11">
        <v>8</v>
      </c>
      <c r="H29" s="11">
        <v>2</v>
      </c>
      <c r="I29" s="11"/>
      <c r="J29" s="11"/>
      <c r="K29" s="11"/>
      <c r="L29" s="11">
        <v>20</v>
      </c>
      <c r="M29" s="13"/>
    </row>
    <row r="30" spans="1:13" ht="18.75" x14ac:dyDescent="0.3">
      <c r="A30" s="3">
        <v>29</v>
      </c>
      <c r="B30" s="9" t="s">
        <v>103</v>
      </c>
      <c r="C30" s="4" t="s">
        <v>21</v>
      </c>
      <c r="D30" s="11">
        <f>SUM(1274+1414+1428+1463+1495+1440)</f>
        <v>8514</v>
      </c>
      <c r="E30" s="11">
        <f>SUM(111+106+96+113+95+105)</f>
        <v>626</v>
      </c>
      <c r="F30" s="12">
        <f t="shared" si="0"/>
        <v>13.600638977635782</v>
      </c>
      <c r="G30" s="11">
        <v>6</v>
      </c>
      <c r="H30" s="11">
        <v>2</v>
      </c>
      <c r="I30" s="11"/>
      <c r="J30" s="11"/>
      <c r="K30" s="11"/>
      <c r="L30" s="11">
        <v>16.5</v>
      </c>
      <c r="M30" s="13"/>
    </row>
    <row r="31" spans="1:13" ht="18.75" x14ac:dyDescent="0.3">
      <c r="A31" s="3">
        <v>30</v>
      </c>
      <c r="B31" s="7" t="s">
        <v>62</v>
      </c>
      <c r="C31" s="4" t="s">
        <v>47</v>
      </c>
      <c r="D31" s="11">
        <f>SUM(1322+1462+1409+1497+1486+1453+1329+1503)</f>
        <v>11461</v>
      </c>
      <c r="E31" s="11">
        <f>SUM(111+98+102+120+98+106+97+118)</f>
        <v>850</v>
      </c>
      <c r="F31" s="12">
        <f t="shared" si="0"/>
        <v>13.483529411764707</v>
      </c>
      <c r="G31" s="11">
        <v>8</v>
      </c>
      <c r="H31" s="11">
        <v>2</v>
      </c>
      <c r="I31" s="11"/>
      <c r="J31" s="11"/>
      <c r="K31" s="11"/>
      <c r="L31" s="11">
        <v>18</v>
      </c>
      <c r="M31" s="13"/>
    </row>
    <row r="32" spans="1:13" ht="18.75" x14ac:dyDescent="0.3">
      <c r="A32" s="3">
        <v>31</v>
      </c>
      <c r="B32" s="7" t="s">
        <v>35</v>
      </c>
      <c r="C32" s="4" t="s">
        <v>16</v>
      </c>
      <c r="D32" s="11">
        <f>SUM(1471+1503+1330+1362)</f>
        <v>5666</v>
      </c>
      <c r="E32" s="11">
        <f>SUM(104+123+105+89)</f>
        <v>421</v>
      </c>
      <c r="F32" s="12">
        <f t="shared" si="0"/>
        <v>13.458432304038006</v>
      </c>
      <c r="G32" s="11">
        <v>4</v>
      </c>
      <c r="H32" s="11">
        <v>3</v>
      </c>
      <c r="I32" s="11"/>
      <c r="J32" s="11"/>
      <c r="K32" s="11"/>
      <c r="L32" s="11">
        <v>13.5</v>
      </c>
      <c r="M32" s="13">
        <v>5</v>
      </c>
    </row>
    <row r="33" spans="1:13" ht="18.75" x14ac:dyDescent="0.3">
      <c r="A33" s="3">
        <v>32</v>
      </c>
      <c r="B33" s="38" t="s">
        <v>20</v>
      </c>
      <c r="C33" s="4" t="s">
        <v>21</v>
      </c>
      <c r="D33" s="11">
        <f>SUM(1243+1262+1307+1213+1469+1468+1415+1376)</f>
        <v>10753</v>
      </c>
      <c r="E33" s="11">
        <f>SUM(94+86+87+120+106+109+104+99)</f>
        <v>805</v>
      </c>
      <c r="F33" s="12">
        <f t="shared" si="0"/>
        <v>13.357763975155279</v>
      </c>
      <c r="G33" s="11">
        <v>8</v>
      </c>
      <c r="H33" s="11">
        <v>2</v>
      </c>
      <c r="I33" s="11"/>
      <c r="J33" s="11"/>
      <c r="K33" s="11"/>
      <c r="L33" s="11">
        <v>16.5</v>
      </c>
      <c r="M33" s="13"/>
    </row>
    <row r="34" spans="1:13" ht="18.75" x14ac:dyDescent="0.3">
      <c r="A34" s="3">
        <v>33</v>
      </c>
      <c r="B34" s="9" t="s">
        <v>66</v>
      </c>
      <c r="C34" s="4" t="s">
        <v>97</v>
      </c>
      <c r="D34" s="11">
        <f>SUM(1503+1457+1466+1503+1408+1180+1418+1426)</f>
        <v>11361</v>
      </c>
      <c r="E34" s="11">
        <f>SUM(123+117+121+103+121+81+107+105)</f>
        <v>878</v>
      </c>
      <c r="F34" s="12">
        <f t="shared" ref="F34:F65" si="1">SUM(D34/E34)</f>
        <v>12.939635535307517</v>
      </c>
      <c r="G34" s="11">
        <v>8</v>
      </c>
      <c r="H34" s="11">
        <v>4</v>
      </c>
      <c r="I34" s="11"/>
      <c r="J34" s="11"/>
      <c r="K34" s="11"/>
      <c r="L34" s="11">
        <v>23</v>
      </c>
      <c r="M34" s="13"/>
    </row>
    <row r="35" spans="1:13" ht="18.75" x14ac:dyDescent="0.3">
      <c r="A35" s="3">
        <v>34</v>
      </c>
      <c r="B35" s="9" t="s">
        <v>52</v>
      </c>
      <c r="C35" s="4" t="s">
        <v>53</v>
      </c>
      <c r="D35" s="11">
        <f>SUM(1503+1413+1348+1220+1173+1417+1195)</f>
        <v>9269</v>
      </c>
      <c r="E35" s="11">
        <f>SUM(111+108+106+105+81+114+93)</f>
        <v>718</v>
      </c>
      <c r="F35" s="12">
        <f t="shared" si="1"/>
        <v>12.909470752089137</v>
      </c>
      <c r="G35" s="11">
        <v>7</v>
      </c>
      <c r="H35" s="11">
        <v>1</v>
      </c>
      <c r="I35" s="11"/>
      <c r="J35" s="11"/>
      <c r="K35" s="11"/>
      <c r="L35" s="11">
        <v>7</v>
      </c>
      <c r="M35" s="13"/>
    </row>
    <row r="36" spans="1:13" ht="18.75" x14ac:dyDescent="0.3">
      <c r="A36" s="3">
        <v>35</v>
      </c>
      <c r="B36" s="36" t="s">
        <v>38</v>
      </c>
      <c r="C36" s="8" t="s">
        <v>28</v>
      </c>
      <c r="D36" s="11">
        <f>SUM(1503+1456+1500+1493+1179+1395+1495)</f>
        <v>10021</v>
      </c>
      <c r="E36" s="11">
        <f>SUM(107+134+103+122+81+108+127)</f>
        <v>782</v>
      </c>
      <c r="F36" s="12">
        <f t="shared" si="1"/>
        <v>12.81457800511509</v>
      </c>
      <c r="G36" s="11">
        <v>7</v>
      </c>
      <c r="H36" s="11">
        <v>6</v>
      </c>
      <c r="I36" s="11"/>
      <c r="J36" s="11"/>
      <c r="K36" s="11"/>
      <c r="L36" s="11">
        <v>24</v>
      </c>
      <c r="M36" s="13"/>
    </row>
    <row r="37" spans="1:13" ht="18.75" x14ac:dyDescent="0.3">
      <c r="A37" s="3">
        <v>36</v>
      </c>
      <c r="B37" s="7" t="s">
        <v>41</v>
      </c>
      <c r="C37" s="7" t="s">
        <v>28</v>
      </c>
      <c r="D37" s="11">
        <f>SUM(1487+1499+1483+1499+1503+1498+1463+1483)</f>
        <v>11915</v>
      </c>
      <c r="E37" s="11">
        <f>SUM(120+141+99+139+108+105+106+118)</f>
        <v>936</v>
      </c>
      <c r="F37" s="12">
        <f t="shared" si="1"/>
        <v>12.729700854700855</v>
      </c>
      <c r="G37" s="11">
        <v>8</v>
      </c>
      <c r="H37" s="11">
        <v>7</v>
      </c>
      <c r="I37" s="11"/>
      <c r="J37" s="11"/>
      <c r="K37" s="11"/>
      <c r="L37" s="11">
        <v>28.5</v>
      </c>
      <c r="M37" s="13">
        <v>5</v>
      </c>
    </row>
    <row r="38" spans="1:13" ht="18.75" x14ac:dyDescent="0.3">
      <c r="A38" s="3">
        <v>37</v>
      </c>
      <c r="B38" s="16" t="s">
        <v>26</v>
      </c>
      <c r="C38" s="7" t="s">
        <v>19</v>
      </c>
      <c r="D38" s="11">
        <f>SUM(1480+1503+1495+1352+1496)</f>
        <v>7326</v>
      </c>
      <c r="E38" s="11">
        <f>SUM(128+118+124+108+107)</f>
        <v>585</v>
      </c>
      <c r="F38" s="12">
        <f t="shared" si="1"/>
        <v>12.523076923076923</v>
      </c>
      <c r="G38" s="11">
        <v>5</v>
      </c>
      <c r="H38" s="11">
        <v>2</v>
      </c>
      <c r="I38" s="11"/>
      <c r="J38" s="11"/>
      <c r="K38" s="11"/>
      <c r="L38" s="11">
        <v>19.5</v>
      </c>
      <c r="M38" s="13"/>
    </row>
    <row r="39" spans="1:13" ht="18.75" x14ac:dyDescent="0.3">
      <c r="A39" s="3">
        <v>38</v>
      </c>
      <c r="B39" s="16" t="s">
        <v>30</v>
      </c>
      <c r="C39" s="8" t="s">
        <v>19</v>
      </c>
      <c r="D39" s="11">
        <f>SUM(1434+1354+1503+1495+1363+1374)</f>
        <v>8523</v>
      </c>
      <c r="E39" s="11">
        <f>SUM(100+90+162+135+108+88)</f>
        <v>683</v>
      </c>
      <c r="F39" s="12">
        <f t="shared" si="1"/>
        <v>12.478770131771595</v>
      </c>
      <c r="G39" s="11">
        <v>6</v>
      </c>
      <c r="H39" s="11">
        <v>2</v>
      </c>
      <c r="I39" s="11"/>
      <c r="J39" s="11"/>
      <c r="K39" s="11"/>
      <c r="L39" s="11">
        <v>17</v>
      </c>
      <c r="M39" s="13"/>
    </row>
    <row r="40" spans="1:13" ht="18.75" x14ac:dyDescent="0.3">
      <c r="A40" s="3">
        <v>39</v>
      </c>
      <c r="B40" s="16" t="s">
        <v>44</v>
      </c>
      <c r="C40" s="4" t="s">
        <v>97</v>
      </c>
      <c r="D40" s="11">
        <f>SUM(1375+1355+1020+1503+1483+1440+1375+1415)</f>
        <v>10966</v>
      </c>
      <c r="E40" s="11">
        <f>SUM(106+108+111+122+121+116+105+92)</f>
        <v>881</v>
      </c>
      <c r="F40" s="12">
        <f t="shared" si="1"/>
        <v>12.4472190692395</v>
      </c>
      <c r="G40" s="11">
        <v>8</v>
      </c>
      <c r="H40" s="11">
        <v>5</v>
      </c>
      <c r="I40" s="11"/>
      <c r="J40" s="11"/>
      <c r="K40" s="11"/>
      <c r="L40" s="11">
        <v>21.5</v>
      </c>
      <c r="M40" s="13"/>
    </row>
    <row r="41" spans="1:13" ht="18.75" x14ac:dyDescent="0.3">
      <c r="A41" s="3">
        <v>40</v>
      </c>
      <c r="B41" s="16" t="s">
        <v>34</v>
      </c>
      <c r="C41" s="7" t="s">
        <v>32</v>
      </c>
      <c r="D41" s="11">
        <f>SUM(1204+1501+1396+1414+1498+1481+1501+1483)</f>
        <v>11478</v>
      </c>
      <c r="E41" s="11">
        <f>SUM(88+140+97+90+105+117+158+129)</f>
        <v>924</v>
      </c>
      <c r="F41" s="12">
        <f t="shared" si="1"/>
        <v>12.422077922077921</v>
      </c>
      <c r="G41" s="11">
        <v>8</v>
      </c>
      <c r="H41" s="11">
        <v>5</v>
      </c>
      <c r="I41" s="11"/>
      <c r="J41" s="11"/>
      <c r="K41" s="11"/>
      <c r="L41" s="11">
        <v>28.5</v>
      </c>
      <c r="M41" s="13"/>
    </row>
    <row r="42" spans="1:13" ht="18.75" x14ac:dyDescent="0.3">
      <c r="A42" s="3">
        <v>41</v>
      </c>
      <c r="B42" s="10" t="s">
        <v>29</v>
      </c>
      <c r="C42" s="7" t="s">
        <v>23</v>
      </c>
      <c r="D42" s="11">
        <f>SUM(1204+1459+1145+1498+1408+1456+1499)</f>
        <v>9669</v>
      </c>
      <c r="E42" s="11">
        <f>SUM(99+135+102+104+101+97+143)</f>
        <v>781</v>
      </c>
      <c r="F42" s="12">
        <f t="shared" si="1"/>
        <v>12.380281690140846</v>
      </c>
      <c r="G42" s="11">
        <v>7</v>
      </c>
      <c r="H42" s="11">
        <v>3</v>
      </c>
      <c r="I42" s="11"/>
      <c r="J42" s="11"/>
      <c r="K42" s="11"/>
      <c r="L42" s="11">
        <v>16.5</v>
      </c>
      <c r="M42" s="13"/>
    </row>
    <row r="43" spans="1:13" ht="18.75" x14ac:dyDescent="0.3">
      <c r="A43" s="3">
        <v>42</v>
      </c>
      <c r="B43" s="10" t="s">
        <v>61</v>
      </c>
      <c r="C43" s="7" t="s">
        <v>47</v>
      </c>
      <c r="D43" s="11">
        <f>SUM(1477+1291+1469+1471+1480+1218+1331+1359)</f>
        <v>11096</v>
      </c>
      <c r="E43" s="11">
        <f>SUM(126+87+136+98+131+94+111+114)</f>
        <v>897</v>
      </c>
      <c r="F43" s="12">
        <f t="shared" si="1"/>
        <v>12.370122630992196</v>
      </c>
      <c r="G43" s="11">
        <v>8</v>
      </c>
      <c r="H43" s="11">
        <v>1</v>
      </c>
      <c r="I43" s="11"/>
      <c r="J43" s="11"/>
      <c r="K43" s="11"/>
      <c r="L43" s="11">
        <v>16.5</v>
      </c>
      <c r="M43" s="13"/>
    </row>
    <row r="44" spans="1:13" ht="18.75" x14ac:dyDescent="0.3">
      <c r="A44" s="3">
        <v>43</v>
      </c>
      <c r="B44" s="16" t="s">
        <v>40</v>
      </c>
      <c r="C44" s="7" t="s">
        <v>14</v>
      </c>
      <c r="D44" s="11">
        <f>SUM(1351+1493+1429+1206+1475+1484+1478+1387)</f>
        <v>11303</v>
      </c>
      <c r="E44" s="11">
        <f>SUM(100+138+96+96+129+115+149+96)</f>
        <v>919</v>
      </c>
      <c r="F44" s="12">
        <f t="shared" si="1"/>
        <v>12.299238302502721</v>
      </c>
      <c r="G44" s="11">
        <v>8</v>
      </c>
      <c r="H44" s="11">
        <v>2</v>
      </c>
      <c r="I44" s="11"/>
      <c r="J44" s="11"/>
      <c r="K44" s="11"/>
      <c r="L44" s="11">
        <v>24.5</v>
      </c>
      <c r="M44" s="13"/>
    </row>
    <row r="45" spans="1:13" ht="18.75" x14ac:dyDescent="0.3">
      <c r="A45" s="3">
        <v>44</v>
      </c>
      <c r="B45" s="16" t="s">
        <v>114</v>
      </c>
      <c r="C45" s="7" t="s">
        <v>23</v>
      </c>
      <c r="D45" s="11">
        <f>SUM(1173)</f>
        <v>1173</v>
      </c>
      <c r="E45" s="11">
        <f>SUM(96)</f>
        <v>96</v>
      </c>
      <c r="F45" s="12">
        <f t="shared" si="1"/>
        <v>12.21875</v>
      </c>
      <c r="G45" s="11">
        <v>1</v>
      </c>
      <c r="H45" s="11"/>
      <c r="I45" s="11"/>
      <c r="J45" s="11"/>
      <c r="K45" s="11"/>
      <c r="L45" s="11"/>
      <c r="M45" s="13"/>
    </row>
    <row r="46" spans="1:13" ht="18.75" x14ac:dyDescent="0.3">
      <c r="A46" s="3">
        <v>45</v>
      </c>
      <c r="B46" s="16" t="s">
        <v>115</v>
      </c>
      <c r="C46" s="4" t="s">
        <v>53</v>
      </c>
      <c r="D46" s="11">
        <f>SUM(1244)</f>
        <v>1244</v>
      </c>
      <c r="E46" s="11">
        <f>SUM(102)</f>
        <v>102</v>
      </c>
      <c r="F46" s="12">
        <f t="shared" si="1"/>
        <v>12.196078431372548</v>
      </c>
      <c r="G46" s="11">
        <v>1</v>
      </c>
      <c r="H46" s="11"/>
      <c r="I46" s="11"/>
      <c r="J46" s="11"/>
      <c r="K46" s="11"/>
      <c r="L46" s="11"/>
      <c r="M46" s="13"/>
    </row>
    <row r="47" spans="1:13" ht="18.75" x14ac:dyDescent="0.3">
      <c r="A47" s="3">
        <v>46</v>
      </c>
      <c r="B47" s="10" t="s">
        <v>50</v>
      </c>
      <c r="C47" s="7" t="s">
        <v>42</v>
      </c>
      <c r="D47" s="11">
        <f>SUM(1503+1083+1503+1401+1481+1497+1501+1196)</f>
        <v>11165</v>
      </c>
      <c r="E47" s="11">
        <f>SUM(137+81+126+109+117+135+149+91)</f>
        <v>945</v>
      </c>
      <c r="F47" s="12">
        <f t="shared" si="1"/>
        <v>11.814814814814815</v>
      </c>
      <c r="G47" s="11">
        <v>8</v>
      </c>
      <c r="H47" s="11">
        <v>4</v>
      </c>
      <c r="I47" s="11"/>
      <c r="J47" s="11"/>
      <c r="K47" s="11"/>
      <c r="L47" s="11">
        <v>25.5</v>
      </c>
      <c r="M47" s="13">
        <v>5</v>
      </c>
    </row>
    <row r="48" spans="1:13" ht="18.75" x14ac:dyDescent="0.3">
      <c r="A48" s="3">
        <v>47</v>
      </c>
      <c r="B48" s="39" t="s">
        <v>59</v>
      </c>
      <c r="C48" s="4" t="s">
        <v>53</v>
      </c>
      <c r="D48" s="11">
        <f>SUM(1098+1207+1409+1390+1416+1444+1373+1009)</f>
        <v>10346</v>
      </c>
      <c r="E48" s="11">
        <f>SUM(87+93+129+99+124+132+113+105)</f>
        <v>882</v>
      </c>
      <c r="F48" s="12">
        <f t="shared" si="1"/>
        <v>11.730158730158729</v>
      </c>
      <c r="G48" s="11">
        <v>8</v>
      </c>
      <c r="H48" s="11"/>
      <c r="I48" s="11"/>
      <c r="J48" s="11"/>
      <c r="K48" s="11"/>
      <c r="L48" s="11">
        <v>7.5</v>
      </c>
      <c r="M48" s="13"/>
    </row>
    <row r="49" spans="1:13" ht="18.75" x14ac:dyDescent="0.3">
      <c r="A49" s="3">
        <v>48</v>
      </c>
      <c r="B49" s="4" t="s">
        <v>116</v>
      </c>
      <c r="C49" s="4" t="s">
        <v>53</v>
      </c>
      <c r="D49" s="11">
        <f>SUM(1312)</f>
        <v>1312</v>
      </c>
      <c r="E49" s="11">
        <f>SUM(113)</f>
        <v>113</v>
      </c>
      <c r="F49" s="12">
        <f t="shared" si="1"/>
        <v>11.610619469026549</v>
      </c>
      <c r="G49" s="11">
        <v>1</v>
      </c>
      <c r="H49" s="11"/>
      <c r="I49" s="11"/>
      <c r="J49" s="11"/>
      <c r="K49" s="11"/>
      <c r="L49" s="11">
        <v>1</v>
      </c>
      <c r="M49" s="13"/>
    </row>
    <row r="50" spans="1:13" ht="18.75" x14ac:dyDescent="0.3">
      <c r="A50" s="3">
        <v>49</v>
      </c>
      <c r="B50" s="4" t="s">
        <v>106</v>
      </c>
      <c r="C50" s="17" t="s">
        <v>53</v>
      </c>
      <c r="D50" s="11">
        <f>SUM(1341)</f>
        <v>1341</v>
      </c>
      <c r="E50" s="11">
        <f>SUM(117)</f>
        <v>117</v>
      </c>
      <c r="F50" s="12">
        <f t="shared" si="1"/>
        <v>11.461538461538462</v>
      </c>
      <c r="G50" s="11">
        <v>1</v>
      </c>
      <c r="H50" s="11"/>
      <c r="I50" s="11"/>
      <c r="J50" s="11"/>
      <c r="K50" s="11"/>
      <c r="L50" s="11"/>
      <c r="M50" s="13"/>
    </row>
    <row r="51" spans="1:13" ht="18.75" x14ac:dyDescent="0.3">
      <c r="A51" s="3">
        <v>50</v>
      </c>
      <c r="B51" s="15" t="s">
        <v>100</v>
      </c>
      <c r="C51" s="4" t="s">
        <v>21</v>
      </c>
      <c r="D51" s="11">
        <f>SUM(1467)</f>
        <v>1467</v>
      </c>
      <c r="E51" s="11">
        <f>SUM(130)</f>
        <v>130</v>
      </c>
      <c r="F51" s="12">
        <f t="shared" si="1"/>
        <v>11.284615384615385</v>
      </c>
      <c r="G51" s="11">
        <v>1</v>
      </c>
      <c r="H51" s="11">
        <v>1</v>
      </c>
      <c r="I51" s="11"/>
      <c r="J51" s="11"/>
      <c r="K51" s="11"/>
      <c r="L51" s="11">
        <v>4</v>
      </c>
      <c r="M51" s="13"/>
    </row>
    <row r="52" spans="1:13" ht="18.75" x14ac:dyDescent="0.3">
      <c r="A52" s="3">
        <v>51</v>
      </c>
      <c r="B52" s="15" t="s">
        <v>64</v>
      </c>
      <c r="C52" s="4" t="s">
        <v>21</v>
      </c>
      <c r="D52" s="11">
        <f>SUM(1452+1495+1498+1503+1492)</f>
        <v>7440</v>
      </c>
      <c r="E52" s="11">
        <f>SUM(135+120+143+139+128)</f>
        <v>665</v>
      </c>
      <c r="F52" s="12">
        <f t="shared" si="1"/>
        <v>11.18796992481203</v>
      </c>
      <c r="G52" s="11">
        <v>5</v>
      </c>
      <c r="H52" s="11">
        <v>2</v>
      </c>
      <c r="I52" s="11"/>
      <c r="J52" s="11"/>
      <c r="K52" s="11"/>
      <c r="L52" s="11">
        <v>15</v>
      </c>
      <c r="M52" s="13"/>
    </row>
    <row r="53" spans="1:13" ht="18.75" x14ac:dyDescent="0.3">
      <c r="A53" s="3">
        <v>52</v>
      </c>
      <c r="B53" s="15" t="s">
        <v>65</v>
      </c>
      <c r="C53" s="4" t="s">
        <v>53</v>
      </c>
      <c r="D53" s="11">
        <f>SUM(496+1498+1461+1497+1433)</f>
        <v>6385</v>
      </c>
      <c r="E53" s="11">
        <f>SUM(45+156+130+134+114)</f>
        <v>579</v>
      </c>
      <c r="F53" s="12">
        <f t="shared" si="1"/>
        <v>11.027633851468048</v>
      </c>
      <c r="G53" s="11">
        <v>5</v>
      </c>
      <c r="H53" s="11">
        <v>1</v>
      </c>
      <c r="I53" s="11"/>
      <c r="J53" s="11"/>
      <c r="K53" s="11"/>
      <c r="L53" s="11">
        <v>10</v>
      </c>
      <c r="M53" s="13"/>
    </row>
    <row r="54" spans="1:13" ht="18.75" x14ac:dyDescent="0.3">
      <c r="A54" s="3">
        <v>53</v>
      </c>
      <c r="B54" s="4" t="s">
        <v>54</v>
      </c>
      <c r="C54" s="4" t="s">
        <v>47</v>
      </c>
      <c r="D54" s="11">
        <f>SUM(1478+1353+1503+1472+1448+1079+1478)</f>
        <v>9811</v>
      </c>
      <c r="E54" s="11">
        <f>SUM(126+139+133+123+135+93+143)</f>
        <v>892</v>
      </c>
      <c r="F54" s="12">
        <f t="shared" si="1"/>
        <v>10.998878923766815</v>
      </c>
      <c r="G54" s="11">
        <v>7</v>
      </c>
      <c r="H54" s="11">
        <v>3</v>
      </c>
      <c r="I54" s="11"/>
      <c r="J54" s="11"/>
      <c r="K54" s="11"/>
      <c r="L54" s="11">
        <v>15</v>
      </c>
      <c r="M54" s="13"/>
    </row>
    <row r="55" spans="1:13" ht="18.75" x14ac:dyDescent="0.3">
      <c r="A55" s="3">
        <v>54</v>
      </c>
      <c r="B55" s="4" t="s">
        <v>51</v>
      </c>
      <c r="C55" s="17" t="s">
        <v>14</v>
      </c>
      <c r="D55" s="11">
        <f>SUM(1394+1122+1067+1482+1376+1498+1402+1456)</f>
        <v>10797</v>
      </c>
      <c r="E55" s="11">
        <f>SUM(93+86+81+162+144+145+150+125)</f>
        <v>986</v>
      </c>
      <c r="F55" s="12">
        <f t="shared" si="1"/>
        <v>10.950304259634889</v>
      </c>
      <c r="G55" s="11">
        <v>8</v>
      </c>
      <c r="H55" s="11">
        <v>1</v>
      </c>
      <c r="I55" s="11"/>
      <c r="J55" s="11"/>
      <c r="K55" s="11"/>
      <c r="L55" s="11">
        <v>15.5</v>
      </c>
      <c r="M55" s="13"/>
    </row>
    <row r="56" spans="1:13" ht="18.75" x14ac:dyDescent="0.3">
      <c r="A56" s="3">
        <v>55</v>
      </c>
      <c r="B56" s="15" t="s">
        <v>96</v>
      </c>
      <c r="C56" s="17" t="s">
        <v>42</v>
      </c>
      <c r="D56" s="11">
        <f>SUM(1484+1490+1474+1452+1499+1435+1499+1463)</f>
        <v>11796</v>
      </c>
      <c r="E56" s="11">
        <f>SUM(126+139+150+165+106+132+146+114)</f>
        <v>1078</v>
      </c>
      <c r="F56" s="12">
        <f t="shared" si="1"/>
        <v>10.942486085343228</v>
      </c>
      <c r="G56" s="11">
        <v>8</v>
      </c>
      <c r="H56" s="11">
        <v>3</v>
      </c>
      <c r="I56" s="11"/>
      <c r="J56" s="11"/>
      <c r="K56" s="11"/>
      <c r="L56" s="11">
        <v>25</v>
      </c>
      <c r="M56" s="13"/>
    </row>
    <row r="57" spans="1:13" ht="18.75" x14ac:dyDescent="0.3">
      <c r="A57" s="3">
        <v>56</v>
      </c>
      <c r="B57" s="15" t="s">
        <v>55</v>
      </c>
      <c r="C57" s="4" t="s">
        <v>53</v>
      </c>
      <c r="D57" s="11">
        <f>SUM(1363+1275+1471+1473+1503+1072)</f>
        <v>8157</v>
      </c>
      <c r="E57" s="11">
        <f>SUM(123+117+156+148+117+87)</f>
        <v>748</v>
      </c>
      <c r="F57" s="12">
        <f t="shared" si="1"/>
        <v>10.905080213903743</v>
      </c>
      <c r="G57" s="11">
        <v>6</v>
      </c>
      <c r="H57" s="11">
        <v>2</v>
      </c>
      <c r="I57" s="11"/>
      <c r="J57" s="11"/>
      <c r="K57" s="11"/>
      <c r="L57" s="11">
        <v>12</v>
      </c>
      <c r="M57" s="13"/>
    </row>
    <row r="58" spans="1:13" ht="18.75" x14ac:dyDescent="0.3">
      <c r="A58" s="3">
        <v>57</v>
      </c>
      <c r="B58" s="4" t="s">
        <v>57</v>
      </c>
      <c r="C58" s="7" t="s">
        <v>97</v>
      </c>
      <c r="D58" s="11">
        <f>SUM(1248+1064+1400+1411+1387+1347)</f>
        <v>7857</v>
      </c>
      <c r="E58" s="11">
        <f>SUM(105+84+133+141+150+112)</f>
        <v>725</v>
      </c>
      <c r="F58" s="12">
        <f t="shared" si="1"/>
        <v>10.837241379310345</v>
      </c>
      <c r="G58" s="11">
        <v>6</v>
      </c>
      <c r="H58" s="11"/>
      <c r="I58" s="11"/>
      <c r="J58" s="11"/>
      <c r="K58" s="11"/>
      <c r="L58" s="11">
        <v>10</v>
      </c>
      <c r="M58" s="13"/>
    </row>
    <row r="59" spans="1:13" ht="18.75" x14ac:dyDescent="0.3">
      <c r="A59" s="3">
        <v>58</v>
      </c>
      <c r="B59" s="4" t="s">
        <v>107</v>
      </c>
      <c r="C59" s="4" t="s">
        <v>28</v>
      </c>
      <c r="D59" s="11">
        <f>SUM(1416)</f>
        <v>1416</v>
      </c>
      <c r="E59" s="11">
        <f>SUM(132)</f>
        <v>132</v>
      </c>
      <c r="F59" s="12">
        <f t="shared" si="1"/>
        <v>10.727272727272727</v>
      </c>
      <c r="G59" s="11">
        <v>1</v>
      </c>
      <c r="H59" s="11"/>
      <c r="I59" s="11"/>
      <c r="J59" s="11"/>
      <c r="K59" s="11"/>
      <c r="L59" s="11">
        <v>1</v>
      </c>
      <c r="M59" s="13"/>
    </row>
    <row r="60" spans="1:13" ht="18.75" x14ac:dyDescent="0.3">
      <c r="A60" s="3">
        <v>59</v>
      </c>
      <c r="B60" s="15" t="s">
        <v>101</v>
      </c>
      <c r="C60" s="37" t="s">
        <v>97</v>
      </c>
      <c r="D60" s="11">
        <f>SUM(1150+1237+1485+1478)</f>
        <v>5350</v>
      </c>
      <c r="E60" s="11">
        <f>SUM(90+108+153+148)</f>
        <v>499</v>
      </c>
      <c r="F60" s="12">
        <f t="shared" si="1"/>
        <v>10.721442885771543</v>
      </c>
      <c r="G60" s="11">
        <v>4</v>
      </c>
      <c r="H60" s="11">
        <v>1</v>
      </c>
      <c r="I60" s="11"/>
      <c r="J60" s="11"/>
      <c r="K60" s="11"/>
      <c r="L60" s="11">
        <v>8</v>
      </c>
      <c r="M60" s="13"/>
    </row>
    <row r="61" spans="1:13" ht="18.75" x14ac:dyDescent="0.3">
      <c r="A61" s="3">
        <v>60</v>
      </c>
      <c r="B61" s="15" t="s">
        <v>60</v>
      </c>
      <c r="C61" s="4" t="s">
        <v>53</v>
      </c>
      <c r="D61" s="11">
        <f>SUM(1368+1501)</f>
        <v>2869</v>
      </c>
      <c r="E61" s="11">
        <f>SUM(122+148)</f>
        <v>270</v>
      </c>
      <c r="F61" s="12">
        <f t="shared" si="1"/>
        <v>10.625925925925927</v>
      </c>
      <c r="G61" s="11">
        <v>2</v>
      </c>
      <c r="H61" s="11">
        <v>2</v>
      </c>
      <c r="I61" s="11"/>
      <c r="J61" s="11"/>
      <c r="K61" s="11"/>
      <c r="L61" s="11">
        <v>6.5</v>
      </c>
      <c r="M61" s="13"/>
    </row>
    <row r="62" spans="1:13" ht="18.75" x14ac:dyDescent="0.3">
      <c r="A62" s="3">
        <v>61</v>
      </c>
      <c r="B62" s="4" t="s">
        <v>56</v>
      </c>
      <c r="C62" s="7" t="s">
        <v>42</v>
      </c>
      <c r="D62" s="11">
        <f>SUM(1477+1499+1258)</f>
        <v>4234</v>
      </c>
      <c r="E62" s="11">
        <f>SUM(152+138+111)</f>
        <v>401</v>
      </c>
      <c r="F62" s="12">
        <f t="shared" si="1"/>
        <v>10.558603491271821</v>
      </c>
      <c r="G62" s="11">
        <v>3</v>
      </c>
      <c r="H62" s="11">
        <v>2</v>
      </c>
      <c r="I62" s="11"/>
      <c r="J62" s="11"/>
      <c r="K62" s="11"/>
      <c r="L62" s="11">
        <v>8</v>
      </c>
      <c r="M62" s="13"/>
    </row>
    <row r="63" spans="1:13" ht="18.75" x14ac:dyDescent="0.3">
      <c r="A63" s="3">
        <v>62</v>
      </c>
      <c r="B63" s="15" t="s">
        <v>104</v>
      </c>
      <c r="C63" s="7" t="s">
        <v>21</v>
      </c>
      <c r="D63" s="11">
        <f>SUM(1250+1503+1491+1315)</f>
        <v>5559</v>
      </c>
      <c r="E63" s="11">
        <f>SUM(109+145+155+119)</f>
        <v>528</v>
      </c>
      <c r="F63" s="12">
        <f t="shared" si="1"/>
        <v>10.528409090909092</v>
      </c>
      <c r="G63" s="11">
        <v>4</v>
      </c>
      <c r="H63" s="11">
        <v>2</v>
      </c>
      <c r="I63" s="11"/>
      <c r="J63" s="11"/>
      <c r="K63" s="11"/>
      <c r="L63" s="11">
        <v>9</v>
      </c>
      <c r="M63" s="13"/>
    </row>
    <row r="64" spans="1:13" ht="18.75" x14ac:dyDescent="0.3">
      <c r="A64" s="3">
        <v>63</v>
      </c>
      <c r="B64" s="15" t="s">
        <v>110</v>
      </c>
      <c r="C64" s="7" t="s">
        <v>14</v>
      </c>
      <c r="D64" s="11">
        <f>SUM(1489+1487)</f>
        <v>2976</v>
      </c>
      <c r="E64" s="11">
        <f>SUM(134+150)</f>
        <v>284</v>
      </c>
      <c r="F64" s="12">
        <f t="shared" si="1"/>
        <v>10.47887323943662</v>
      </c>
      <c r="G64" s="11">
        <v>2</v>
      </c>
      <c r="H64" s="11">
        <v>2</v>
      </c>
      <c r="I64" s="11"/>
      <c r="J64" s="11"/>
      <c r="K64" s="11"/>
      <c r="L64" s="11">
        <v>8.5</v>
      </c>
      <c r="M64" s="13"/>
    </row>
    <row r="65" spans="1:18" ht="18.75" x14ac:dyDescent="0.3">
      <c r="A65" s="3">
        <v>64</v>
      </c>
      <c r="B65" s="15" t="s">
        <v>98</v>
      </c>
      <c r="C65" s="4" t="s">
        <v>47</v>
      </c>
      <c r="D65" s="11">
        <f>SUM(1376)</f>
        <v>1376</v>
      </c>
      <c r="E65" s="11">
        <f>SUM(138)</f>
        <v>138</v>
      </c>
      <c r="F65" s="12">
        <f t="shared" si="1"/>
        <v>9.9710144927536231</v>
      </c>
      <c r="G65" s="11">
        <v>1</v>
      </c>
      <c r="H65" s="11"/>
      <c r="I65" s="11"/>
      <c r="J65" s="11"/>
      <c r="K65" s="11"/>
      <c r="L65" s="11">
        <v>4</v>
      </c>
      <c r="M65" s="13"/>
    </row>
    <row r="66" spans="1:18" ht="18.75" x14ac:dyDescent="0.3">
      <c r="A66" s="3">
        <v>65</v>
      </c>
      <c r="B66" s="21" t="s">
        <v>117</v>
      </c>
      <c r="C66" s="14" t="s">
        <v>53</v>
      </c>
      <c r="D66" s="11">
        <f>SUM(1376)</f>
        <v>1376</v>
      </c>
      <c r="E66" s="11">
        <f>SUM(157)</f>
        <v>157</v>
      </c>
      <c r="F66" s="12">
        <f t="shared" ref="F66:F97" si="2">SUM(D66/E66)</f>
        <v>8.7643312101910826</v>
      </c>
      <c r="G66" s="11">
        <v>1</v>
      </c>
      <c r="H66" s="11"/>
      <c r="I66" s="11"/>
      <c r="J66" s="11"/>
      <c r="K66" s="11"/>
      <c r="L66" s="11"/>
      <c r="M66" s="13"/>
    </row>
    <row r="67" spans="1:18" ht="17.25" customHeight="1" thickBo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8" ht="19.5" customHeight="1" thickBot="1" x14ac:dyDescent="0.35">
      <c r="A68" s="5"/>
      <c r="B68" s="40" t="s">
        <v>120</v>
      </c>
      <c r="C68" s="27" t="s">
        <v>67</v>
      </c>
      <c r="D68" s="28" t="s">
        <v>68</v>
      </c>
      <c r="E68" s="29" t="s">
        <v>69</v>
      </c>
      <c r="F68" s="20" t="s">
        <v>93</v>
      </c>
      <c r="G68" s="30" t="s">
        <v>70</v>
      </c>
      <c r="I68" s="51" t="s">
        <v>71</v>
      </c>
      <c r="J68" s="52"/>
      <c r="K68" s="52"/>
      <c r="L68" s="52"/>
      <c r="M68" s="52"/>
      <c r="N68" s="52"/>
      <c r="O68" s="52"/>
      <c r="P68" s="52"/>
      <c r="Q68" s="52"/>
      <c r="R68" s="53"/>
    </row>
    <row r="69" spans="1:18" ht="18.75" x14ac:dyDescent="0.3">
      <c r="A69" s="5"/>
      <c r="B69" s="41"/>
      <c r="C69" s="17" t="s">
        <v>84</v>
      </c>
      <c r="D69" s="7">
        <v>8</v>
      </c>
      <c r="E69" s="22">
        <v>0</v>
      </c>
      <c r="F69" s="15"/>
      <c r="G69" s="23">
        <v>135</v>
      </c>
      <c r="I69" s="43" t="s">
        <v>72</v>
      </c>
      <c r="J69" s="44"/>
      <c r="K69" s="44"/>
      <c r="L69" s="44"/>
      <c r="M69" s="44"/>
      <c r="N69" s="54" t="s">
        <v>108</v>
      </c>
      <c r="O69" s="54"/>
      <c r="P69" s="54"/>
      <c r="Q69" s="54"/>
      <c r="R69" s="55"/>
    </row>
    <row r="70" spans="1:18" ht="18.75" x14ac:dyDescent="0.3">
      <c r="A70" s="5"/>
      <c r="B70" s="41"/>
      <c r="C70" s="17" t="s">
        <v>79</v>
      </c>
      <c r="D70" s="7">
        <v>8</v>
      </c>
      <c r="E70" s="22">
        <v>0</v>
      </c>
      <c r="F70" s="15"/>
      <c r="G70" s="23">
        <v>126</v>
      </c>
      <c r="I70" s="45" t="s">
        <v>74</v>
      </c>
      <c r="J70" s="46"/>
      <c r="K70" s="46"/>
      <c r="L70" s="46"/>
      <c r="M70" s="46"/>
      <c r="N70" s="49" t="s">
        <v>119</v>
      </c>
      <c r="O70" s="49"/>
      <c r="P70" s="49"/>
      <c r="Q70" s="49"/>
      <c r="R70" s="50"/>
    </row>
    <row r="71" spans="1:18" ht="18.75" x14ac:dyDescent="0.3">
      <c r="A71" s="5"/>
      <c r="B71" s="41"/>
      <c r="C71" s="18" t="s">
        <v>85</v>
      </c>
      <c r="D71" s="9">
        <v>6</v>
      </c>
      <c r="E71" s="10">
        <v>2</v>
      </c>
      <c r="F71" s="15"/>
      <c r="G71" s="18">
        <v>110</v>
      </c>
      <c r="I71" s="45" t="s">
        <v>76</v>
      </c>
      <c r="J71" s="46"/>
      <c r="K71" s="46"/>
      <c r="L71" s="46"/>
      <c r="M71" s="46"/>
      <c r="N71" s="49" t="s">
        <v>118</v>
      </c>
      <c r="O71" s="49"/>
      <c r="P71" s="49"/>
      <c r="Q71" s="49"/>
      <c r="R71" s="50"/>
    </row>
    <row r="72" spans="1:18" ht="18.75" x14ac:dyDescent="0.3">
      <c r="A72" s="6"/>
      <c r="B72" s="41"/>
      <c r="C72" s="17" t="s">
        <v>87</v>
      </c>
      <c r="D72" s="7">
        <v>5</v>
      </c>
      <c r="E72" s="22">
        <v>3</v>
      </c>
      <c r="F72" s="15"/>
      <c r="G72" s="23">
        <v>109</v>
      </c>
      <c r="I72" s="45" t="s">
        <v>78</v>
      </c>
      <c r="J72" s="46"/>
      <c r="K72" s="46"/>
      <c r="L72" s="46"/>
      <c r="M72" s="46"/>
      <c r="N72" s="49" t="s">
        <v>121</v>
      </c>
      <c r="O72" s="49"/>
      <c r="P72" s="49"/>
      <c r="Q72" s="49"/>
      <c r="R72" s="50"/>
    </row>
    <row r="73" spans="1:18" ht="18" customHeight="1" x14ac:dyDescent="0.3">
      <c r="A73" s="6"/>
      <c r="B73" s="41"/>
      <c r="C73" s="17" t="s">
        <v>73</v>
      </c>
      <c r="D73" s="7">
        <v>4</v>
      </c>
      <c r="E73" s="16">
        <v>4</v>
      </c>
      <c r="F73" s="15"/>
      <c r="G73" s="17">
        <v>103</v>
      </c>
      <c r="I73" s="45" t="s">
        <v>80</v>
      </c>
      <c r="J73" s="46"/>
      <c r="K73" s="46"/>
      <c r="L73" s="46"/>
      <c r="M73" s="46"/>
      <c r="N73" s="49" t="s">
        <v>112</v>
      </c>
      <c r="O73" s="49"/>
      <c r="P73" s="49"/>
      <c r="Q73" s="49"/>
      <c r="R73" s="50"/>
    </row>
    <row r="74" spans="1:18" ht="18" customHeight="1" thickBot="1" x14ac:dyDescent="0.35">
      <c r="A74" s="6"/>
      <c r="B74" s="41"/>
      <c r="C74" s="17" t="s">
        <v>77</v>
      </c>
      <c r="D74" s="7">
        <v>4</v>
      </c>
      <c r="E74" s="22">
        <v>4</v>
      </c>
      <c r="F74" s="15"/>
      <c r="G74" s="23">
        <v>98</v>
      </c>
      <c r="I74" s="47" t="s">
        <v>82</v>
      </c>
      <c r="J74" s="48"/>
      <c r="K74" s="48"/>
      <c r="L74" s="48"/>
      <c r="M74" s="48"/>
      <c r="N74" s="49" t="s">
        <v>109</v>
      </c>
      <c r="O74" s="49"/>
      <c r="P74" s="49"/>
      <c r="Q74" s="49"/>
      <c r="R74" s="50"/>
    </row>
    <row r="75" spans="1:18" ht="18.75" x14ac:dyDescent="0.3">
      <c r="A75" s="6"/>
      <c r="B75" s="41"/>
      <c r="C75" s="18" t="s">
        <v>88</v>
      </c>
      <c r="D75" s="9">
        <v>3</v>
      </c>
      <c r="E75" s="10">
        <v>5</v>
      </c>
      <c r="F75" s="15"/>
      <c r="G75" s="18">
        <v>93</v>
      </c>
      <c r="H75" s="6"/>
      <c r="I75" s="6"/>
    </row>
    <row r="76" spans="1:18" ht="18.75" x14ac:dyDescent="0.3">
      <c r="A76" s="6"/>
      <c r="B76" s="41"/>
      <c r="C76" s="18" t="s">
        <v>81</v>
      </c>
      <c r="D76" s="9">
        <v>3</v>
      </c>
      <c r="E76" s="10">
        <v>5</v>
      </c>
      <c r="F76" s="15"/>
      <c r="G76" s="18">
        <v>87</v>
      </c>
      <c r="H76" s="6"/>
    </row>
    <row r="77" spans="1:18" ht="18.75" x14ac:dyDescent="0.3">
      <c r="B77" s="41"/>
      <c r="C77" s="19" t="s">
        <v>99</v>
      </c>
      <c r="D77" s="14">
        <v>3</v>
      </c>
      <c r="E77" s="21">
        <v>5</v>
      </c>
      <c r="F77" s="26"/>
      <c r="G77" s="19">
        <v>86</v>
      </c>
    </row>
    <row r="78" spans="1:18" ht="18.75" x14ac:dyDescent="0.3">
      <c r="B78" s="41"/>
      <c r="C78" s="17" t="s">
        <v>83</v>
      </c>
      <c r="D78" s="7">
        <v>2</v>
      </c>
      <c r="E78" s="16">
        <v>6</v>
      </c>
      <c r="F78" s="15"/>
      <c r="G78" s="17">
        <v>86</v>
      </c>
    </row>
    <row r="79" spans="1:18" ht="18.75" x14ac:dyDescent="0.3">
      <c r="B79" s="41"/>
      <c r="C79" s="17" t="s">
        <v>75</v>
      </c>
      <c r="D79" s="7">
        <v>2</v>
      </c>
      <c r="E79" s="22">
        <v>6</v>
      </c>
      <c r="F79" s="15"/>
      <c r="G79" s="23">
        <v>75</v>
      </c>
    </row>
    <row r="80" spans="1:18" ht="19.5" thickBot="1" x14ac:dyDescent="0.35">
      <c r="B80" s="42"/>
      <c r="C80" s="18" t="s">
        <v>86</v>
      </c>
      <c r="D80" s="9">
        <v>0</v>
      </c>
      <c r="E80" s="10">
        <v>8</v>
      </c>
      <c r="F80" s="15"/>
      <c r="G80" s="18">
        <v>44</v>
      </c>
    </row>
    <row r="81" spans="3:7" ht="15.75" thickBot="1" x14ac:dyDescent="0.3"/>
    <row r="82" spans="3:7" ht="19.5" thickBot="1" x14ac:dyDescent="0.35">
      <c r="C82" s="27" t="s">
        <v>89</v>
      </c>
      <c r="D82" s="28" t="s">
        <v>68</v>
      </c>
      <c r="E82" s="28" t="s">
        <v>69</v>
      </c>
      <c r="F82" s="20" t="s">
        <v>93</v>
      </c>
      <c r="G82" s="31" t="s">
        <v>70</v>
      </c>
    </row>
    <row r="83" spans="3:7" ht="18.75" x14ac:dyDescent="0.3">
      <c r="C83" s="14" t="s">
        <v>84</v>
      </c>
      <c r="D83" s="14">
        <v>8</v>
      </c>
      <c r="E83" s="24">
        <v>0</v>
      </c>
      <c r="F83" s="15"/>
      <c r="G83" s="25">
        <v>135</v>
      </c>
    </row>
    <row r="84" spans="3:7" ht="18.75" x14ac:dyDescent="0.3">
      <c r="C84" s="7" t="s">
        <v>79</v>
      </c>
      <c r="D84" s="7">
        <v>8</v>
      </c>
      <c r="E84" s="22">
        <v>0</v>
      </c>
      <c r="F84" s="15"/>
      <c r="G84" s="23">
        <v>126</v>
      </c>
    </row>
    <row r="85" spans="3:7" ht="18.75" x14ac:dyDescent="0.3">
      <c r="C85" s="14" t="s">
        <v>73</v>
      </c>
      <c r="D85" s="14">
        <v>4</v>
      </c>
      <c r="E85" s="21">
        <v>4</v>
      </c>
      <c r="F85" s="26"/>
      <c r="G85" s="19">
        <v>103</v>
      </c>
    </row>
    <row r="86" spans="3:7" ht="18.75" x14ac:dyDescent="0.3">
      <c r="C86" s="14" t="s">
        <v>77</v>
      </c>
      <c r="D86" s="14">
        <v>4</v>
      </c>
      <c r="E86" s="24">
        <v>4</v>
      </c>
      <c r="F86" s="26"/>
      <c r="G86" s="25">
        <v>98</v>
      </c>
    </row>
    <row r="87" spans="3:7" ht="15.75" thickBot="1" x14ac:dyDescent="0.3"/>
    <row r="88" spans="3:7" ht="19.5" thickBot="1" x14ac:dyDescent="0.35">
      <c r="C88" s="27" t="s">
        <v>90</v>
      </c>
      <c r="D88" s="28" t="s">
        <v>68</v>
      </c>
      <c r="E88" s="28" t="s">
        <v>69</v>
      </c>
      <c r="F88" s="20" t="s">
        <v>93</v>
      </c>
      <c r="G88" s="31" t="s">
        <v>70</v>
      </c>
    </row>
    <row r="89" spans="3:7" ht="18.75" x14ac:dyDescent="0.3">
      <c r="C89" s="9" t="s">
        <v>85</v>
      </c>
      <c r="D89" s="9">
        <v>6</v>
      </c>
      <c r="E89" s="10">
        <v>2</v>
      </c>
      <c r="F89" s="15"/>
      <c r="G89" s="18">
        <v>110</v>
      </c>
    </row>
    <row r="90" spans="3:7" ht="18.75" x14ac:dyDescent="0.3">
      <c r="C90" s="7" t="s">
        <v>87</v>
      </c>
      <c r="D90" s="7">
        <v>5</v>
      </c>
      <c r="E90" s="22">
        <v>3</v>
      </c>
      <c r="F90" s="15"/>
      <c r="G90" s="23">
        <v>109</v>
      </c>
    </row>
    <row r="91" spans="3:7" ht="18.75" x14ac:dyDescent="0.3">
      <c r="C91" s="9" t="s">
        <v>81</v>
      </c>
      <c r="D91" s="9">
        <v>3</v>
      </c>
      <c r="E91" s="10">
        <v>5</v>
      </c>
      <c r="F91" s="15"/>
      <c r="G91" s="18">
        <v>87</v>
      </c>
    </row>
    <row r="92" spans="3:7" ht="18.75" x14ac:dyDescent="0.3">
      <c r="C92" s="14" t="s">
        <v>99</v>
      </c>
      <c r="D92" s="14">
        <v>3</v>
      </c>
      <c r="E92" s="21">
        <v>5</v>
      </c>
      <c r="F92" s="26"/>
      <c r="G92" s="19">
        <v>86</v>
      </c>
    </row>
    <row r="93" spans="3:7" ht="15.75" thickBot="1" x14ac:dyDescent="0.3"/>
    <row r="94" spans="3:7" ht="19.5" thickBot="1" x14ac:dyDescent="0.35">
      <c r="C94" s="32" t="s">
        <v>91</v>
      </c>
      <c r="D94" s="33" t="s">
        <v>68</v>
      </c>
      <c r="E94" s="33" t="s">
        <v>69</v>
      </c>
      <c r="F94" s="20" t="s">
        <v>93</v>
      </c>
      <c r="G94" s="34" t="s">
        <v>70</v>
      </c>
    </row>
    <row r="95" spans="3:7" ht="18.75" x14ac:dyDescent="0.3">
      <c r="C95" s="9" t="s">
        <v>88</v>
      </c>
      <c r="D95" s="9">
        <v>3</v>
      </c>
      <c r="E95" s="10">
        <v>5</v>
      </c>
      <c r="F95" s="15"/>
      <c r="G95" s="18">
        <v>93</v>
      </c>
    </row>
    <row r="96" spans="3:7" ht="18.75" x14ac:dyDescent="0.3">
      <c r="C96" s="7" t="s">
        <v>83</v>
      </c>
      <c r="D96" s="7">
        <v>2</v>
      </c>
      <c r="E96" s="16">
        <v>6</v>
      </c>
      <c r="F96" s="15"/>
      <c r="G96" s="17">
        <v>86</v>
      </c>
    </row>
    <row r="97" spans="3:7" ht="18.75" x14ac:dyDescent="0.3">
      <c r="C97" s="14" t="s">
        <v>75</v>
      </c>
      <c r="D97" s="14">
        <v>2</v>
      </c>
      <c r="E97" s="24">
        <v>6</v>
      </c>
      <c r="F97" s="15"/>
      <c r="G97" s="25">
        <v>75</v>
      </c>
    </row>
    <row r="98" spans="3:7" ht="18.75" x14ac:dyDescent="0.3">
      <c r="C98" s="9" t="s">
        <v>86</v>
      </c>
      <c r="D98" s="9">
        <v>0</v>
      </c>
      <c r="E98" s="10">
        <v>8</v>
      </c>
      <c r="F98" s="15"/>
      <c r="G98" s="18">
        <v>44</v>
      </c>
    </row>
  </sheetData>
  <sortState ref="A2:M66">
    <sortCondition descending="1" ref="F2:F66"/>
  </sortState>
  <mergeCells count="14">
    <mergeCell ref="N74:R74"/>
    <mergeCell ref="I68:R68"/>
    <mergeCell ref="N69:R69"/>
    <mergeCell ref="N70:R70"/>
    <mergeCell ref="N71:R71"/>
    <mergeCell ref="N72:R72"/>
    <mergeCell ref="N73:R73"/>
    <mergeCell ref="B68:B80"/>
    <mergeCell ref="I69:M69"/>
    <mergeCell ref="I70:M70"/>
    <mergeCell ref="I71:M71"/>
    <mergeCell ref="I72:M72"/>
    <mergeCell ref="I73:M73"/>
    <mergeCell ref="I74:M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Sam</dc:creator>
  <cp:keywords/>
  <dc:description/>
  <cp:lastModifiedBy>Mellie, Gabriella</cp:lastModifiedBy>
  <cp:revision/>
  <dcterms:created xsi:type="dcterms:W3CDTF">2023-09-18T23:48:25Z</dcterms:created>
  <dcterms:modified xsi:type="dcterms:W3CDTF">2025-03-19T14:35:22Z</dcterms:modified>
  <cp:category/>
  <cp:contentStatus/>
</cp:coreProperties>
</file>