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7057398A-6EB2-46D8-B2E5-7D7591C27F78}" xr6:coauthVersionLast="47" xr6:coauthVersionMax="47" xr10:uidLastSave="{00000000-0000-0000-0000-000000000000}"/>
  <bookViews>
    <workbookView xWindow="-120" yWindow="-120" windowWidth="20730" windowHeight="11040" xr2:uid="{829741C1-53A8-462E-A201-87D00D0659E5}"/>
  </bookViews>
  <sheets>
    <sheet name="Empresa" sheetId="2" r:id="rId1"/>
    <sheet name="Colaboradores" sheetId="3" r:id="rId2"/>
    <sheet name="Recibo" sheetId="4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26" i="4" l="1"/>
  <c r="CC25" i="4"/>
  <c r="AJ25" i="4"/>
  <c r="AJ21" i="4"/>
  <c r="AJ20" i="4"/>
  <c r="AJ19" i="4"/>
  <c r="CA12" i="4"/>
  <c r="V7" i="4"/>
  <c r="V6" i="4"/>
  <c r="V5" i="4"/>
  <c r="V4" i="4"/>
  <c r="BG14" i="4" s="1"/>
  <c r="V3" i="4"/>
  <c r="G8" i="3"/>
  <c r="H8" i="3" s="1"/>
  <c r="G9" i="3"/>
  <c r="H9" i="3" s="1"/>
  <c r="G10" i="3"/>
  <c r="G11" i="3"/>
  <c r="H11" i="3" s="1"/>
  <c r="G12" i="3"/>
  <c r="H12" i="3" s="1"/>
  <c r="G13" i="3"/>
  <c r="G14" i="3"/>
  <c r="G15" i="3"/>
  <c r="H15" i="3" s="1"/>
  <c r="G7" i="3"/>
  <c r="H7" i="3" s="1"/>
  <c r="I7" i="3" s="1"/>
  <c r="K7" i="3" s="1"/>
  <c r="G6" i="3"/>
  <c r="H6" i="3" s="1"/>
  <c r="I6" i="3" s="1"/>
  <c r="K6" i="3" s="1"/>
  <c r="H13" i="3" l="1"/>
  <c r="I13" i="3" s="1"/>
  <c r="K13" i="3" s="1"/>
  <c r="AJ22" i="4"/>
  <c r="H10" i="3"/>
  <c r="AJ23" i="4" s="1"/>
  <c r="H14" i="3"/>
  <c r="I14" i="3" s="1"/>
  <c r="K14" i="3" s="1"/>
  <c r="I12" i="3"/>
  <c r="K12" i="3" s="1"/>
  <c r="I9" i="3"/>
  <c r="K9" i="3" s="1"/>
  <c r="I8" i="3"/>
  <c r="K8" i="3" s="1"/>
  <c r="I15" i="3"/>
  <c r="K15" i="3" s="1"/>
  <c r="I11" i="3"/>
  <c r="K11" i="3" s="1"/>
  <c r="AJ24" i="4"/>
  <c r="I10" i="3" l="1"/>
  <c r="K10" i="3" s="1"/>
  <c r="AJ26" i="4" s="1"/>
  <c r="Q15" i="4" s="1"/>
  <c r="AK15" i="4"/>
</calcChain>
</file>

<file path=xl/sharedStrings.xml><?xml version="1.0" encoding="utf-8"?>
<sst xmlns="http://schemas.openxmlformats.org/spreadsheetml/2006/main" count="84" uniqueCount="81">
  <si>
    <t>Puesto:</t>
  </si>
  <si>
    <t>Aguinaldo neto:</t>
  </si>
  <si>
    <t>Nombre:</t>
  </si>
  <si>
    <t>Nombre Comercial:</t>
  </si>
  <si>
    <t>Domicilio Fiscal:</t>
  </si>
  <si>
    <t>Ecompliance, SAS de CV</t>
  </si>
  <si>
    <t>Calle 21 307 Los Pinos Tizimín, Yuc. CP 97700</t>
  </si>
  <si>
    <t>RFC:</t>
  </si>
  <si>
    <t>ECO221117MT6</t>
  </si>
  <si>
    <t>Aguinaldo</t>
  </si>
  <si>
    <t>Puesto</t>
  </si>
  <si>
    <t>ISR</t>
  </si>
  <si>
    <t>Aguinaldo Neto</t>
  </si>
  <si>
    <t>Sueldo diario</t>
  </si>
  <si>
    <t>Amelí Medina Fernández</t>
  </si>
  <si>
    <t>Carlos Darío Aguilar</t>
  </si>
  <si>
    <t>Chief Financial Officer (CFO)</t>
  </si>
  <si>
    <t>Chief Ejecutive Officer (CEO)</t>
  </si>
  <si>
    <t>Días que otorga de Aguinaldo:</t>
  </si>
  <si>
    <t>Proporción</t>
  </si>
  <si>
    <t>Días Trabajados</t>
  </si>
  <si>
    <t>Días del año</t>
  </si>
  <si>
    <t>Días a pagar</t>
  </si>
  <si>
    <t>Contacto:</t>
  </si>
  <si>
    <t>WhatsApp 999 494 5942      Email: hola@mfacontadores.tax</t>
  </si>
  <si>
    <t>Nombre/ DORS:</t>
  </si>
  <si>
    <t>la cantidad de:</t>
  </si>
  <si>
    <t>Tu logotipo aquí</t>
  </si>
  <si>
    <t>Tizimín, Yuc., a:</t>
  </si>
  <si>
    <t>Recibo de Pago de Aguinaldo</t>
  </si>
  <si>
    <t>Recibí a mi entera conformidad por parte de la Empresa:</t>
  </si>
  <si>
    <t>Son:</t>
  </si>
  <si>
    <t>Sueldo diario:</t>
  </si>
  <si>
    <t>por concepto de Gratificación Anual (Aguinaldo 2023) o Parte Proporcional de este, con fundamento</t>
  </si>
  <si>
    <t>en el Artículo 87 de la Ley Federal del Trabajo vigente.</t>
  </si>
  <si>
    <t>Días trabajados:</t>
  </si>
  <si>
    <t>Proporción:</t>
  </si>
  <si>
    <t>Aguinaldo bruto:</t>
  </si>
  <si>
    <t>I.S.R.:</t>
  </si>
  <si>
    <t>Atentamente,</t>
  </si>
  <si>
    <t>Huella pulgar derecho</t>
  </si>
  <si>
    <t>Días base:</t>
  </si>
  <si>
    <t>Oscar</t>
  </si>
  <si>
    <t>Karen</t>
  </si>
  <si>
    <t>Lisset</t>
  </si>
  <si>
    <t>Empleado 1</t>
  </si>
  <si>
    <t>Empleado 2</t>
  </si>
  <si>
    <t>Empleado 3</t>
  </si>
  <si>
    <t>Empleado 4</t>
  </si>
  <si>
    <t>Empleado 5</t>
  </si>
  <si>
    <t>Operaciones</t>
  </si>
  <si>
    <t>Supervisor</t>
  </si>
  <si>
    <t>Marketing</t>
  </si>
  <si>
    <t>Administrativo</t>
  </si>
  <si>
    <t>Diligenciero</t>
  </si>
  <si>
    <t>Velador</t>
  </si>
  <si>
    <t>Efectivo:</t>
  </si>
  <si>
    <t>Cheque:</t>
  </si>
  <si>
    <t>Transferencia:</t>
  </si>
  <si>
    <t>Banco:</t>
  </si>
  <si>
    <t>Cuenta:</t>
  </si>
  <si>
    <t>Citibanamex</t>
  </si>
  <si>
    <t>HSBC</t>
  </si>
  <si>
    <t>Banco Azteca</t>
  </si>
  <si>
    <t>BBVA</t>
  </si>
  <si>
    <t>Bancoppel</t>
  </si>
  <si>
    <t>Santander</t>
  </si>
  <si>
    <t>Scotiabank</t>
  </si>
  <si>
    <t>Lista de Bancos</t>
  </si>
  <si>
    <t>01211890</t>
  </si>
  <si>
    <t>Cuenta/ Clabe/ Tarjeta</t>
  </si>
  <si>
    <t>01211891</t>
  </si>
  <si>
    <t>01211892</t>
  </si>
  <si>
    <t>01211893</t>
  </si>
  <si>
    <t>01211894</t>
  </si>
  <si>
    <t>01211895</t>
  </si>
  <si>
    <t>01211896</t>
  </si>
  <si>
    <t>01211897</t>
  </si>
  <si>
    <t>01211898</t>
  </si>
  <si>
    <t>01211899</t>
  </si>
  <si>
    <t>MF&amp;A Contadores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</si>
</sst>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00"/>
    <numFmt numFmtId="165" formatCode="[$-80A]d&quot; de &quot;mmmm&quot; de &quot;yyyy;@"/>
    <numFmt numFmtId="166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fornian FB"/>
      <family val="1"/>
    </font>
    <font>
      <b/>
      <sz val="12"/>
      <color theme="1"/>
      <name val="Californian FB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2" borderId="0" xfId="0" applyFill="1"/>
    <xf numFmtId="49" fontId="0" fillId="0" borderId="0" xfId="0" applyNumberFormat="1" applyAlignment="1">
      <alignment horizontal="center"/>
    </xf>
    <xf numFmtId="0" fontId="0" fillId="3" borderId="0" xfId="0" applyFill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/>
    <xf numFmtId="14" fontId="6" fillId="3" borderId="0" xfId="0" applyNumberFormat="1" applyFont="1" applyFill="1"/>
    <xf numFmtId="0" fontId="6" fillId="3" borderId="0" xfId="0" applyFont="1" applyFill="1" applyBorder="1" applyAlignment="1"/>
    <xf numFmtId="0" fontId="6" fillId="3" borderId="0" xfId="0" applyFont="1" applyFill="1" applyProtection="1">
      <protection hidden="1"/>
    </xf>
    <xf numFmtId="44" fontId="6" fillId="3" borderId="0" xfId="1" applyFont="1" applyFill="1" applyAlignment="1" applyProtection="1">
      <protection hidden="1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vertical="center"/>
    </xf>
    <xf numFmtId="0" fontId="0" fillId="2" borderId="0" xfId="0" applyFill="1" applyAlignment="1">
      <alignment horizontal="left"/>
    </xf>
    <xf numFmtId="0" fontId="7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44" fontId="7" fillId="3" borderId="0" xfId="1" applyFont="1" applyFill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44" fontId="6" fillId="3" borderId="0" xfId="1" applyFont="1" applyFill="1" applyAlignment="1" applyProtection="1">
      <alignment horizontal="right"/>
      <protection hidden="1"/>
    </xf>
    <xf numFmtId="0" fontId="6" fillId="3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right"/>
      <protection hidden="1"/>
    </xf>
    <xf numFmtId="166" fontId="6" fillId="3" borderId="0" xfId="2" applyNumberFormat="1" applyFont="1" applyFill="1" applyAlignment="1" applyProtection="1">
      <alignment horizontal="right"/>
      <protection hidden="1"/>
    </xf>
    <xf numFmtId="165" fontId="6" fillId="3" borderId="0" xfId="0" applyNumberFormat="1" applyFont="1" applyFill="1" applyAlignment="1">
      <alignment horizontal="right"/>
    </xf>
    <xf numFmtId="44" fontId="6" fillId="3" borderId="0" xfId="1" applyFont="1" applyFill="1" applyAlignment="1" applyProtection="1">
      <alignment horizontal="center"/>
      <protection hidden="1"/>
    </xf>
    <xf numFmtId="0" fontId="0" fillId="3" borderId="1" xfId="0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 applyProtection="1">
      <alignment horizontal="right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20</xdr:row>
          <xdr:rowOff>190500</xdr:rowOff>
        </xdr:from>
        <xdr:to>
          <xdr:col>98</xdr:col>
          <xdr:colOff>28575</xdr:colOff>
          <xdr:row>22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21</xdr:row>
          <xdr:rowOff>190500</xdr:rowOff>
        </xdr:from>
        <xdr:to>
          <xdr:col>98</xdr:col>
          <xdr:colOff>28575</xdr:colOff>
          <xdr:row>23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22</xdr:row>
          <xdr:rowOff>180975</xdr:rowOff>
        </xdr:from>
        <xdr:to>
          <xdr:col>99</xdr:col>
          <xdr:colOff>28575</xdr:colOff>
          <xdr:row>23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E3D63E-E1B8-4C99-B704-78A962AA53EA}" name="BD" displayName="BD" ref="B5:M15" totalsRowShown="0" headerRowDxfId="11" dataDxfId="10" headerRowCellStyle="Moneda" dataCellStyle="Moneda">
  <autoFilter ref="B5:M15" xr:uid="{FCE3D63E-E1B8-4C99-B704-78A962AA53EA}"/>
  <tableColumns count="12">
    <tableColumn id="1" xr3:uid="{290259AE-DDC8-4D70-BB2C-96ECEECBFD22}" name="Nombre:"/>
    <tableColumn id="2" xr3:uid="{ED8539AF-9B01-43AD-BEDD-32D6B3F33857}" name="Puesto"/>
    <tableColumn id="3" xr3:uid="{7C2743D7-7250-4A51-A641-844CA6979BE2}" name="Sueldo diario" dataDxfId="9" dataCellStyle="Moneda"/>
    <tableColumn id="4" xr3:uid="{D0416686-116E-4974-8FE0-DFD8CCC00CA8}" name="Días Trabajados" dataDxfId="8"/>
    <tableColumn id="5" xr3:uid="{F30659C4-B9A7-4FFF-88F5-5ED9F9FE9A91}" name="Días del año" dataDxfId="7"/>
    <tableColumn id="6" xr3:uid="{E60AC8F8-48F9-4952-A2E0-DDFF78E9CC05}" name="Proporción" dataDxfId="6" dataCellStyle="Porcentaje">
      <calculatedColumnFormula>+E6/F6</calculatedColumnFormula>
    </tableColumn>
    <tableColumn id="7" xr3:uid="{B1806EC1-86A7-4D63-B835-A2D904C7C677}" name="Días a pagar" dataDxfId="5">
      <calculatedColumnFormula>+Empresa!D10*Colaboradores!G6</calculatedColumnFormula>
    </tableColumn>
    <tableColumn id="8" xr3:uid="{F24AA32B-12E8-4647-950C-8105D2D8430F}" name="Aguinaldo" dataDxfId="4" dataCellStyle="Moneda">
      <calculatedColumnFormula>BD[[#This Row],[Sueldo diario]]*BD[[#This Row],[Días a pagar]]</calculatedColumnFormula>
    </tableColumn>
    <tableColumn id="9" xr3:uid="{38057FC2-41EB-4382-9B2C-FD6DE28668F0}" name="ISR" dataDxfId="3" dataCellStyle="Moneda"/>
    <tableColumn id="10" xr3:uid="{7ECB8BC9-7210-43A5-9825-730057F93762}" name="Aguinaldo Neto" dataDxfId="2" dataCellStyle="Moneda">
      <calculatedColumnFormula>+I6-J6</calculatedColumnFormula>
    </tableColumn>
    <tableColumn id="11" xr3:uid="{37362874-CB1E-48C7-BC84-40F2D3EA8EE9}" name="Lista de Bancos" dataDxfId="1" dataCellStyle="Moneda"/>
    <tableColumn id="12" xr3:uid="{AA684A5E-CBFF-48E6-AC1D-0850B98A7A9A}" name="Cuenta/ Clabe/ Tarjeta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E807-33B5-4269-B369-6303CA63C45D}">
  <dimension ref="B5:H11"/>
  <sheetViews>
    <sheetView tabSelected="1" workbookViewId="0">
      <selection activeCell="B16" sqref="B16"/>
    </sheetView>
  </sheetViews>
  <sheetFormatPr baseColWidth="10" defaultRowHeight="15" x14ac:dyDescent="0.25"/>
  <cols>
    <col min="2" max="2" width="27.7109375" bestFit="1" customWidth="1"/>
    <col min="3" max="3" width="1.5703125" customWidth="1"/>
  </cols>
  <sheetData>
    <row r="5" spans="2:8" x14ac:dyDescent="0.25">
      <c r="B5" t="s">
        <v>3</v>
      </c>
      <c r="C5" s="18" t="s">
        <v>80</v>
      </c>
      <c r="D5" s="18"/>
      <c r="E5" s="18"/>
    </row>
    <row r="6" spans="2:8" x14ac:dyDescent="0.25">
      <c r="B6" t="s">
        <v>25</v>
      </c>
      <c r="C6" s="18" t="s">
        <v>5</v>
      </c>
      <c r="D6" s="18"/>
      <c r="E6" s="18"/>
    </row>
    <row r="7" spans="2:8" x14ac:dyDescent="0.25">
      <c r="B7" t="s">
        <v>7</v>
      </c>
      <c r="C7" s="18" t="s">
        <v>8</v>
      </c>
      <c r="D7" s="18"/>
      <c r="E7" s="18"/>
    </row>
    <row r="8" spans="2:8" x14ac:dyDescent="0.25">
      <c r="B8" t="s">
        <v>4</v>
      </c>
      <c r="C8" s="18" t="s">
        <v>6</v>
      </c>
      <c r="D8" s="18"/>
      <c r="E8" s="18"/>
      <c r="F8" s="18"/>
      <c r="G8" s="18"/>
    </row>
    <row r="9" spans="2:8" x14ac:dyDescent="0.25">
      <c r="B9" t="s">
        <v>23</v>
      </c>
      <c r="C9" s="18" t="s">
        <v>24</v>
      </c>
      <c r="D9" s="18"/>
      <c r="E9" s="18"/>
      <c r="F9" s="18"/>
      <c r="G9" s="18"/>
      <c r="H9" s="18"/>
    </row>
    <row r="11" spans="2:8" x14ac:dyDescent="0.25">
      <c r="B11" t="s">
        <v>18</v>
      </c>
      <c r="D11" s="6">
        <v>15</v>
      </c>
    </row>
  </sheetData>
  <mergeCells count="5">
    <mergeCell ref="C5:E5"/>
    <mergeCell ref="C6:E6"/>
    <mergeCell ref="C7:E7"/>
    <mergeCell ref="C8:G8"/>
    <mergeCell ref="C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963C-A241-4B24-8EF2-F977ECF3B6A4}">
  <dimension ref="A5:N15"/>
  <sheetViews>
    <sheetView workbookViewId="0">
      <selection activeCell="E20" sqref="E20"/>
    </sheetView>
  </sheetViews>
  <sheetFormatPr baseColWidth="10" defaultRowHeight="15" x14ac:dyDescent="0.25"/>
  <cols>
    <col min="1" max="1" width="3" bestFit="1" customWidth="1"/>
    <col min="2" max="2" width="23.28515625" bestFit="1" customWidth="1"/>
    <col min="3" max="3" width="26.7109375" bestFit="1" customWidth="1"/>
    <col min="4" max="4" width="16.28515625" style="1" customWidth="1"/>
    <col min="5" max="5" width="16.85546875" customWidth="1"/>
    <col min="6" max="8" width="14.5703125" hidden="1" customWidth="1"/>
    <col min="9" max="9" width="13.5703125" style="1" customWidth="1"/>
    <col min="10" max="10" width="11.42578125" style="1"/>
    <col min="11" max="13" width="18.42578125" style="1" customWidth="1"/>
    <col min="14" max="14" width="3" bestFit="1" customWidth="1"/>
  </cols>
  <sheetData>
    <row r="5" spans="1:14" s="2" customFormat="1" x14ac:dyDescent="0.25">
      <c r="B5" s="2" t="s">
        <v>2</v>
      </c>
      <c r="C5" s="2" t="s">
        <v>10</v>
      </c>
      <c r="D5" s="3" t="s">
        <v>13</v>
      </c>
      <c r="E5" s="2" t="s">
        <v>20</v>
      </c>
      <c r="F5" s="2" t="s">
        <v>21</v>
      </c>
      <c r="G5" s="2" t="s">
        <v>19</v>
      </c>
      <c r="H5" s="2" t="s">
        <v>22</v>
      </c>
      <c r="I5" s="3" t="s">
        <v>9</v>
      </c>
      <c r="J5" s="3" t="s">
        <v>11</v>
      </c>
      <c r="K5" s="3" t="s">
        <v>12</v>
      </c>
      <c r="L5" s="3" t="s">
        <v>68</v>
      </c>
      <c r="M5" s="3" t="s">
        <v>70</v>
      </c>
    </row>
    <row r="6" spans="1:14" x14ac:dyDescent="0.25">
      <c r="A6">
        <v>1</v>
      </c>
      <c r="B6" t="s">
        <v>14</v>
      </c>
      <c r="C6" t="s">
        <v>16</v>
      </c>
      <c r="D6" s="1">
        <v>300</v>
      </c>
      <c r="E6" s="2">
        <v>365</v>
      </c>
      <c r="F6" s="2">
        <v>365</v>
      </c>
      <c r="G6" s="5">
        <f>+E6/F6</f>
        <v>1</v>
      </c>
      <c r="H6" s="4">
        <f>+Empresa!D11*Colaboradores!G6</f>
        <v>15</v>
      </c>
      <c r="I6" s="1">
        <f>BD[[#This Row],[Sueldo diario]]*BD[[#This Row],[Días a pagar]]</f>
        <v>4500</v>
      </c>
      <c r="J6" s="1">
        <v>0</v>
      </c>
      <c r="K6" s="1">
        <f>+I6-J6</f>
        <v>4500</v>
      </c>
      <c r="L6" s="1" t="s">
        <v>61</v>
      </c>
      <c r="M6" s="7" t="s">
        <v>69</v>
      </c>
      <c r="N6">
        <v>1</v>
      </c>
    </row>
    <row r="7" spans="1:14" x14ac:dyDescent="0.25">
      <c r="A7">
        <v>2</v>
      </c>
      <c r="B7" t="s">
        <v>43</v>
      </c>
      <c r="C7" t="s">
        <v>50</v>
      </c>
      <c r="D7" s="1">
        <v>207.44</v>
      </c>
      <c r="E7" s="2">
        <v>120</v>
      </c>
      <c r="F7" s="2">
        <v>365</v>
      </c>
      <c r="G7" s="5">
        <f>+E7/F7</f>
        <v>0.32876712328767121</v>
      </c>
      <c r="H7" s="4">
        <f>+Empresa!D11*Colaboradores!G7</f>
        <v>4.9315068493150687</v>
      </c>
      <c r="I7" s="1">
        <f>BD[[#This Row],[Sueldo diario]]*BD[[#This Row],[Días a pagar]]</f>
        <v>1022.9917808219178</v>
      </c>
      <c r="J7" s="1">
        <v>0</v>
      </c>
      <c r="K7" s="1">
        <f>+I7-J7</f>
        <v>1022.9917808219178</v>
      </c>
      <c r="L7" s="1" t="s">
        <v>62</v>
      </c>
      <c r="M7" s="7" t="s">
        <v>71</v>
      </c>
      <c r="N7">
        <v>2</v>
      </c>
    </row>
    <row r="8" spans="1:14" x14ac:dyDescent="0.25">
      <c r="A8">
        <v>3</v>
      </c>
      <c r="B8" t="s">
        <v>44</v>
      </c>
      <c r="C8" t="s">
        <v>50</v>
      </c>
      <c r="D8" s="1">
        <v>207.44</v>
      </c>
      <c r="E8" s="2">
        <v>120</v>
      </c>
      <c r="F8" s="2">
        <v>365</v>
      </c>
      <c r="G8" s="5">
        <f t="shared" ref="G8:G15" si="0">+E8/F8</f>
        <v>0.32876712328767121</v>
      </c>
      <c r="H8" s="4">
        <f>+Empresa!D11*Colaboradores!G8</f>
        <v>4.9315068493150687</v>
      </c>
      <c r="I8" s="1">
        <f>BD[[#This Row],[Sueldo diario]]*BD[[#This Row],[Días a pagar]]</f>
        <v>1022.9917808219178</v>
      </c>
      <c r="J8" s="1">
        <v>0</v>
      </c>
      <c r="K8" s="1">
        <f t="shared" ref="K8:K15" si="1">+I8-J8</f>
        <v>1022.9917808219178</v>
      </c>
      <c r="L8" s="1" t="s">
        <v>63</v>
      </c>
      <c r="M8" s="7" t="s">
        <v>72</v>
      </c>
      <c r="N8">
        <v>3</v>
      </c>
    </row>
    <row r="9" spans="1:14" x14ac:dyDescent="0.25">
      <c r="A9">
        <v>4</v>
      </c>
      <c r="B9" t="s">
        <v>42</v>
      </c>
      <c r="C9" t="s">
        <v>50</v>
      </c>
      <c r="D9" s="1">
        <v>207.44</v>
      </c>
      <c r="E9" s="2">
        <v>120</v>
      </c>
      <c r="F9" s="2">
        <v>365</v>
      </c>
      <c r="G9" s="5">
        <f t="shared" si="0"/>
        <v>0.32876712328767121</v>
      </c>
      <c r="H9" s="4">
        <f>+Empresa!D11*Colaboradores!G9</f>
        <v>4.9315068493150687</v>
      </c>
      <c r="I9" s="1">
        <f>BD[[#This Row],[Sueldo diario]]*BD[[#This Row],[Días a pagar]]</f>
        <v>1022.9917808219178</v>
      </c>
      <c r="J9" s="1">
        <v>0</v>
      </c>
      <c r="K9" s="1">
        <f t="shared" si="1"/>
        <v>1022.9917808219178</v>
      </c>
      <c r="L9" s="1" t="s">
        <v>64</v>
      </c>
      <c r="M9" s="7" t="s">
        <v>73</v>
      </c>
      <c r="N9">
        <v>4</v>
      </c>
    </row>
    <row r="10" spans="1:14" x14ac:dyDescent="0.25">
      <c r="A10">
        <v>5</v>
      </c>
      <c r="B10" t="s">
        <v>15</v>
      </c>
      <c r="C10" t="s">
        <v>17</v>
      </c>
      <c r="D10" s="1">
        <v>350</v>
      </c>
      <c r="E10" s="2">
        <v>365</v>
      </c>
      <c r="F10" s="2">
        <v>365</v>
      </c>
      <c r="G10" s="5">
        <f t="shared" si="0"/>
        <v>1</v>
      </c>
      <c r="H10" s="4">
        <f>+Empresa!D11*Colaboradores!G10</f>
        <v>15</v>
      </c>
      <c r="I10" s="1">
        <f>BD[[#This Row],[Sueldo diario]]*BD[[#This Row],[Días a pagar]]</f>
        <v>5250</v>
      </c>
      <c r="J10" s="1">
        <v>0</v>
      </c>
      <c r="K10" s="1">
        <f t="shared" si="1"/>
        <v>5250</v>
      </c>
      <c r="L10" s="1" t="s">
        <v>65</v>
      </c>
      <c r="M10" s="7" t="s">
        <v>74</v>
      </c>
      <c r="N10">
        <v>5</v>
      </c>
    </row>
    <row r="11" spans="1:14" x14ac:dyDescent="0.25">
      <c r="A11">
        <v>6</v>
      </c>
      <c r="B11" t="s">
        <v>45</v>
      </c>
      <c r="C11" t="s">
        <v>51</v>
      </c>
      <c r="D11" s="1">
        <v>207.44</v>
      </c>
      <c r="E11" s="2">
        <v>200</v>
      </c>
      <c r="F11" s="2">
        <v>365</v>
      </c>
      <c r="G11" s="5">
        <f t="shared" si="0"/>
        <v>0.54794520547945202</v>
      </c>
      <c r="H11" s="4">
        <f>+Empresa!D11*Colaboradores!G11</f>
        <v>8.2191780821917799</v>
      </c>
      <c r="I11" s="1">
        <f>BD[[#This Row],[Sueldo diario]]*BD[[#This Row],[Días a pagar]]</f>
        <v>1704.9863013698628</v>
      </c>
      <c r="J11" s="1">
        <v>0</v>
      </c>
      <c r="K11" s="1">
        <f t="shared" si="1"/>
        <v>1704.9863013698628</v>
      </c>
      <c r="L11" s="1" t="s">
        <v>66</v>
      </c>
      <c r="M11" s="7" t="s">
        <v>75</v>
      </c>
      <c r="N11">
        <v>6</v>
      </c>
    </row>
    <row r="12" spans="1:14" x14ac:dyDescent="0.25">
      <c r="A12">
        <v>7</v>
      </c>
      <c r="B12" t="s">
        <v>46</v>
      </c>
      <c r="C12" t="s">
        <v>52</v>
      </c>
      <c r="D12" s="1">
        <v>207.44</v>
      </c>
      <c r="E12" s="2">
        <v>80</v>
      </c>
      <c r="F12" s="2">
        <v>365</v>
      </c>
      <c r="G12" s="5">
        <f t="shared" si="0"/>
        <v>0.21917808219178081</v>
      </c>
      <c r="H12" s="4">
        <f>+Empresa!D11*Colaboradores!G12</f>
        <v>3.2876712328767121</v>
      </c>
      <c r="I12" s="1">
        <f>BD[[#This Row],[Sueldo diario]]*BD[[#This Row],[Días a pagar]]</f>
        <v>681.99452054794517</v>
      </c>
      <c r="J12" s="1">
        <v>0</v>
      </c>
      <c r="K12" s="1">
        <f t="shared" si="1"/>
        <v>681.99452054794517</v>
      </c>
      <c r="L12" s="1" t="s">
        <v>67</v>
      </c>
      <c r="M12" s="7" t="s">
        <v>76</v>
      </c>
      <c r="N12">
        <v>7</v>
      </c>
    </row>
    <row r="13" spans="1:14" x14ac:dyDescent="0.25">
      <c r="A13">
        <v>8</v>
      </c>
      <c r="B13" t="s">
        <v>47</v>
      </c>
      <c r="C13" t="s">
        <v>53</v>
      </c>
      <c r="D13" s="1">
        <v>207.44</v>
      </c>
      <c r="E13" s="2">
        <v>45</v>
      </c>
      <c r="F13" s="2">
        <v>365</v>
      </c>
      <c r="G13" s="5">
        <f t="shared" si="0"/>
        <v>0.12328767123287671</v>
      </c>
      <c r="H13" s="4">
        <f>+Empresa!D11*Colaboradores!G13</f>
        <v>1.8493150684931505</v>
      </c>
      <c r="I13" s="1">
        <f>BD[[#This Row],[Sueldo diario]]*BD[[#This Row],[Días a pagar]]</f>
        <v>383.62191780821917</v>
      </c>
      <c r="J13" s="1">
        <v>0</v>
      </c>
      <c r="K13" s="1">
        <f t="shared" si="1"/>
        <v>383.62191780821917</v>
      </c>
      <c r="M13" s="7" t="s">
        <v>77</v>
      </c>
      <c r="N13">
        <v>8</v>
      </c>
    </row>
    <row r="14" spans="1:14" x14ac:dyDescent="0.25">
      <c r="A14">
        <v>9</v>
      </c>
      <c r="B14" t="s">
        <v>48</v>
      </c>
      <c r="C14" t="s">
        <v>54</v>
      </c>
      <c r="D14" s="1">
        <v>207.44</v>
      </c>
      <c r="E14" s="2">
        <v>365</v>
      </c>
      <c r="F14" s="2">
        <v>365</v>
      </c>
      <c r="G14" s="5">
        <f t="shared" si="0"/>
        <v>1</v>
      </c>
      <c r="H14" s="4">
        <f>+Empresa!D11*Colaboradores!G14</f>
        <v>15</v>
      </c>
      <c r="I14" s="1">
        <f>BD[[#This Row],[Sueldo diario]]*BD[[#This Row],[Días a pagar]]</f>
        <v>3111.6</v>
      </c>
      <c r="J14" s="1">
        <v>0</v>
      </c>
      <c r="K14" s="1">
        <f t="shared" si="1"/>
        <v>3111.6</v>
      </c>
      <c r="M14" s="7" t="s">
        <v>78</v>
      </c>
      <c r="N14">
        <v>9</v>
      </c>
    </row>
    <row r="15" spans="1:14" x14ac:dyDescent="0.25">
      <c r="A15">
        <v>10</v>
      </c>
      <c r="B15" t="s">
        <v>49</v>
      </c>
      <c r="C15" t="s">
        <v>55</v>
      </c>
      <c r="D15" s="1">
        <v>207.44</v>
      </c>
      <c r="E15" s="2">
        <v>365</v>
      </c>
      <c r="F15" s="2">
        <v>365</v>
      </c>
      <c r="G15" s="5">
        <f t="shared" si="0"/>
        <v>1</v>
      </c>
      <c r="H15" s="4">
        <f>+Empresa!D11*Colaboradores!G15</f>
        <v>15</v>
      </c>
      <c r="I15" s="1">
        <f>BD[[#This Row],[Sueldo diario]]*BD[[#This Row],[Días a pagar]]</f>
        <v>3111.6</v>
      </c>
      <c r="J15" s="1">
        <v>0</v>
      </c>
      <c r="K15" s="1">
        <f t="shared" si="1"/>
        <v>3111.6</v>
      </c>
      <c r="M15" s="7" t="s">
        <v>79</v>
      </c>
      <c r="N15">
        <v>10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0D2A0-245B-434C-894D-AD4709BED5E9}">
  <sheetPr codeName="Hoja1"/>
  <dimension ref="A3:DB36"/>
  <sheetViews>
    <sheetView showGridLines="0" workbookViewId="0">
      <selection activeCell="DC33" sqref="DC33"/>
    </sheetView>
  </sheetViews>
  <sheetFormatPr baseColWidth="10" defaultRowHeight="15" x14ac:dyDescent="0.25"/>
  <cols>
    <col min="1" max="106" width="0.85546875" style="8" customWidth="1"/>
    <col min="107" max="16384" width="11.42578125" style="8"/>
  </cols>
  <sheetData>
    <row r="3" spans="1:106" ht="31.5" x14ac:dyDescent="0.5">
      <c r="A3" s="25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  <c r="V3" s="21" t="str">
        <f>Empresa!C5</f>
        <v>MF&amp;A Contadores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</row>
    <row r="4" spans="1:106" ht="21" x14ac:dyDescent="0.3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2" t="str">
        <f>Empresa!C6</f>
        <v>Ecompliance, SAS de CV</v>
      </c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8.75" x14ac:dyDescent="0.3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3" t="str">
        <f>+Empresa!C7</f>
        <v>ECO221117MT6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</row>
    <row r="6" spans="1:106" ht="18.75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23" t="str">
        <f>+Empresa!C8</f>
        <v>Calle 21 307 Los Pinos Tizimín, Yuc. CP 97700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</row>
    <row r="7" spans="1:106" ht="18.75" x14ac:dyDescent="0.3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23" t="str">
        <f>+Empresa!C9</f>
        <v>WhatsApp 999 494 5942      Email: hola@mfacontadores.tax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</row>
    <row r="8" spans="1:106" ht="15.75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</row>
    <row r="9" spans="1:106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5.75" x14ac:dyDescent="0.25">
      <c r="A10" s="19" t="s">
        <v>29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</row>
    <row r="11" spans="1:106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2"/>
    </row>
    <row r="12" spans="1:106" ht="15.7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42" t="s">
        <v>28</v>
      </c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5">
        <f ca="1">TODAY()</f>
        <v>45272</v>
      </c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5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5.75" x14ac:dyDescent="0.25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20" t="str">
        <f>V4</f>
        <v>Ecompliance, SAS de CV</v>
      </c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</row>
    <row r="15" spans="1:106" ht="15.75" x14ac:dyDescent="0.25">
      <c r="A15" s="11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36">
        <f>+AJ26</f>
        <v>5250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13" t="s">
        <v>31</v>
      </c>
      <c r="AG15" s="13"/>
      <c r="AH15" s="13"/>
      <c r="AI15" s="13"/>
      <c r="AJ15" s="13"/>
      <c r="AK15" s="37" t="str">
        <f>[1]!NumLetras(Q15)</f>
        <v xml:space="preserve"> CINCO MIL DOSCIENTOS CINCUENTA 00/100 </v>
      </c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</row>
    <row r="16" spans="1:106" ht="15.75" x14ac:dyDescent="0.25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5.75" x14ac:dyDescent="0.25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5.7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5.7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 t="s">
        <v>0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39" t="str">
        <f>VLOOKUP(H36,BD[#All],2,FALSE)</f>
        <v>Chief Ejecutive Officer (CEO)</v>
      </c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 t="s">
        <v>32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38">
        <f>VLOOKUP(H36,BD[#All],3,FALSE)</f>
        <v>350</v>
      </c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 t="s">
        <v>35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40">
        <f>VLOOKUP(H36,BD[#All],4,FALSE)</f>
        <v>365</v>
      </c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ht="15.7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 t="s">
        <v>36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41">
        <f>VLOOKUP(H36,BD[#All],6,FALSE)</f>
        <v>1</v>
      </c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1"/>
      <c r="BS22" s="11"/>
      <c r="BT22" s="11"/>
      <c r="BU22" s="11" t="s">
        <v>56</v>
      </c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46"/>
      <c r="CL22" s="46"/>
      <c r="CM22" s="46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</row>
    <row r="23" spans="1:106" ht="15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 t="s">
        <v>41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47">
        <f>VLOOKUP(H36,BD[#All],7,FALSE)</f>
        <v>15</v>
      </c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1"/>
      <c r="BS23" s="11"/>
      <c r="BT23" s="11"/>
      <c r="BU23" s="11" t="s">
        <v>57</v>
      </c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46"/>
      <c r="CL23" s="46"/>
      <c r="CM23" s="46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5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 t="s">
        <v>37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43">
        <f>VLOOKUP(H36,BD[#All],8,FALSE)</f>
        <v>5250</v>
      </c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15"/>
      <c r="AZ24" s="15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1"/>
      <c r="BS24" s="11"/>
      <c r="BT24" s="11"/>
      <c r="BU24" s="11" t="s">
        <v>58</v>
      </c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46"/>
      <c r="CL24" s="46"/>
      <c r="CM24" s="46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 t="s">
        <v>38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8">
        <f>VLOOKUP(H36,BD[#All],9,FALSE)</f>
        <v>0</v>
      </c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1"/>
      <c r="BS25" s="11"/>
      <c r="BT25" s="11"/>
      <c r="BU25" s="11" t="s">
        <v>59</v>
      </c>
      <c r="BV25" s="11"/>
      <c r="BW25" s="11"/>
      <c r="BX25" s="11"/>
      <c r="BY25" s="11"/>
      <c r="BZ25" s="11"/>
      <c r="CA25" s="11"/>
      <c r="CB25" s="11"/>
      <c r="CC25" s="46" t="str">
        <f>VLOOKUP(H36,BD[#All],11,FALSE)</f>
        <v>Bancoppel</v>
      </c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11"/>
      <c r="DA25" s="11"/>
      <c r="DB25" s="11"/>
    </row>
    <row r="26" spans="1:106" ht="15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 t="s">
        <v>1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43">
        <f>VLOOKUP(H36,BD[#All],10,FALSE)</f>
        <v>5250</v>
      </c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1"/>
      <c r="BS26" s="11"/>
      <c r="BT26" s="11"/>
      <c r="BU26" s="11" t="s">
        <v>60</v>
      </c>
      <c r="BV26" s="11"/>
      <c r="BW26" s="11"/>
      <c r="BX26" s="11"/>
      <c r="BY26" s="11"/>
      <c r="BZ26" s="11"/>
      <c r="CA26" s="11"/>
      <c r="CB26" s="11"/>
      <c r="CC26" s="11"/>
      <c r="CD26" s="46" t="str">
        <f>VLOOKUP(H36,BD[#All],12,FALSE)</f>
        <v>01211894</v>
      </c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11"/>
      <c r="DA26" s="11"/>
      <c r="DB26" s="11"/>
    </row>
    <row r="27" spans="1:106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5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30" spans="1:106" x14ac:dyDescent="0.25">
      <c r="A30" s="34" t="s">
        <v>39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</row>
    <row r="31" spans="1:10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</row>
    <row r="35" spans="8:92" x14ac:dyDescent="0.25"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</row>
    <row r="36" spans="8:92" x14ac:dyDescent="0.25">
      <c r="H36" s="35" t="s">
        <v>15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R36" s="34" t="s">
        <v>40</v>
      </c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</row>
  </sheetData>
  <mergeCells count="31">
    <mergeCell ref="CC25:CY25"/>
    <mergeCell ref="CD26:CY26"/>
    <mergeCell ref="AJ23:AW23"/>
    <mergeCell ref="AJ25:AW25"/>
    <mergeCell ref="BR36:CN36"/>
    <mergeCell ref="H36:BC36"/>
    <mergeCell ref="Q15:AE15"/>
    <mergeCell ref="AK15:DB15"/>
    <mergeCell ref="AJ20:AW20"/>
    <mergeCell ref="AJ19:BQ19"/>
    <mergeCell ref="AJ21:AW21"/>
    <mergeCell ref="AJ22:AW22"/>
    <mergeCell ref="AJ26:AX26"/>
    <mergeCell ref="AJ24:AX24"/>
    <mergeCell ref="H35:BC35"/>
    <mergeCell ref="BR35:CN35"/>
    <mergeCell ref="CK22:CM22"/>
    <mergeCell ref="CK23:CM23"/>
    <mergeCell ref="CK24:CM24"/>
    <mergeCell ref="A30:DB30"/>
    <mergeCell ref="A10:DB10"/>
    <mergeCell ref="BG14:DB14"/>
    <mergeCell ref="V3:DB3"/>
    <mergeCell ref="V4:DB4"/>
    <mergeCell ref="V5:DB5"/>
    <mergeCell ref="V6:DB6"/>
    <mergeCell ref="V7:DB7"/>
    <mergeCell ref="V8:DB8"/>
    <mergeCell ref="A3:U7"/>
    <mergeCell ref="BC12:BZ12"/>
    <mergeCell ref="CA12:DB1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87</xdr:col>
                    <xdr:colOff>38100</xdr:colOff>
                    <xdr:row>20</xdr:row>
                    <xdr:rowOff>190500</xdr:rowOff>
                  </from>
                  <to>
                    <xdr:col>98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87</xdr:col>
                    <xdr:colOff>38100</xdr:colOff>
                    <xdr:row>21</xdr:row>
                    <xdr:rowOff>190500</xdr:rowOff>
                  </from>
                  <to>
                    <xdr:col>98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defaultSize="0" autoFill="0" autoLine="0" autoPict="0">
                <anchor moveWithCells="1">
                  <from>
                    <xdr:col>87</xdr:col>
                    <xdr:colOff>38100</xdr:colOff>
                    <xdr:row>22</xdr:row>
                    <xdr:rowOff>180975</xdr:rowOff>
                  </from>
                  <to>
                    <xdr:col>99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9712A0-60AA-419A-961A-8BF7BEF8C5CB}">
          <x14:formula1>
            <xm:f>Colaboradores!$B$6:$B$15</xm:f>
          </x14:formula1>
          <xm:sqref>H36:BC36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</vt:lpstr>
      <vt:lpstr>Colaboradores</vt:lpstr>
      <vt:lpstr>Recibo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Darío Aguilar</dc:creator>
  <cp:lastModifiedBy>Darío Aguilar</cp:lastModifiedBy>
  <cp:lastPrinted>2023-12-12T16:27:56Z</cp:lastPrinted>
  <dcterms:created xsi:type="dcterms:W3CDTF">2023-12-09T15:43:22Z</dcterms:created>
  <dcterms:modified xsi:type="dcterms:W3CDTF">2023-12-12T16:32:48Z</dcterms:modified>
</cp:coreProperties>
</file>