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/>
  <mc:AlternateContent xmlns:mc="http://schemas.openxmlformats.org/markup-compatibility/2006">
    <mc:Choice Requires="x15">
      <x15ac:absPath xmlns:x15ac="http://schemas.microsoft.com/office/spreadsheetml/2010/11/ac" url="/Users/geoffhatcher/Documents/Aviation/Falcon 900B/38TV/"/>
    </mc:Choice>
  </mc:AlternateContent>
  <xr:revisionPtr revIDLastSave="0" documentId="8_{2803DB7E-79C1-A54E-A959-9BBE76BD9183}" xr6:coauthVersionLast="47" xr6:coauthVersionMax="47" xr10:uidLastSave="{00000000-0000-0000-0000-000000000000}"/>
  <workbookProtection workbookAlgorithmName="SHA-512" workbookHashValue="dl8/9Mue4PkFvj02gfK9jvSjuxwHQyCm2rqKA8m0qPDt0hCan3NBzzb+lks6DdSH+DP5vVE68W4GdzzKqXolJw==" workbookSaltValue="zwtJqmZ7YIAo+zJHhJfe6Q==" workbookSpinCount="100000" lockStructure="1"/>
  <bookViews>
    <workbookView xWindow="0" yWindow="760" windowWidth="34560" windowHeight="20260" tabRatio="500" xr2:uid="{00000000-000D-0000-FFFF-FFFF00000000}"/>
  </bookViews>
  <sheets>
    <sheet name="Load" sheetId="3" r:id="rId1"/>
    <sheet name="loading" sheetId="1" state="hidden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4" i="3" l="1"/>
  <c r="E37" i="1"/>
  <c r="E35" i="1"/>
  <c r="F35" i="1" s="1"/>
  <c r="E31" i="1"/>
  <c r="E30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6" i="1"/>
  <c r="E4" i="1"/>
  <c r="E3" i="1"/>
  <c r="E33" i="1" l="1"/>
  <c r="E36" i="1" s="1"/>
  <c r="F36" i="3" s="1"/>
  <c r="F26" i="1"/>
  <c r="F27" i="1"/>
  <c r="F28" i="1"/>
  <c r="F7" i="1"/>
  <c r="F8" i="1"/>
  <c r="E38" i="1" l="1"/>
  <c r="F37" i="3" s="1"/>
  <c r="A54" i="1"/>
  <c r="F21" i="1"/>
  <c r="F22" i="1"/>
  <c r="F23" i="1"/>
  <c r="F24" i="1"/>
  <c r="F2" i="1"/>
  <c r="F37" i="1" l="1"/>
  <c r="F31" i="1"/>
  <c r="F19" i="1"/>
  <c r="F18" i="1"/>
  <c r="F17" i="1"/>
  <c r="F12" i="1"/>
  <c r="F11" i="1"/>
  <c r="F10" i="1"/>
  <c r="F6" i="1"/>
  <c r="F29" i="1"/>
  <c r="F25" i="1"/>
  <c r="F30" i="1"/>
  <c r="F4" i="1"/>
  <c r="F5" i="1"/>
  <c r="F3" i="1"/>
  <c r="F9" i="1" l="1"/>
  <c r="F16" i="1"/>
  <c r="F15" i="1"/>
  <c r="F14" i="1"/>
  <c r="F13" i="1" l="1"/>
  <c r="F20" i="1" l="1"/>
  <c r="F33" i="1" s="1"/>
  <c r="F36" i="1" l="1"/>
  <c r="F38" i="1"/>
  <c r="G33" i="1"/>
  <c r="D40" i="1" l="1"/>
  <c r="D41" i="1" s="1"/>
  <c r="D42" i="1" s="1"/>
  <c r="G36" i="1"/>
  <c r="F44" i="1"/>
  <c r="C36" i="1"/>
  <c r="K36" i="3" l="1"/>
  <c r="E66" i="1"/>
  <c r="H36" i="1"/>
  <c r="M36" i="3" s="1"/>
</calcChain>
</file>

<file path=xl/sharedStrings.xml><?xml version="1.0" encoding="utf-8"?>
<sst xmlns="http://schemas.openxmlformats.org/spreadsheetml/2006/main" count="60" uniqueCount="57">
  <si>
    <t>Empty weight</t>
  </si>
  <si>
    <t>pilot</t>
  </si>
  <si>
    <t>copilot</t>
  </si>
  <si>
    <t>3rd crewmember</t>
  </si>
  <si>
    <t>Pax 9</t>
  </si>
  <si>
    <t>Pax 10</t>
  </si>
  <si>
    <t>Pax11</t>
  </si>
  <si>
    <t>pax 12</t>
  </si>
  <si>
    <t>Rear bags</t>
  </si>
  <si>
    <t>FUEL</t>
  </si>
  <si>
    <t>TAKE OFF WGT</t>
  </si>
  <si>
    <t>total(ZFW)</t>
  </si>
  <si>
    <t>miscelaneous bags</t>
  </si>
  <si>
    <t>arm</t>
  </si>
  <si>
    <t>moment</t>
  </si>
  <si>
    <t xml:space="preserve">pax 1 </t>
  </si>
  <si>
    <t>Pax 2</t>
  </si>
  <si>
    <t xml:space="preserve">Pax 3 </t>
  </si>
  <si>
    <t>Pax 4</t>
  </si>
  <si>
    <t xml:space="preserve">Pax 5 </t>
  </si>
  <si>
    <t>Pax 6</t>
  </si>
  <si>
    <t xml:space="preserve">Pax 7 </t>
  </si>
  <si>
    <t>Pax 8</t>
  </si>
  <si>
    <t>landing weight</t>
  </si>
  <si>
    <t>fuel burn</t>
  </si>
  <si>
    <t>RH Galley</t>
  </si>
  <si>
    <t>LH Crew Closet</t>
  </si>
  <si>
    <t>LH aux Galley Entertainment</t>
  </si>
  <si>
    <t>pax 13</t>
  </si>
  <si>
    <t>pax 14</t>
  </si>
  <si>
    <t>pax 15</t>
  </si>
  <si>
    <t>pax 16</t>
  </si>
  <si>
    <t>weight</t>
  </si>
  <si>
    <t>name</t>
  </si>
  <si>
    <t>Aft Lav</t>
  </si>
  <si>
    <t>life raft 2</t>
  </si>
  <si>
    <t>Life Raft 1</t>
  </si>
  <si>
    <t>RH Divan</t>
  </si>
  <si>
    <t>LH Divan</t>
  </si>
  <si>
    <t>fuel table</t>
  </si>
  <si>
    <t>%MAC</t>
  </si>
  <si>
    <t>trim</t>
  </si>
  <si>
    <t>3rd crew</t>
  </si>
  <si>
    <t>fuel TO</t>
  </si>
  <si>
    <t>Fuel Burn</t>
  </si>
  <si>
    <t>Bags Front</t>
  </si>
  <si>
    <t>Bags Rear</t>
  </si>
  <si>
    <t>Fuel LND</t>
  </si>
  <si>
    <t>FOR</t>
  </si>
  <si>
    <t>AFT</t>
  </si>
  <si>
    <t>TO</t>
  </si>
  <si>
    <t>Trim</t>
  </si>
  <si>
    <t>TO Weight</t>
  </si>
  <si>
    <t>LNDG Weight</t>
  </si>
  <si>
    <t>N38TV  F900B</t>
  </si>
  <si>
    <t>CG &amp; LIMITS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</si>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</sst>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4" x14ac:knownFonts="1">
    <font>
      <sz val="12"/>
      <color theme="1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2" fontId="0" fillId="0" borderId="0" xfId="0" applyNumberFormat="1"/>
    <xf numFmtId="0" fontId="0" fillId="2" borderId="0" xfId="0" applyFill="1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4" fontId="0" fillId="2" borderId="0" xfId="0" applyNumberFormat="1" applyFill="1"/>
    <xf numFmtId="164" fontId="0" fillId="0" borderId="0" xfId="0" applyNumberFormat="1" applyAlignment="1">
      <alignment horizontal="center" vertical="center"/>
    </xf>
    <xf numFmtId="166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3" fontId="0" fillId="3" borderId="8" xfId="0" applyNumberFormat="1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 vertical="center"/>
    </xf>
    <xf numFmtId="3" fontId="0" fillId="3" borderId="10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 vertical="center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19907</xdr:colOff>
      <xdr:row>36</xdr:row>
      <xdr:rowOff>59328</xdr:rowOff>
    </xdr:from>
    <xdr:to>
      <xdr:col>15</xdr:col>
      <xdr:colOff>43114</xdr:colOff>
      <xdr:row>42</xdr:row>
      <xdr:rowOff>156327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97A160-A444-F0E8-8177-DA537C295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4264" y="5891773"/>
          <a:ext cx="2260291" cy="1332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577759</xdr:colOff>
      <xdr:row>43</xdr:row>
      <xdr:rowOff>154328</xdr:rowOff>
    </xdr:from>
    <xdr:to>
      <xdr:col>10</xdr:col>
      <xdr:colOff>80801</xdr:colOff>
      <xdr:row>63</xdr:row>
      <xdr:rowOff>151844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AD79D1D-66F0-2E40-A169-7690746B6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9359" y="8955428"/>
          <a:ext cx="6348342" cy="4061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6DE5-400A-1441-889B-87F772AE7048}">
  <dimension ref="B1:O37"/>
  <sheetViews>
    <sheetView tabSelected="1" zoomScale="150" workbookViewId="0">
      <selection activeCell="C14" sqref="C14"/>
    </sheetView>
  </sheetViews>
  <sheetFormatPr baseColWidth="10" defaultRowHeight="16" x14ac:dyDescent="0.2"/>
  <cols>
    <col min="1" max="1" width="4.1640625" customWidth="1"/>
    <col min="2" max="2" width="6.6640625" customWidth="1"/>
    <col min="3" max="3" width="4.1640625" customWidth="1"/>
    <col min="4" max="4" width="1.5" customWidth="1"/>
    <col min="5" max="5" width="2.1640625" customWidth="1"/>
    <col min="6" max="6" width="1.83203125" customWidth="1"/>
    <col min="7" max="7" width="0.5" customWidth="1"/>
    <col min="8" max="8" width="2" customWidth="1"/>
    <col min="9" max="9" width="4.33203125" customWidth="1"/>
    <col min="10" max="10" width="4.83203125" customWidth="1"/>
    <col min="11" max="11" width="5.5" customWidth="1"/>
    <col min="12" max="12" width="5.6640625" customWidth="1"/>
    <col min="13" max="13" width="4.33203125" customWidth="1"/>
    <col min="14" max="14" width="1.33203125" customWidth="1"/>
    <col min="15" max="15" width="1" customWidth="1"/>
  </cols>
  <sheetData>
    <row r="1" spans="2:15" ht="35" customHeight="1" thickBot="1" x14ac:dyDescent="0.25">
      <c r="C1" s="21" t="s">
        <v>54</v>
      </c>
      <c r="D1" s="21"/>
      <c r="E1" s="21"/>
      <c r="F1" s="21"/>
      <c r="G1" s="21"/>
      <c r="H1" s="21"/>
      <c r="I1" s="21"/>
    </row>
    <row r="2" spans="2:15" ht="16" customHeight="1" thickBot="1" x14ac:dyDescent="0.25">
      <c r="B2" t="s">
        <v>1</v>
      </c>
      <c r="C2" s="20">
        <v>240</v>
      </c>
      <c r="I2" s="20">
        <v>240</v>
      </c>
      <c r="J2" t="s">
        <v>2</v>
      </c>
    </row>
    <row r="3" spans="2:15" ht="17" thickBot="1" x14ac:dyDescent="0.25"/>
    <row r="4" spans="2:15" ht="16" customHeight="1" thickBot="1" x14ac:dyDescent="0.25">
      <c r="I4" s="19">
        <v>0</v>
      </c>
      <c r="J4" t="s">
        <v>42</v>
      </c>
    </row>
    <row r="5" spans="2:15" ht="7" customHeight="1" x14ac:dyDescent="0.2"/>
    <row r="6" spans="2:15" ht="6" customHeight="1" x14ac:dyDescent="0.2"/>
    <row r="7" spans="2:15" ht="5" customHeight="1" x14ac:dyDescent="0.2"/>
    <row r="8" spans="2:15" ht="5" customHeight="1" thickBot="1" x14ac:dyDescent="0.25"/>
    <row r="9" spans="2:15" ht="15" customHeight="1" thickBot="1" x14ac:dyDescent="0.25">
      <c r="B9">
        <v>1</v>
      </c>
      <c r="C9" s="20"/>
      <c r="I9" s="20"/>
      <c r="J9" s="1">
        <v>2</v>
      </c>
    </row>
    <row r="10" spans="2:15" ht="8" customHeight="1" x14ac:dyDescent="0.2">
      <c r="J10" s="1"/>
    </row>
    <row r="11" spans="2:15" ht="7" customHeight="1" thickBot="1" x14ac:dyDescent="0.25">
      <c r="J11" s="1"/>
    </row>
    <row r="12" spans="2:15" ht="15" customHeight="1" thickBot="1" x14ac:dyDescent="0.25">
      <c r="B12">
        <v>3</v>
      </c>
      <c r="C12" s="20"/>
      <c r="I12" s="20"/>
      <c r="J12" s="1">
        <v>4</v>
      </c>
      <c r="K12" s="47" t="s">
        <v>43</v>
      </c>
      <c r="M12" s="29">
        <v>4500</v>
      </c>
      <c r="N12" s="31"/>
      <c r="O12" s="30"/>
    </row>
    <row r="13" spans="2:15" ht="15" customHeight="1" thickBot="1" x14ac:dyDescent="0.25">
      <c r="K13" s="47" t="s">
        <v>44</v>
      </c>
      <c r="M13" s="29">
        <v>1500</v>
      </c>
      <c r="N13" s="31"/>
      <c r="O13" s="30"/>
    </row>
    <row r="14" spans="2:15" ht="16" customHeight="1" thickBot="1" x14ac:dyDescent="0.25">
      <c r="B14">
        <v>5</v>
      </c>
      <c r="C14" s="20"/>
      <c r="E14" s="27"/>
      <c r="F14" s="28"/>
      <c r="H14">
        <v>6</v>
      </c>
      <c r="K14" s="47" t="s">
        <v>47</v>
      </c>
      <c r="M14" s="32">
        <f>M12-M13</f>
        <v>3000</v>
      </c>
      <c r="N14" s="33"/>
      <c r="O14" s="34"/>
    </row>
    <row r="15" spans="2:15" ht="9" customHeight="1" x14ac:dyDescent="0.2"/>
    <row r="16" spans="2:15" ht="8" customHeight="1" thickBot="1" x14ac:dyDescent="0.25"/>
    <row r="17" spans="2:13" ht="17" customHeight="1" thickBot="1" x14ac:dyDescent="0.25">
      <c r="B17">
        <v>7</v>
      </c>
      <c r="C17" s="19"/>
      <c r="E17" s="29"/>
      <c r="F17" s="30"/>
      <c r="H17">
        <v>8</v>
      </c>
    </row>
    <row r="18" spans="2:13" ht="9" customHeight="1" thickBot="1" x14ac:dyDescent="0.25"/>
    <row r="19" spans="2:13" ht="15" customHeight="1" thickBot="1" x14ac:dyDescent="0.25">
      <c r="B19">
        <v>9</v>
      </c>
      <c r="C19" s="20"/>
      <c r="I19" s="20"/>
      <c r="J19" s="1">
        <v>13</v>
      </c>
    </row>
    <row r="20" spans="2:13" ht="15" customHeight="1" thickBot="1" x14ac:dyDescent="0.25">
      <c r="B20">
        <v>10</v>
      </c>
      <c r="C20" s="20"/>
      <c r="I20" s="20"/>
      <c r="J20" s="1">
        <v>14</v>
      </c>
    </row>
    <row r="21" spans="2:13" ht="15" customHeight="1" thickBot="1" x14ac:dyDescent="0.25">
      <c r="B21">
        <v>11</v>
      </c>
      <c r="C21" s="20"/>
      <c r="I21" s="20"/>
      <c r="J21" s="1">
        <v>15</v>
      </c>
    </row>
    <row r="22" spans="2:13" ht="15" customHeight="1" thickBot="1" x14ac:dyDescent="0.25">
      <c r="B22">
        <v>12</v>
      </c>
      <c r="C22" s="20"/>
      <c r="I22" s="20"/>
      <c r="J22" s="1">
        <v>16</v>
      </c>
    </row>
    <row r="23" spans="2:13" ht="4" customHeight="1" x14ac:dyDescent="0.2"/>
    <row r="24" spans="2:13" ht="15" customHeight="1" thickBot="1" x14ac:dyDescent="0.25">
      <c r="I24" s="1" t="s">
        <v>56</v>
      </c>
    </row>
    <row r="25" spans="2:13" x14ac:dyDescent="0.2">
      <c r="I25" s="38"/>
      <c r="J25" s="39"/>
      <c r="K25" s="39"/>
      <c r="L25" s="39"/>
      <c r="M25" s="40"/>
    </row>
    <row r="26" spans="2:13" x14ac:dyDescent="0.2">
      <c r="I26" s="41"/>
      <c r="J26" s="42"/>
      <c r="K26" s="42"/>
      <c r="L26" s="42"/>
      <c r="M26" s="43"/>
    </row>
    <row r="27" spans="2:13" x14ac:dyDescent="0.2">
      <c r="I27" s="41"/>
      <c r="J27" s="42"/>
      <c r="K27" s="42"/>
      <c r="L27" s="42"/>
      <c r="M27" s="43"/>
    </row>
    <row r="28" spans="2:13" x14ac:dyDescent="0.2">
      <c r="I28" s="41"/>
      <c r="J28" s="42"/>
      <c r="K28" s="42"/>
      <c r="L28" s="42"/>
      <c r="M28" s="43"/>
    </row>
    <row r="29" spans="2:13" x14ac:dyDescent="0.2">
      <c r="I29" s="41"/>
      <c r="J29" s="42"/>
      <c r="K29" s="42"/>
      <c r="L29" s="42"/>
      <c r="M29" s="43"/>
    </row>
    <row r="30" spans="2:13" ht="17" thickBot="1" x14ac:dyDescent="0.25">
      <c r="I30" s="41"/>
      <c r="J30" s="42"/>
      <c r="K30" s="42"/>
      <c r="L30" s="42"/>
      <c r="M30" s="43"/>
    </row>
    <row r="31" spans="2:13" ht="15" customHeight="1" thickBot="1" x14ac:dyDescent="0.25">
      <c r="B31" t="s">
        <v>45</v>
      </c>
      <c r="D31" s="13">
        <v>0</v>
      </c>
      <c r="E31" s="14"/>
      <c r="F31" s="15"/>
      <c r="I31" s="44"/>
      <c r="J31" s="45"/>
      <c r="K31" s="45"/>
      <c r="L31" s="45"/>
      <c r="M31" s="46"/>
    </row>
    <row r="32" spans="2:13" ht="5" customHeight="1" thickBot="1" x14ac:dyDescent="0.25">
      <c r="D32" s="16"/>
      <c r="E32" s="17"/>
      <c r="F32" s="18"/>
    </row>
    <row r="33" spans="2:13" ht="15" customHeight="1" thickBot="1" x14ac:dyDescent="0.25">
      <c r="B33" t="s">
        <v>46</v>
      </c>
      <c r="D33" s="13"/>
      <c r="E33" s="14"/>
      <c r="F33" s="15"/>
      <c r="J33" s="35" t="s">
        <v>55</v>
      </c>
      <c r="K33" s="36"/>
      <c r="L33" s="37"/>
    </row>
    <row r="34" spans="2:13" ht="7" customHeight="1" thickBot="1" x14ac:dyDescent="0.25">
      <c r="D34" s="16"/>
      <c r="E34" s="17"/>
      <c r="F34" s="18"/>
      <c r="J34" s="12" t="s">
        <v>48</v>
      </c>
      <c r="K34" s="12" t="s">
        <v>50</v>
      </c>
      <c r="L34" s="12" t="s">
        <v>49</v>
      </c>
      <c r="M34" s="12" t="s">
        <v>51</v>
      </c>
    </row>
    <row r="35" spans="2:13" ht="8" customHeight="1" thickBot="1" x14ac:dyDescent="0.25">
      <c r="J35" s="12"/>
      <c r="K35" s="12"/>
      <c r="L35" s="12"/>
      <c r="M35" s="12"/>
    </row>
    <row r="36" spans="2:13" ht="17" thickBot="1" x14ac:dyDescent="0.25">
      <c r="B36" t="s">
        <v>52</v>
      </c>
      <c r="F36" s="22">
        <f>loading!E36</f>
        <v>29574.400000000001</v>
      </c>
      <c r="G36" s="23"/>
      <c r="H36" s="23"/>
      <c r="I36" s="23"/>
      <c r="J36" s="26">
        <v>14</v>
      </c>
      <c r="K36" s="26">
        <f>loading!G36</f>
        <v>22.895413641757411</v>
      </c>
      <c r="L36" s="26">
        <v>31</v>
      </c>
      <c r="M36" s="24">
        <f>loading!H36</f>
        <v>-5.93022112204281</v>
      </c>
    </row>
    <row r="37" spans="2:13" ht="17" thickBot="1" x14ac:dyDescent="0.25">
      <c r="B37" t="s">
        <v>53</v>
      </c>
      <c r="F37" s="22">
        <f>loading!E38</f>
        <v>28074.400000000001</v>
      </c>
      <c r="G37" s="23"/>
      <c r="H37" s="23"/>
      <c r="I37" s="25"/>
    </row>
  </sheetData>
  <sheetProtection algorithmName="SHA-512" hashValue="xxUnfnW+CP7ed7vtG5I3bPig3Tze2H4UrCQfNH2Qz2mW7A8n9ZA+kUn0gjlj3ZSFzn2V75OpRqfVQJG7OcGkow==" saltValue="GqUHC31f8H2sNfL6n52vGQ==" spinCount="100000" sheet="1" objects="1" scenarios="1" selectLockedCells="1"/>
  <mergeCells count="16">
    <mergeCell ref="C1:I1"/>
    <mergeCell ref="J33:L33"/>
    <mergeCell ref="I25:M31"/>
    <mergeCell ref="E14:F14"/>
    <mergeCell ref="J34:J35"/>
    <mergeCell ref="L34:L35"/>
    <mergeCell ref="K34:K35"/>
    <mergeCell ref="D31:F32"/>
    <mergeCell ref="D33:F34"/>
    <mergeCell ref="F36:I36"/>
    <mergeCell ref="F37:I37"/>
    <mergeCell ref="M34:M35"/>
    <mergeCell ref="E17:F17"/>
    <mergeCell ref="M12:O12"/>
    <mergeCell ref="M13:O13"/>
    <mergeCell ref="M14:O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zoomScale="67" zoomScaleNormal="61" workbookViewId="0">
      <selection activeCell="A52" sqref="A52"/>
    </sheetView>
  </sheetViews>
  <sheetFormatPr baseColWidth="10" defaultColWidth="10.83203125" defaultRowHeight="16" x14ac:dyDescent="0.2"/>
  <cols>
    <col min="1" max="2" width="10.83203125" style="1"/>
    <col min="3" max="3" width="6.83203125" customWidth="1"/>
    <col min="4" max="4" width="22.5" customWidth="1"/>
    <col min="5" max="5" width="6.83203125" customWidth="1"/>
    <col min="6" max="6" width="7.83203125" customWidth="1"/>
    <col min="7" max="7" width="11.83203125" customWidth="1"/>
    <col min="8" max="8" width="8.1640625" customWidth="1"/>
    <col min="9" max="9" width="4.1640625" customWidth="1"/>
    <col min="15" max="15" width="5.83203125" customWidth="1"/>
  </cols>
  <sheetData>
    <row r="1" spans="3:12" x14ac:dyDescent="0.2">
      <c r="C1" t="s">
        <v>13</v>
      </c>
      <c r="D1" t="s">
        <v>33</v>
      </c>
      <c r="E1" t="s">
        <v>32</v>
      </c>
      <c r="F1" s="2" t="s">
        <v>14</v>
      </c>
      <c r="G1" t="s">
        <v>40</v>
      </c>
      <c r="K1" t="s">
        <v>39</v>
      </c>
    </row>
    <row r="2" spans="3:12" x14ac:dyDescent="0.2">
      <c r="C2">
        <v>3.72</v>
      </c>
      <c r="D2" t="s">
        <v>0</v>
      </c>
      <c r="E2">
        <v>24576.400000000001</v>
      </c>
      <c r="F2" s="3">
        <f t="shared" ref="F2:F31" si="0">(E2*C2)/1000</f>
        <v>91.424208000000007</v>
      </c>
      <c r="K2">
        <v>1000</v>
      </c>
      <c r="L2">
        <v>-12.8</v>
      </c>
    </row>
    <row r="3" spans="3:12" x14ac:dyDescent="0.2">
      <c r="C3">
        <v>-311</v>
      </c>
      <c r="D3" t="s">
        <v>1</v>
      </c>
      <c r="E3" s="4">
        <f>Load!C2</f>
        <v>240</v>
      </c>
      <c r="F3" s="3">
        <f t="shared" si="0"/>
        <v>-74.64</v>
      </c>
      <c r="K3">
        <v>1500</v>
      </c>
      <c r="L3">
        <v>-15</v>
      </c>
    </row>
    <row r="4" spans="3:12" x14ac:dyDescent="0.2">
      <c r="C4">
        <v>-311</v>
      </c>
      <c r="D4" t="s">
        <v>2</v>
      </c>
      <c r="E4" s="4">
        <f>Load!I2</f>
        <v>240</v>
      </c>
      <c r="F4" s="3">
        <f t="shared" si="0"/>
        <v>-74.64</v>
      </c>
      <c r="K4">
        <v>2000</v>
      </c>
      <c r="L4">
        <v>-16.3</v>
      </c>
    </row>
    <row r="5" spans="3:12" x14ac:dyDescent="0.2">
      <c r="C5">
        <v>-277</v>
      </c>
      <c r="D5" t="s">
        <v>26</v>
      </c>
      <c r="E5" s="4">
        <v>0</v>
      </c>
      <c r="F5" s="3">
        <f t="shared" si="0"/>
        <v>0</v>
      </c>
      <c r="K5">
        <v>2500</v>
      </c>
      <c r="L5">
        <v>-15.9</v>
      </c>
    </row>
    <row r="6" spans="3:12" x14ac:dyDescent="0.2">
      <c r="C6">
        <v>-274</v>
      </c>
      <c r="D6" t="s">
        <v>3</v>
      </c>
      <c r="E6" s="4">
        <f>Load!I4</f>
        <v>0</v>
      </c>
      <c r="F6" s="3">
        <f t="shared" si="0"/>
        <v>0</v>
      </c>
      <c r="K6">
        <v>3000</v>
      </c>
      <c r="L6">
        <v>-14.5</v>
      </c>
    </row>
    <row r="7" spans="3:12" x14ac:dyDescent="0.2">
      <c r="C7">
        <v>-240</v>
      </c>
      <c r="D7" t="s">
        <v>25</v>
      </c>
      <c r="E7" s="4"/>
      <c r="F7" s="3">
        <f t="shared" si="0"/>
        <v>0</v>
      </c>
      <c r="K7">
        <v>3500</v>
      </c>
      <c r="L7">
        <v>-14.5</v>
      </c>
    </row>
    <row r="8" spans="3:12" x14ac:dyDescent="0.2">
      <c r="C8">
        <v>-221</v>
      </c>
      <c r="D8" t="s">
        <v>27</v>
      </c>
      <c r="E8" s="4">
        <v>0</v>
      </c>
      <c r="F8" s="3">
        <f t="shared" si="0"/>
        <v>0</v>
      </c>
      <c r="K8">
        <v>4000</v>
      </c>
      <c r="L8">
        <v>-14.5</v>
      </c>
    </row>
    <row r="9" spans="3:12" x14ac:dyDescent="0.2">
      <c r="C9">
        <v>-186.25</v>
      </c>
      <c r="D9" t="s">
        <v>15</v>
      </c>
      <c r="E9" s="4">
        <f>Load!C9</f>
        <v>0</v>
      </c>
      <c r="F9" s="3">
        <f t="shared" si="0"/>
        <v>0</v>
      </c>
      <c r="K9">
        <v>4500</v>
      </c>
      <c r="L9">
        <v>-14.5</v>
      </c>
    </row>
    <row r="10" spans="3:12" x14ac:dyDescent="0.2">
      <c r="C10">
        <v>-186.25</v>
      </c>
      <c r="D10" t="s">
        <v>16</v>
      </c>
      <c r="E10" s="4">
        <f>Load!I9</f>
        <v>0</v>
      </c>
      <c r="F10" s="3">
        <f t="shared" si="0"/>
        <v>0</v>
      </c>
      <c r="K10">
        <v>5000</v>
      </c>
      <c r="L10">
        <v>-14.5</v>
      </c>
    </row>
    <row r="11" spans="3:12" x14ac:dyDescent="0.2">
      <c r="C11">
        <v>-132.25</v>
      </c>
      <c r="D11" t="s">
        <v>17</v>
      </c>
      <c r="E11" s="4">
        <f>Load!C12</f>
        <v>0</v>
      </c>
      <c r="F11" s="3">
        <f t="shared" si="0"/>
        <v>0</v>
      </c>
      <c r="K11">
        <v>5500</v>
      </c>
      <c r="L11">
        <v>-14.5</v>
      </c>
    </row>
    <row r="12" spans="3:12" x14ac:dyDescent="0.2">
      <c r="C12">
        <v>-132.25</v>
      </c>
      <c r="D12" t="s">
        <v>18</v>
      </c>
      <c r="E12" s="4">
        <f>Load!I12</f>
        <v>0</v>
      </c>
      <c r="F12" s="3">
        <f t="shared" si="0"/>
        <v>0</v>
      </c>
      <c r="K12">
        <v>6000</v>
      </c>
      <c r="L12">
        <v>-14.5</v>
      </c>
    </row>
    <row r="13" spans="3:12" x14ac:dyDescent="0.2">
      <c r="C13">
        <v>-94.25</v>
      </c>
      <c r="D13" t="s">
        <v>19</v>
      </c>
      <c r="E13" s="4">
        <f>Load!C14</f>
        <v>0</v>
      </c>
      <c r="F13" s="3">
        <f t="shared" si="0"/>
        <v>0</v>
      </c>
      <c r="K13">
        <v>6500</v>
      </c>
      <c r="L13">
        <v>-14.5</v>
      </c>
    </row>
    <row r="14" spans="3:12" x14ac:dyDescent="0.2">
      <c r="C14">
        <v>-94.25</v>
      </c>
      <c r="D14" t="s">
        <v>20</v>
      </c>
      <c r="E14" s="4">
        <f>Load!E14</f>
        <v>0</v>
      </c>
      <c r="F14" s="3">
        <f t="shared" si="0"/>
        <v>0</v>
      </c>
      <c r="K14">
        <v>7000</v>
      </c>
      <c r="L14">
        <v>-14.5</v>
      </c>
    </row>
    <row r="15" spans="3:12" x14ac:dyDescent="0.2">
      <c r="C15">
        <v>-37.25</v>
      </c>
      <c r="D15" t="s">
        <v>21</v>
      </c>
      <c r="E15" s="4">
        <f>Load!C17</f>
        <v>0</v>
      </c>
      <c r="F15" s="3">
        <f t="shared" si="0"/>
        <v>0</v>
      </c>
      <c r="K15">
        <v>7500</v>
      </c>
      <c r="L15">
        <v>-10.4</v>
      </c>
    </row>
    <row r="16" spans="3:12" x14ac:dyDescent="0.2">
      <c r="C16">
        <v>-37.25</v>
      </c>
      <c r="D16" t="s">
        <v>22</v>
      </c>
      <c r="E16" s="4">
        <f>Load!E17</f>
        <v>0</v>
      </c>
      <c r="F16" s="3">
        <f t="shared" si="0"/>
        <v>0</v>
      </c>
      <c r="K16">
        <v>8000</v>
      </c>
      <c r="L16">
        <v>-1.8</v>
      </c>
    </row>
    <row r="17" spans="1:12" x14ac:dyDescent="0.2">
      <c r="C17">
        <v>1.58</v>
      </c>
      <c r="D17" t="s">
        <v>4</v>
      </c>
      <c r="E17" s="4">
        <f>Load!C19</f>
        <v>0</v>
      </c>
      <c r="F17" s="3">
        <f t="shared" si="0"/>
        <v>0</v>
      </c>
      <c r="K17">
        <v>8500</v>
      </c>
      <c r="L17">
        <v>9.8000000000000007</v>
      </c>
    </row>
    <row r="18" spans="1:12" x14ac:dyDescent="0.2">
      <c r="C18">
        <v>19.579999999999998</v>
      </c>
      <c r="D18" t="s">
        <v>5</v>
      </c>
      <c r="E18" s="4">
        <f>Load!C20</f>
        <v>0</v>
      </c>
      <c r="F18" s="3">
        <f t="shared" si="0"/>
        <v>0</v>
      </c>
      <c r="K18">
        <v>9000</v>
      </c>
      <c r="L18">
        <v>22.6</v>
      </c>
    </row>
    <row r="19" spans="1:12" x14ac:dyDescent="0.2">
      <c r="C19">
        <v>37.58</v>
      </c>
      <c r="D19" t="s">
        <v>6</v>
      </c>
      <c r="E19" s="4">
        <f>Load!C21</f>
        <v>0</v>
      </c>
      <c r="F19" s="3">
        <f t="shared" si="0"/>
        <v>0</v>
      </c>
      <c r="K19">
        <v>9500</v>
      </c>
      <c r="L19">
        <v>35.799999999999997</v>
      </c>
    </row>
    <row r="20" spans="1:12" x14ac:dyDescent="0.2">
      <c r="C20">
        <v>55.58</v>
      </c>
      <c r="D20" t="s">
        <v>7</v>
      </c>
      <c r="E20" s="4">
        <f>Load!C22</f>
        <v>0</v>
      </c>
      <c r="F20" s="3">
        <f t="shared" si="0"/>
        <v>0</v>
      </c>
      <c r="K20">
        <v>10000</v>
      </c>
      <c r="L20">
        <v>37.700000000000003</v>
      </c>
    </row>
    <row r="21" spans="1:12" x14ac:dyDescent="0.2">
      <c r="C21">
        <v>1.58</v>
      </c>
      <c r="D21" t="s">
        <v>28</v>
      </c>
      <c r="E21" s="4">
        <f>Load!I19</f>
        <v>0</v>
      </c>
      <c r="F21" s="3">
        <f t="shared" si="0"/>
        <v>0</v>
      </c>
      <c r="K21">
        <v>10500</v>
      </c>
      <c r="L21">
        <v>7.6</v>
      </c>
    </row>
    <row r="22" spans="1:12" x14ac:dyDescent="0.2">
      <c r="C22">
        <v>19.579999999999998</v>
      </c>
      <c r="D22" t="s">
        <v>29</v>
      </c>
      <c r="E22" s="4">
        <f>Load!I20</f>
        <v>0</v>
      </c>
      <c r="F22" s="3">
        <f t="shared" si="0"/>
        <v>0</v>
      </c>
      <c r="K22">
        <v>11000</v>
      </c>
      <c r="L22">
        <v>-19.3</v>
      </c>
    </row>
    <row r="23" spans="1:12" x14ac:dyDescent="0.2">
      <c r="C23">
        <v>37.58</v>
      </c>
      <c r="D23" t="s">
        <v>30</v>
      </c>
      <c r="E23" s="4">
        <f>Load!I21</f>
        <v>0</v>
      </c>
      <c r="F23" s="3">
        <f t="shared" si="0"/>
        <v>0</v>
      </c>
      <c r="K23">
        <v>11500</v>
      </c>
      <c r="L23">
        <v>-47.7</v>
      </c>
    </row>
    <row r="24" spans="1:12" x14ac:dyDescent="0.2">
      <c r="C24">
        <v>55.58</v>
      </c>
      <c r="D24" t="s">
        <v>31</v>
      </c>
      <c r="E24" s="4">
        <f>Load!I22</f>
        <v>0</v>
      </c>
      <c r="F24" s="3">
        <f t="shared" si="0"/>
        <v>0</v>
      </c>
      <c r="K24">
        <v>12000</v>
      </c>
      <c r="L24">
        <v>-67.900000000000006</v>
      </c>
    </row>
    <row r="25" spans="1:12" x14ac:dyDescent="0.2">
      <c r="C25">
        <v>88.5</v>
      </c>
      <c r="D25" t="s">
        <v>34</v>
      </c>
      <c r="E25" s="4">
        <v>18</v>
      </c>
      <c r="F25" s="3">
        <f t="shared" si="0"/>
        <v>1.593</v>
      </c>
      <c r="K25">
        <v>12500</v>
      </c>
      <c r="L25">
        <v>-77.599999999999994</v>
      </c>
    </row>
    <row r="26" spans="1:12" x14ac:dyDescent="0.2">
      <c r="C26">
        <v>47</v>
      </c>
      <c r="D26" t="s">
        <v>35</v>
      </c>
      <c r="E26" s="4"/>
      <c r="F26" s="3">
        <f t="shared" si="0"/>
        <v>0</v>
      </c>
      <c r="K26">
        <v>13000</v>
      </c>
      <c r="L26">
        <v>-87.7</v>
      </c>
    </row>
    <row r="27" spans="1:12" x14ac:dyDescent="0.2">
      <c r="C27">
        <v>28.58</v>
      </c>
      <c r="D27" t="s">
        <v>37</v>
      </c>
      <c r="E27" s="4"/>
      <c r="F27" s="3">
        <f t="shared" si="0"/>
        <v>0</v>
      </c>
      <c r="K27">
        <v>13500</v>
      </c>
      <c r="L27">
        <v>-97</v>
      </c>
    </row>
    <row r="28" spans="1:12" x14ac:dyDescent="0.2">
      <c r="A28" s="5"/>
      <c r="C28">
        <v>28.58</v>
      </c>
      <c r="D28" t="s">
        <v>38</v>
      </c>
      <c r="E28" s="4"/>
      <c r="F28" s="3">
        <f t="shared" si="0"/>
        <v>0</v>
      </c>
      <c r="K28">
        <v>14000</v>
      </c>
      <c r="L28">
        <v>-106.4</v>
      </c>
    </row>
    <row r="29" spans="1:12" ht="21" customHeight="1" x14ac:dyDescent="0.2">
      <c r="A29"/>
      <c r="C29">
        <v>9</v>
      </c>
      <c r="D29" t="s">
        <v>36</v>
      </c>
      <c r="E29" s="4"/>
      <c r="F29" s="3">
        <f t="shared" si="0"/>
        <v>0</v>
      </c>
      <c r="K29">
        <v>14500</v>
      </c>
      <c r="L29">
        <v>-116.1</v>
      </c>
    </row>
    <row r="30" spans="1:12" ht="16" customHeight="1" x14ac:dyDescent="0.2">
      <c r="C30">
        <v>144.5</v>
      </c>
      <c r="D30" t="s">
        <v>12</v>
      </c>
      <c r="E30" s="4">
        <f>Load!D31</f>
        <v>0</v>
      </c>
      <c r="F30" s="3">
        <f t="shared" si="0"/>
        <v>0</v>
      </c>
      <c r="G30" s="6"/>
      <c r="K30">
        <v>15000</v>
      </c>
      <c r="L30">
        <v>-126.2</v>
      </c>
    </row>
    <row r="31" spans="1:12" x14ac:dyDescent="0.2">
      <c r="C31">
        <v>157</v>
      </c>
      <c r="D31" t="s">
        <v>8</v>
      </c>
      <c r="E31" s="4">
        <f>Load!D33</f>
        <v>0</v>
      </c>
      <c r="F31" s="3">
        <f t="shared" si="0"/>
        <v>0</v>
      </c>
      <c r="K31">
        <v>15500</v>
      </c>
      <c r="L31">
        <v>-136.9</v>
      </c>
    </row>
    <row r="32" spans="1:12" x14ac:dyDescent="0.2">
      <c r="F32" s="3"/>
      <c r="G32" s="5"/>
      <c r="K32">
        <v>16000</v>
      </c>
      <c r="L32">
        <v>-148.9</v>
      </c>
    </row>
    <row r="33" spans="3:12" x14ac:dyDescent="0.2">
      <c r="D33" t="s">
        <v>11</v>
      </c>
      <c r="E33">
        <f>SUM(E2:E31)</f>
        <v>25074.400000000001</v>
      </c>
      <c r="F33" s="5">
        <f>SUM(F2:F31)</f>
        <v>-56.26279199999999</v>
      </c>
      <c r="G33">
        <f>((F33*1000)/E33)*(100/113.69)+25</f>
        <v>23.026357612871021</v>
      </c>
      <c r="K33">
        <v>16500</v>
      </c>
      <c r="L33">
        <v>-160.1</v>
      </c>
    </row>
    <row r="34" spans="3:12" x14ac:dyDescent="0.2">
      <c r="G34" s="5"/>
      <c r="K34">
        <v>17000</v>
      </c>
      <c r="L34">
        <v>-173.8</v>
      </c>
    </row>
    <row r="35" spans="3:12" x14ac:dyDescent="0.2">
      <c r="D35" t="s">
        <v>9</v>
      </c>
      <c r="E35" s="4">
        <f>Load!M12</f>
        <v>4500</v>
      </c>
      <c r="F35" s="7">
        <f>VLOOKUP(E35,K2:L39,2)</f>
        <v>-14.5</v>
      </c>
      <c r="G35" s="8" t="s">
        <v>40</v>
      </c>
      <c r="K35">
        <v>17500</v>
      </c>
      <c r="L35">
        <v>-198.6</v>
      </c>
    </row>
    <row r="36" spans="3:12" x14ac:dyDescent="0.2">
      <c r="C36" s="5">
        <f>(F36*1000)/E36</f>
        <v>-2.392704230685998</v>
      </c>
      <c r="D36" t="s">
        <v>10</v>
      </c>
      <c r="E36">
        <f>SUM(E33:E35)</f>
        <v>29574.400000000001</v>
      </c>
      <c r="F36" s="5">
        <f>SUM(F33:F35)</f>
        <v>-70.76279199999999</v>
      </c>
      <c r="G36" s="3">
        <f>((F36*1000)/E36)*(100/113.69)+25</f>
        <v>22.895413641757411</v>
      </c>
      <c r="H36" s="9">
        <f>-7.5+(((G36-14)/17))*3</f>
        <v>-5.93022112204281</v>
      </c>
      <c r="I36" t="s">
        <v>41</v>
      </c>
      <c r="K36">
        <v>18000</v>
      </c>
      <c r="L36">
        <v>-225.5</v>
      </c>
    </row>
    <row r="37" spans="3:12" x14ac:dyDescent="0.2">
      <c r="C37" s="5"/>
      <c r="D37" t="s">
        <v>24</v>
      </c>
      <c r="E37">
        <f>Load!M13</f>
        <v>1500</v>
      </c>
      <c r="F37" s="7">
        <f>VLOOKUP((E35-E37),K2:L39,2)</f>
        <v>-14.5</v>
      </c>
      <c r="G37" s="5"/>
      <c r="K37">
        <v>18500</v>
      </c>
      <c r="L37">
        <v>-282.5</v>
      </c>
    </row>
    <row r="38" spans="3:12" x14ac:dyDescent="0.2">
      <c r="D38" t="s">
        <v>23</v>
      </c>
      <c r="E38">
        <f>E36-E37</f>
        <v>28074.400000000001</v>
      </c>
      <c r="F38" s="5">
        <f>F33+F37</f>
        <v>-70.76279199999999</v>
      </c>
      <c r="G38" s="5"/>
      <c r="K38">
        <v>19000</v>
      </c>
      <c r="L38">
        <v>-342.1</v>
      </c>
    </row>
    <row r="39" spans="3:12" x14ac:dyDescent="0.2">
      <c r="G39" s="5"/>
      <c r="K39">
        <v>19165</v>
      </c>
      <c r="L39">
        <v>-347.2</v>
      </c>
    </row>
    <row r="40" spans="3:12" x14ac:dyDescent="0.2">
      <c r="D40">
        <f>F36*1000</f>
        <v>-70762.791999999987</v>
      </c>
    </row>
    <row r="41" spans="3:12" x14ac:dyDescent="0.2">
      <c r="D41">
        <f>D40/E36</f>
        <v>-2.392704230685998</v>
      </c>
      <c r="G41" s="5"/>
    </row>
    <row r="42" spans="3:12" x14ac:dyDescent="0.2">
      <c r="D42">
        <f>D41+25</f>
        <v>22.607295769314003</v>
      </c>
      <c r="G42" s="5"/>
    </row>
    <row r="43" spans="3:12" x14ac:dyDescent="0.2">
      <c r="G43" s="5"/>
    </row>
    <row r="44" spans="3:12" x14ac:dyDescent="0.2">
      <c r="F44" s="5">
        <f>loading!F36</f>
        <v>-70.76279199999999</v>
      </c>
      <c r="G44" s="5"/>
    </row>
    <row r="45" spans="3:12" x14ac:dyDescent="0.2">
      <c r="G45" s="5"/>
    </row>
    <row r="46" spans="3:12" x14ac:dyDescent="0.2">
      <c r="G46" s="5"/>
    </row>
    <row r="47" spans="3:12" x14ac:dyDescent="0.2">
      <c r="G47" s="5"/>
    </row>
    <row r="48" spans="3:12" x14ac:dyDescent="0.2">
      <c r="G48" s="5"/>
    </row>
    <row r="49" spans="1:7" x14ac:dyDescent="0.2">
      <c r="G49" s="5"/>
    </row>
    <row r="50" spans="1:7" x14ac:dyDescent="0.2">
      <c r="G50" s="5"/>
    </row>
    <row r="51" spans="1:7" x14ac:dyDescent="0.2">
      <c r="G51" s="5"/>
    </row>
    <row r="52" spans="1:7" x14ac:dyDescent="0.2">
      <c r="G52" s="5"/>
    </row>
    <row r="53" spans="1:7" x14ac:dyDescent="0.2">
      <c r="G53" s="5"/>
    </row>
    <row r="54" spans="1:7" x14ac:dyDescent="0.2">
      <c r="A54">
        <f>E36</f>
        <v>29574.400000000001</v>
      </c>
      <c r="G54" s="5"/>
    </row>
    <row r="55" spans="1:7" x14ac:dyDescent="0.2">
      <c r="G55" s="5"/>
    </row>
    <row r="56" spans="1:7" x14ac:dyDescent="0.2">
      <c r="G56" s="3"/>
    </row>
    <row r="57" spans="1:7" x14ac:dyDescent="0.2">
      <c r="G57" s="3"/>
    </row>
    <row r="58" spans="1:7" x14ac:dyDescent="0.2">
      <c r="G58" s="3"/>
    </row>
    <row r="59" spans="1:7" x14ac:dyDescent="0.2">
      <c r="G59" s="3"/>
    </row>
    <row r="60" spans="1:7" x14ac:dyDescent="0.2">
      <c r="G60" s="3"/>
    </row>
    <row r="61" spans="1:7" x14ac:dyDescent="0.2">
      <c r="G61" s="3"/>
    </row>
    <row r="62" spans="1:7" x14ac:dyDescent="0.2">
      <c r="G62" s="3"/>
    </row>
    <row r="63" spans="1:7" x14ac:dyDescent="0.2">
      <c r="G63" s="3"/>
    </row>
    <row r="64" spans="1:7" x14ac:dyDescent="0.2">
      <c r="G64" s="3"/>
    </row>
    <row r="65" spans="5:9" x14ac:dyDescent="0.2">
      <c r="G65" s="3"/>
    </row>
    <row r="66" spans="5:9" x14ac:dyDescent="0.2">
      <c r="E66" s="3">
        <f>G36</f>
        <v>22.895413641757411</v>
      </c>
      <c r="G66" s="3"/>
    </row>
    <row r="67" spans="5:9" x14ac:dyDescent="0.2">
      <c r="G67" s="3"/>
    </row>
    <row r="68" spans="5:9" x14ac:dyDescent="0.2">
      <c r="G68" s="3"/>
      <c r="I68" s="3"/>
    </row>
    <row r="69" spans="5:9" x14ac:dyDescent="0.2">
      <c r="G69" s="5"/>
      <c r="H69" s="5"/>
      <c r="I69" s="10"/>
    </row>
    <row r="70" spans="5:9" x14ac:dyDescent="0.2">
      <c r="H70" s="5"/>
    </row>
    <row r="71" spans="5:9" x14ac:dyDescent="0.2">
      <c r="G71" s="5"/>
      <c r="H71" s="5"/>
    </row>
    <row r="72" spans="5:9" x14ac:dyDescent="0.2">
      <c r="H72" s="5"/>
      <c r="I72" s="11"/>
    </row>
    <row r="73" spans="5:9" x14ac:dyDescent="0.2">
      <c r="H73" s="5"/>
    </row>
  </sheetData>
  <sheetProtection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Load</vt:lpstr>
      <vt:lpstr>loading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Geoff Hatcher</cp:lastModifiedBy>
  <dcterms:created xsi:type="dcterms:W3CDTF">2018-10-05T03:37:41Z</dcterms:created>
  <dcterms:modified xsi:type="dcterms:W3CDTF">2025-11-28T18:22:13Z</dcterms:modified>
</cp:coreProperties>
</file>