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geoffhatcher/Documents/Aviation/Beechjet/W&amp;B Flight planning/"/>
    </mc:Choice>
  </mc:AlternateContent>
  <xr:revisionPtr revIDLastSave="0" documentId="13_ncr:1_{05F76EBF-B2C1-3A40-89B7-6A4FDFD0B825}" xr6:coauthVersionLast="43" xr6:coauthVersionMax="43" xr10:uidLastSave="{00000000-0000-0000-0000-000000000000}"/>
  <bookViews>
    <workbookView xWindow="9840" yWindow="460" windowWidth="12480" windowHeight="16280" tabRatio="500" activeTab="2" xr2:uid="{00000000-000D-0000-FFFF-FFFF00000000}"/>
  </bookViews>
  <sheets>
    <sheet name="Log N102NS" sheetId="7" r:id="rId1"/>
    <sheet name="Graph N102NS" sheetId="6" r:id="rId2"/>
    <sheet name="Form N102NS" sheetId="2" r:id="rId3"/>
    <sheet name="DATA" sheetId="5" state="hidden" r:id="rId4"/>
  </sheets>
  <externalReferences>
    <externalReference r:id="rId5"/>
  </externalReferences>
  <definedNames>
    <definedName name="_xlnm.Print_Area" localSheetId="2">'Form N102NS'!$A$1:$R$50</definedName>
    <definedName name="_xlnm.Print_Area" localSheetId="0">'Log N102NS'!$A$1:$F$74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7" l="1"/>
  <c r="B56" i="7" l="1"/>
  <c r="C6" i="6" l="1"/>
  <c r="D16" i="2" s="1"/>
  <c r="F16" i="2" s="1"/>
  <c r="C14" i="6"/>
  <c r="D24" i="2" s="1"/>
  <c r="F24" i="2" s="1"/>
  <c r="C16" i="6"/>
  <c r="D26" i="2" s="1"/>
  <c r="F26" i="2" s="1"/>
  <c r="C13" i="6"/>
  <c r="D23" i="2" s="1"/>
  <c r="F23" i="2" s="1"/>
  <c r="E40" i="7"/>
  <c r="E43" i="7" s="1"/>
  <c r="E36" i="7"/>
  <c r="E37" i="7" s="1"/>
  <c r="B37" i="7"/>
  <c r="B33" i="7"/>
  <c r="B35" i="7" s="1"/>
  <c r="B36" i="7" s="1"/>
  <c r="E42" i="7"/>
  <c r="D10" i="2"/>
  <c r="F10" i="2" s="1"/>
  <c r="D9" i="2"/>
  <c r="C7" i="6"/>
  <c r="D17" i="2" s="1"/>
  <c r="F25" i="2"/>
  <c r="C19" i="6"/>
  <c r="C24" i="6"/>
  <c r="C20" i="6"/>
  <c r="C21" i="6"/>
  <c r="C22" i="6"/>
  <c r="C18" i="6"/>
  <c r="D30" i="2" s="1"/>
  <c r="C8" i="6"/>
  <c r="D18" i="2" s="1"/>
  <c r="F18" i="2" s="1"/>
  <c r="C9" i="6"/>
  <c r="D19" i="2" s="1"/>
  <c r="F19" i="2" s="1"/>
  <c r="C10" i="6"/>
  <c r="D20" i="2" s="1"/>
  <c r="F20" i="2" s="1"/>
  <c r="C11" i="6"/>
  <c r="D21" i="2" s="1"/>
  <c r="F21" i="2" s="1"/>
  <c r="C12" i="6"/>
  <c r="D22" i="2" s="1"/>
  <c r="F22" i="2" s="1"/>
  <c r="C5" i="6"/>
  <c r="D15" i="2" s="1"/>
  <c r="F15" i="2" s="1"/>
  <c r="F28" i="7"/>
  <c r="G6" i="2"/>
  <c r="M34" i="5"/>
  <c r="L34" i="5"/>
  <c r="M33" i="5"/>
  <c r="L33" i="5"/>
  <c r="J31" i="5"/>
  <c r="I31" i="5"/>
  <c r="J30" i="5"/>
  <c r="I30" i="5"/>
  <c r="J29" i="5"/>
  <c r="I29" i="5"/>
  <c r="J28" i="5"/>
  <c r="I28" i="5"/>
  <c r="K18" i="5"/>
  <c r="J19" i="5"/>
  <c r="K17" i="5"/>
  <c r="J18" i="5"/>
  <c r="K15" i="5"/>
  <c r="J16" i="5"/>
  <c r="C27" i="6"/>
  <c r="F11" i="2"/>
  <c r="F12" i="2"/>
  <c r="F13" i="2"/>
  <c r="F8" i="2"/>
  <c r="D14" i="2" l="1"/>
  <c r="F24" i="7" s="1"/>
  <c r="D34" i="2"/>
  <c r="E34" i="7"/>
  <c r="F35" i="7" s="1"/>
  <c r="H35" i="7" s="1"/>
  <c r="F41" i="7"/>
  <c r="H41" i="7" s="1"/>
  <c r="F9" i="2"/>
  <c r="F14" i="2" s="1"/>
  <c r="E14" i="2" s="1"/>
  <c r="F26" i="7"/>
  <c r="B39" i="7" s="1"/>
  <c r="F25" i="7"/>
  <c r="C46" i="7"/>
  <c r="D28" i="2"/>
  <c r="E28" i="2" s="1"/>
  <c r="F28" i="2" s="1"/>
  <c r="C23" i="6"/>
  <c r="C25" i="6" s="1"/>
  <c r="C17" i="6"/>
  <c r="B26" i="7" s="1"/>
  <c r="D27" i="2"/>
  <c r="F17" i="2"/>
  <c r="F27" i="2" l="1"/>
  <c r="E27" i="2" s="1"/>
  <c r="G35" i="7"/>
  <c r="G41" i="7"/>
  <c r="E30" i="2"/>
  <c r="F30" i="2" s="1"/>
  <c r="D33" i="2"/>
  <c r="D35" i="2" s="1"/>
  <c r="D38" i="2" s="1"/>
  <c r="F27" i="7"/>
  <c r="F30" i="7"/>
  <c r="G30" i="7" s="1"/>
  <c r="B41" i="7"/>
  <c r="B42" i="7"/>
  <c r="D29" i="2"/>
  <c r="D46" i="2"/>
  <c r="D26" i="6"/>
  <c r="D37" i="2"/>
  <c r="C26" i="6"/>
  <c r="B46" i="7" s="1"/>
  <c r="C49" i="7" s="1"/>
  <c r="F37" i="2" l="1"/>
  <c r="F29" i="2"/>
  <c r="E29" i="2" s="1"/>
  <c r="E35" i="2"/>
  <c r="F35" i="2" s="1"/>
  <c r="F38" i="2" s="1"/>
  <c r="B40" i="7"/>
  <c r="D39" i="2"/>
  <c r="D31" i="6" s="1"/>
  <c r="C28" i="6"/>
  <c r="D28" i="6" s="1"/>
  <c r="D31" i="2"/>
  <c r="F39" i="2" l="1"/>
  <c r="E39" i="2" s="1"/>
  <c r="F31" i="2"/>
  <c r="E31" i="2" s="1"/>
  <c r="C31" i="6"/>
  <c r="B49" i="7" s="1"/>
  <c r="D47" i="2"/>
  <c r="I19" i="5"/>
  <c r="I18" i="5"/>
  <c r="D44" i="2"/>
  <c r="C30" i="6"/>
  <c r="D30" i="6" l="1"/>
  <c r="B48" i="7"/>
  <c r="C48" i="7" s="1"/>
  <c r="D45" i="2"/>
  <c r="E44" i="2"/>
  <c r="B33" i="6" s="1"/>
  <c r="C51" i="7" s="1"/>
  <c r="F44" i="2"/>
  <c r="G31" i="2"/>
  <c r="H44" i="2" l="1"/>
  <c r="C33" i="6"/>
  <c r="D51" i="7" s="1"/>
  <c r="F50" i="7" l="1"/>
  <c r="E33" i="6"/>
</calcChain>
</file>

<file path=xl/sharedStrings.xml><?xml version="1.0" encoding="utf-8"?>
<sst xmlns="http://schemas.openxmlformats.org/spreadsheetml/2006/main" count="212" uniqueCount="173">
  <si>
    <t>pilot</t>
  </si>
  <si>
    <t>Hawker Beechcraft Corporation</t>
  </si>
  <si>
    <t>Section 6</t>
  </si>
  <si>
    <t xml:space="preserve"> </t>
  </si>
  <si>
    <t>Weight and Balance/Equipment List</t>
  </si>
  <si>
    <t>Model 400A</t>
  </si>
  <si>
    <t>WEIGHT AND BALANCE LOADING FORM</t>
  </si>
  <si>
    <t>Basic Empty Weight</t>
  </si>
  <si>
    <t>Copilot</t>
  </si>
  <si>
    <t>Provisions</t>
  </si>
  <si>
    <t>Miscellaneous</t>
  </si>
  <si>
    <t>Subtotal-Operating weight empty</t>
  </si>
  <si>
    <t>Passenger 1</t>
  </si>
  <si>
    <t>Baggage</t>
  </si>
  <si>
    <t>Subtotal-Zero Fuel Weight                          do not exceed 13,000 lbs</t>
  </si>
  <si>
    <t>Less Fuel for Start and Taxi</t>
  </si>
  <si>
    <t>Total- Take-off Weight                            do not exceed 16,300</t>
  </si>
  <si>
    <t>Total Fuel from Line 21</t>
  </si>
  <si>
    <t>Less Total Fuel used to destination including Start and Taxi</t>
  </si>
  <si>
    <t>Zero Fuel Weight from line 20</t>
  </si>
  <si>
    <t>Add Fuel Remaining from Line 27</t>
  </si>
  <si>
    <t>Total- Landing Weight                            do not exceed 15,700 lbs</t>
  </si>
  <si>
    <t>LINE</t>
  </si>
  <si>
    <t>ITEM</t>
  </si>
  <si>
    <t>WEIGHT (LB)</t>
  </si>
  <si>
    <t>C.G (%MAC)</t>
  </si>
  <si>
    <t>C.G.       (IN)</t>
  </si>
  <si>
    <t>MOM/ 100  (LB/IN)</t>
  </si>
  <si>
    <t>FAA Approved                             Reissued: June 23, 2011/167B</t>
  </si>
  <si>
    <t>6-11</t>
  </si>
  <si>
    <t>Passenger 2</t>
  </si>
  <si>
    <t>Passenger 3</t>
  </si>
  <si>
    <t>Passenger 4</t>
  </si>
  <si>
    <t>Passenger 5</t>
  </si>
  <si>
    <t>Passenger 6</t>
  </si>
  <si>
    <t>Passenger 7</t>
  </si>
  <si>
    <t>Passenger 8</t>
  </si>
  <si>
    <t>Passenger 9</t>
  </si>
  <si>
    <t>Subtotal-Ramp Weight                             do not exceed 16,500 lbs</t>
  </si>
  <si>
    <t>Fuel weight and fuselage tanks</t>
  </si>
  <si>
    <t>Total Fuel Remaining - MOM/100 from Usable Fuel Moment Table</t>
  </si>
  <si>
    <t>DATE:</t>
  </si>
  <si>
    <t>TOW</t>
  </si>
  <si>
    <t>Max TOW</t>
  </si>
  <si>
    <t>fwd CG limit</t>
  </si>
  <si>
    <t>aft CG limit</t>
  </si>
  <si>
    <t>actual CG</t>
  </si>
  <si>
    <t>PIC</t>
  </si>
  <si>
    <r>
      <rPr>
        <b/>
        <sz val="11"/>
        <color rgb="FF79797E"/>
        <rFont val="Calibri"/>
        <family val="2"/>
        <scheme val="minor"/>
      </rPr>
      <t>270</t>
    </r>
    <r>
      <rPr>
        <b/>
        <sz val="11"/>
        <color rgb="FFC8C3C6"/>
        <rFont val="Calibri"/>
        <family val="2"/>
        <scheme val="minor"/>
      </rPr>
      <t>,</t>
    </r>
    <r>
      <rPr>
        <b/>
        <sz val="11"/>
        <color rgb="FF79797E"/>
        <rFont val="Calibri"/>
        <family val="2"/>
        <scheme val="minor"/>
      </rPr>
      <t>6</t>
    </r>
  </si>
  <si>
    <t>FUEL</t>
  </si>
  <si>
    <t>FORWARD CG</t>
  </si>
  <si>
    <t>Payload</t>
  </si>
  <si>
    <t>For Graph</t>
  </si>
  <si>
    <t>Weight</t>
  </si>
  <si>
    <t>Arm</t>
  </si>
  <si>
    <t>Ramp Weight</t>
  </si>
  <si>
    <t>ZFW</t>
  </si>
  <si>
    <t>Take off</t>
  </si>
  <si>
    <t>Landing</t>
  </si>
  <si>
    <t>Zero fuel weight</t>
  </si>
  <si>
    <t>Max ramp:</t>
  </si>
  <si>
    <t>Max t/o:</t>
  </si>
  <si>
    <t>max landing</t>
  </si>
  <si>
    <t>CoG Envelope</t>
  </si>
  <si>
    <t>Fwd limit</t>
  </si>
  <si>
    <t>Aft limit</t>
  </si>
  <si>
    <t>Take-off:</t>
  </si>
  <si>
    <t>Landing:</t>
  </si>
  <si>
    <t>CG Envelope</t>
  </si>
  <si>
    <t>LAND Max</t>
  </si>
  <si>
    <t>Max Ramp</t>
  </si>
  <si>
    <t>MAX ZFW</t>
  </si>
  <si>
    <t>Taxi fuel</t>
  </si>
  <si>
    <t>flight fuel</t>
  </si>
  <si>
    <t>reserve fuel</t>
  </si>
  <si>
    <t>SIC</t>
  </si>
  <si>
    <t>Landing weight</t>
  </si>
  <si>
    <t>CG</t>
  </si>
  <si>
    <t>fwd limit</t>
  </si>
  <si>
    <t>date</t>
  </si>
  <si>
    <t>Baggage 382</t>
  </si>
  <si>
    <t>Baggage 309</t>
  </si>
  <si>
    <t>aft limit</t>
  </si>
  <si>
    <t>total fuel</t>
  </si>
  <si>
    <t>extra fuel</t>
  </si>
  <si>
    <t>wing Tanks</t>
  </si>
  <si>
    <t>Trunk Gal</t>
  </si>
  <si>
    <t>ww</t>
  </si>
  <si>
    <t>gh</t>
  </si>
  <si>
    <t>dep date</t>
  </si>
  <si>
    <t>dep time</t>
  </si>
  <si>
    <t>trip #</t>
  </si>
  <si>
    <t>dep airport</t>
  </si>
  <si>
    <t>arrive airport</t>
  </si>
  <si>
    <t>route</t>
  </si>
  <si>
    <t>distance</t>
  </si>
  <si>
    <t>max zfw</t>
  </si>
  <si>
    <t>ETE</t>
  </si>
  <si>
    <t>BOW</t>
  </si>
  <si>
    <t>flt level</t>
  </si>
  <si>
    <t>max payload zfw</t>
  </si>
  <si>
    <t>if</t>
  </si>
  <si>
    <t>useful load from BOW</t>
  </si>
  <si>
    <t>taxi</t>
  </si>
  <si>
    <t>max pay full fuel</t>
  </si>
  <si>
    <t>alt fuel</t>
  </si>
  <si>
    <t>max pay min fuel</t>
  </si>
  <si>
    <t>Reserve</t>
  </si>
  <si>
    <t>max fuel</t>
  </si>
  <si>
    <t>max fuel @ ZFW</t>
  </si>
  <si>
    <t>max add load</t>
  </si>
  <si>
    <t>payload</t>
  </si>
  <si>
    <t>max add pay</t>
  </si>
  <si>
    <t>max add fuel</t>
  </si>
  <si>
    <t>wing 2863</t>
  </si>
  <si>
    <t>trunk 2049 lbs</t>
  </si>
  <si>
    <t xml:space="preserve">trunk gal </t>
  </si>
  <si>
    <t>flt Release</t>
  </si>
  <si>
    <t>wind</t>
  </si>
  <si>
    <t>temp</t>
  </si>
  <si>
    <t>alt set</t>
  </si>
  <si>
    <t>MTW</t>
  </si>
  <si>
    <t>fuel status</t>
  </si>
  <si>
    <t>FRAAT</t>
  </si>
  <si>
    <t>Threats</t>
  </si>
  <si>
    <t>PWR</t>
  </si>
  <si>
    <t>V1</t>
  </si>
  <si>
    <t>Vr</t>
  </si>
  <si>
    <t>V2</t>
  </si>
  <si>
    <t>VFTO</t>
  </si>
  <si>
    <t>RWY REQ</t>
  </si>
  <si>
    <t>L/O Altitude</t>
  </si>
  <si>
    <t>TORA</t>
  </si>
  <si>
    <t>Out</t>
  </si>
  <si>
    <t>OFF</t>
  </si>
  <si>
    <t>ON</t>
  </si>
  <si>
    <t>IN</t>
  </si>
  <si>
    <t>fuel out</t>
  </si>
  <si>
    <t>fuel in</t>
  </si>
  <si>
    <t>fuel burn</t>
  </si>
  <si>
    <t>log sent</t>
  </si>
  <si>
    <t>duty off</t>
  </si>
  <si>
    <t>pilot1 weight</t>
  </si>
  <si>
    <t>pilot 2 weight</t>
  </si>
  <si>
    <t>ToiletBaggs</t>
  </si>
  <si>
    <t>rear bags</t>
  </si>
  <si>
    <t>flt fuel burn</t>
  </si>
  <si>
    <t>landing fuel</t>
  </si>
  <si>
    <t>alternate fuel</t>
  </si>
  <si>
    <t>N488TM</t>
  </si>
  <si>
    <t>Fuel Calculator</t>
  </si>
  <si>
    <t>FOB</t>
  </si>
  <si>
    <t>min TO fuel</t>
  </si>
  <si>
    <t xml:space="preserve">gal per side </t>
  </si>
  <si>
    <t>upload</t>
  </si>
  <si>
    <t>TO Fuel</t>
  </si>
  <si>
    <t>Upload</t>
  </si>
  <si>
    <t>Landing Fuel</t>
  </si>
  <si>
    <t>Fuel Comps</t>
  </si>
  <si>
    <t>Min TO fuel</t>
  </si>
  <si>
    <t>Payload Comps</t>
  </si>
  <si>
    <t>next leg flt/tax burn</t>
  </si>
  <si>
    <t>Target/ min takeoff</t>
  </si>
  <si>
    <t>extra,reserv,alt fuel</t>
  </si>
  <si>
    <t>fwd CG lmt</t>
  </si>
  <si>
    <t>Lndg wght 15.7</t>
  </si>
  <si>
    <t>ZFW 13.0</t>
  </si>
  <si>
    <t>field elevation</t>
  </si>
  <si>
    <t>Pressure alt</t>
  </si>
  <si>
    <t>TOLD</t>
  </si>
  <si>
    <t>N102NS</t>
  </si>
  <si>
    <r>
      <t xml:space="preserve">REG. NO </t>
    </r>
    <r>
      <rPr>
        <u/>
        <sz val="7"/>
        <color theme="1"/>
        <rFont val="Calibri (Body)"/>
      </rPr>
      <t>N102NS</t>
    </r>
  </si>
  <si>
    <r>
      <t xml:space="preserve">SERIAL NO: </t>
    </r>
    <r>
      <rPr>
        <u/>
        <sz val="7"/>
        <color theme="1"/>
        <rFont val="Calibri (Body)"/>
      </rPr>
      <t>RK-415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</si>
</sst>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);[Red]\(#,##0.0\)"/>
    <numFmt numFmtId="166" formatCode="m/d;@"/>
  </numFmts>
  <fonts count="35">
    <font>
      <sz val="12"/>
      <color theme="1"/>
      <name val="Calibri"/>
      <family val="2"/>
      <scheme val="minor"/>
    </font>
    <font>
      <b/>
      <sz val="10"/>
      <color theme="1"/>
      <name val="Calibri (Body)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alibri (Body)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7"/>
      <color theme="1"/>
      <name val="Calibri (Body)"/>
    </font>
    <font>
      <sz val="12"/>
      <color theme="1"/>
      <name val="Arial"/>
      <family val="2"/>
    </font>
    <font>
      <sz val="12"/>
      <color rgb="FF1D161A"/>
      <name val="Arial"/>
      <family val="2"/>
    </font>
    <font>
      <sz val="12"/>
      <color rgb="FF2D2A2F"/>
      <name val="Arial"/>
      <family val="2"/>
    </font>
    <font>
      <sz val="12"/>
      <color rgb="FF160A16"/>
      <name val="Arial"/>
      <family val="2"/>
    </font>
    <font>
      <sz val="12"/>
      <color rgb="FF211F2A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676769"/>
      <name val="Calibri"/>
      <family val="2"/>
      <scheme val="minor"/>
    </font>
    <font>
      <b/>
      <sz val="11"/>
      <color rgb="FF79797E"/>
      <name val="Calibri"/>
      <family val="2"/>
      <scheme val="minor"/>
    </font>
    <font>
      <sz val="11"/>
      <color rgb="FF79797E"/>
      <name val="Calibri"/>
      <family val="2"/>
      <scheme val="minor"/>
    </font>
    <font>
      <sz val="11"/>
      <name val="Calibri"/>
      <family val="2"/>
      <scheme val="minor"/>
    </font>
    <font>
      <sz val="11"/>
      <color rgb="FF59728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8C3C6"/>
      <name val="Calibri"/>
      <family val="2"/>
      <scheme val="minor"/>
    </font>
    <font>
      <b/>
      <sz val="11"/>
      <color rgb="FF676769"/>
      <name val="Calibri"/>
      <family val="2"/>
      <scheme val="minor"/>
    </font>
    <font>
      <sz val="11"/>
      <color rgb="FF625E67"/>
      <name val="Calibri"/>
      <family val="2"/>
      <scheme val="minor"/>
    </font>
    <font>
      <sz val="11"/>
      <color rgb="FF504B5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rgb="FF000000"/>
      <name val="Helvetica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Protection="1"/>
    <xf numFmtId="0" fontId="0" fillId="0" borderId="0" xfId="0" applyFill="1" applyProtection="1"/>
    <xf numFmtId="3" fontId="6" fillId="0" borderId="0" xfId="0" applyNumberFormat="1" applyFont="1" applyFill="1" applyAlignment="1" applyProtection="1">
      <alignment horizontal="left" vertical="top"/>
    </xf>
    <xf numFmtId="3" fontId="6" fillId="0" borderId="0" xfId="0" applyNumberFormat="1" applyFont="1" applyFill="1" applyAlignment="1" applyProtection="1">
      <alignment horizontal="right" vertical="top"/>
    </xf>
    <xf numFmtId="0" fontId="1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6" fillId="0" borderId="0" xfId="0" applyFont="1" applyProtection="1"/>
    <xf numFmtId="0" fontId="5" fillId="0" borderId="0" xfId="0" applyFont="1" applyAlignment="1" applyProtection="1">
      <alignment horizontal="right"/>
    </xf>
    <xf numFmtId="0" fontId="7" fillId="0" borderId="2" xfId="0" applyFont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9" fillId="0" borderId="1" xfId="0" applyFont="1" applyBorder="1" applyAlignment="1" applyProtection="1">
      <alignment vertical="top"/>
    </xf>
    <xf numFmtId="0" fontId="9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top"/>
    </xf>
    <xf numFmtId="0" fontId="7" fillId="0" borderId="1" xfId="0" applyFont="1" applyBorder="1" applyProtection="1"/>
    <xf numFmtId="0" fontId="0" fillId="0" borderId="1" xfId="0" applyBorder="1" applyProtection="1"/>
    <xf numFmtId="0" fontId="0" fillId="0" borderId="0" xfId="0" applyAlignment="1" applyProtection="1">
      <alignment wrapText="1"/>
    </xf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right" vertical="top"/>
    </xf>
    <xf numFmtId="0" fontId="7" fillId="0" borderId="1" xfId="0" applyFont="1" applyBorder="1" applyAlignment="1" applyProtection="1">
      <alignment horizontal="left" vertical="center" wrapText="1"/>
    </xf>
    <xf numFmtId="164" fontId="6" fillId="0" borderId="0" xfId="0" applyNumberFormat="1" applyFont="1" applyFill="1" applyAlignment="1" applyProtection="1">
      <alignment horizontal="right" vertical="top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vertical="center" wrapText="1"/>
    </xf>
    <xf numFmtId="0" fontId="7" fillId="2" borderId="1" xfId="0" applyFont="1" applyFill="1" applyBorder="1" applyProtection="1"/>
    <xf numFmtId="0" fontId="7" fillId="0" borderId="1" xfId="0" applyFont="1" applyBorder="1" applyAlignment="1" applyProtection="1">
      <alignment vertical="center"/>
    </xf>
    <xf numFmtId="49" fontId="5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2" fontId="14" fillId="0" borderId="0" xfId="0" applyNumberFormat="1" applyFont="1" applyBorder="1" applyAlignment="1">
      <alignment horizontal="right" vertical="center" shrinkToFit="1"/>
    </xf>
    <xf numFmtId="2" fontId="16" fillId="0" borderId="0" xfId="0" applyNumberFormat="1" applyFont="1" applyBorder="1" applyAlignment="1">
      <alignment horizontal="right" vertical="center" shrinkToFit="1"/>
    </xf>
    <xf numFmtId="2" fontId="15" fillId="0" borderId="0" xfId="0" applyNumberFormat="1" applyFont="1" applyBorder="1" applyAlignment="1">
      <alignment horizontal="right" vertical="center" shrinkToFit="1"/>
    </xf>
    <xf numFmtId="2" fontId="12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 shrinkToFit="1"/>
    </xf>
    <xf numFmtId="2" fontId="17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top"/>
    </xf>
    <xf numFmtId="1" fontId="19" fillId="0" borderId="0" xfId="0" applyNumberFormat="1" applyFont="1" applyBorder="1" applyAlignment="1">
      <alignment horizontal="center" vertical="top" shrinkToFit="1"/>
    </xf>
    <xf numFmtId="1" fontId="21" fillId="0" borderId="0" xfId="0" applyNumberFormat="1" applyFont="1" applyBorder="1" applyAlignment="1">
      <alignment horizontal="center" vertical="top" shrinkToFit="1"/>
    </xf>
    <xf numFmtId="0" fontId="22" fillId="0" borderId="0" xfId="0" applyFont="1" applyBorder="1" applyAlignment="1">
      <alignment horizontal="center" vertical="top" wrapText="1"/>
    </xf>
    <xf numFmtId="1" fontId="23" fillId="0" borderId="0" xfId="0" applyNumberFormat="1" applyFont="1" applyBorder="1" applyAlignment="1">
      <alignment horizontal="center" vertical="top" shrinkToFit="1"/>
    </xf>
    <xf numFmtId="1" fontId="27" fillId="0" borderId="0" xfId="0" applyNumberFormat="1" applyFont="1" applyBorder="1" applyAlignment="1">
      <alignment horizontal="center" vertical="top" shrinkToFit="1"/>
    </xf>
    <xf numFmtId="1" fontId="28" fillId="0" borderId="0" xfId="0" applyNumberFormat="1" applyFont="1" applyBorder="1" applyAlignment="1">
      <alignment horizontal="center" vertical="top" shrinkToFit="1"/>
    </xf>
    <xf numFmtId="164" fontId="18" fillId="0" borderId="0" xfId="0" applyNumberFormat="1" applyFont="1" applyBorder="1" applyAlignment="1">
      <alignment horizontal="right" vertical="top"/>
    </xf>
    <xf numFmtId="164" fontId="19" fillId="0" borderId="0" xfId="0" applyNumberFormat="1" applyFont="1" applyBorder="1" applyAlignment="1">
      <alignment horizontal="right" vertical="top" shrinkToFit="1"/>
    </xf>
    <xf numFmtId="164" fontId="20" fillId="0" borderId="0" xfId="0" applyNumberFormat="1" applyFont="1" applyBorder="1" applyAlignment="1">
      <alignment horizontal="right" vertical="top" shrinkToFit="1"/>
    </xf>
    <xf numFmtId="164" fontId="22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Border="1" applyAlignment="1">
      <alignment horizontal="right" vertical="top" shrinkToFit="1"/>
    </xf>
    <xf numFmtId="164" fontId="24" fillId="0" borderId="0" xfId="0" applyNumberFormat="1" applyFont="1" applyBorder="1" applyAlignment="1">
      <alignment horizontal="right" vertical="top" wrapText="1"/>
    </xf>
    <xf numFmtId="164" fontId="26" fillId="0" borderId="0" xfId="0" applyNumberFormat="1" applyFont="1" applyBorder="1" applyAlignment="1">
      <alignment horizontal="right" vertical="top" shrinkToFit="1"/>
    </xf>
    <xf numFmtId="164" fontId="27" fillId="0" borderId="0" xfId="0" applyNumberFormat="1" applyFont="1" applyBorder="1" applyAlignment="1">
      <alignment horizontal="right" vertical="top" shrinkToFit="1"/>
    </xf>
    <xf numFmtId="164" fontId="28" fillId="0" borderId="0" xfId="0" applyNumberFormat="1" applyFont="1" applyBorder="1" applyAlignment="1">
      <alignment horizontal="right" vertical="top" shrinkToFit="1"/>
    </xf>
    <xf numFmtId="2" fontId="12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Protection="1"/>
    <xf numFmtId="0" fontId="0" fillId="0" borderId="0" xfId="0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1" xfId="0" applyFont="1" applyFill="1" applyBorder="1" applyProtection="1"/>
    <xf numFmtId="0" fontId="0" fillId="0" borderId="0" xfId="0" applyBorder="1" applyAlignment="1" applyProtection="1">
      <alignment horizontal="left"/>
    </xf>
    <xf numFmtId="16" fontId="7" fillId="0" borderId="0" xfId="0" applyNumberFormat="1" applyFont="1" applyBorder="1" applyAlignment="1" applyProtection="1"/>
    <xf numFmtId="0" fontId="0" fillId="0" borderId="0" xfId="0" applyBorder="1" applyAlignment="1" applyProtection="1">
      <alignment horizontal="center"/>
    </xf>
    <xf numFmtId="164" fontId="18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0" fontId="29" fillId="0" borderId="0" xfId="0" applyFont="1" applyAlignment="1">
      <alignment horizontal="left" vertical="top"/>
    </xf>
    <xf numFmtId="165" fontId="29" fillId="0" borderId="0" xfId="0" applyNumberFormat="1" applyFont="1" applyAlignment="1">
      <alignment horizontal="left" vertical="top"/>
    </xf>
    <xf numFmtId="0" fontId="29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0" borderId="8" xfId="0" applyFont="1" applyBorder="1" applyAlignment="1">
      <alignment horizontal="left" vertical="top"/>
    </xf>
    <xf numFmtId="0" fontId="29" fillId="0" borderId="9" xfId="0" applyFont="1" applyBorder="1" applyAlignment="1">
      <alignment horizontal="center" vertical="top"/>
    </xf>
    <xf numFmtId="165" fontId="29" fillId="0" borderId="10" xfId="0" applyNumberFormat="1" applyFont="1" applyBorder="1" applyAlignment="1">
      <alignment horizontal="center" vertical="top"/>
    </xf>
    <xf numFmtId="0" fontId="29" fillId="0" borderId="11" xfId="0" applyFont="1" applyBorder="1" applyAlignment="1">
      <alignment horizontal="left" vertical="top"/>
    </xf>
    <xf numFmtId="165" fontId="29" fillId="0" borderId="12" xfId="0" applyNumberFormat="1" applyFont="1" applyBorder="1" applyAlignment="1">
      <alignment vertical="top"/>
    </xf>
    <xf numFmtId="3" fontId="29" fillId="0" borderId="0" xfId="0" applyNumberFormat="1" applyFont="1" applyAlignment="1">
      <alignment vertical="top"/>
    </xf>
    <xf numFmtId="3" fontId="29" fillId="0" borderId="0" xfId="0" applyNumberFormat="1" applyFont="1" applyAlignment="1">
      <alignment horizontal="left" vertical="top"/>
    </xf>
    <xf numFmtId="165" fontId="29" fillId="0" borderId="12" xfId="0" applyNumberFormat="1" applyFont="1" applyBorder="1" applyAlignment="1">
      <alignment horizontal="left" vertical="top"/>
    </xf>
    <xf numFmtId="0" fontId="29" fillId="0" borderId="11" xfId="0" applyFont="1" applyBorder="1" applyAlignment="1">
      <alignment horizontal="right" vertical="top"/>
    </xf>
    <xf numFmtId="164" fontId="29" fillId="0" borderId="12" xfId="0" applyNumberFormat="1" applyFont="1" applyBorder="1" applyAlignment="1">
      <alignment vertical="top"/>
    </xf>
    <xf numFmtId="0" fontId="29" fillId="0" borderId="13" xfId="0" applyFont="1" applyBorder="1" applyAlignment="1">
      <alignment horizontal="right" vertical="top"/>
    </xf>
    <xf numFmtId="1" fontId="29" fillId="0" borderId="14" xfId="0" applyNumberFormat="1" applyFont="1" applyBorder="1" applyAlignment="1">
      <alignment vertical="top"/>
    </xf>
    <xf numFmtId="164" fontId="29" fillId="0" borderId="15" xfId="0" applyNumberFormat="1" applyFont="1" applyBorder="1" applyAlignment="1">
      <alignment vertical="top"/>
    </xf>
    <xf numFmtId="0" fontId="30" fillId="0" borderId="0" xfId="0" applyFont="1" applyAlignment="1">
      <alignment vertical="top"/>
    </xf>
    <xf numFmtId="165" fontId="29" fillId="0" borderId="9" xfId="0" applyNumberFormat="1" applyFont="1" applyBorder="1" applyAlignment="1">
      <alignment horizontal="center" vertical="top"/>
    </xf>
    <xf numFmtId="0" fontId="29" fillId="0" borderId="0" xfId="0" applyFont="1" applyAlignment="1">
      <alignment horizontal="right" vertical="top"/>
    </xf>
    <xf numFmtId="165" fontId="29" fillId="0" borderId="0" xfId="0" applyNumberFormat="1" applyFont="1" applyAlignment="1">
      <alignment horizontal="right" vertical="top"/>
    </xf>
    <xf numFmtId="165" fontId="29" fillId="0" borderId="12" xfId="0" applyNumberFormat="1" applyFont="1" applyBorder="1" applyAlignment="1">
      <alignment horizontal="right" vertical="top"/>
    </xf>
    <xf numFmtId="3" fontId="29" fillId="0" borderId="0" xfId="0" applyNumberFormat="1" applyFont="1" applyAlignment="1">
      <alignment horizontal="right" vertical="top"/>
    </xf>
    <xf numFmtId="165" fontId="29" fillId="0" borderId="16" xfId="0" applyNumberFormat="1" applyFont="1" applyBorder="1" applyAlignment="1">
      <alignment horizontal="right" vertical="top"/>
    </xf>
    <xf numFmtId="3" fontId="29" fillId="0" borderId="14" xfId="0" applyNumberFormat="1" applyFont="1" applyBorder="1" applyAlignment="1">
      <alignment horizontal="right" vertical="top"/>
    </xf>
    <xf numFmtId="165" fontId="29" fillId="0" borderId="14" xfId="0" applyNumberFormat="1" applyFont="1" applyBorder="1" applyAlignment="1">
      <alignment horizontal="right" vertical="top"/>
    </xf>
    <xf numFmtId="0" fontId="2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31" fillId="0" borderId="1" xfId="0" applyFont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right"/>
    </xf>
    <xf numFmtId="0" fontId="31" fillId="0" borderId="0" xfId="0" applyFont="1" applyAlignment="1" applyProtection="1">
      <alignment horizontal="right"/>
    </xf>
    <xf numFmtId="164" fontId="31" fillId="0" borderId="0" xfId="0" applyNumberFormat="1" applyFont="1" applyBorder="1" applyAlignment="1" applyProtection="1">
      <alignment horizontal="right"/>
    </xf>
    <xf numFmtId="164" fontId="31" fillId="0" borderId="0" xfId="0" applyNumberFormat="1" applyFont="1" applyBorder="1" applyProtection="1"/>
    <xf numFmtId="0" fontId="6" fillId="0" borderId="0" xfId="0" applyFont="1" applyFill="1" applyProtection="1"/>
    <xf numFmtId="0" fontId="9" fillId="0" borderId="1" xfId="0" applyFont="1" applyFill="1" applyBorder="1" applyAlignment="1" applyProtection="1">
      <alignment horizontal="center" vertical="center" wrapText="1"/>
    </xf>
    <xf numFmtId="0" fontId="31" fillId="0" borderId="0" xfId="0" applyFont="1" applyFill="1" applyProtection="1"/>
    <xf numFmtId="0" fontId="31" fillId="0" borderId="0" xfId="0" applyFont="1" applyProtection="1"/>
    <xf numFmtId="16" fontId="7" fillId="0" borderId="4" xfId="0" applyNumberFormat="1" applyFont="1" applyFill="1" applyBorder="1" applyAlignment="1" applyProtection="1"/>
    <xf numFmtId="0" fontId="4" fillId="3" borderId="0" xfId="0" applyFont="1" applyFill="1" applyAlignment="1" applyProtection="1">
      <alignment horizontal="right"/>
    </xf>
    <xf numFmtId="0" fontId="3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4" borderId="0" xfId="0" applyFont="1" applyFill="1" applyProtection="1"/>
    <xf numFmtId="49" fontId="31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7" fillId="0" borderId="1" xfId="0" applyNumberFormat="1" applyFont="1" applyFill="1" applyBorder="1" applyAlignment="1" applyProtection="1">
      <alignment horizontal="right"/>
    </xf>
    <xf numFmtId="16" fontId="31" fillId="3" borderId="0" xfId="0" applyNumberFormat="1" applyFont="1" applyFill="1" applyProtection="1"/>
    <xf numFmtId="0" fontId="31" fillId="3" borderId="0" xfId="0" applyFont="1" applyFill="1" applyProtection="1"/>
    <xf numFmtId="49" fontId="31" fillId="3" borderId="1" xfId="0" applyNumberFormat="1" applyFont="1" applyFill="1" applyBorder="1" applyProtection="1"/>
    <xf numFmtId="0" fontId="0" fillId="0" borderId="1" xfId="0" applyBorder="1" applyAlignment="1" applyProtection="1">
      <alignment vertical="center"/>
    </xf>
    <xf numFmtId="0" fontId="18" fillId="0" borderId="0" xfId="0" applyFont="1" applyAlignment="1" applyProtection="1">
      <alignment horizontal="center" wrapText="1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3" borderId="0" xfId="0" applyFill="1" applyProtection="1">
      <protection locked="0"/>
    </xf>
    <xf numFmtId="0" fontId="0" fillId="0" borderId="18" xfId="0" applyBorder="1" applyAlignment="1" applyProtection="1">
      <alignment vertical="center"/>
    </xf>
    <xf numFmtId="0" fontId="31" fillId="0" borderId="19" xfId="0" applyFont="1" applyBorder="1" applyAlignment="1" applyProtection="1">
      <alignment horizontal="right"/>
    </xf>
    <xf numFmtId="1" fontId="0" fillId="4" borderId="1" xfId="0" applyNumberFormat="1" applyFill="1" applyBorder="1" applyAlignment="1" applyProtection="1">
      <alignment vertical="center"/>
    </xf>
    <xf numFmtId="0" fontId="34" fillId="0" borderId="0" xfId="0" applyFont="1" applyAlignment="1" applyProtection="1">
      <alignment horizontal="right"/>
    </xf>
    <xf numFmtId="0" fontId="0" fillId="0" borderId="1" xfId="0" applyFill="1" applyBorder="1" applyAlignment="1" applyProtection="1">
      <alignment vertical="center"/>
    </xf>
    <xf numFmtId="0" fontId="0" fillId="0" borderId="17" xfId="0" applyBorder="1" applyAlignment="1" applyProtection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14" fontId="0" fillId="0" borderId="0" xfId="0" applyNumberFormat="1" applyProtection="1"/>
    <xf numFmtId="1" fontId="0" fillId="0" borderId="0" xfId="0" applyNumberFormat="1" applyProtection="1"/>
    <xf numFmtId="0" fontId="34" fillId="0" borderId="0" xfId="0" applyFont="1" applyProtection="1"/>
    <xf numFmtId="49" fontId="34" fillId="0" borderId="14" xfId="0" applyNumberFormat="1" applyFont="1" applyBorder="1" applyProtection="1"/>
    <xf numFmtId="49" fontId="34" fillId="0" borderId="0" xfId="0" applyNumberFormat="1" applyFont="1" applyProtection="1"/>
    <xf numFmtId="0" fontId="32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3" borderId="19" xfId="0" applyNumberFormat="1" applyFill="1" applyBorder="1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166" fontId="0" fillId="3" borderId="1" xfId="0" applyNumberFormat="1" applyFill="1" applyBorder="1" applyAlignment="1" applyProtection="1">
      <alignment vertical="center"/>
      <protection locked="0"/>
    </xf>
    <xf numFmtId="49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33" fillId="3" borderId="1" xfId="0" applyFon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 vertical="center"/>
      <protection locked="0"/>
    </xf>
    <xf numFmtId="1" fontId="0" fillId="3" borderId="18" xfId="0" applyNumberFormat="1" applyFill="1" applyBorder="1" applyAlignment="1" applyProtection="1">
      <alignment vertical="center"/>
      <protection locked="0"/>
    </xf>
    <xf numFmtId="164" fontId="18" fillId="4" borderId="0" xfId="0" applyNumberFormat="1" applyFont="1" applyFill="1" applyBorder="1" applyProtection="1"/>
    <xf numFmtId="0" fontId="0" fillId="3" borderId="1" xfId="0" applyFill="1" applyBorder="1" applyAlignment="1" applyProtection="1">
      <alignment vertical="center"/>
    </xf>
    <xf numFmtId="164" fontId="22" fillId="0" borderId="0" xfId="0" applyNumberFormat="1" applyFont="1" applyBorder="1" applyAlignment="1" applyProtection="1">
      <alignment horizontal="center"/>
    </xf>
    <xf numFmtId="49" fontId="32" fillId="0" borderId="6" xfId="0" applyNumberFormat="1" applyFont="1" applyBorder="1" applyAlignment="1" applyProtection="1">
      <alignment horizontal="center"/>
    </xf>
    <xf numFmtId="49" fontId="32" fillId="0" borderId="7" xfId="0" applyNumberFormat="1" applyFon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64" fontId="0" fillId="0" borderId="6" xfId="0" applyNumberFormat="1" applyFont="1" applyBorder="1" applyAlignment="1" applyProtection="1">
      <alignment horizontal="center"/>
    </xf>
    <xf numFmtId="164" fontId="0" fillId="0" borderId="7" xfId="0" applyNumberFormat="1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5" xfId="0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0" fillId="0" borderId="0" xfId="0" applyFont="1" applyAlignment="1">
      <alignment horizontal="right" vertical="top"/>
    </xf>
  </cellXfs>
  <cellStyles count="1">
    <cellStyle name="Normal" xfId="0" builtinId="0"/>
  </cellStyles>
  <dxfs count="1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1608919697474"/>
          <c:y val="8.987952106808016E-3"/>
          <c:w val="0.85507397650940631"/>
          <c:h val="0.86409821891066663"/>
        </c:manualLayout>
      </c:layout>
      <c:scatterChart>
        <c:scatterStyle val="lineMarker"/>
        <c:varyColors val="0"/>
        <c:ser>
          <c:idx val="0"/>
          <c:order val="0"/>
          <c:tx>
            <c:v>ramp weight</c:v>
          </c:tx>
          <c:marker>
            <c:symbol val="circle"/>
            <c:size val="3"/>
            <c:spPr>
              <a:solidFill>
                <a:srgbClr val="FF0000"/>
              </a:solidFill>
              <a:ln w="34925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Ramp weight </a:t>
                    </a:r>
                    <a:fld id="{C1DF3DC3-0972-D449-9832-3A5339936DE9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'Form N102NS'!$E$29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'Form N102NS'!$D$29</c:f>
              <c:numCache>
                <c:formatCode>General</c:formatCode>
                <c:ptCount val="1"/>
                <c:pt idx="0">
                  <c:v>11299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9C-F648-8083-372D0AED5C58}"/>
            </c:ext>
          </c:extLst>
        </c:ser>
        <c:ser>
          <c:idx val="1"/>
          <c:order val="1"/>
          <c:tx>
            <c:v>TOW to LW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dPt>
            <c:idx val="1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2-A79C-F648-8083-372D0AED5C58}"/>
              </c:ext>
            </c:extLst>
          </c:dPt>
          <c:dLbls>
            <c:dLbl>
              <c:idx val="0"/>
              <c:layout>
                <c:manualLayout>
                  <c:x val="-0.29897937408478481"/>
                  <c:y val="-6.699690337147400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TOW </a:t>
                    </a:r>
                    <a:fld id="{A597F9E8-998B-304A-8C25-5EA27CDB3968}" type="YVALUE">
                      <a:rPr lang="en-US"/>
                      <a:pPr>
                        <a:defRPr/>
                      </a:pPr>
                      <a:t>[Y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18095322192545"/>
                      <c:h val="4.147108318694246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9C-F648-8083-372D0AED5C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Landing </a:t>
                    </a:r>
                    <a:fld id="{232F48B6-4645-FD4E-8C64-4BA6439CEFC9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('Form N102NS'!$E$31,'Form N102NS'!$E$39)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('Form N102NS'!$D$31,'Form N102NS'!$D$39)</c:f>
              <c:numCache>
                <c:formatCode>General</c:formatCode>
                <c:ptCount val="2"/>
                <c:pt idx="0">
                  <c:v>11299</c:v>
                </c:pt>
                <c:pt idx="1">
                  <c:v>11299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9C-F648-8083-372D0AED5C58}"/>
            </c:ext>
          </c:extLst>
        </c:ser>
        <c:ser>
          <c:idx val="2"/>
          <c:order val="2"/>
          <c:tx>
            <c:v>ZFW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ZFW </a:t>
                    </a:r>
                    <a:fld id="{6121DB24-C02B-A444-A933-0BA65960476F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'Form N102NS'!$E$27</c:f>
              <c:numCache>
                <c:formatCode>General</c:formatCode>
                <c:ptCount val="1"/>
                <c:pt idx="0">
                  <c:v>263.13020975307546</c:v>
                </c:pt>
              </c:numCache>
            </c:numRef>
          </c:xVal>
          <c:yVal>
            <c:numRef>
              <c:f>'Form N102NS'!$D$27</c:f>
              <c:numCache>
                <c:formatCode>General</c:formatCode>
                <c:ptCount val="1"/>
                <c:pt idx="0">
                  <c:v>11299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9C-F648-8083-372D0AED5C58}"/>
            </c:ext>
          </c:extLst>
        </c:ser>
        <c:ser>
          <c:idx val="3"/>
          <c:order val="3"/>
          <c:tx>
            <c:v>cgenvelope</c:v>
          </c:tx>
          <c:spPr>
            <a:ln>
              <a:solidFill>
                <a:srgbClr val="00B050"/>
              </a:solidFill>
            </a:ln>
          </c:spPr>
          <c:xVal>
            <c:numRef>
              <c:f>DATA!$I$4:$I$9</c:f>
              <c:numCache>
                <c:formatCode>General</c:formatCode>
                <c:ptCount val="6"/>
                <c:pt idx="0">
                  <c:v>260.79000000000002</c:v>
                </c:pt>
                <c:pt idx="1">
                  <c:v>260.79000000000002</c:v>
                </c:pt>
                <c:pt idx="2">
                  <c:v>263.95999999999998</c:v>
                </c:pt>
                <c:pt idx="3">
                  <c:v>274.3</c:v>
                </c:pt>
                <c:pt idx="4">
                  <c:v>274.3</c:v>
                </c:pt>
                <c:pt idx="5">
                  <c:v>274.3</c:v>
                </c:pt>
              </c:numCache>
            </c:numRef>
          </c:xVal>
          <c:yVal>
            <c:numRef>
              <c:f>DATA!$H$4:$H$9</c:f>
              <c:numCache>
                <c:formatCode>General</c:formatCode>
                <c:ptCount val="6"/>
                <c:pt idx="0">
                  <c:v>9000</c:v>
                </c:pt>
                <c:pt idx="1">
                  <c:v>13200</c:v>
                </c:pt>
                <c:pt idx="2">
                  <c:v>16300</c:v>
                </c:pt>
                <c:pt idx="3">
                  <c:v>16300</c:v>
                </c:pt>
                <c:pt idx="4">
                  <c:v>13200</c:v>
                </c:pt>
                <c:pt idx="5">
                  <c:v>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9C-F648-8083-372D0AED5C58}"/>
            </c:ext>
          </c:extLst>
        </c:ser>
        <c:ser>
          <c:idx val="4"/>
          <c:order val="4"/>
          <c:tx>
            <c:v>Max ZFW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0.11458791136827341"/>
                  <c:y val="-6.736757232731091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</a:t>
                    </a:r>
                  </a:p>
                  <a:p>
                    <a:pPr>
                      <a:defRPr sz="600"/>
                    </a:pPr>
                    <a:r>
                      <a:rPr lang="en-US" sz="600"/>
                      <a:t> ZFW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65565415814121E-2"/>
                      <c:h val="6.01481025684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(DATA!$M$7,DATA!$N$7)</c:f>
              <c:numCache>
                <c:formatCode>General</c:formatCode>
                <c:ptCount val="2"/>
                <c:pt idx="0">
                  <c:v>260.79000000000002</c:v>
                </c:pt>
                <c:pt idx="1">
                  <c:v>274.3</c:v>
                </c:pt>
              </c:numCache>
            </c:numRef>
          </c:xVal>
          <c:yVal>
            <c:numRef>
              <c:f>(DATA!$L$7,DATA!$L$7)</c:f>
              <c:numCache>
                <c:formatCode>General</c:formatCode>
                <c:ptCount val="2"/>
                <c:pt idx="0">
                  <c:v>13000</c:v>
                </c:pt>
                <c:pt idx="1">
                  <c:v>13000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79C-F648-8083-372D0AED5C58}"/>
            </c:ext>
          </c:extLst>
        </c:ser>
        <c:ser>
          <c:idx val="5"/>
          <c:order val="5"/>
          <c:tx>
            <c:v>MAX Land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0.17742644340893943"/>
                  <c:y val="-2.24558574424369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</a:t>
                    </a:r>
                    <a:r>
                      <a:rPr lang="en-US" sz="600" baseline="0"/>
                      <a:t> Land</a:t>
                    </a:r>
                    <a:endParaRPr lang="en-US" sz="6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9C-F648-8083-372D0AED5C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(DATA!$M$6,DATA!$N$6)</c:f>
              <c:numCache>
                <c:formatCode>General</c:formatCode>
                <c:ptCount val="2"/>
                <c:pt idx="0">
                  <c:v>263.24</c:v>
                </c:pt>
                <c:pt idx="1">
                  <c:v>274.3</c:v>
                </c:pt>
              </c:numCache>
            </c:numRef>
          </c:xVal>
          <c:yVal>
            <c:numRef>
              <c:f>(DATA!$L$6,DATA!$L$6)</c:f>
              <c:numCache>
                <c:formatCode>General</c:formatCode>
                <c:ptCount val="2"/>
                <c:pt idx="0">
                  <c:v>15700</c:v>
                </c:pt>
                <c:pt idx="1">
                  <c:v>15700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79C-F648-8083-372D0AED5C58}"/>
            </c:ext>
          </c:extLst>
        </c:ser>
        <c:ser>
          <c:idx val="6"/>
          <c:order val="6"/>
          <c:tx>
            <c:v>MAX TOW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C-F648-8083-372D0AED5C58}"/>
                </c:ext>
              </c:extLst>
            </c:dLbl>
            <c:dLbl>
              <c:idx val="1"/>
              <c:layout>
                <c:manualLayout>
                  <c:x val="-0.64686724159509168"/>
                  <c:y val="4.49117148848738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MAX TOW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(DATA!$M$5,DATA!$N$5)</c:f>
              <c:numCache>
                <c:formatCode>General</c:formatCode>
                <c:ptCount val="2"/>
                <c:pt idx="0">
                  <c:v>263.95999999999998</c:v>
                </c:pt>
                <c:pt idx="1">
                  <c:v>274.3</c:v>
                </c:pt>
              </c:numCache>
            </c:numRef>
          </c:xVal>
          <c:yVal>
            <c:numRef>
              <c:f>(DATA!$L$5,DATA!$L$5)</c:f>
              <c:numCache>
                <c:formatCode>General</c:formatCode>
                <c:ptCount val="2"/>
                <c:pt idx="0">
                  <c:v>16300</c:v>
                </c:pt>
                <c:pt idx="1">
                  <c:v>16300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79C-F648-8083-372D0AED5C58}"/>
            </c:ext>
          </c:extLst>
        </c:ser>
        <c:ser>
          <c:idx val="7"/>
          <c:order val="7"/>
          <c:tx>
            <c:v>MAX Ramp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 Ramp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(DATA!$M$4,DATA!$N$4)</c:f>
              <c:numCache>
                <c:formatCode>General</c:formatCode>
                <c:ptCount val="2"/>
                <c:pt idx="0">
                  <c:v>263.97000000000003</c:v>
                </c:pt>
                <c:pt idx="1">
                  <c:v>274.3</c:v>
                </c:pt>
              </c:numCache>
            </c:numRef>
          </c:xVal>
          <c:yVal>
            <c:numRef>
              <c:f>(DATA!$L$4,DATA!$L$4)</c:f>
              <c:numCache>
                <c:formatCode>General</c:formatCode>
                <c:ptCount val="2"/>
                <c:pt idx="0">
                  <c:v>16500</c:v>
                </c:pt>
                <c:pt idx="1">
                  <c:v>16500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79C-F648-8083-372D0AED5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386992"/>
        <c:axId val="1"/>
      </c:scatterChart>
      <c:valAx>
        <c:axId val="1614386992"/>
        <c:scaling>
          <c:orientation val="minMax"/>
          <c:max val="275"/>
          <c:min val="259"/>
        </c:scaling>
        <c:delete val="0"/>
        <c:axPos val="b"/>
        <c:majorGridlines>
          <c:spPr>
            <a:ln w="3175">
              <a:solidFill>
                <a:srgbClr val="000000">
                  <a:alpha val="36000"/>
                </a:srgb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3200"/>
        <c:crossBetween val="midCat"/>
        <c:majorUnit val="1"/>
        <c:minorUnit val="1"/>
      </c:valAx>
      <c:valAx>
        <c:axId val="1"/>
        <c:scaling>
          <c:orientation val="minMax"/>
          <c:max val="16900"/>
          <c:min val="8900"/>
        </c:scaling>
        <c:delete val="0"/>
        <c:axPos val="l"/>
        <c:majorGridlines>
          <c:spPr>
            <a:ln w="3175">
              <a:solidFill>
                <a:srgbClr val="000000">
                  <a:alpha val="33000"/>
                </a:srgb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386992"/>
        <c:crossesAt val="31"/>
        <c:crossBetween val="midCat"/>
        <c:majorUnit val="200"/>
        <c:minorUnit val="8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606073</xdr:colOff>
      <xdr:row>1</xdr:row>
      <xdr:rowOff>79784</xdr:rowOff>
    </xdr:from>
    <xdr:to>
      <xdr:col>9</xdr:col>
      <xdr:colOff>103837</xdr:colOff>
      <xdr:row>28</xdr:row>
      <xdr:rowOff>141111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F4577C-F40E-4E43-86C6-7072CA1E7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120431</xdr:colOff>
      <xdr:row>1</xdr:row>
      <xdr:rowOff>0</xdr:rowOff>
    </xdr:from>
    <xdr:to>
      <xdr:col>4</xdr:col>
      <xdr:colOff>194441</xdr:colOff>
      <xdr:row>20</xdr:row>
      <xdr:rowOff>169730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9F8507-B17D-024A-8F0E-B6B91FE9B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6810" y="0"/>
          <a:ext cx="774700" cy="4156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eoffhatcher/Documents/Aviation/Tri%20State%20Charter/TSC%20W&amp;B/graph%20w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 Sheet"/>
      <sheetName val="Weight &amp; Balance"/>
      <sheetName val="113GL Data"/>
    </sheetNames>
    <sheetDataSet>
      <sheetData sheetId="0"/>
      <sheetData sheetId="1">
        <row r="36">
          <cell r="B36">
            <v>6515</v>
          </cell>
          <cell r="D36">
            <v>1040.5654</v>
          </cell>
        </row>
        <row r="38">
          <cell r="B38">
            <v>7127</v>
          </cell>
          <cell r="D38">
            <v>1139.7094</v>
          </cell>
        </row>
        <row r="55">
          <cell r="I55"/>
        </row>
        <row r="57">
          <cell r="I57"/>
        </row>
        <row r="60">
          <cell r="I60" t="str">
            <v> Start</v>
          </cell>
        </row>
        <row r="61">
          <cell r="I61" t="str">
            <v>Fuel Used: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179C-3122-9149-9138-792B94C5797C}">
  <dimension ref="A1:I76"/>
  <sheetViews>
    <sheetView zoomScaleNormal="100" workbookViewId="0">
      <selection activeCell="B1" sqref="B1"/>
    </sheetView>
  </sheetViews>
  <sheetFormatPr baseColWidth="10" defaultColWidth="10.83203125" defaultRowHeight="16"/>
  <cols>
    <col min="1" max="1" width="13.83203125" style="31" customWidth="1"/>
    <col min="2" max="2" width="6.5" style="143" customWidth="1"/>
    <col min="3" max="3" width="9.83203125" style="1" customWidth="1"/>
    <col min="4" max="4" width="10.6640625" style="1" customWidth="1"/>
    <col min="5" max="5" width="10" style="1" customWidth="1"/>
    <col min="6" max="6" width="8.5" style="1" customWidth="1"/>
    <col min="7" max="7" width="7.33203125" style="1" customWidth="1"/>
    <col min="8" max="8" width="6.83203125" style="1" customWidth="1"/>
    <col min="9" max="16384" width="10.83203125" style="1"/>
  </cols>
  <sheetData>
    <row r="1" spans="1:6" ht="21">
      <c r="B1" s="137" t="s">
        <v>170</v>
      </c>
    </row>
    <row r="3" spans="1:6" s="132" customFormat="1">
      <c r="A3" s="138" t="s">
        <v>89</v>
      </c>
      <c r="B3" s="146"/>
      <c r="C3" s="1"/>
      <c r="D3" s="1"/>
      <c r="E3" s="1"/>
      <c r="F3" s="1"/>
    </row>
    <row r="4" spans="1:6" s="118" customFormat="1">
      <c r="A4" s="139" t="s">
        <v>90</v>
      </c>
      <c r="B4" s="147"/>
      <c r="C4" s="1"/>
      <c r="D4" s="1"/>
      <c r="E4" s="1"/>
      <c r="F4" s="1"/>
    </row>
    <row r="5" spans="1:6">
      <c r="A5" s="31" t="s">
        <v>91</v>
      </c>
      <c r="B5" s="130"/>
    </row>
    <row r="6" spans="1:6">
      <c r="A6" s="31" t="s">
        <v>92</v>
      </c>
      <c r="B6" s="148"/>
    </row>
    <row r="7" spans="1:6">
      <c r="A7" s="31" t="s">
        <v>93</v>
      </c>
      <c r="B7" s="149"/>
    </row>
    <row r="8" spans="1:6" ht="17">
      <c r="A8" s="31" t="s">
        <v>94</v>
      </c>
      <c r="B8" s="150"/>
    </row>
    <row r="9" spans="1:6">
      <c r="A9" s="31" t="s">
        <v>95</v>
      </c>
      <c r="B9" s="130"/>
    </row>
    <row r="10" spans="1:6">
      <c r="A10" s="139" t="s">
        <v>97</v>
      </c>
      <c r="B10" s="151"/>
    </row>
    <row r="11" spans="1:6">
      <c r="A11" s="31" t="s">
        <v>99</v>
      </c>
      <c r="B11" s="130"/>
      <c r="C11" s="118"/>
      <c r="D11" s="118"/>
      <c r="E11" s="118"/>
      <c r="F11" s="118"/>
    </row>
    <row r="12" spans="1:6">
      <c r="A12" s="139" t="s">
        <v>142</v>
      </c>
      <c r="B12" s="145">
        <v>250</v>
      </c>
    </row>
    <row r="13" spans="1:6" ht="17" thickBot="1">
      <c r="A13" s="139" t="s">
        <v>143</v>
      </c>
      <c r="B13" s="152">
        <v>250</v>
      </c>
    </row>
    <row r="14" spans="1:6" ht="17" thickBot="1">
      <c r="A14" s="158" t="s">
        <v>160</v>
      </c>
      <c r="B14" s="159"/>
    </row>
    <row r="15" spans="1:6">
      <c r="A15" s="125" t="s">
        <v>12</v>
      </c>
      <c r="B15" s="144"/>
    </row>
    <row r="16" spans="1:6" s="119" customFormat="1">
      <c r="A16" s="95" t="s">
        <v>30</v>
      </c>
      <c r="B16" s="145"/>
    </row>
    <row r="17" spans="1:9">
      <c r="A17" s="95" t="s">
        <v>31</v>
      </c>
      <c r="B17" s="145"/>
    </row>
    <row r="18" spans="1:9" s="118" customFormat="1">
      <c r="A18" s="95" t="s">
        <v>32</v>
      </c>
      <c r="B18" s="145"/>
    </row>
    <row r="19" spans="1:9">
      <c r="A19" s="95" t="s">
        <v>33</v>
      </c>
      <c r="B19" s="145"/>
    </row>
    <row r="20" spans="1:9">
      <c r="A20" s="95" t="s">
        <v>34</v>
      </c>
      <c r="B20" s="145"/>
    </row>
    <row r="21" spans="1:9">
      <c r="A21" s="95" t="s">
        <v>35</v>
      </c>
      <c r="B21" s="145"/>
    </row>
    <row r="22" spans="1:9">
      <c r="A22" s="95" t="s">
        <v>36</v>
      </c>
      <c r="B22" s="145"/>
    </row>
    <row r="23" spans="1:9">
      <c r="A23" s="95" t="s">
        <v>37</v>
      </c>
      <c r="B23" s="145"/>
      <c r="D23" s="1" t="s">
        <v>96</v>
      </c>
    </row>
    <row r="24" spans="1:9">
      <c r="A24" s="95" t="s">
        <v>144</v>
      </c>
      <c r="B24" s="145"/>
      <c r="D24" s="1" t="s">
        <v>98</v>
      </c>
      <c r="F24" s="1">
        <f>'Form N102NS'!D14</f>
        <v>11299</v>
      </c>
    </row>
    <row r="25" spans="1:9">
      <c r="A25" s="139" t="s">
        <v>145</v>
      </c>
      <c r="B25" s="145"/>
      <c r="D25" s="1" t="s">
        <v>100</v>
      </c>
      <c r="F25" s="1">
        <f>13000-F24</f>
        <v>1701</v>
      </c>
      <c r="G25" s="1" t="s">
        <v>101</v>
      </c>
    </row>
    <row r="26" spans="1:9" ht="17" thickBot="1">
      <c r="A26" s="31" t="s">
        <v>111</v>
      </c>
      <c r="B26" s="124">
        <f>'Graph N102NS'!C17</f>
        <v>0</v>
      </c>
      <c r="D26" s="1" t="s">
        <v>102</v>
      </c>
      <c r="F26" s="1">
        <f>16500-F24</f>
        <v>5201</v>
      </c>
    </row>
    <row r="27" spans="1:9" ht="22" thickBot="1">
      <c r="A27" s="156" t="s">
        <v>158</v>
      </c>
      <c r="B27" s="157"/>
      <c r="D27" s="1" t="s">
        <v>104</v>
      </c>
      <c r="F27" s="1">
        <f>F26-F29</f>
        <v>289</v>
      </c>
    </row>
    <row r="28" spans="1:9">
      <c r="A28" s="31" t="s">
        <v>146</v>
      </c>
      <c r="B28" s="131"/>
      <c r="D28" s="1" t="s">
        <v>106</v>
      </c>
      <c r="F28" s="1" t="str">
        <f>D30</f>
        <v>max fuel @ ZFW</v>
      </c>
      <c r="H28" s="119"/>
      <c r="I28" s="119"/>
    </row>
    <row r="29" spans="1:9">
      <c r="A29" s="31" t="s">
        <v>103</v>
      </c>
      <c r="B29" s="130"/>
      <c r="D29" s="1" t="s">
        <v>108</v>
      </c>
      <c r="F29" s="1">
        <v>4912</v>
      </c>
    </row>
    <row r="30" spans="1:9">
      <c r="A30" s="31" t="s">
        <v>105</v>
      </c>
      <c r="B30" s="130"/>
      <c r="D30" s="1" t="s">
        <v>109</v>
      </c>
      <c r="F30" s="1">
        <f>F26-F25</f>
        <v>3500</v>
      </c>
      <c r="G30" s="1">
        <f>F30-2863</f>
        <v>637</v>
      </c>
      <c r="H30" s="118"/>
      <c r="I30" s="118"/>
    </row>
    <row r="31" spans="1:9">
      <c r="A31" s="31" t="s">
        <v>107</v>
      </c>
      <c r="B31" s="130"/>
    </row>
    <row r="32" spans="1:9" ht="17" thickBot="1">
      <c r="A32" s="31" t="s">
        <v>84</v>
      </c>
      <c r="B32" s="130"/>
      <c r="D32" s="118"/>
      <c r="E32" s="135" t="s">
        <v>150</v>
      </c>
      <c r="F32" s="136"/>
      <c r="G32" s="118"/>
      <c r="H32" s="118"/>
    </row>
    <row r="33" spans="1:9">
      <c r="A33" s="31" t="s">
        <v>159</v>
      </c>
      <c r="B33" s="140">
        <f>SUM(B28:B32)</f>
        <v>0</v>
      </c>
      <c r="D33" s="127" t="s">
        <v>151</v>
      </c>
      <c r="E33" s="123"/>
    </row>
    <row r="34" spans="1:9">
      <c r="A34" s="31" t="s">
        <v>114</v>
      </c>
      <c r="B34" s="130">
        <v>2863</v>
      </c>
      <c r="D34" s="127" t="s">
        <v>152</v>
      </c>
      <c r="E34" s="1">
        <f>B33</f>
        <v>0</v>
      </c>
    </row>
    <row r="35" spans="1:9">
      <c r="A35" s="31" t="s">
        <v>115</v>
      </c>
      <c r="B35" s="126">
        <f>B33-B34</f>
        <v>-2863</v>
      </c>
      <c r="D35" s="127" t="s">
        <v>154</v>
      </c>
      <c r="E35" s="123"/>
      <c r="F35" s="1">
        <f>E34-E33</f>
        <v>0</v>
      </c>
      <c r="G35" s="133">
        <f>F35/6.7</f>
        <v>0</v>
      </c>
      <c r="H35" s="133">
        <f>F35/13.4</f>
        <v>0</v>
      </c>
      <c r="I35" s="134" t="s">
        <v>153</v>
      </c>
    </row>
    <row r="36" spans="1:9">
      <c r="A36" s="31" t="s">
        <v>116</v>
      </c>
      <c r="B36" s="126">
        <f>B35/6.7</f>
        <v>-427.31343283582089</v>
      </c>
      <c r="D36" s="127" t="s">
        <v>155</v>
      </c>
      <c r="E36" s="1">
        <f>SUM(E33,E35*6.7)</f>
        <v>0</v>
      </c>
      <c r="G36" s="133"/>
      <c r="H36" s="134"/>
    </row>
    <row r="37" spans="1:9">
      <c r="A37" s="139" t="s">
        <v>147</v>
      </c>
      <c r="B37" s="126">
        <f>SUM(B30,B31,B32)</f>
        <v>0</v>
      </c>
      <c r="D37" s="127" t="s">
        <v>147</v>
      </c>
      <c r="E37" s="1">
        <f>SUM(E36,-B28,-B29)</f>
        <v>0</v>
      </c>
      <c r="F37" s="123"/>
      <c r="G37" s="133" t="s">
        <v>151</v>
      </c>
      <c r="H37" s="134"/>
    </row>
    <row r="38" spans="1:9">
      <c r="A38" s="11"/>
      <c r="B38" s="128"/>
      <c r="D38" s="127" t="s">
        <v>161</v>
      </c>
      <c r="E38" s="123"/>
      <c r="H38" s="134"/>
    </row>
    <row r="39" spans="1:9">
      <c r="A39" s="31" t="s">
        <v>110</v>
      </c>
      <c r="B39" s="140">
        <f>$F$26-B33</f>
        <v>5201</v>
      </c>
      <c r="D39" s="127" t="s">
        <v>163</v>
      </c>
      <c r="E39" s="123"/>
    </row>
    <row r="40" spans="1:9">
      <c r="A40" s="31" t="s">
        <v>112</v>
      </c>
      <c r="B40" s="140">
        <f>IF(B33&lt;$F$30,$F$25-B26,$F$25-B26-(B33-$F$30))</f>
        <v>1701</v>
      </c>
      <c r="D40" s="127" t="s">
        <v>162</v>
      </c>
      <c r="E40" s="1">
        <f>SUM(E38:E39)</f>
        <v>0</v>
      </c>
    </row>
    <row r="41" spans="1:9">
      <c r="A41" s="31" t="s">
        <v>113</v>
      </c>
      <c r="B41" s="140">
        <f>IF($F$26-B26&gt;4912,4912-B33,$F$26-B26-B33)</f>
        <v>4912</v>
      </c>
      <c r="D41" s="134" t="s">
        <v>156</v>
      </c>
      <c r="E41" s="123"/>
      <c r="F41" s="1">
        <f>SUM(E40,-F37)</f>
        <v>0</v>
      </c>
      <c r="G41" s="133">
        <f>F41/6.7</f>
        <v>0</v>
      </c>
      <c r="H41" s="133">
        <f>F41/13.4</f>
        <v>0</v>
      </c>
      <c r="I41" s="134" t="s">
        <v>153</v>
      </c>
    </row>
    <row r="42" spans="1:9">
      <c r="A42" s="31" t="s">
        <v>108</v>
      </c>
      <c r="B42" s="141" t="str">
        <f>IF($F$26-B26&gt;$F$29,"4912",$F$26-B26)</f>
        <v>4912</v>
      </c>
      <c r="D42" s="127" t="s">
        <v>155</v>
      </c>
      <c r="E42" s="1">
        <f>SUM(F37,E41*6.7)</f>
        <v>0</v>
      </c>
      <c r="H42" s="31"/>
    </row>
    <row r="43" spans="1:9">
      <c r="B43" s="142"/>
      <c r="D43" s="127" t="s">
        <v>157</v>
      </c>
      <c r="E43" s="1">
        <f>SUM(E40-E38)</f>
        <v>0</v>
      </c>
    </row>
    <row r="44" spans="1:9">
      <c r="A44" s="31" t="s">
        <v>117</v>
      </c>
      <c r="B44" s="130"/>
    </row>
    <row r="45" spans="1:9">
      <c r="A45" s="31" t="s">
        <v>122</v>
      </c>
      <c r="B45" s="130"/>
    </row>
    <row r="46" spans="1:9" ht="16" customHeight="1">
      <c r="A46" s="120" t="s">
        <v>166</v>
      </c>
      <c r="B46" s="140">
        <f>'Graph N102NS'!C26</f>
        <v>11299</v>
      </c>
      <c r="C46" s="129" t="str">
        <f>IF((SUM(F24,B15:B25))&lt;13000,"ZFW is ok","ZFW Over Max ")</f>
        <v>ZFW is ok</v>
      </c>
      <c r="D46" s="122"/>
      <c r="E46" s="122"/>
    </row>
    <row r="47" spans="1:9" ht="18" customHeight="1">
      <c r="A47" s="31" t="s">
        <v>121</v>
      </c>
      <c r="B47" s="140">
        <v>16300</v>
      </c>
    </row>
    <row r="48" spans="1:9">
      <c r="A48" s="31" t="s">
        <v>42</v>
      </c>
      <c r="B48" s="140">
        <f>'Graph N102NS'!C30</f>
        <v>11299</v>
      </c>
      <c r="C48" s="129" t="str">
        <f>IF((B48&lt;B47),"Takeoff Weight is ok","Over Max Takeoff Weight ")</f>
        <v>Takeoff Weight is ok</v>
      </c>
      <c r="D48" s="121"/>
      <c r="E48" s="121"/>
    </row>
    <row r="49" spans="1:7">
      <c r="A49" s="31" t="s">
        <v>165</v>
      </c>
      <c r="B49" s="140">
        <f>'Graph N102NS'!C31</f>
        <v>11299</v>
      </c>
      <c r="C49" s="129" t="str">
        <f>IF(B46&lt;15700,"Landing Weight is ok","Landing Weight is Over Max ")</f>
        <v>Landing Weight is ok</v>
      </c>
      <c r="D49" s="122"/>
      <c r="E49" s="122"/>
    </row>
    <row r="50" spans="1:7">
      <c r="A50" s="31" t="s">
        <v>77</v>
      </c>
      <c r="B50" s="116"/>
      <c r="C50" s="117" t="s">
        <v>164</v>
      </c>
      <c r="D50" s="117" t="s">
        <v>46</v>
      </c>
      <c r="E50" s="117" t="s">
        <v>45</v>
      </c>
      <c r="F50" s="155" t="e">
        <f>IF(AND(D51&lt;E51,D51&gt;C51),"Takeoff CG is ok","Takeoff CG out ")</f>
        <v>#N/A</v>
      </c>
      <c r="G50" s="155"/>
    </row>
    <row r="51" spans="1:7">
      <c r="B51" s="116"/>
      <c r="C51" s="153">
        <f>'Graph N102NS'!B33</f>
        <v>260.79000000000002</v>
      </c>
      <c r="D51" s="153" t="e">
        <f>'Graph N102NS'!C33</f>
        <v>#N/A</v>
      </c>
      <c r="E51" s="153">
        <f>'Graph N102NS'!D33</f>
        <v>274.3</v>
      </c>
      <c r="F51" s="65"/>
    </row>
    <row r="52" spans="1:7">
      <c r="A52" s="31" t="s">
        <v>123</v>
      </c>
      <c r="B52" s="130">
        <v>20</v>
      </c>
    </row>
    <row r="53" spans="1:7">
      <c r="A53" s="31" t="s">
        <v>124</v>
      </c>
      <c r="B53" s="130"/>
    </row>
    <row r="54" spans="1:7">
      <c r="A54" s="31" t="s">
        <v>169</v>
      </c>
      <c r="B54" s="154"/>
    </row>
    <row r="55" spans="1:7">
      <c r="A55" s="31" t="s">
        <v>167</v>
      </c>
      <c r="B55" s="130"/>
    </row>
    <row r="56" spans="1:7">
      <c r="A56" s="31" t="s">
        <v>168</v>
      </c>
      <c r="B56" s="154">
        <f>((29.92-B59)*1000)+B55</f>
        <v>0</v>
      </c>
    </row>
    <row r="57" spans="1:7">
      <c r="A57" s="31" t="s">
        <v>118</v>
      </c>
      <c r="B57" s="130"/>
    </row>
    <row r="58" spans="1:7">
      <c r="A58" s="31" t="s">
        <v>119</v>
      </c>
      <c r="B58" s="130"/>
    </row>
    <row r="59" spans="1:7">
      <c r="A59" s="31" t="s">
        <v>120</v>
      </c>
      <c r="B59" s="130">
        <v>29.92</v>
      </c>
      <c r="C59" s="119"/>
      <c r="D59" s="119"/>
      <c r="E59" s="119"/>
      <c r="F59" s="119"/>
    </row>
    <row r="60" spans="1:7">
      <c r="A60" s="31" t="s">
        <v>125</v>
      </c>
      <c r="B60" s="130"/>
    </row>
    <row r="61" spans="1:7">
      <c r="A61" s="31" t="s">
        <v>126</v>
      </c>
      <c r="B61" s="130"/>
    </row>
    <row r="62" spans="1:7">
      <c r="A62" s="31" t="s">
        <v>127</v>
      </c>
      <c r="B62" s="130"/>
    </row>
    <row r="63" spans="1:7">
      <c r="A63" s="31" t="s">
        <v>128</v>
      </c>
      <c r="B63" s="130"/>
    </row>
    <row r="64" spans="1:7">
      <c r="A64" s="31" t="s">
        <v>129</v>
      </c>
      <c r="B64" s="130"/>
    </row>
    <row r="65" spans="1:2">
      <c r="A65" s="31" t="s">
        <v>130</v>
      </c>
      <c r="B65" s="130"/>
    </row>
    <row r="66" spans="1:2">
      <c r="A66" s="31" t="s">
        <v>131</v>
      </c>
      <c r="B66" s="130"/>
    </row>
    <row r="67" spans="1:2">
      <c r="A67" s="31" t="s">
        <v>132</v>
      </c>
      <c r="B67" s="130"/>
    </row>
    <row r="68" spans="1:2">
      <c r="A68" s="31" t="s">
        <v>133</v>
      </c>
      <c r="B68" s="130"/>
    </row>
    <row r="69" spans="1:2">
      <c r="A69" s="31" t="s">
        <v>134</v>
      </c>
      <c r="B69" s="130"/>
    </row>
    <row r="70" spans="1:2">
      <c r="A70" s="31" t="s">
        <v>135</v>
      </c>
      <c r="B70" s="130"/>
    </row>
    <row r="71" spans="1:2">
      <c r="A71" s="31" t="s">
        <v>136</v>
      </c>
      <c r="B71" s="130"/>
    </row>
    <row r="72" spans="1:2">
      <c r="A72" s="31" t="s">
        <v>137</v>
      </c>
      <c r="B72" s="130"/>
    </row>
    <row r="73" spans="1:2">
      <c r="A73" s="31" t="s">
        <v>138</v>
      </c>
      <c r="B73" s="130"/>
    </row>
    <row r="74" spans="1:2">
      <c r="A74" s="31" t="s">
        <v>139</v>
      </c>
      <c r="B74" s="130"/>
    </row>
    <row r="75" spans="1:2">
      <c r="A75" s="31" t="s">
        <v>140</v>
      </c>
      <c r="B75" s="130"/>
    </row>
    <row r="76" spans="1:2">
      <c r="A76" s="31" t="s">
        <v>141</v>
      </c>
      <c r="B76" s="130"/>
    </row>
  </sheetData>
  <sheetProtection selectLockedCells="1"/>
  <mergeCells count="3">
    <mergeCell ref="F50:G50"/>
    <mergeCell ref="A27:B27"/>
    <mergeCell ref="A14:B14"/>
  </mergeCells>
  <conditionalFormatting sqref="F50:F51">
    <cfRule type="containsText" dxfId="13" priority="5" operator="containsText" text="out">
      <formula>NOT(ISERROR(SEARCH("out",F50)))</formula>
    </cfRule>
  </conditionalFormatting>
  <conditionalFormatting sqref="C48:C49">
    <cfRule type="containsText" dxfId="12" priority="3" operator="containsText" text="over">
      <formula>NOT(ISERROR(SEARCH("over",C48)))</formula>
    </cfRule>
  </conditionalFormatting>
  <conditionalFormatting sqref="C46">
    <cfRule type="containsText" dxfId="11" priority="2" operator="containsText" text="over">
      <formula>NOT(ISERROR(SEARCH("over",C46)))</formula>
    </cfRule>
  </conditionalFormatting>
  <conditionalFormatting sqref="C49">
    <cfRule type="containsText" dxfId="10" priority="1" operator="containsText" text="over">
      <formula>NOT(ISERROR(SEARCH("over",C49)))</formula>
    </cfRule>
  </conditionalFormatting>
  <pageMargins left="0.7" right="0.7" top="0.75" bottom="0.75" header="0.3" footer="0.3"/>
  <pageSetup scale="97" orientation="portrait" horizontalDpi="0" verticalDpi="0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5B5D-EF05-BC4E-A36D-586F8F530FF4}">
  <dimension ref="B1:F33"/>
  <sheetViews>
    <sheetView zoomScale="115" workbookViewId="0">
      <selection activeCell="C23" sqref="C23"/>
    </sheetView>
  </sheetViews>
  <sheetFormatPr baseColWidth="10" defaultColWidth="10.83203125" defaultRowHeight="16"/>
  <cols>
    <col min="1" max="1" width="3.6640625" style="1" customWidth="1"/>
    <col min="2" max="2" width="11" style="97" customWidth="1"/>
    <col min="3" max="3" width="6.1640625" style="103" customWidth="1"/>
    <col min="4" max="4" width="9.1640625" style="1" customWidth="1"/>
    <col min="5" max="5" width="9.33203125" style="1" customWidth="1"/>
    <col min="6" max="6" width="8.1640625" style="1" customWidth="1"/>
    <col min="7" max="16384" width="10.83203125" style="1"/>
  </cols>
  <sheetData>
    <row r="1" spans="2:3">
      <c r="B1" s="97" t="s">
        <v>149</v>
      </c>
    </row>
    <row r="2" spans="2:3">
      <c r="B2" s="97" t="s">
        <v>79</v>
      </c>
      <c r="C2" s="113"/>
    </row>
    <row r="3" spans="2:3">
      <c r="B3" s="97" t="s">
        <v>47</v>
      </c>
      <c r="C3" s="114" t="s">
        <v>88</v>
      </c>
    </row>
    <row r="4" spans="2:3">
      <c r="B4" s="97" t="s">
        <v>75</v>
      </c>
      <c r="C4" s="114" t="s">
        <v>87</v>
      </c>
    </row>
    <row r="5" spans="2:3">
      <c r="B5" s="95" t="s">
        <v>12</v>
      </c>
      <c r="C5" s="115">
        <f>'Log N102NS'!B15</f>
        <v>0</v>
      </c>
    </row>
    <row r="6" spans="2:3">
      <c r="B6" s="95" t="s">
        <v>30</v>
      </c>
      <c r="C6" s="115">
        <f>'Log N102NS'!B16</f>
        <v>0</v>
      </c>
    </row>
    <row r="7" spans="2:3">
      <c r="B7" s="95" t="s">
        <v>31</v>
      </c>
      <c r="C7" s="115">
        <f>'Log N102NS'!B17</f>
        <v>0</v>
      </c>
    </row>
    <row r="8" spans="2:3">
      <c r="B8" s="95" t="s">
        <v>32</v>
      </c>
      <c r="C8" s="115">
        <f>'Log N102NS'!B18</f>
        <v>0</v>
      </c>
    </row>
    <row r="9" spans="2:3">
      <c r="B9" s="95" t="s">
        <v>33</v>
      </c>
      <c r="C9" s="115">
        <f>'Log N102NS'!B19</f>
        <v>0</v>
      </c>
    </row>
    <row r="10" spans="2:3">
      <c r="B10" s="95" t="s">
        <v>34</v>
      </c>
      <c r="C10" s="115">
        <f>'Log N102NS'!B20</f>
        <v>0</v>
      </c>
    </row>
    <row r="11" spans="2:3">
      <c r="B11" s="95" t="s">
        <v>35</v>
      </c>
      <c r="C11" s="115">
        <f>'Log N102NS'!B21</f>
        <v>0</v>
      </c>
    </row>
    <row r="12" spans="2:3">
      <c r="B12" s="95" t="s">
        <v>36</v>
      </c>
      <c r="C12" s="115">
        <f>'Log N102NS'!B22</f>
        <v>0</v>
      </c>
    </row>
    <row r="13" spans="2:3">
      <c r="B13" s="95" t="s">
        <v>37</v>
      </c>
      <c r="C13" s="115">
        <f>'Log N102NS'!B23</f>
        <v>0</v>
      </c>
    </row>
    <row r="14" spans="2:3">
      <c r="B14" s="95" t="s">
        <v>81</v>
      </c>
      <c r="C14" s="115">
        <f>'Log N102NS'!B24</f>
        <v>0</v>
      </c>
    </row>
    <row r="15" spans="2:3">
      <c r="B15" s="95"/>
      <c r="C15" s="110"/>
    </row>
    <row r="16" spans="2:3">
      <c r="B16" s="95" t="s">
        <v>80</v>
      </c>
      <c r="C16" s="115">
        <f>'Log N102NS'!B25</f>
        <v>0</v>
      </c>
    </row>
    <row r="17" spans="2:6">
      <c r="B17" s="97" t="s">
        <v>51</v>
      </c>
      <c r="C17" s="103">
        <f>SUM(C5:C16)</f>
        <v>0</v>
      </c>
    </row>
    <row r="18" spans="2:6">
      <c r="B18" s="96" t="s">
        <v>72</v>
      </c>
      <c r="C18" s="114">
        <f>'Log N102NS'!B29</f>
        <v>0</v>
      </c>
    </row>
    <row r="19" spans="2:6">
      <c r="B19" s="96" t="s">
        <v>73</v>
      </c>
      <c r="C19" s="114">
        <f>'Log N102NS'!B28</f>
        <v>0</v>
      </c>
    </row>
    <row r="20" spans="2:6">
      <c r="B20" s="96" t="s">
        <v>148</v>
      </c>
      <c r="C20" s="114">
        <f>'Log N102NS'!B30</f>
        <v>0</v>
      </c>
    </row>
    <row r="21" spans="2:6">
      <c r="B21" s="96" t="s">
        <v>74</v>
      </c>
      <c r="C21" s="114">
        <f>'Log N102NS'!B31</f>
        <v>0</v>
      </c>
    </row>
    <row r="22" spans="2:6">
      <c r="B22" s="96" t="s">
        <v>84</v>
      </c>
      <c r="C22" s="114">
        <f>'Log N102NS'!B32</f>
        <v>0</v>
      </c>
    </row>
    <row r="23" spans="2:6">
      <c r="B23" s="96" t="s">
        <v>83</v>
      </c>
      <c r="C23" s="109">
        <f>SUM(C18:C22)</f>
        <v>0</v>
      </c>
    </row>
    <row r="24" spans="2:6">
      <c r="B24" s="96" t="s">
        <v>85</v>
      </c>
      <c r="C24" s="114">
        <f>'Log N102NS'!B34</f>
        <v>2863</v>
      </c>
    </row>
    <row r="25" spans="2:6">
      <c r="B25" s="96" t="s">
        <v>86</v>
      </c>
      <c r="C25" s="109">
        <f>(C23-C24)/6.7</f>
        <v>-427.31343283582089</v>
      </c>
    </row>
    <row r="26" spans="2:6">
      <c r="B26" s="96" t="s">
        <v>56</v>
      </c>
      <c r="C26" s="102">
        <f>'Form N102NS'!D27</f>
        <v>11299</v>
      </c>
      <c r="D26" s="160" t="str">
        <f>IF('Form N102NS'!D27&lt;13000,"ZFW is ok","ZFW Over Max ")</f>
        <v>ZFW is ok</v>
      </c>
      <c r="E26" s="160"/>
    </row>
    <row r="27" spans="2:6">
      <c r="B27" s="96" t="s">
        <v>51</v>
      </c>
      <c r="C27" s="102">
        <f>'Form N102NS'!F50</f>
        <v>0</v>
      </c>
    </row>
    <row r="28" spans="2:6">
      <c r="B28" s="96" t="s">
        <v>55</v>
      </c>
      <c r="C28" s="102">
        <f>'Form N102NS'!D29</f>
        <v>11299</v>
      </c>
      <c r="D28" s="163" t="str">
        <f>IF((C28&lt;16500),"Ramp Weight is ok","Over Max Ramp Weight ")</f>
        <v>Ramp Weight is ok</v>
      </c>
      <c r="E28" s="164"/>
      <c r="F28" s="164"/>
    </row>
    <row r="29" spans="2:6">
      <c r="B29" s="97" t="s">
        <v>43</v>
      </c>
      <c r="C29" s="114">
        <v>16300</v>
      </c>
    </row>
    <row r="30" spans="2:6">
      <c r="B30" s="96" t="s">
        <v>42</v>
      </c>
      <c r="C30" s="102">
        <f>'Form N102NS'!D31</f>
        <v>11299</v>
      </c>
      <c r="D30" s="165" t="str">
        <f>IF((C30&lt;C29),"Takeoff Weight is ok","Over Max Takeoff Weight ")</f>
        <v>Takeoff Weight is ok</v>
      </c>
      <c r="E30" s="160"/>
      <c r="F30" s="160"/>
    </row>
    <row r="31" spans="2:6">
      <c r="B31" s="96" t="s">
        <v>76</v>
      </c>
      <c r="C31" s="102">
        <f>'Form N102NS'!D39</f>
        <v>11299</v>
      </c>
      <c r="D31" s="165" t="str">
        <f>IF('Form N102NS'!D39&lt;15700,"Landing Weight is ok","Landing Weight is Over Max ")</f>
        <v>Landing Weight is ok</v>
      </c>
      <c r="E31" s="160"/>
      <c r="F31" s="160"/>
    </row>
    <row r="32" spans="2:6" ht="18" thickBot="1">
      <c r="B32" s="106" t="s">
        <v>78</v>
      </c>
      <c r="C32" s="107" t="s">
        <v>77</v>
      </c>
      <c r="D32" s="108" t="s">
        <v>82</v>
      </c>
    </row>
    <row r="33" spans="2:6" ht="17" thickBot="1">
      <c r="B33" s="98">
        <f>'Form N102NS'!E44</f>
        <v>260.79000000000002</v>
      </c>
      <c r="C33" s="99" t="e">
        <f>'Form N102NS'!F44</f>
        <v>#N/A</v>
      </c>
      <c r="D33" s="55">
        <v>274.3</v>
      </c>
      <c r="E33" s="161" t="e">
        <f>IF(AND(C33&lt;D33,C33&gt;B33),"Takeoff CG is ok","Takeoff CG out ")</f>
        <v>#N/A</v>
      </c>
      <c r="F33" s="162"/>
    </row>
  </sheetData>
  <sheetProtection algorithmName="SHA-512" hashValue="M709EFUN1LH0E4IIlZwhoNjbYr8WVM8ohpKlVAA4qqWllTzTkIOqjUVJ3Zpes9XoAz1z0NiNxbpImkbYkD4I9Q==" saltValue="+fyoulYumybJ4x3PvwWtQg==" spinCount="100000" sheet="1" objects="1" scenarios="1" selectLockedCells="1"/>
  <mergeCells count="5">
    <mergeCell ref="D26:E26"/>
    <mergeCell ref="E33:F33"/>
    <mergeCell ref="D28:F28"/>
    <mergeCell ref="D30:F30"/>
    <mergeCell ref="D31:F31"/>
  </mergeCells>
  <conditionalFormatting sqref="E33">
    <cfRule type="containsText" dxfId="9" priority="5" operator="containsText" text="out">
      <formula>NOT(ISERROR(SEARCH("out",E33)))</formula>
    </cfRule>
  </conditionalFormatting>
  <conditionalFormatting sqref="D30">
    <cfRule type="containsText" dxfId="8" priority="4" operator="containsText" text="over">
      <formula>NOT(ISERROR(SEARCH("over",D30)))</formula>
    </cfRule>
  </conditionalFormatting>
  <conditionalFormatting sqref="D26">
    <cfRule type="containsText" dxfId="7" priority="3" operator="containsText" text="over">
      <formula>NOT(ISERROR(SEARCH("over",D26)))</formula>
    </cfRule>
  </conditionalFormatting>
  <conditionalFormatting sqref="D31">
    <cfRule type="containsText" dxfId="6" priority="2" operator="containsText" text="over">
      <formula>NOT(ISERROR(SEARCH("over",D31)))</formula>
    </cfRule>
  </conditionalFormatting>
  <conditionalFormatting sqref="D28">
    <cfRule type="containsText" dxfId="5" priority="1" operator="containsText" text="over">
      <formula>NOT(ISERROR(SEARCH("over",D28)))</formula>
    </cfRule>
  </conditionalFormatting>
  <pageMargins left="0.7" right="0.7" top="0.75" bottom="0.75" header="0.3" footer="0.3"/>
  <pageSetup orientation="portrait" horizontalDpi="0" verticalDpi="0"/>
  <ignoredErrors>
    <ignoredError sqref="C21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CF02-43C8-EF4D-9017-5197543BC55B}">
  <dimension ref="B2:P48"/>
  <sheetViews>
    <sheetView tabSelected="1" zoomScale="181" zoomScaleNormal="125" zoomScaleSheetLayoutView="150" zoomScalePageLayoutView="40" workbookViewId="0">
      <selection activeCell="B4" sqref="B4:G4"/>
    </sheetView>
  </sheetViews>
  <sheetFormatPr baseColWidth="10" defaultColWidth="10.83203125" defaultRowHeight="16"/>
  <cols>
    <col min="1" max="1" width="2.6640625" style="1" customWidth="1"/>
    <col min="2" max="2" width="3" style="1" customWidth="1"/>
    <col min="3" max="3" width="19.33203125" style="1" customWidth="1"/>
    <col min="4" max="4" width="5.33203125" style="2" customWidth="1"/>
    <col min="5" max="5" width="5.33203125" style="1" customWidth="1"/>
    <col min="6" max="8" width="5.5" style="1" customWidth="1"/>
    <col min="9" max="9" width="5.6640625" style="1" customWidth="1"/>
    <col min="10" max="10" width="4.1640625" style="1" customWidth="1"/>
    <col min="11" max="11" width="7" style="1" customWidth="1"/>
    <col min="12" max="12" width="4" style="1" customWidth="1"/>
    <col min="13" max="13" width="5.6640625" style="1" customWidth="1"/>
    <col min="14" max="16" width="10.83203125" style="1"/>
    <col min="17" max="17" width="3.1640625" style="1" customWidth="1"/>
    <col min="18" max="18" width="10.83203125" style="1"/>
    <col min="19" max="19" width="5.5" style="1" customWidth="1"/>
    <col min="20" max="16384" width="10.83203125" style="1"/>
  </cols>
  <sheetData>
    <row r="2" spans="2:16">
      <c r="B2" s="5" t="s">
        <v>1</v>
      </c>
      <c r="G2" s="6" t="s">
        <v>2</v>
      </c>
      <c r="H2" s="6"/>
    </row>
    <row r="3" spans="2:16" s="8" customFormat="1" ht="13" customHeight="1">
      <c r="B3" s="7" t="s">
        <v>5</v>
      </c>
      <c r="D3" s="100"/>
      <c r="G3" s="9" t="s">
        <v>4</v>
      </c>
      <c r="H3" s="9"/>
    </row>
    <row r="4" spans="2:16" ht="20" customHeight="1">
      <c r="B4" s="167" t="s">
        <v>6</v>
      </c>
      <c r="C4" s="167"/>
      <c r="D4" s="167"/>
      <c r="E4" s="167"/>
      <c r="F4" s="167"/>
      <c r="G4" s="167"/>
      <c r="H4" s="93"/>
    </row>
    <row r="5" spans="2:16" ht="8" customHeight="1">
      <c r="E5" s="166" t="s">
        <v>3</v>
      </c>
      <c r="F5" s="166"/>
      <c r="G5" s="166"/>
      <c r="H5" s="56"/>
      <c r="K5" s="2"/>
      <c r="L5" s="2"/>
      <c r="M5" s="2"/>
      <c r="N5" s="2"/>
      <c r="O5" s="2"/>
      <c r="P5" s="2"/>
    </row>
    <row r="6" spans="2:16" ht="12" customHeight="1">
      <c r="B6" s="172" t="s">
        <v>172</v>
      </c>
      <c r="C6" s="171"/>
      <c r="D6" s="169" t="s">
        <v>171</v>
      </c>
      <c r="E6" s="171"/>
      <c r="F6" s="10" t="s">
        <v>41</v>
      </c>
      <c r="G6" s="104">
        <f>'Graph N102NS'!C2</f>
        <v>0</v>
      </c>
      <c r="H6" s="63"/>
      <c r="K6" s="2"/>
      <c r="L6" s="2"/>
      <c r="M6" s="11"/>
      <c r="N6" s="11"/>
      <c r="O6" s="11"/>
      <c r="P6" s="11"/>
    </row>
    <row r="7" spans="2:16" ht="17" customHeight="1">
      <c r="B7" s="12" t="s">
        <v>22</v>
      </c>
      <c r="C7" s="13" t="s">
        <v>23</v>
      </c>
      <c r="D7" s="101" t="s">
        <v>24</v>
      </c>
      <c r="E7" s="14" t="s">
        <v>26</v>
      </c>
      <c r="F7" s="15" t="s">
        <v>27</v>
      </c>
      <c r="G7" s="14" t="s">
        <v>25</v>
      </c>
      <c r="H7" s="57"/>
      <c r="K7" s="2"/>
      <c r="L7" s="2"/>
      <c r="M7" s="11"/>
      <c r="N7" s="11"/>
      <c r="O7" s="11"/>
      <c r="P7" s="11"/>
    </row>
    <row r="8" spans="2:16" ht="11" customHeight="1">
      <c r="B8" s="16">
        <v>1</v>
      </c>
      <c r="C8" s="17" t="s">
        <v>7</v>
      </c>
      <c r="D8" s="111">
        <v>10746</v>
      </c>
      <c r="E8" s="17">
        <v>270.44</v>
      </c>
      <c r="F8" s="17">
        <f t="shared" ref="F8:F13" si="0">D8*E8/100</f>
        <v>29061.482399999997</v>
      </c>
      <c r="G8" s="18"/>
      <c r="H8" s="58"/>
      <c r="I8" s="19"/>
      <c r="K8" s="20"/>
      <c r="L8" s="20"/>
      <c r="M8" s="4"/>
      <c r="N8" s="21"/>
      <c r="O8" s="21"/>
      <c r="P8" s="21"/>
    </row>
    <row r="9" spans="2:16" ht="10" customHeight="1">
      <c r="B9" s="16">
        <v>2</v>
      </c>
      <c r="C9" s="17" t="s">
        <v>0</v>
      </c>
      <c r="D9" s="112">
        <f>'Log N102NS'!B12</f>
        <v>250</v>
      </c>
      <c r="E9" s="17">
        <v>115</v>
      </c>
      <c r="F9" s="17">
        <f t="shared" si="0"/>
        <v>287.5</v>
      </c>
      <c r="G9" s="18"/>
      <c r="H9" s="58"/>
      <c r="K9" s="20"/>
      <c r="L9" s="20"/>
      <c r="M9" s="4"/>
      <c r="N9" s="21"/>
      <c r="O9" s="21"/>
      <c r="P9" s="21"/>
    </row>
    <row r="10" spans="2:16" ht="10" customHeight="1">
      <c r="B10" s="16">
        <v>3</v>
      </c>
      <c r="C10" s="17" t="s">
        <v>8</v>
      </c>
      <c r="D10" s="112">
        <f>'Log N102NS'!B13</f>
        <v>250</v>
      </c>
      <c r="E10" s="17">
        <v>115</v>
      </c>
      <c r="F10" s="17">
        <f t="shared" si="0"/>
        <v>287.5</v>
      </c>
      <c r="G10" s="18"/>
      <c r="H10" s="58"/>
      <c r="K10" s="20"/>
      <c r="L10" s="20"/>
      <c r="M10" s="4"/>
      <c r="N10" s="21"/>
      <c r="O10" s="21"/>
      <c r="P10" s="21"/>
    </row>
    <row r="11" spans="2:16" ht="10" customHeight="1">
      <c r="B11" s="16">
        <v>4</v>
      </c>
      <c r="C11" s="17" t="s">
        <v>9</v>
      </c>
      <c r="D11" s="111">
        <v>20</v>
      </c>
      <c r="E11" s="17">
        <v>134</v>
      </c>
      <c r="F11" s="17">
        <f t="shared" si="0"/>
        <v>26.8</v>
      </c>
      <c r="G11" s="18"/>
      <c r="H11" s="58"/>
      <c r="K11" s="20"/>
      <c r="L11" s="20"/>
      <c r="M11" s="4"/>
      <c r="N11" s="21"/>
      <c r="O11" s="21"/>
      <c r="P11" s="21"/>
    </row>
    <row r="12" spans="2:16" ht="10" customHeight="1">
      <c r="B12" s="16">
        <v>5</v>
      </c>
      <c r="C12" s="17" t="s">
        <v>9</v>
      </c>
      <c r="D12" s="111">
        <v>21</v>
      </c>
      <c r="E12" s="17">
        <v>140</v>
      </c>
      <c r="F12" s="17">
        <f t="shared" si="0"/>
        <v>29.4</v>
      </c>
      <c r="G12" s="18"/>
      <c r="H12" s="58"/>
      <c r="K12" s="20"/>
      <c r="L12" s="20"/>
      <c r="M12" s="4"/>
      <c r="N12" s="21"/>
      <c r="O12" s="21"/>
      <c r="P12" s="21"/>
    </row>
    <row r="13" spans="2:16" ht="10" customHeight="1">
      <c r="B13" s="16">
        <v>6</v>
      </c>
      <c r="C13" s="17" t="s">
        <v>10</v>
      </c>
      <c r="D13" s="111">
        <v>12</v>
      </c>
      <c r="E13" s="17">
        <v>320</v>
      </c>
      <c r="F13" s="17">
        <f t="shared" si="0"/>
        <v>38.4</v>
      </c>
      <c r="G13" s="18"/>
      <c r="H13" s="58"/>
      <c r="K13" s="20"/>
      <c r="L13" s="20"/>
      <c r="M13" s="4"/>
      <c r="N13" s="21"/>
      <c r="O13" s="21"/>
      <c r="P13" s="21"/>
    </row>
    <row r="14" spans="2:16" ht="10" customHeight="1">
      <c r="B14" s="16">
        <v>7</v>
      </c>
      <c r="C14" s="17" t="s">
        <v>11</v>
      </c>
      <c r="D14" s="111">
        <f>SUM(D8:D13)</f>
        <v>11299</v>
      </c>
      <c r="E14" s="17">
        <f>F14/D14*100</f>
        <v>263.13020975307546</v>
      </c>
      <c r="F14" s="17">
        <f>SUM(F8:F13)</f>
        <v>29731.082399999999</v>
      </c>
      <c r="G14" s="18"/>
      <c r="H14" s="58"/>
      <c r="K14" s="20"/>
      <c r="L14" s="20"/>
      <c r="M14" s="4"/>
      <c r="N14" s="21"/>
      <c r="O14" s="21"/>
      <c r="P14" s="21"/>
    </row>
    <row r="15" spans="2:16" ht="10" customHeight="1">
      <c r="B15" s="16">
        <v>8</v>
      </c>
      <c r="C15" s="17" t="s">
        <v>12</v>
      </c>
      <c r="D15" s="61">
        <f>'Graph N102NS'!C5</f>
        <v>0</v>
      </c>
      <c r="E15" s="17">
        <v>157</v>
      </c>
      <c r="F15" s="17">
        <f t="shared" ref="F15:F26" si="1">D15*E15/100</f>
        <v>0</v>
      </c>
      <c r="G15" s="18"/>
      <c r="H15" s="58"/>
      <c r="K15" s="20"/>
      <c r="L15" s="20"/>
      <c r="M15" s="4"/>
      <c r="N15" s="21"/>
      <c r="O15" s="21"/>
      <c r="P15" s="21"/>
    </row>
    <row r="16" spans="2:16" ht="10" customHeight="1">
      <c r="B16" s="16">
        <v>9</v>
      </c>
      <c r="C16" s="17" t="s">
        <v>30</v>
      </c>
      <c r="D16" s="61">
        <f>'Graph N102NS'!C6</f>
        <v>0</v>
      </c>
      <c r="E16" s="17">
        <v>160</v>
      </c>
      <c r="F16" s="17">
        <f t="shared" si="1"/>
        <v>0</v>
      </c>
      <c r="G16" s="18"/>
      <c r="H16" s="58"/>
      <c r="K16" s="20"/>
      <c r="L16" s="20"/>
      <c r="M16" s="4"/>
      <c r="N16" s="21"/>
      <c r="O16" s="21"/>
      <c r="P16" s="21"/>
    </row>
    <row r="17" spans="2:16" ht="9" customHeight="1">
      <c r="B17" s="16">
        <v>10</v>
      </c>
      <c r="C17" s="17" t="s">
        <v>31</v>
      </c>
      <c r="D17" s="61">
        <f>'Graph N102NS'!C7</f>
        <v>0</v>
      </c>
      <c r="E17" s="17">
        <v>203</v>
      </c>
      <c r="F17" s="17">
        <f t="shared" si="1"/>
        <v>0</v>
      </c>
      <c r="G17" s="18"/>
      <c r="H17" s="58"/>
      <c r="K17" s="20"/>
      <c r="L17" s="20"/>
      <c r="M17" s="4"/>
      <c r="N17" s="21"/>
      <c r="O17" s="21"/>
      <c r="P17" s="21"/>
    </row>
    <row r="18" spans="2:16" ht="10" customHeight="1">
      <c r="B18" s="16">
        <v>11</v>
      </c>
      <c r="C18" s="17" t="s">
        <v>32</v>
      </c>
      <c r="D18" s="61">
        <f>'Graph N102NS'!C8</f>
        <v>0</v>
      </c>
      <c r="E18" s="17">
        <v>203</v>
      </c>
      <c r="F18" s="17">
        <f t="shared" si="1"/>
        <v>0</v>
      </c>
      <c r="G18" s="18"/>
      <c r="H18" s="58"/>
      <c r="K18" s="20"/>
      <c r="L18" s="20"/>
      <c r="M18" s="4"/>
      <c r="N18" s="21"/>
      <c r="O18" s="21"/>
      <c r="P18" s="21"/>
    </row>
    <row r="19" spans="2:16" ht="10" customHeight="1">
      <c r="B19" s="16">
        <v>12</v>
      </c>
      <c r="C19" s="17" t="s">
        <v>33</v>
      </c>
      <c r="D19" s="61">
        <f>'Graph N102NS'!C9</f>
        <v>0</v>
      </c>
      <c r="E19" s="17">
        <v>248</v>
      </c>
      <c r="F19" s="17">
        <f t="shared" si="1"/>
        <v>0</v>
      </c>
      <c r="G19" s="18"/>
      <c r="H19" s="58"/>
      <c r="K19" s="20"/>
      <c r="L19" s="20"/>
      <c r="M19" s="4"/>
      <c r="N19" s="21"/>
      <c r="O19" s="21"/>
      <c r="P19" s="21"/>
    </row>
    <row r="20" spans="2:16" ht="10" customHeight="1">
      <c r="B20" s="16">
        <v>13</v>
      </c>
      <c r="C20" s="17" t="s">
        <v>34</v>
      </c>
      <c r="D20" s="61">
        <f>'Graph N102NS'!C10</f>
        <v>0</v>
      </c>
      <c r="E20" s="17">
        <v>248</v>
      </c>
      <c r="F20" s="17">
        <f t="shared" si="1"/>
        <v>0</v>
      </c>
      <c r="G20" s="18"/>
      <c r="H20" s="58"/>
      <c r="K20" s="20"/>
      <c r="L20" s="20"/>
      <c r="M20" s="4"/>
      <c r="N20" s="21"/>
      <c r="O20" s="21"/>
      <c r="P20" s="21"/>
    </row>
    <row r="21" spans="2:16" ht="10" customHeight="1">
      <c r="B21" s="16">
        <v>14</v>
      </c>
      <c r="C21" s="17" t="s">
        <v>35</v>
      </c>
      <c r="D21" s="61">
        <f>'Graph N102NS'!C11</f>
        <v>0</v>
      </c>
      <c r="E21" s="17">
        <v>278</v>
      </c>
      <c r="F21" s="17">
        <f t="shared" si="1"/>
        <v>0</v>
      </c>
      <c r="G21" s="18"/>
      <c r="H21" s="58"/>
      <c r="K21" s="20"/>
      <c r="L21" s="20"/>
      <c r="M21" s="4"/>
      <c r="N21" s="21"/>
      <c r="O21" s="21"/>
      <c r="P21" s="21"/>
    </row>
    <row r="22" spans="2:16" ht="10" customHeight="1">
      <c r="B22" s="16">
        <v>15</v>
      </c>
      <c r="C22" s="17" t="s">
        <v>36</v>
      </c>
      <c r="D22" s="61">
        <f>'Graph N102NS'!C12</f>
        <v>0</v>
      </c>
      <c r="E22" s="17">
        <v>278</v>
      </c>
      <c r="F22" s="17">
        <f t="shared" si="1"/>
        <v>0</v>
      </c>
      <c r="G22" s="18"/>
      <c r="H22" s="58"/>
      <c r="K22" s="20"/>
      <c r="L22" s="20"/>
      <c r="M22" s="4"/>
      <c r="N22" s="21"/>
      <c r="O22" s="21"/>
      <c r="P22" s="21"/>
    </row>
    <row r="23" spans="2:16" ht="10" customHeight="1">
      <c r="B23" s="16">
        <v>16</v>
      </c>
      <c r="C23" s="17" t="s">
        <v>37</v>
      </c>
      <c r="D23" s="61">
        <f>'Graph N102NS'!C13</f>
        <v>0</v>
      </c>
      <c r="E23" s="17">
        <v>310</v>
      </c>
      <c r="F23" s="17">
        <f t="shared" si="1"/>
        <v>0</v>
      </c>
      <c r="G23" s="18"/>
      <c r="H23" s="58"/>
      <c r="K23" s="20"/>
      <c r="L23" s="20"/>
      <c r="M23" s="4"/>
      <c r="N23" s="21"/>
      <c r="O23" s="21"/>
      <c r="P23" s="21"/>
    </row>
    <row r="24" spans="2:16" ht="10" customHeight="1">
      <c r="B24" s="16">
        <v>17</v>
      </c>
      <c r="C24" s="17" t="s">
        <v>13</v>
      </c>
      <c r="D24" s="61">
        <f>'Graph N102NS'!C14</f>
        <v>0</v>
      </c>
      <c r="E24" s="17">
        <v>309</v>
      </c>
      <c r="F24" s="17">
        <f t="shared" si="1"/>
        <v>0</v>
      </c>
      <c r="G24" s="18"/>
      <c r="H24" s="58"/>
      <c r="K24" s="20"/>
      <c r="L24" s="20"/>
      <c r="M24" s="4"/>
      <c r="N24" s="21"/>
      <c r="O24" s="21"/>
      <c r="P24" s="21"/>
    </row>
    <row r="25" spans="2:16" ht="9" customHeight="1">
      <c r="B25" s="16">
        <v>18</v>
      </c>
      <c r="C25" s="17" t="s">
        <v>13</v>
      </c>
      <c r="D25" s="61"/>
      <c r="E25" s="17"/>
      <c r="F25" s="17">
        <f t="shared" si="1"/>
        <v>0</v>
      </c>
      <c r="G25" s="18"/>
      <c r="H25" s="58"/>
      <c r="K25" s="20"/>
      <c r="L25" s="20"/>
      <c r="M25" s="4"/>
      <c r="N25" s="21"/>
      <c r="O25" s="21"/>
      <c r="P25" s="21"/>
    </row>
    <row r="26" spans="2:16" ht="10" customHeight="1">
      <c r="B26" s="16">
        <v>19</v>
      </c>
      <c r="C26" s="17" t="s">
        <v>13</v>
      </c>
      <c r="D26" s="61">
        <f>'Graph N102NS'!C16</f>
        <v>0</v>
      </c>
      <c r="E26" s="17">
        <v>382</v>
      </c>
      <c r="F26" s="17">
        <f t="shared" si="1"/>
        <v>0</v>
      </c>
      <c r="G26" s="18"/>
      <c r="H26" s="58"/>
      <c r="K26" s="20"/>
      <c r="L26" s="20"/>
      <c r="M26" s="4"/>
      <c r="N26" s="21"/>
      <c r="O26" s="21"/>
      <c r="P26" s="21"/>
    </row>
    <row r="27" spans="2:16" ht="20" customHeight="1">
      <c r="B27" s="16">
        <v>20</v>
      </c>
      <c r="C27" s="22" t="s">
        <v>14</v>
      </c>
      <c r="D27" s="61">
        <f>SUM(D14:D26)</f>
        <v>11299</v>
      </c>
      <c r="E27" s="17">
        <f>F27*100/D27</f>
        <v>263.13020975307546</v>
      </c>
      <c r="F27" s="17">
        <f>SUM(F14:F26)</f>
        <v>29731.082399999999</v>
      </c>
      <c r="G27" s="17"/>
      <c r="H27" s="59"/>
      <c r="K27" s="20"/>
      <c r="L27" s="20"/>
      <c r="M27" s="4"/>
      <c r="N27" s="21"/>
      <c r="O27" s="21"/>
      <c r="P27" s="21"/>
    </row>
    <row r="28" spans="2:16" ht="10" customHeight="1">
      <c r="B28" s="16">
        <v>21</v>
      </c>
      <c r="C28" s="17" t="s">
        <v>39</v>
      </c>
      <c r="D28" s="61">
        <f>SUM('Graph N102NS'!C18:C22)</f>
        <v>0</v>
      </c>
      <c r="E28" s="17" t="e">
        <f>VLOOKUP(D28,DATA!E4:F56,2)</f>
        <v>#N/A</v>
      </c>
      <c r="F28" s="17" t="e">
        <f>D28*E28/100</f>
        <v>#N/A</v>
      </c>
      <c r="G28" s="17"/>
      <c r="H28" s="59"/>
      <c r="K28" s="20"/>
      <c r="L28" s="3"/>
      <c r="M28" s="4"/>
      <c r="N28" s="23"/>
      <c r="O28" s="23"/>
      <c r="P28" s="21"/>
    </row>
    <row r="29" spans="2:16" ht="20" customHeight="1">
      <c r="B29" s="24">
        <v>22</v>
      </c>
      <c r="C29" s="22" t="s">
        <v>38</v>
      </c>
      <c r="D29" s="61">
        <f>SUM(D27:D28)</f>
        <v>11299</v>
      </c>
      <c r="E29" s="17" t="e">
        <f>F29*100/D29</f>
        <v>#N/A</v>
      </c>
      <c r="F29" s="17" t="e">
        <f>SUM(F27:F28)</f>
        <v>#N/A</v>
      </c>
      <c r="G29" s="17"/>
      <c r="H29" s="59"/>
      <c r="K29" s="20"/>
      <c r="L29" s="20"/>
      <c r="M29" s="4"/>
      <c r="N29" s="21"/>
      <c r="O29" s="21"/>
      <c r="P29" s="21"/>
    </row>
    <row r="30" spans="2:16" ht="10" customHeight="1">
      <c r="B30" s="24">
        <v>23</v>
      </c>
      <c r="C30" s="17" t="s">
        <v>15</v>
      </c>
      <c r="D30" s="61">
        <f>'Graph N102NS'!C18</f>
        <v>0</v>
      </c>
      <c r="E30" s="17" t="e">
        <f>VLOOKUP((D28-D30),DATA!E4:F56,2)</f>
        <v>#N/A</v>
      </c>
      <c r="F30" s="17" t="e">
        <f>D30*E30/100</f>
        <v>#N/A</v>
      </c>
      <c r="G30" s="17"/>
      <c r="H30" s="59"/>
      <c r="K30" s="20"/>
      <c r="L30" s="3"/>
      <c r="M30" s="4"/>
      <c r="N30" s="21"/>
      <c r="O30" s="21"/>
      <c r="P30" s="21"/>
    </row>
    <row r="31" spans="2:16" ht="19" customHeight="1">
      <c r="B31" s="24">
        <v>24</v>
      </c>
      <c r="C31" s="25" t="s">
        <v>16</v>
      </c>
      <c r="D31" s="61">
        <f>D29-D30</f>
        <v>11299</v>
      </c>
      <c r="E31" s="17" t="e">
        <f>F31*100/D31</f>
        <v>#N/A</v>
      </c>
      <c r="F31" s="17" t="e">
        <f>SUM(F29-F30)</f>
        <v>#N/A</v>
      </c>
      <c r="G31" s="17" t="e">
        <f>(E31-251.09)*100/73.11</f>
        <v>#N/A</v>
      </c>
      <c r="H31" s="59"/>
      <c r="K31" s="20"/>
      <c r="L31" s="20"/>
      <c r="M31" s="4"/>
      <c r="N31" s="21"/>
      <c r="O31" s="21"/>
      <c r="P31" s="21"/>
    </row>
    <row r="32" spans="2:16" ht="10" customHeight="1">
      <c r="B32" s="169"/>
      <c r="C32" s="170"/>
      <c r="D32" s="170"/>
      <c r="E32" s="170"/>
      <c r="F32" s="170"/>
      <c r="G32" s="171"/>
      <c r="H32" s="60"/>
      <c r="K32" s="20"/>
      <c r="L32" s="20"/>
      <c r="M32" s="4"/>
      <c r="N32" s="21"/>
      <c r="O32" s="21"/>
      <c r="P32" s="21"/>
    </row>
    <row r="33" spans="2:16" ht="10" customHeight="1">
      <c r="B33" s="24">
        <v>25</v>
      </c>
      <c r="C33" s="17" t="s">
        <v>17</v>
      </c>
      <c r="D33" s="61">
        <f>D28</f>
        <v>0</v>
      </c>
      <c r="E33" s="26"/>
      <c r="F33" s="26"/>
      <c r="G33" s="17"/>
      <c r="H33" s="59"/>
      <c r="K33" s="20"/>
      <c r="L33" s="20"/>
      <c r="M33" s="4"/>
      <c r="N33" s="21"/>
      <c r="O33" s="21"/>
      <c r="P33" s="21"/>
    </row>
    <row r="34" spans="2:16" ht="20" customHeight="1">
      <c r="B34" s="24">
        <v>26</v>
      </c>
      <c r="C34" s="25" t="s">
        <v>18</v>
      </c>
      <c r="D34" s="61">
        <f>SUM('Graph N102NS'!C18:C19)</f>
        <v>0</v>
      </c>
      <c r="E34" s="26"/>
      <c r="F34" s="26"/>
      <c r="G34" s="17"/>
      <c r="H34" s="59"/>
      <c r="K34" s="20"/>
      <c r="L34" s="20"/>
      <c r="M34" s="4"/>
      <c r="N34" s="23"/>
      <c r="O34" s="23"/>
      <c r="P34" s="21"/>
    </row>
    <row r="35" spans="2:16" ht="20" customHeight="1">
      <c r="B35" s="24">
        <v>27</v>
      </c>
      <c r="C35" s="25" t="s">
        <v>40</v>
      </c>
      <c r="D35" s="61">
        <f>D33-D34</f>
        <v>0</v>
      </c>
      <c r="E35" s="17" t="e">
        <f>VLOOKUP(D35,DATA!E4:F56,2)</f>
        <v>#N/A</v>
      </c>
      <c r="F35" s="17" t="e">
        <f>D35*E35/100</f>
        <v>#N/A</v>
      </c>
      <c r="G35" s="17"/>
      <c r="H35" s="59"/>
      <c r="K35" s="20"/>
      <c r="L35" s="20"/>
      <c r="M35" s="4"/>
      <c r="N35" s="21"/>
      <c r="O35" s="21"/>
      <c r="P35" s="21"/>
    </row>
    <row r="36" spans="2:16" ht="10" customHeight="1">
      <c r="B36" s="169"/>
      <c r="C36" s="170"/>
      <c r="D36" s="170"/>
      <c r="E36" s="170"/>
      <c r="F36" s="170"/>
      <c r="G36" s="171"/>
      <c r="H36" s="60"/>
      <c r="K36" s="20"/>
      <c r="L36" s="20"/>
      <c r="M36" s="4"/>
      <c r="N36" s="21"/>
      <c r="O36" s="21"/>
      <c r="P36" s="21"/>
    </row>
    <row r="37" spans="2:16" ht="10" customHeight="1">
      <c r="B37" s="24">
        <v>28</v>
      </c>
      <c r="C37" s="27" t="s">
        <v>19</v>
      </c>
      <c r="D37" s="61">
        <f>D27</f>
        <v>11299</v>
      </c>
      <c r="E37" s="17"/>
      <c r="F37" s="17">
        <f>F27</f>
        <v>29731.082399999999</v>
      </c>
      <c r="G37" s="17"/>
      <c r="H37" s="59"/>
      <c r="K37" s="20"/>
      <c r="L37" s="20"/>
      <c r="M37" s="4"/>
      <c r="N37" s="23"/>
      <c r="O37" s="23"/>
      <c r="P37" s="21"/>
    </row>
    <row r="38" spans="2:16" ht="10" customHeight="1">
      <c r="B38" s="24">
        <v>29</v>
      </c>
      <c r="C38" s="27" t="s">
        <v>20</v>
      </c>
      <c r="D38" s="61">
        <f>D35</f>
        <v>0</v>
      </c>
      <c r="E38" s="17"/>
      <c r="F38" s="17" t="e">
        <f>F35</f>
        <v>#N/A</v>
      </c>
      <c r="G38" s="17"/>
      <c r="H38" s="59"/>
      <c r="K38" s="2"/>
      <c r="L38" s="2"/>
      <c r="M38" s="2"/>
      <c r="N38" s="2"/>
      <c r="O38" s="2"/>
      <c r="P38" s="2"/>
    </row>
    <row r="39" spans="2:16" ht="19" customHeight="1">
      <c r="B39" s="24">
        <v>30</v>
      </c>
      <c r="C39" s="25" t="s">
        <v>21</v>
      </c>
      <c r="D39" s="61">
        <f>SUM(D37:D38)</f>
        <v>11299</v>
      </c>
      <c r="E39" s="17" t="e">
        <f>F39/D39*100</f>
        <v>#N/A</v>
      </c>
      <c r="F39" s="17" t="e">
        <f>SUM(F37:F38)</f>
        <v>#N/A</v>
      </c>
      <c r="G39" s="17"/>
      <c r="H39" s="59"/>
      <c r="K39" s="2"/>
      <c r="L39" s="2"/>
      <c r="M39" s="2"/>
      <c r="N39" s="2"/>
      <c r="O39" s="2"/>
      <c r="P39" s="2"/>
    </row>
    <row r="41" spans="2:16" ht="22" customHeight="1">
      <c r="B41" s="168" t="s">
        <v>28</v>
      </c>
      <c r="C41" s="168"/>
      <c r="G41" s="28" t="s">
        <v>29</v>
      </c>
      <c r="H41" s="28"/>
    </row>
    <row r="43" spans="2:16" ht="29" customHeight="1">
      <c r="C43" s="30" t="s">
        <v>43</v>
      </c>
      <c r="D43" s="94" t="s">
        <v>42</v>
      </c>
      <c r="E43" s="29" t="s">
        <v>44</v>
      </c>
      <c r="F43" s="29" t="s">
        <v>46</v>
      </c>
      <c r="G43" s="29" t="s">
        <v>45</v>
      </c>
      <c r="H43" s="29"/>
    </row>
    <row r="44" spans="2:16">
      <c r="C44" s="105">
        <v>16300</v>
      </c>
      <c r="D44" s="94">
        <f>D31</f>
        <v>11299</v>
      </c>
      <c r="E44" s="55">
        <f>VLOOKUP(D44,DATA!B4:C77,2)</f>
        <v>260.79000000000002</v>
      </c>
      <c r="F44" s="55" t="e">
        <f>E31</f>
        <v>#N/A</v>
      </c>
      <c r="G44" s="55">
        <v>274.3</v>
      </c>
      <c r="H44" s="66" t="e">
        <f>IF(AND(F44&lt;G44,F44&gt;E44),"Takeoff CG is ok","Takeoff CG out ")</f>
        <v>#N/A</v>
      </c>
      <c r="I44" s="65"/>
    </row>
    <row r="45" spans="2:16">
      <c r="C45" s="31"/>
      <c r="D45" s="1" t="str">
        <f>IF((D44&lt;C44),"Takeoff Weight is ok","Over Max Takeoff Weight ")</f>
        <v>Takeoff Weight is ok</v>
      </c>
    </row>
    <row r="46" spans="2:16">
      <c r="C46" s="31"/>
      <c r="D46" s="62" t="str">
        <f>IF(D27&lt;13000,"ZFW is ok","ZFW Over Max ")</f>
        <v>ZFW is ok</v>
      </c>
    </row>
    <row r="47" spans="2:16">
      <c r="C47" s="31"/>
      <c r="D47" s="62" t="str">
        <f>IF(D39&lt;15700,"Landing Weight is ok","Landing Weight is Over Max ")</f>
        <v>Landing Weight is ok</v>
      </c>
    </row>
    <row r="48" spans="2:16">
      <c r="C48" s="31"/>
      <c r="D48" s="64"/>
    </row>
  </sheetData>
  <sheetProtection algorithmName="SHA-512" hashValue="WLx0GySrH6Bpxy8uloymM6vwp8FI+VHEcZYmfkU0iQlc0GCv0YdcesOExEiixd+kbC1v+eSVgXNlrIJSRPaDPg==" saltValue="Uy1SsHjoIsc5MQB+dU7Piw==" spinCount="100000" sheet="1" objects="1" scenarios="1" selectLockedCells="1"/>
  <mergeCells count="7">
    <mergeCell ref="E5:G5"/>
    <mergeCell ref="B4:G4"/>
    <mergeCell ref="B41:C41"/>
    <mergeCell ref="B36:G36"/>
    <mergeCell ref="B32:G32"/>
    <mergeCell ref="B6:C6"/>
    <mergeCell ref="D6:E6"/>
  </mergeCells>
  <conditionalFormatting sqref="H44">
    <cfRule type="containsText" dxfId="4" priority="5" operator="containsText" text="out">
      <formula>NOT(ISERROR(SEARCH("out",H44)))</formula>
    </cfRule>
  </conditionalFormatting>
  <conditionalFormatting sqref="D44">
    <cfRule type="cellIs" dxfId="3" priority="4" operator="greaterThan">
      <formula>$C$44</formula>
    </cfRule>
  </conditionalFormatting>
  <conditionalFormatting sqref="D45">
    <cfRule type="containsText" dxfId="2" priority="3" operator="containsText" text="over">
      <formula>NOT(ISERROR(SEARCH("over",D45)))</formula>
    </cfRule>
  </conditionalFormatting>
  <conditionalFormatting sqref="D46">
    <cfRule type="containsText" dxfId="1" priority="2" operator="containsText" text="over">
      <formula>NOT(ISERROR(SEARCH("over",D46)))</formula>
    </cfRule>
  </conditionalFormatting>
  <conditionalFormatting sqref="D47">
    <cfRule type="containsText" dxfId="0" priority="1" operator="containsText" text="over">
      <formula>NOT(ISERROR(SEARCH("over",D47)))</formula>
    </cfRule>
  </conditionalFormatting>
  <pageMargins left="0.7" right="0.7" top="0.75" bottom="0.75" header="0.3" footer="0.3"/>
  <pageSetup orientation="portrait" horizontalDpi="0" verticalDpi="0"/>
  <colBreaks count="1" manualBreakCount="1">
    <brk id="11" max="49" man="1"/>
  </colBreaks>
  <ignoredErrors>
    <ignoredError sqref="E27:E30 E14:F14 E39" formula="1"/>
    <ignoredError sqref="D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DF86-4E73-D84F-9D9C-236600218422}">
  <dimension ref="B3:N77"/>
  <sheetViews>
    <sheetView topLeftCell="A44" zoomScale="75" zoomScaleNormal="75" workbookViewId="0">
      <selection activeCell="O29" sqref="O29"/>
    </sheetView>
  </sheetViews>
  <sheetFormatPr baseColWidth="10" defaultColWidth="10.83203125" defaultRowHeight="16"/>
  <cols>
    <col min="2" max="2" width="12.6640625" style="35" customWidth="1"/>
    <col min="3" max="3" width="10.5" style="35" customWidth="1"/>
    <col min="4" max="4" width="8" customWidth="1"/>
    <col min="5" max="5" width="6.33203125" style="38" customWidth="1"/>
    <col min="6" max="6" width="6.83203125" style="45" customWidth="1"/>
  </cols>
  <sheetData>
    <row r="3" spans="2:14">
      <c r="B3" s="54" t="s">
        <v>50</v>
      </c>
      <c r="E3" s="38" t="s">
        <v>49</v>
      </c>
      <c r="H3" t="s">
        <v>68</v>
      </c>
    </row>
    <row r="4" spans="2:14">
      <c r="B4" s="35">
        <v>9000</v>
      </c>
      <c r="C4" s="35">
        <v>260.79000000000002</v>
      </c>
      <c r="E4" s="39">
        <v>200</v>
      </c>
      <c r="F4" s="46">
        <v>254.6</v>
      </c>
      <c r="H4">
        <v>9000</v>
      </c>
      <c r="I4">
        <v>260.79000000000002</v>
      </c>
      <c r="K4" t="s">
        <v>70</v>
      </c>
      <c r="L4">
        <v>16500</v>
      </c>
      <c r="M4">
        <v>263.97000000000003</v>
      </c>
      <c r="N4">
        <v>274.3</v>
      </c>
    </row>
    <row r="5" spans="2:14">
      <c r="B5" s="35">
        <v>9100</v>
      </c>
      <c r="C5" s="35">
        <v>260.79000000000002</v>
      </c>
      <c r="E5" s="39">
        <v>300</v>
      </c>
      <c r="F5" s="47">
        <v>257.5</v>
      </c>
      <c r="H5">
        <v>13200</v>
      </c>
      <c r="I5">
        <v>260.79000000000002</v>
      </c>
      <c r="K5" t="s">
        <v>43</v>
      </c>
      <c r="L5">
        <v>16300</v>
      </c>
      <c r="M5">
        <v>263.95999999999998</v>
      </c>
      <c r="N5">
        <v>274.3</v>
      </c>
    </row>
    <row r="6" spans="2:14">
      <c r="B6" s="35">
        <v>9200</v>
      </c>
      <c r="C6" s="35">
        <v>260.79000000000002</v>
      </c>
      <c r="E6" s="39">
        <v>400</v>
      </c>
      <c r="F6" s="46">
        <v>259.3</v>
      </c>
      <c r="H6">
        <v>16300</v>
      </c>
      <c r="I6">
        <v>263.95999999999998</v>
      </c>
      <c r="K6" t="s">
        <v>69</v>
      </c>
      <c r="L6">
        <v>15700</v>
      </c>
      <c r="M6">
        <v>263.24</v>
      </c>
      <c r="N6">
        <v>274.3</v>
      </c>
    </row>
    <row r="7" spans="2:14">
      <c r="B7" s="35">
        <v>9300</v>
      </c>
      <c r="C7" s="35">
        <v>260.79000000000002</v>
      </c>
      <c r="E7" s="39">
        <v>500</v>
      </c>
      <c r="F7" s="46">
        <v>260.8</v>
      </c>
      <c r="H7">
        <v>16300</v>
      </c>
      <c r="I7">
        <v>274.3</v>
      </c>
      <c r="K7" t="s">
        <v>71</v>
      </c>
      <c r="L7">
        <v>13000</v>
      </c>
      <c r="M7">
        <v>260.79000000000002</v>
      </c>
      <c r="N7">
        <v>274.3</v>
      </c>
    </row>
    <row r="8" spans="2:14">
      <c r="B8" s="35">
        <v>9400</v>
      </c>
      <c r="C8" s="35">
        <v>260.79000000000002</v>
      </c>
      <c r="E8" s="39">
        <v>600</v>
      </c>
      <c r="F8" s="47">
        <v>261.8</v>
      </c>
      <c r="H8">
        <v>13200</v>
      </c>
      <c r="I8">
        <v>274.3</v>
      </c>
    </row>
    <row r="9" spans="2:14">
      <c r="B9" s="35">
        <v>9500</v>
      </c>
      <c r="C9" s="35">
        <v>260.79000000000002</v>
      </c>
      <c r="E9" s="40">
        <v>700</v>
      </c>
      <c r="F9" s="47">
        <v>262.8</v>
      </c>
      <c r="H9">
        <v>9000</v>
      </c>
      <c r="I9">
        <v>274.3</v>
      </c>
    </row>
    <row r="10" spans="2:14" ht="17" thickBot="1">
      <c r="B10" s="35">
        <v>9600</v>
      </c>
      <c r="C10" s="35">
        <v>260.79000000000002</v>
      </c>
      <c r="E10" s="39">
        <v>800</v>
      </c>
      <c r="F10" s="48">
        <v>263.5</v>
      </c>
    </row>
    <row r="11" spans="2:14" ht="17" thickBot="1">
      <c r="B11" s="35">
        <v>9700</v>
      </c>
      <c r="C11" s="35">
        <v>260.79000000000002</v>
      </c>
      <c r="E11" s="39">
        <v>900</v>
      </c>
      <c r="F11" s="46">
        <v>264.60000000000002</v>
      </c>
      <c r="H11" s="71" t="s">
        <v>63</v>
      </c>
      <c r="I11" s="72" t="s">
        <v>53</v>
      </c>
      <c r="J11" s="85" t="s">
        <v>64</v>
      </c>
      <c r="K11" s="73" t="s">
        <v>65</v>
      </c>
      <c r="L11" s="70"/>
      <c r="M11" s="70"/>
    </row>
    <row r="12" spans="2:14">
      <c r="B12" s="35">
        <v>9800</v>
      </c>
      <c r="C12" s="35">
        <v>260.79000000000002</v>
      </c>
      <c r="E12" s="40">
        <v>1000</v>
      </c>
      <c r="F12" s="46">
        <v>265.60000000000002</v>
      </c>
      <c r="H12" s="74"/>
      <c r="I12" s="86">
        <v>16300</v>
      </c>
      <c r="J12" s="87">
        <v>263.95999999999998</v>
      </c>
      <c r="K12" s="88">
        <v>274.3</v>
      </c>
      <c r="L12" s="70"/>
      <c r="M12" s="70"/>
    </row>
    <row r="13" spans="2:14">
      <c r="B13" s="35">
        <v>9900</v>
      </c>
      <c r="C13" s="35">
        <v>260.79000000000002</v>
      </c>
      <c r="E13" s="39">
        <v>1100</v>
      </c>
      <c r="F13" s="49">
        <v>266.3</v>
      </c>
      <c r="H13" s="79"/>
      <c r="I13" s="86">
        <v>13200</v>
      </c>
      <c r="J13" s="87">
        <v>260.79000000000002</v>
      </c>
      <c r="K13" s="88">
        <v>274.3</v>
      </c>
      <c r="L13" s="70"/>
      <c r="M13" s="70"/>
    </row>
    <row r="14" spans="2:14">
      <c r="B14" s="35">
        <v>10000</v>
      </c>
      <c r="C14" s="35">
        <v>260.79000000000002</v>
      </c>
      <c r="E14" s="40">
        <v>1200</v>
      </c>
      <c r="F14" s="47">
        <v>267</v>
      </c>
      <c r="H14" s="74"/>
      <c r="I14" s="86">
        <v>9000</v>
      </c>
      <c r="J14" s="87">
        <v>260.79000000000002</v>
      </c>
      <c r="K14" s="88">
        <v>274.3</v>
      </c>
      <c r="L14" s="70"/>
      <c r="M14" s="70"/>
    </row>
    <row r="15" spans="2:14">
      <c r="B15" s="35">
        <v>10100</v>
      </c>
      <c r="C15" s="35">
        <v>260.79000000000002</v>
      </c>
      <c r="E15" s="40">
        <v>1300</v>
      </c>
      <c r="F15" s="47">
        <v>267.8</v>
      </c>
      <c r="H15" s="74"/>
      <c r="I15" s="86">
        <v>4700</v>
      </c>
      <c r="J15" s="87">
        <v>147.80000000000001</v>
      </c>
      <c r="K15" s="87">
        <f>IF(I16&lt;I13,K13,K12-(((I12-I16)/(I12-I13))*(K12-K13)))</f>
        <v>274.3</v>
      </c>
      <c r="L15" s="70"/>
      <c r="M15" s="70"/>
    </row>
    <row r="16" spans="2:14">
      <c r="B16" s="35">
        <v>10200</v>
      </c>
      <c r="C16" s="35">
        <v>260.79000000000002</v>
      </c>
      <c r="E16" s="40">
        <v>1400</v>
      </c>
      <c r="F16" s="49">
        <v>268.60000000000002</v>
      </c>
      <c r="H16" s="74" t="s">
        <v>56</v>
      </c>
      <c r="I16" s="89">
        <v>13200</v>
      </c>
      <c r="J16" s="87">
        <f>IF(I16&lt;I14,J14,J12-((I12-I16)/(I12-I14))*(J12-J14))</f>
        <v>262.61383561643834</v>
      </c>
      <c r="K16" s="87"/>
      <c r="L16" s="70"/>
      <c r="M16" s="70"/>
    </row>
    <row r="17" spans="2:13">
      <c r="B17" s="35">
        <v>10300</v>
      </c>
      <c r="C17" s="35">
        <v>260.79000000000002</v>
      </c>
      <c r="E17" s="42">
        <v>1500</v>
      </c>
      <c r="F17" s="49">
        <v>269.2</v>
      </c>
      <c r="H17" s="74"/>
      <c r="I17" s="86"/>
      <c r="J17" s="87"/>
      <c r="K17" s="90">
        <f>IF($B$8&lt;$B$3,$D$5,($D$3+($B$8-$B$3)*($D$2-$D$3)/($B$2-$B$3)))</f>
        <v>0</v>
      </c>
      <c r="L17" s="70"/>
      <c r="M17" s="70"/>
    </row>
    <row r="18" spans="2:13">
      <c r="B18" s="35">
        <v>10400</v>
      </c>
      <c r="C18" s="35">
        <v>260.79000000000002</v>
      </c>
      <c r="E18" s="40">
        <v>1600</v>
      </c>
      <c r="F18" s="47">
        <v>270</v>
      </c>
      <c r="H18" s="79" t="s">
        <v>66</v>
      </c>
      <c r="I18" s="89">
        <f>'Form N102NS'!D31</f>
        <v>11299</v>
      </c>
      <c r="J18" s="87">
        <f>IF($B$8&lt;$B$4,$C$5,($C$4+($B$8-$B$4)*($C$2-$C$4)/($B$2-$B$4)))</f>
        <v>272.38066666666668</v>
      </c>
      <c r="K18" s="90">
        <f>IF($B$9&lt;$B$3,$D$5,($D$3+($B$9-$B$3)*($D$2-$D$3)/($B$2-$B$3)))</f>
        <v>0</v>
      </c>
      <c r="L18" s="70"/>
      <c r="M18" s="70"/>
    </row>
    <row r="19" spans="2:13" ht="17" thickBot="1">
      <c r="B19" s="35">
        <v>10500</v>
      </c>
      <c r="C19" s="35">
        <v>260.79000000000002</v>
      </c>
      <c r="E19" s="39">
        <v>1700</v>
      </c>
      <c r="F19" s="50" t="s">
        <v>48</v>
      </c>
      <c r="H19" s="81" t="s">
        <v>67</v>
      </c>
      <c r="I19" s="91">
        <f>'Form N102NS'!D39</f>
        <v>11299</v>
      </c>
      <c r="J19" s="92">
        <f>IF($B$9&lt;$B$4,$C$5,($C$4+($B$9-$B$4)*($C$2-$C$4)/($B$2-$B$4)))</f>
        <v>275.27833333333336</v>
      </c>
      <c r="K19" s="69"/>
      <c r="L19" s="70"/>
      <c r="M19" s="70"/>
    </row>
    <row r="20" spans="2:13" ht="17" thickBot="1">
      <c r="B20" s="35">
        <v>10600</v>
      </c>
      <c r="C20" s="35">
        <v>260.79000000000002</v>
      </c>
      <c r="E20" s="40">
        <v>1800</v>
      </c>
      <c r="F20" s="47">
        <v>271.2</v>
      </c>
      <c r="H20" s="67"/>
      <c r="I20" s="67"/>
      <c r="J20" s="68"/>
      <c r="K20" s="69"/>
      <c r="L20" s="70"/>
      <c r="M20" s="70"/>
    </row>
    <row r="21" spans="2:13" ht="17" thickBot="1">
      <c r="B21" s="35">
        <v>10700</v>
      </c>
      <c r="C21" s="35">
        <v>260.79000000000002</v>
      </c>
      <c r="E21" s="40">
        <v>1900</v>
      </c>
      <c r="F21" s="51">
        <v>271.8</v>
      </c>
      <c r="H21" s="71" t="s">
        <v>52</v>
      </c>
      <c r="I21" s="72" t="s">
        <v>53</v>
      </c>
      <c r="J21" s="73" t="s">
        <v>54</v>
      </c>
      <c r="K21" s="69"/>
      <c r="L21" s="70"/>
      <c r="M21" s="70"/>
    </row>
    <row r="22" spans="2:13">
      <c r="B22" s="35">
        <v>10800</v>
      </c>
      <c r="C22" s="35">
        <v>260.79000000000002</v>
      </c>
      <c r="E22" s="39">
        <v>2000</v>
      </c>
      <c r="F22" s="47">
        <v>272.3</v>
      </c>
      <c r="H22" s="74"/>
      <c r="I22" s="69">
        <v>4600</v>
      </c>
      <c r="J22" s="75">
        <v>147.82</v>
      </c>
      <c r="K22" s="69"/>
      <c r="L22" s="70"/>
      <c r="M22" s="70"/>
    </row>
    <row r="23" spans="2:13">
      <c r="B23" s="35">
        <v>10900</v>
      </c>
      <c r="C23" s="35">
        <v>260.79000000000002</v>
      </c>
      <c r="E23" s="40">
        <v>2100</v>
      </c>
      <c r="F23" s="50">
        <v>272.89999999999998</v>
      </c>
      <c r="H23" s="74"/>
      <c r="I23" s="69">
        <v>5800</v>
      </c>
      <c r="J23" s="75">
        <v>147.82</v>
      </c>
      <c r="K23" s="69"/>
      <c r="L23" s="70"/>
      <c r="M23" s="70"/>
    </row>
    <row r="24" spans="2:13">
      <c r="B24" s="35">
        <v>11000</v>
      </c>
      <c r="C24" s="35">
        <v>260.79000000000002</v>
      </c>
      <c r="E24" s="39">
        <v>2200</v>
      </c>
      <c r="F24" s="51">
        <v>273.5</v>
      </c>
      <c r="H24" s="74"/>
      <c r="I24" s="69">
        <v>7100</v>
      </c>
      <c r="J24" s="75">
        <v>152.56</v>
      </c>
      <c r="K24" s="69"/>
      <c r="L24" s="70"/>
      <c r="M24" s="70"/>
    </row>
    <row r="25" spans="2:13">
      <c r="B25" s="35">
        <v>11100</v>
      </c>
      <c r="C25" s="35">
        <v>260.79000000000002</v>
      </c>
      <c r="E25" s="39">
        <v>2300</v>
      </c>
      <c r="F25" s="50">
        <v>274.10000000000002</v>
      </c>
      <c r="H25" s="74"/>
      <c r="I25" s="69">
        <v>7100</v>
      </c>
      <c r="J25" s="75">
        <v>159.9</v>
      </c>
      <c r="K25" s="69"/>
      <c r="L25" s="70"/>
      <c r="M25" s="70"/>
    </row>
    <row r="26" spans="2:13">
      <c r="B26" s="35">
        <v>11200</v>
      </c>
      <c r="C26" s="35">
        <v>260.79000000000002</v>
      </c>
      <c r="E26" s="39">
        <v>2400</v>
      </c>
      <c r="F26" s="51">
        <v>274.5</v>
      </c>
      <c r="H26" s="74"/>
      <c r="I26" s="69">
        <v>6750</v>
      </c>
      <c r="J26" s="75">
        <v>160.04</v>
      </c>
      <c r="K26" s="69"/>
      <c r="L26" s="70"/>
      <c r="M26" s="70"/>
    </row>
    <row r="27" spans="2:13">
      <c r="B27" s="35">
        <v>11300</v>
      </c>
      <c r="C27" s="35">
        <v>260.79000000000002</v>
      </c>
      <c r="E27" s="39">
        <v>2500</v>
      </c>
      <c r="F27" s="51">
        <v>274.89999999999998</v>
      </c>
      <c r="H27" s="74"/>
      <c r="I27" s="69">
        <v>4600</v>
      </c>
      <c r="J27" s="75">
        <v>160.04</v>
      </c>
      <c r="K27" s="69"/>
      <c r="L27" s="70"/>
      <c r="M27" s="70"/>
    </row>
    <row r="28" spans="2:13">
      <c r="B28" s="35">
        <v>11400</v>
      </c>
      <c r="C28" s="35">
        <v>260.79000000000002</v>
      </c>
      <c r="E28" s="39">
        <v>2600</v>
      </c>
      <c r="F28" s="47">
        <v>275.3</v>
      </c>
      <c r="H28" s="74" t="s">
        <v>55</v>
      </c>
      <c r="I28" s="76">
        <f>'[1]Weight &amp; Balance'!$B$38</f>
        <v>7127</v>
      </c>
      <c r="J28" s="75">
        <f>'[1]Weight &amp; Balance'!$D$38*1000/'[1]Weight &amp; Balance'!$B$38</f>
        <v>159.91432580328328</v>
      </c>
      <c r="K28" s="70"/>
      <c r="L28" s="70"/>
      <c r="M28" s="70"/>
    </row>
    <row r="29" spans="2:13">
      <c r="B29" s="36">
        <v>11500</v>
      </c>
      <c r="C29" s="32">
        <v>260.79000000000002</v>
      </c>
      <c r="E29" s="39">
        <v>2700</v>
      </c>
      <c r="F29" s="51">
        <v>275.60000000000002</v>
      </c>
      <c r="H29" s="74" t="s">
        <v>56</v>
      </c>
      <c r="I29" s="77">
        <f>'[1]Weight &amp; Balance'!$B$36</f>
        <v>6515</v>
      </c>
      <c r="J29" s="78">
        <f>'[1]Weight &amp; Balance'!$D$36*1000/'[1]Weight &amp; Balance'!$B$36</f>
        <v>159.7184036838066</v>
      </c>
      <c r="K29" s="70"/>
      <c r="L29" s="70"/>
      <c r="M29" s="70"/>
    </row>
    <row r="30" spans="2:13">
      <c r="B30" s="36">
        <v>11600</v>
      </c>
      <c r="C30" s="32">
        <v>260.79000000000002</v>
      </c>
      <c r="E30" s="41">
        <v>2750</v>
      </c>
      <c r="F30" s="51">
        <v>276</v>
      </c>
      <c r="H30" s="79" t="s">
        <v>57</v>
      </c>
      <c r="I30" s="69">
        <f>'[1]Weight &amp; Balance'!I55</f>
        <v>0</v>
      </c>
      <c r="J30" s="80" t="str">
        <f>'[1]Weight &amp; Balance'!I60</f>
        <v> Start</v>
      </c>
      <c r="K30" s="70"/>
      <c r="L30" s="70"/>
      <c r="M30" s="70"/>
    </row>
    <row r="31" spans="2:13" ht="17" thickBot="1">
      <c r="B31" s="36">
        <v>11700</v>
      </c>
      <c r="C31" s="32">
        <v>260.79000000000002</v>
      </c>
      <c r="E31" s="39">
        <v>2800</v>
      </c>
      <c r="F31" s="50">
        <v>276.10000000000002</v>
      </c>
      <c r="H31" s="81" t="s">
        <v>58</v>
      </c>
      <c r="I31" s="82">
        <f>'[1]Weight &amp; Balance'!I57</f>
        <v>0</v>
      </c>
      <c r="J31" s="83" t="str">
        <f>'[1]Weight &amp; Balance'!I61</f>
        <v>Fuel Used:</v>
      </c>
      <c r="K31" s="70"/>
      <c r="L31" s="70"/>
      <c r="M31" s="70"/>
    </row>
    <row r="32" spans="2:13">
      <c r="B32" s="36">
        <v>11800</v>
      </c>
      <c r="C32" s="32">
        <v>260.79000000000002</v>
      </c>
      <c r="E32" s="40">
        <v>2863</v>
      </c>
      <c r="F32" s="51">
        <v>276.60000000000002</v>
      </c>
      <c r="H32" s="70"/>
      <c r="I32" s="70"/>
      <c r="J32" s="70"/>
      <c r="K32" s="84">
        <v>13000</v>
      </c>
      <c r="L32" s="70"/>
      <c r="M32" s="70"/>
    </row>
    <row r="33" spans="2:13">
      <c r="B33" s="36">
        <v>11900</v>
      </c>
      <c r="C33" s="32">
        <v>260.79000000000002</v>
      </c>
      <c r="E33" s="39">
        <v>2900</v>
      </c>
      <c r="F33" s="51">
        <v>276.2</v>
      </c>
      <c r="H33" s="173" t="s">
        <v>59</v>
      </c>
      <c r="I33" s="173"/>
      <c r="J33" s="173"/>
      <c r="K33" s="84">
        <v>13000</v>
      </c>
      <c r="L33" s="70">
        <f>IF(K32&lt;I14,J14,J12-((I12-K32)/(I12-I14))*(J12-J14))</f>
        <v>262.52698630136985</v>
      </c>
      <c r="M33" s="70">
        <f>IF(K32&lt;I13,K13,K12-(((I12-K32)/(I12-I13))*(K12-K13)))</f>
        <v>274.3</v>
      </c>
    </row>
    <row r="34" spans="2:13">
      <c r="B34" s="36">
        <v>12000</v>
      </c>
      <c r="C34" s="32">
        <v>260.79000000000002</v>
      </c>
      <c r="E34" s="43">
        <v>2948</v>
      </c>
      <c r="F34" s="52">
        <v>275.8</v>
      </c>
      <c r="H34" s="173" t="s">
        <v>60</v>
      </c>
      <c r="I34" s="173"/>
      <c r="J34" s="173"/>
      <c r="K34" s="84">
        <v>16500</v>
      </c>
      <c r="L34" s="70">
        <f>IF(K33&lt;I15,J15,J13-((I13-K33)/(I13-I15))*(J13-J15))</f>
        <v>258.13141176470589</v>
      </c>
      <c r="M34" s="70" t="e">
        <f>IF(K33&gt;I14,#REF!,K13-(((I13-K33)/(I13-I14))*(K13-#REF!)))</f>
        <v>#REF!</v>
      </c>
    </row>
    <row r="35" spans="2:13">
      <c r="B35" s="36">
        <v>12100</v>
      </c>
      <c r="C35" s="32">
        <v>260.79000000000002</v>
      </c>
      <c r="E35" s="44">
        <v>3000</v>
      </c>
      <c r="F35" s="52">
        <v>275.3</v>
      </c>
      <c r="H35" s="173" t="s">
        <v>61</v>
      </c>
      <c r="I35" s="173"/>
      <c r="J35" s="173"/>
      <c r="K35" s="84">
        <v>6750</v>
      </c>
      <c r="L35" s="70"/>
      <c r="M35" s="70"/>
    </row>
    <row r="36" spans="2:13">
      <c r="B36" s="36">
        <v>12200</v>
      </c>
      <c r="C36" s="32">
        <v>260.79000000000002</v>
      </c>
      <c r="E36" s="43">
        <v>3100</v>
      </c>
      <c r="F36" s="52">
        <v>274.5</v>
      </c>
      <c r="H36" s="173" t="s">
        <v>62</v>
      </c>
      <c r="I36" s="173"/>
      <c r="J36" s="173"/>
      <c r="L36" s="70"/>
      <c r="M36" s="70"/>
    </row>
    <row r="37" spans="2:13">
      <c r="B37" s="36">
        <v>12300</v>
      </c>
      <c r="C37" s="32">
        <v>260.79000000000002</v>
      </c>
      <c r="E37" s="43">
        <v>3200</v>
      </c>
      <c r="F37" s="52">
        <v>273.39999999999998</v>
      </c>
    </row>
    <row r="38" spans="2:13">
      <c r="B38" s="36">
        <v>12400</v>
      </c>
      <c r="C38" s="32">
        <v>260.79000000000002</v>
      </c>
      <c r="E38" s="43">
        <v>3300</v>
      </c>
      <c r="F38" s="52">
        <v>271.89999999999998</v>
      </c>
    </row>
    <row r="39" spans="2:13">
      <c r="B39" s="36">
        <v>12500</v>
      </c>
      <c r="C39" s="32">
        <v>260.79000000000002</v>
      </c>
      <c r="E39" s="43">
        <v>3400</v>
      </c>
      <c r="F39" s="52">
        <v>270.39999999999998</v>
      </c>
    </row>
    <row r="40" spans="2:13">
      <c r="B40" s="36">
        <v>12600</v>
      </c>
      <c r="C40" s="32">
        <v>260.79000000000002</v>
      </c>
      <c r="E40" s="43">
        <v>3500</v>
      </c>
      <c r="F40" s="52">
        <v>269.10000000000002</v>
      </c>
    </row>
    <row r="41" spans="2:13">
      <c r="B41" s="36">
        <v>12700</v>
      </c>
      <c r="C41" s="32">
        <v>260.79000000000002</v>
      </c>
      <c r="E41" s="43">
        <v>3600</v>
      </c>
      <c r="F41" s="52">
        <v>267.89999999999998</v>
      </c>
    </row>
    <row r="42" spans="2:13">
      <c r="B42" s="36">
        <v>12800</v>
      </c>
      <c r="C42" s="32">
        <v>260.79000000000002</v>
      </c>
      <c r="E42" s="43">
        <v>3700</v>
      </c>
      <c r="F42" s="52">
        <v>267.8</v>
      </c>
    </row>
    <row r="43" spans="2:13">
      <c r="B43" s="36">
        <v>12900</v>
      </c>
      <c r="C43" s="32">
        <v>260.79000000000002</v>
      </c>
      <c r="E43" s="43">
        <v>3800</v>
      </c>
      <c r="F43" s="52">
        <v>267.89999999999998</v>
      </c>
    </row>
    <row r="44" spans="2:13">
      <c r="B44" s="36">
        <v>13000</v>
      </c>
      <c r="C44" s="32">
        <v>260.79000000000002</v>
      </c>
      <c r="E44" s="43">
        <v>3900</v>
      </c>
      <c r="F44" s="52">
        <v>269.2</v>
      </c>
    </row>
    <row r="45" spans="2:13">
      <c r="B45" s="36">
        <v>13100</v>
      </c>
      <c r="C45" s="32">
        <v>260.79000000000002</v>
      </c>
      <c r="E45" s="44">
        <v>4000</v>
      </c>
      <c r="F45" s="52">
        <v>270.60000000000002</v>
      </c>
    </row>
    <row r="46" spans="2:13">
      <c r="B46" s="36">
        <v>13200</v>
      </c>
      <c r="C46" s="32">
        <v>260.79000000000002</v>
      </c>
      <c r="E46" s="44">
        <v>4100</v>
      </c>
      <c r="F46" s="53">
        <v>272</v>
      </c>
    </row>
    <row r="47" spans="2:13">
      <c r="B47" s="36">
        <v>13300</v>
      </c>
      <c r="C47" s="32">
        <v>260.8</v>
      </c>
      <c r="E47" s="44">
        <v>4200</v>
      </c>
      <c r="F47" s="52">
        <v>273.8</v>
      </c>
    </row>
    <row r="48" spans="2:13">
      <c r="B48" s="36">
        <v>13400</v>
      </c>
      <c r="C48" s="32">
        <v>260.83</v>
      </c>
      <c r="E48" s="44">
        <v>4300</v>
      </c>
      <c r="F48" s="53">
        <v>275.5</v>
      </c>
    </row>
    <row r="49" spans="2:6">
      <c r="B49" s="36">
        <v>13500</v>
      </c>
      <c r="C49" s="32">
        <v>260.85000000000002</v>
      </c>
      <c r="E49" s="44">
        <v>4400</v>
      </c>
      <c r="F49" s="52">
        <v>277.2</v>
      </c>
    </row>
    <row r="50" spans="2:6">
      <c r="B50" s="36">
        <v>13600</v>
      </c>
      <c r="C50" s="32">
        <v>260.89</v>
      </c>
      <c r="E50" s="44">
        <v>4500</v>
      </c>
      <c r="F50" s="53">
        <v>278.8</v>
      </c>
    </row>
    <row r="51" spans="2:6">
      <c r="B51" s="36">
        <v>13700</v>
      </c>
      <c r="C51" s="32">
        <v>260.94</v>
      </c>
      <c r="E51" s="44">
        <v>4600</v>
      </c>
      <c r="F51" s="52">
        <v>280.3</v>
      </c>
    </row>
    <row r="52" spans="2:6">
      <c r="B52" s="36">
        <v>13800</v>
      </c>
      <c r="C52" s="32">
        <v>261.01</v>
      </c>
      <c r="E52" s="44">
        <v>4700</v>
      </c>
      <c r="F52" s="52">
        <v>281.8</v>
      </c>
    </row>
    <row r="53" spans="2:6">
      <c r="B53" s="36">
        <v>13900</v>
      </c>
      <c r="C53" s="32">
        <v>261.08</v>
      </c>
      <c r="E53" s="44">
        <v>4765</v>
      </c>
      <c r="F53" s="52">
        <v>282.7</v>
      </c>
    </row>
    <row r="54" spans="2:6">
      <c r="B54" s="34">
        <v>14000</v>
      </c>
      <c r="C54" s="33">
        <v>261.19</v>
      </c>
      <c r="E54" s="44">
        <v>4800</v>
      </c>
      <c r="F54" s="52">
        <v>283.2</v>
      </c>
    </row>
    <row r="55" spans="2:6">
      <c r="B55" s="34">
        <v>14100</v>
      </c>
      <c r="C55" s="33">
        <v>261.32</v>
      </c>
      <c r="E55" s="44">
        <v>4900</v>
      </c>
      <c r="F55" s="52">
        <v>284.60000000000002</v>
      </c>
    </row>
    <row r="56" spans="2:6">
      <c r="B56" s="37">
        <v>14200</v>
      </c>
      <c r="C56" s="33">
        <v>261.44</v>
      </c>
      <c r="E56" s="44">
        <v>4912</v>
      </c>
      <c r="F56" s="52">
        <v>284.7</v>
      </c>
    </row>
    <row r="57" spans="2:6">
      <c r="B57" s="34">
        <v>14300</v>
      </c>
      <c r="C57" s="33">
        <v>261.56</v>
      </c>
    </row>
    <row r="58" spans="2:6">
      <c r="B58" s="34">
        <v>14400</v>
      </c>
      <c r="C58" s="33">
        <v>261.68</v>
      </c>
    </row>
    <row r="59" spans="2:6">
      <c r="B59" s="34">
        <v>14500</v>
      </c>
      <c r="C59" s="33">
        <v>261.79000000000002</v>
      </c>
    </row>
    <row r="60" spans="2:6">
      <c r="B60" s="34">
        <v>14600</v>
      </c>
      <c r="C60" s="33">
        <v>261.92</v>
      </c>
    </row>
    <row r="61" spans="2:6">
      <c r="B61" s="34">
        <v>14700</v>
      </c>
      <c r="C61" s="33">
        <v>262.04000000000002</v>
      </c>
    </row>
    <row r="62" spans="2:6">
      <c r="B62" s="34">
        <v>14800</v>
      </c>
      <c r="C62" s="34">
        <v>262.14999999999998</v>
      </c>
    </row>
    <row r="63" spans="2:6">
      <c r="B63" s="34">
        <v>14900</v>
      </c>
      <c r="C63" s="33">
        <v>262.27999999999997</v>
      </c>
    </row>
    <row r="64" spans="2:6">
      <c r="B64" s="34">
        <v>15000</v>
      </c>
      <c r="C64" s="33">
        <v>262.39999999999998</v>
      </c>
    </row>
    <row r="65" spans="2:3">
      <c r="B65" s="34">
        <v>15100</v>
      </c>
      <c r="C65" s="33">
        <v>262.52</v>
      </c>
    </row>
    <row r="66" spans="2:3">
      <c r="B66" s="34">
        <v>15200</v>
      </c>
      <c r="C66" s="37">
        <v>262.64</v>
      </c>
    </row>
    <row r="67" spans="2:3">
      <c r="B67" s="34">
        <v>15300</v>
      </c>
      <c r="C67" s="33">
        <v>262.76</v>
      </c>
    </row>
    <row r="68" spans="2:3">
      <c r="B68" s="34">
        <v>15400</v>
      </c>
      <c r="C68" s="33">
        <v>262.88</v>
      </c>
    </row>
    <row r="69" spans="2:3">
      <c r="B69" s="34">
        <v>15500</v>
      </c>
      <c r="C69" s="33">
        <v>263</v>
      </c>
    </row>
    <row r="70" spans="2:3">
      <c r="B70" s="34">
        <v>15600</v>
      </c>
      <c r="C70" s="33">
        <v>263.12</v>
      </c>
    </row>
    <row r="71" spans="2:3">
      <c r="B71" s="34">
        <v>15700</v>
      </c>
      <c r="C71" s="33">
        <v>263.24</v>
      </c>
    </row>
    <row r="72" spans="2:3">
      <c r="B72" s="34">
        <v>15800</v>
      </c>
      <c r="C72" s="33">
        <v>263.36</v>
      </c>
    </row>
    <row r="73" spans="2:3">
      <c r="B73" s="34">
        <v>15900</v>
      </c>
      <c r="C73" s="33">
        <v>263.48</v>
      </c>
    </row>
    <row r="74" spans="2:3">
      <c r="B74" s="34">
        <v>16000</v>
      </c>
      <c r="C74" s="33">
        <v>263.61</v>
      </c>
    </row>
    <row r="75" spans="2:3">
      <c r="B75" s="34">
        <v>16100</v>
      </c>
      <c r="C75" s="37">
        <v>263.72000000000003</v>
      </c>
    </row>
    <row r="76" spans="2:3">
      <c r="B76" s="37">
        <v>16200</v>
      </c>
      <c r="C76" s="37">
        <v>263.83999999999997</v>
      </c>
    </row>
    <row r="77" spans="2:3">
      <c r="B77" s="34">
        <v>16300</v>
      </c>
      <c r="C77" s="33">
        <v>263.95999999999998</v>
      </c>
    </row>
  </sheetData>
  <sheetProtection algorithmName="SHA-512" hashValue="6qwd6BmcxkWdPVtRw3UUljkO0f1hMJuzYMUJuqVoEc6P2OyIueycsniEevYKjS4zjR1M7enS+jZ3AuTSX1FKjQ==" saltValue="WYmCecZM+0ygPMQhcqVjUQ==" spinCount="100000" sheet="1" objects="1" scenarios="1" selectLockedCells="1"/>
  <mergeCells count="4">
    <mergeCell ref="H33:J33"/>
    <mergeCell ref="H34:J34"/>
    <mergeCell ref="H35:J35"/>
    <mergeCell ref="H36:J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Log N102NS</vt:lpstr>
      <vt:lpstr>Graph N102NS</vt:lpstr>
      <vt:lpstr>Form N102NS</vt:lpstr>
      <vt:lpstr>DATA</vt:lpstr>
      <vt:lpstr>'Form N102NS'!Print_Area</vt:lpstr>
      <vt:lpstr>'Log N102NS'!Print_Area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geoff hatcher</cp:lastModifiedBy>
  <cp:lastPrinted>2019-12-12T14:11:59Z</cp:lastPrinted>
  <dcterms:created xsi:type="dcterms:W3CDTF">2017-06-08T19:22:25Z</dcterms:created>
  <dcterms:modified xsi:type="dcterms:W3CDTF">2019-12-25T21:50:08Z</dcterms:modified>
</cp:coreProperties>
</file>