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geoffhatcher/Documents/Aviation/M2/"/>
    </mc:Choice>
  </mc:AlternateContent>
  <xr:revisionPtr revIDLastSave="0" documentId="13_ncr:1_{4A3C44C2-180E-A44E-A5D7-A207B6D30433}" xr6:coauthVersionLast="43" xr6:coauthVersionMax="43" xr10:uidLastSave="{00000000-0000-0000-0000-000000000000}"/>
  <workbookProtection workbookAlgorithmName="SHA-512" workbookHashValue="l5If6GMMIBddKbK/tttDnMxiR38EmKvXCsD2oafZI3M5jFX9VMt7TEsDkT/ZksbsjEmAS3WEq173DHrZB7pr0A==" workbookSaltValue="MM49xR5CBxkWtCmTmiKFUw==" workbookSpinCount="100000" lockStructure="1"/>
  <bookViews>
    <workbookView xWindow="0" yWindow="460" windowWidth="28800" windowHeight="16100" xr2:uid="{00000000-000D-0000-FFFF-FFFF00000000}"/>
  </bookViews>
  <sheets>
    <sheet name="N311GL" sheetId="4" r:id="rId1"/>
    <sheet name="CE525 Wgt &amp; Bal" sheetId="1" state="hidden" r:id="rId2"/>
    <sheet name="DATA" sheetId="7" state="hidden" r:id="rId3"/>
  </sheets>
  <externalReferences>
    <externalReference r:id="rId4"/>
  </externalReferences>
  <definedNames>
    <definedName name="_xlnm.Print_Area" localSheetId="0">N311GL!$A$1:$J$37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0" i="7" l="1"/>
  <c r="H50" i="7"/>
  <c r="L49" i="7"/>
  <c r="H49" i="7"/>
  <c r="L48" i="7"/>
  <c r="H48" i="7"/>
  <c r="L47" i="7"/>
  <c r="H47" i="7"/>
  <c r="L46" i="7"/>
  <c r="H46" i="7"/>
  <c r="L45" i="7"/>
  <c r="H45" i="7"/>
  <c r="L44" i="7"/>
  <c r="H44" i="7"/>
  <c r="L43" i="7"/>
  <c r="H43" i="7"/>
  <c r="L42" i="7"/>
  <c r="H42" i="7"/>
  <c r="L41" i="7"/>
  <c r="H41" i="7"/>
  <c r="L40" i="7"/>
  <c r="H40" i="7"/>
  <c r="L39" i="7"/>
  <c r="H39" i="7"/>
  <c r="L38" i="7"/>
  <c r="H38" i="7"/>
  <c r="L37" i="7"/>
  <c r="H37" i="7"/>
  <c r="L36" i="7"/>
  <c r="H36" i="7"/>
  <c r="L35" i="7"/>
  <c r="H35" i="7"/>
  <c r="L34" i="7"/>
  <c r="H34" i="7"/>
  <c r="L33" i="7"/>
  <c r="H33" i="7"/>
  <c r="L32" i="7"/>
  <c r="H32" i="7"/>
  <c r="L31" i="7"/>
  <c r="H31" i="7"/>
  <c r="L30" i="7"/>
  <c r="H30" i="7"/>
  <c r="L29" i="7"/>
  <c r="H29" i="7"/>
  <c r="L28" i="7"/>
  <c r="H28" i="7"/>
  <c r="L27" i="7"/>
  <c r="H27" i="7"/>
  <c r="L26" i="7"/>
  <c r="H26" i="7"/>
  <c r="L25" i="7"/>
  <c r="H25" i="7"/>
  <c r="L24" i="7"/>
  <c r="H24" i="7"/>
  <c r="L23" i="7"/>
  <c r="H23" i="7"/>
  <c r="L22" i="7"/>
  <c r="H22" i="7"/>
  <c r="L21" i="7"/>
  <c r="H21" i="7"/>
  <c r="L20" i="7"/>
  <c r="H20" i="7"/>
  <c r="L19" i="7"/>
  <c r="H19" i="7"/>
  <c r="L18" i="7"/>
  <c r="H18" i="7"/>
  <c r="L17" i="7"/>
  <c r="H17" i="7"/>
  <c r="L16" i="7"/>
  <c r="H16" i="7"/>
  <c r="L15" i="7"/>
  <c r="H15" i="7"/>
  <c r="L14" i="7"/>
  <c r="H14" i="7"/>
  <c r="L13" i="7"/>
  <c r="H13" i="7"/>
  <c r="L12" i="7"/>
  <c r="H12" i="7"/>
  <c r="L11" i="7"/>
  <c r="H11" i="7"/>
  <c r="L10" i="7"/>
  <c r="H10" i="7"/>
  <c r="L9" i="7"/>
  <c r="H9" i="7"/>
  <c r="L8" i="7"/>
  <c r="H8" i="7"/>
  <c r="D3" i="7"/>
  <c r="B27" i="1" l="1"/>
  <c r="B25" i="1"/>
  <c r="B24" i="1"/>
  <c r="B15" i="1"/>
  <c r="B16" i="1"/>
  <c r="B17" i="1"/>
  <c r="B18" i="1"/>
  <c r="B19" i="1"/>
  <c r="B20" i="1"/>
  <c r="B14" i="1"/>
  <c r="B8" i="1"/>
  <c r="B9" i="1"/>
  <c r="B10" i="1"/>
  <c r="B11" i="1"/>
  <c r="B12" i="1"/>
  <c r="D12" i="1" s="1"/>
  <c r="B7" i="1"/>
  <c r="C6" i="1"/>
  <c r="C24" i="1" l="1"/>
  <c r="D24" i="1" s="1"/>
  <c r="B26" i="1"/>
  <c r="B21" i="1"/>
  <c r="C17" i="4" s="1"/>
  <c r="D14" i="1"/>
  <c r="B13" i="1"/>
  <c r="B28" i="1" l="1"/>
  <c r="C24" i="4" s="1"/>
  <c r="C26" i="1"/>
  <c r="D26" i="1" s="1"/>
  <c r="C22" i="4"/>
  <c r="B22" i="1"/>
  <c r="B30" i="1" s="1"/>
  <c r="C26" i="4" s="1"/>
  <c r="Q12" i="7" s="1"/>
  <c r="C9" i="4"/>
  <c r="C28" i="1" l="1"/>
  <c r="D28" i="1" s="1"/>
  <c r="B35" i="1"/>
  <c r="B32" i="1"/>
  <c r="C18" i="4"/>
  <c r="Q9" i="7" s="1"/>
  <c r="B33" i="1" l="1"/>
  <c r="D28" i="4" s="1"/>
  <c r="N2" i="7"/>
  <c r="D39" i="1" s="1"/>
  <c r="I2" i="7"/>
  <c r="B39" i="1" s="1"/>
  <c r="B36" i="1"/>
  <c r="D31" i="4" s="1"/>
  <c r="I3" i="7"/>
  <c r="B40" i="1" s="1"/>
  <c r="N3" i="7"/>
  <c r="D40" i="1" s="1"/>
  <c r="C31" i="4"/>
  <c r="Q10" i="7" s="1"/>
  <c r="C28" i="4"/>
  <c r="Q11" i="7" s="1"/>
  <c r="D7" i="1" l="1"/>
  <c r="D8" i="1"/>
  <c r="D9" i="1"/>
  <c r="D10" i="1"/>
  <c r="D16" i="1"/>
  <c r="D17" i="1"/>
  <c r="D18" i="1"/>
  <c r="D15" i="1"/>
  <c r="D19" i="1"/>
  <c r="D20" i="1"/>
  <c r="D11" i="1"/>
  <c r="E6" i="1"/>
  <c r="D13" i="1" l="1"/>
  <c r="D22" i="1" s="1"/>
  <c r="C22" i="1" s="1"/>
  <c r="D32" i="1" l="1"/>
  <c r="D30" i="1"/>
  <c r="C30" i="1" s="1"/>
  <c r="D35" i="1"/>
  <c r="C35" i="1" s="1"/>
  <c r="C39" i="1" l="1"/>
  <c r="C32" i="1"/>
  <c r="D35" i="4"/>
  <c r="E39" i="1"/>
  <c r="C40" i="1"/>
  <c r="D36" i="4" s="1"/>
  <c r="E35" i="4" l="1"/>
  <c r="E36" i="4"/>
  <c r="E40" i="1" l="1"/>
  <c r="C36" i="4"/>
  <c r="F36" i="4" s="1"/>
  <c r="C35" i="4"/>
  <c r="F35" i="4" s="1"/>
</calcChain>
</file>

<file path=xl/sharedStrings.xml><?xml version="1.0" encoding="utf-8"?>
<sst xmlns="http://schemas.openxmlformats.org/spreadsheetml/2006/main" count="96" uniqueCount="61">
  <si>
    <t>Min.Fwd.C.G. at Takeoff Wgt =</t>
  </si>
  <si>
    <t>Min.Aft.C.G. at Takeoff Wgt =</t>
  </si>
  <si>
    <t>Enter data in the yellow highlighted areas</t>
  </si>
  <si>
    <t>Min.Fwd.C.G. at Landing Wgt =</t>
  </si>
  <si>
    <t>Min.Aft.C.G. at Landing Wgt =</t>
  </si>
  <si>
    <t>Weight</t>
  </si>
  <si>
    <t>Arm</t>
  </si>
  <si>
    <t>Moment</t>
  </si>
  <si>
    <t>CG</t>
  </si>
  <si>
    <t>Moment/100</t>
  </si>
  <si>
    <t>Arm (inches)</t>
  </si>
  <si>
    <t>FWD C.G. LIMITS</t>
  </si>
  <si>
    <t>AFT C.G. LIMITS</t>
  </si>
  <si>
    <t>(lbs)</t>
  </si>
  <si>
    <t>(inches)</t>
  </si>
  <si>
    <t>(in. lbs./100)</t>
  </si>
  <si>
    <t>Mom./100</t>
  </si>
  <si>
    <t>C.G.</t>
  </si>
  <si>
    <r>
      <rPr>
        <sz val="10"/>
        <color indexed="8"/>
        <rFont val="Arial"/>
        <family val="2"/>
      </rPr>
      <t xml:space="preserve">RH FWD Slimline Cabinet </t>
    </r>
    <r>
      <rPr>
        <sz val="8"/>
        <color indexed="8"/>
        <rFont val="Arial"/>
        <family val="2"/>
      </rPr>
      <t>(10 lbs max)</t>
    </r>
  </si>
  <si>
    <r>
      <rPr>
        <sz val="10"/>
        <color indexed="8"/>
        <rFont val="Arial"/>
        <family val="2"/>
      </rPr>
      <t xml:space="preserve">LH FWD Refreshment Center </t>
    </r>
    <r>
      <rPr>
        <sz val="8"/>
        <color indexed="8"/>
        <rFont val="Arial"/>
        <family val="2"/>
      </rPr>
      <t>(112 lbs max)</t>
    </r>
  </si>
  <si>
    <r>
      <rPr>
        <sz val="10"/>
        <color indexed="8"/>
        <rFont val="Arial"/>
        <family val="2"/>
      </rPr>
      <t xml:space="preserve">Seats 3 &amp; 4 </t>
    </r>
    <r>
      <rPr>
        <sz val="9"/>
        <color indexed="8"/>
        <rFont val="Arial"/>
        <family val="2"/>
      </rPr>
      <t>(aft facing club seats)</t>
    </r>
  </si>
  <si>
    <r>
      <rPr>
        <sz val="10"/>
        <color indexed="8"/>
        <rFont val="Arial"/>
        <family val="2"/>
      </rPr>
      <t>Seast 5 &amp; 6</t>
    </r>
    <r>
      <rPr>
        <sz val="9"/>
        <color indexed="8"/>
        <rFont val="Arial"/>
        <family val="2"/>
      </rPr>
      <t xml:space="preserve"> (forward facing club seats)</t>
    </r>
  </si>
  <si>
    <t>Nose Compartment Baggage (max = 400 lbs)</t>
  </si>
  <si>
    <t>Aft Tailcone Baggage (max = 600 lbs)</t>
  </si>
  <si>
    <t>________</t>
  </si>
  <si>
    <t>NOTES:</t>
  </si>
  <si>
    <t>CG Limits for this Takeoff Weight   (inches)</t>
  </si>
  <si>
    <t>CG Limits for this Landing Weight   (inches)</t>
  </si>
  <si>
    <t>`</t>
  </si>
  <si>
    <t>toilet seat</t>
  </si>
  <si>
    <t>Ramp Weight (10800 max)</t>
  </si>
  <si>
    <t>Operating weight</t>
  </si>
  <si>
    <t>Taxi fuel</t>
  </si>
  <si>
    <t>Take off fuel</t>
  </si>
  <si>
    <t>Landing Weight (9900 max)</t>
  </si>
  <si>
    <t>Cessna Citation M2 N311GL #962 WEIGHT and BALANCE CALCULATION</t>
  </si>
  <si>
    <t>N311GL date of last wgt &amp; bal = 9/21/2017 @ Cessna factory, Wichita</t>
  </si>
  <si>
    <t>Fuel Schedule</t>
  </si>
  <si>
    <t>Takeoff Weight(10,700 max)</t>
  </si>
  <si>
    <t>FWD Limit</t>
  </si>
  <si>
    <t>AFT Limit</t>
  </si>
  <si>
    <t>Actual</t>
  </si>
  <si>
    <r>
      <t>N311GL</t>
    </r>
    <r>
      <rPr>
        <b/>
        <sz val="8"/>
        <color indexed="8"/>
        <rFont val="Arial"/>
        <family val="2"/>
      </rPr>
      <t xml:space="preserve">  (s/n 525-0962) </t>
    </r>
    <r>
      <rPr>
        <b/>
        <sz val="10"/>
        <color indexed="8"/>
        <rFont val="Arial"/>
        <family val="2"/>
      </rPr>
      <t>BEW</t>
    </r>
  </si>
  <si>
    <t>Payload</t>
  </si>
  <si>
    <t>Copilot/ passenger seat</t>
  </si>
  <si>
    <t>Ramp Fuel (max 3296lbs 492 gal</t>
  </si>
  <si>
    <t>Landing Fuel</t>
  </si>
  <si>
    <r>
      <t xml:space="preserve">Toilet Cabinet </t>
    </r>
    <r>
      <rPr>
        <sz val="8"/>
        <color indexed="8"/>
        <rFont val="Arial"/>
        <family val="2"/>
      </rPr>
      <t>(limit to 100 lbs)</t>
    </r>
  </si>
  <si>
    <r>
      <t>Chart Case</t>
    </r>
    <r>
      <rPr>
        <sz val="8"/>
        <color indexed="8"/>
        <rFont val="Arial"/>
        <family val="2"/>
      </rPr>
      <t xml:space="preserve"> - behind copilot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(10 lbs max)</t>
    </r>
  </si>
  <si>
    <t>Crew seats 1</t>
  </si>
  <si>
    <t>Arm Rest Cabinet</t>
  </si>
  <si>
    <t>forward side facing seat</t>
  </si>
  <si>
    <t xml:space="preserve">Zoro Fuel Weight (8,400 lb max) </t>
  </si>
  <si>
    <t>Flight fuel burn</t>
  </si>
  <si>
    <t>Nose  Bags (mx 400 lbs)</t>
  </si>
  <si>
    <t>Takeoff Weight CG Limits   (inches)</t>
  </si>
  <si>
    <t>CG Envelope</t>
  </si>
  <si>
    <t>max ZFW</t>
  </si>
  <si>
    <t>Max Landing</t>
  </si>
  <si>
    <t>Max Takeoff</t>
  </si>
  <si>
    <t>Max Ramp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</si>
</sst>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&quot; &quot;"/>
    <numFmt numFmtId="166" formatCode="0.0000"/>
  </numFmts>
  <fonts count="27" x14ac:knownFonts="1">
    <font>
      <sz val="10"/>
      <color indexed="8"/>
      <name val="Arial"/>
    </font>
    <font>
      <b/>
      <u/>
      <sz val="12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15"/>
      <name val="Arial"/>
      <family val="2"/>
    </font>
    <font>
      <b/>
      <u/>
      <sz val="10"/>
      <color indexed="15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13"/>
      <name val="Arial"/>
      <family val="2"/>
    </font>
    <font>
      <b/>
      <sz val="10"/>
      <color indexed="15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u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u/>
      <sz val="14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76">
    <xf numFmtId="0" fontId="0" fillId="0" borderId="0" xfId="0" applyFont="1" applyAlignment="1"/>
    <xf numFmtId="0" fontId="0" fillId="2" borderId="3" xfId="0" applyNumberFormat="1" applyFont="1" applyFill="1" applyBorder="1" applyAlignment="1" applyProtection="1">
      <protection locked="0"/>
    </xf>
    <xf numFmtId="1" fontId="0" fillId="2" borderId="3" xfId="0" applyNumberFormat="1" applyFont="1" applyFill="1" applyBorder="1" applyAlignment="1" applyProtection="1">
      <protection locked="0"/>
    </xf>
    <xf numFmtId="0" fontId="10" fillId="0" borderId="0" xfId="0" applyFont="1" applyAlignment="1" applyProtection="1"/>
    <xf numFmtId="0" fontId="0" fillId="0" borderId="0" xfId="0" applyFont="1" applyAlignment="1" applyProtection="1"/>
    <xf numFmtId="49" fontId="10" fillId="0" borderId="3" xfId="0" applyNumberFormat="1" applyFont="1" applyFill="1" applyBorder="1" applyAlignment="1" applyProtection="1"/>
    <xf numFmtId="0" fontId="0" fillId="2" borderId="3" xfId="0" applyNumberFormat="1" applyFont="1" applyFill="1" applyBorder="1" applyAlignment="1" applyProtection="1"/>
    <xf numFmtId="2" fontId="0" fillId="0" borderId="3" xfId="0" applyNumberFormat="1" applyFont="1" applyFill="1" applyBorder="1" applyAlignment="1" applyProtection="1">
      <alignment horizontal="center"/>
    </xf>
    <xf numFmtId="2" fontId="0" fillId="0" borderId="3" xfId="0" applyNumberFormat="1" applyFont="1" applyFill="1" applyBorder="1" applyAlignment="1" applyProtection="1"/>
    <xf numFmtId="0" fontId="0" fillId="0" borderId="3" xfId="0" applyFont="1" applyFill="1" applyBorder="1" applyAlignment="1" applyProtection="1"/>
    <xf numFmtId="49" fontId="0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>
      <alignment horizontal="left"/>
    </xf>
    <xf numFmtId="49" fontId="13" fillId="0" borderId="3" xfId="0" applyNumberFormat="1" applyFont="1" applyFill="1" applyBorder="1" applyAlignment="1" applyProtection="1">
      <alignment horizontal="center"/>
    </xf>
    <xf numFmtId="1" fontId="0" fillId="2" borderId="3" xfId="0" applyNumberFormat="1" applyFont="1" applyFill="1" applyBorder="1" applyAlignment="1" applyProtection="1"/>
    <xf numFmtId="49" fontId="0" fillId="0" borderId="3" xfId="0" applyNumberFormat="1" applyFont="1" applyFill="1" applyBorder="1" applyAlignment="1" applyProtection="1">
      <alignment horizontal="left"/>
    </xf>
    <xf numFmtId="1" fontId="0" fillId="0" borderId="3" xfId="0" applyNumberFormat="1" applyFont="1" applyFill="1" applyBorder="1" applyAlignment="1" applyProtection="1"/>
    <xf numFmtId="164" fontId="0" fillId="0" borderId="3" xfId="0" applyNumberFormat="1" applyFont="1" applyFill="1" applyBorder="1" applyAlignment="1" applyProtection="1"/>
    <xf numFmtId="49" fontId="15" fillId="0" borderId="3" xfId="0" applyNumberFormat="1" applyFont="1" applyFill="1" applyBorder="1" applyAlignment="1" applyProtection="1">
      <alignment horizontal="center"/>
    </xf>
    <xf numFmtId="4" fontId="0" fillId="0" borderId="3" xfId="0" applyNumberFormat="1" applyFont="1" applyFill="1" applyBorder="1" applyAlignment="1" applyProtection="1">
      <alignment horizontal="center"/>
    </xf>
    <xf numFmtId="0" fontId="0" fillId="0" borderId="3" xfId="0" applyNumberFormat="1" applyFont="1" applyFill="1" applyBorder="1" applyAlignment="1" applyProtection="1"/>
    <xf numFmtId="0" fontId="11" fillId="0" borderId="3" xfId="0" applyFont="1" applyFill="1" applyBorder="1" applyAlignment="1" applyProtection="1"/>
    <xf numFmtId="2" fontId="9" fillId="0" borderId="3" xfId="0" applyNumberFormat="1" applyFont="1" applyFill="1" applyBorder="1" applyAlignment="1" applyProtection="1">
      <alignment horizontal="right"/>
    </xf>
    <xf numFmtId="0" fontId="6" fillId="0" borderId="3" xfId="0" applyFont="1" applyFill="1" applyBorder="1" applyAlignment="1" applyProtection="1">
      <alignment horizontal="right"/>
    </xf>
    <xf numFmtId="2" fontId="6" fillId="0" borderId="3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49" fontId="12" fillId="0" borderId="3" xfId="0" applyNumberFormat="1" applyFont="1" applyFill="1" applyBorder="1" applyAlignment="1" applyProtection="1">
      <alignment horizontal="right"/>
    </xf>
    <xf numFmtId="49" fontId="6" fillId="0" borderId="3" xfId="0" applyNumberFormat="1" applyFont="1" applyFill="1" applyBorder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49" fontId="7" fillId="0" borderId="3" xfId="0" applyNumberFormat="1" applyFont="1" applyFill="1" applyBorder="1" applyAlignment="1" applyProtection="1">
      <alignment horizontal="right"/>
    </xf>
    <xf numFmtId="49" fontId="8" fillId="0" borderId="3" xfId="0" applyNumberFormat="1" applyFont="1" applyFill="1" applyBorder="1" applyAlignment="1" applyProtection="1">
      <alignment horizontal="center"/>
    </xf>
    <xf numFmtId="165" fontId="3" fillId="0" borderId="3" xfId="0" applyNumberFormat="1" applyFont="1" applyFill="1" applyBorder="1" applyAlignment="1" applyProtection="1">
      <alignment horizontal="right"/>
    </xf>
    <xf numFmtId="49" fontId="2" fillId="0" borderId="3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center"/>
    </xf>
    <xf numFmtId="49" fontId="0" fillId="0" borderId="3" xfId="0" applyNumberFormat="1" applyFont="1" applyFill="1" applyBorder="1" applyAlignment="1" applyProtection="1">
      <alignment horizontal="center"/>
    </xf>
    <xf numFmtId="49" fontId="4" fillId="0" borderId="3" xfId="0" applyNumberFormat="1" applyFont="1" applyFill="1" applyBorder="1" applyAlignment="1" applyProtection="1">
      <alignment horizontal="center"/>
    </xf>
    <xf numFmtId="49" fontId="0" fillId="0" borderId="3" xfId="0" applyNumberFormat="1" applyFont="1" applyFill="1" applyBorder="1" applyAlignment="1" applyProtection="1">
      <alignment horizontal="right"/>
    </xf>
    <xf numFmtId="49" fontId="13" fillId="0" borderId="3" xfId="0" applyNumberFormat="1" applyFont="1" applyFill="1" applyBorder="1" applyAlignment="1" applyProtection="1">
      <alignment horizontal="left"/>
    </xf>
    <xf numFmtId="2" fontId="3" fillId="0" borderId="3" xfId="0" applyNumberFormat="1" applyFont="1" applyFill="1" applyBorder="1" applyAlignment="1" applyProtection="1"/>
    <xf numFmtId="0" fontId="0" fillId="0" borderId="3" xfId="0" applyFont="1" applyFill="1" applyBorder="1" applyAlignment="1" applyProtection="1">
      <alignment horizontal="right"/>
    </xf>
    <xf numFmtId="2" fontId="4" fillId="0" borderId="3" xfId="0" applyNumberFormat="1" applyFont="1" applyFill="1" applyBorder="1" applyAlignment="1" applyProtection="1"/>
    <xf numFmtId="0" fontId="3" fillId="0" borderId="3" xfId="0" applyFont="1" applyFill="1" applyBorder="1" applyAlignment="1" applyProtection="1"/>
    <xf numFmtId="0" fontId="0" fillId="0" borderId="3" xfId="0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/>
    <xf numFmtId="0" fontId="5" fillId="0" borderId="3" xfId="0" applyFont="1" applyFill="1" applyBorder="1" applyAlignment="1" applyProtection="1">
      <alignment horizontal="right"/>
    </xf>
    <xf numFmtId="49" fontId="4" fillId="0" borderId="3" xfId="0" applyNumberFormat="1" applyFont="1" applyFill="1" applyBorder="1" applyAlignment="1" applyProtection="1">
      <alignment horizontal="left"/>
    </xf>
    <xf numFmtId="14" fontId="4" fillId="0" borderId="3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19" fillId="0" borderId="3" xfId="0" applyFont="1" applyFill="1" applyBorder="1" applyAlignment="1" applyProtection="1">
      <alignment horizontal="right"/>
    </xf>
    <xf numFmtId="0" fontId="19" fillId="0" borderId="3" xfId="0" applyNumberFormat="1" applyFont="1" applyFill="1" applyBorder="1" applyAlignment="1" applyProtection="1">
      <alignment horizontal="right"/>
    </xf>
    <xf numFmtId="0" fontId="19" fillId="0" borderId="3" xfId="0" applyNumberFormat="1" applyFont="1" applyFill="1" applyBorder="1" applyAlignment="1" applyProtection="1">
      <alignment horizontal="center"/>
    </xf>
    <xf numFmtId="2" fontId="19" fillId="0" borderId="3" xfId="0" applyNumberFormat="1" applyFont="1" applyFill="1" applyBorder="1" applyAlignment="1" applyProtection="1">
      <alignment horizontal="center"/>
    </xf>
    <xf numFmtId="0" fontId="20" fillId="0" borderId="0" xfId="0" applyFont="1" applyAlignment="1" applyProtection="1"/>
    <xf numFmtId="0" fontId="0" fillId="0" borderId="1" xfId="0" applyBorder="1"/>
    <xf numFmtId="0" fontId="23" fillId="0" borderId="1" xfId="0" applyFont="1" applyBorder="1"/>
    <xf numFmtId="0" fontId="0" fillId="0" borderId="0" xfId="0"/>
    <xf numFmtId="49" fontId="0" fillId="0" borderId="2" xfId="0" applyNumberFormat="1" applyBorder="1" applyAlignment="1">
      <alignment horizontal="right"/>
    </xf>
    <xf numFmtId="49" fontId="13" fillId="0" borderId="2" xfId="0" applyNumberFormat="1" applyFont="1" applyBorder="1" applyAlignment="1">
      <alignment horizontal="right"/>
    </xf>
    <xf numFmtId="49" fontId="16" fillId="0" borderId="2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2" xfId="0" applyBorder="1"/>
    <xf numFmtId="2" fontId="13" fillId="0" borderId="2" xfId="0" applyNumberFormat="1" applyFont="1" applyBorder="1"/>
    <xf numFmtId="2" fontId="16" fillId="0" borderId="2" xfId="0" applyNumberFormat="1" applyFont="1" applyBorder="1"/>
    <xf numFmtId="49" fontId="24" fillId="0" borderId="1" xfId="0" applyNumberFormat="1" applyFont="1" applyBorder="1" applyAlignment="1">
      <alignment horizontal="center"/>
    </xf>
    <xf numFmtId="0" fontId="26" fillId="0" borderId="1" xfId="0" applyFont="1" applyBorder="1"/>
    <xf numFmtId="49" fontId="24" fillId="0" borderId="1" xfId="0" applyNumberFormat="1" applyFont="1" applyBorder="1" applyAlignment="1">
      <alignment horizontal="right"/>
    </xf>
    <xf numFmtId="166" fontId="0" fillId="0" borderId="1" xfId="0" applyNumberFormat="1" applyBorder="1"/>
    <xf numFmtId="0" fontId="22" fillId="0" borderId="3" xfId="0" applyFont="1" applyFill="1" applyBorder="1" applyAlignment="1" applyProtection="1">
      <alignment horizontal="left"/>
    </xf>
    <xf numFmtId="49" fontId="21" fillId="0" borderId="3" xfId="0" applyNumberFormat="1" applyFont="1" applyFill="1" applyBorder="1" applyAlignment="1" applyProtection="1">
      <alignment horizontal="left"/>
    </xf>
    <xf numFmtId="0" fontId="22" fillId="0" borderId="3" xfId="0" applyNumberFormat="1" applyFont="1" applyFill="1" applyBorder="1" applyAlignment="1" applyProtection="1">
      <alignment horizontal="left"/>
    </xf>
    <xf numFmtId="49" fontId="14" fillId="0" borderId="3" xfId="0" applyNumberFormat="1" applyFont="1" applyFill="1" applyBorder="1" applyAlignment="1" applyProtection="1">
      <alignment horizontal="center" wrapText="1"/>
    </xf>
    <xf numFmtId="49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ont>
        <b/>
        <i val="0"/>
      </font>
      <fill>
        <patternFill>
          <fgColor rgb="FFFF0000"/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u val="none"/>
        <color rgb="FF9C0006"/>
      </font>
      <fill>
        <patternFill patternType="solid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99"/>
      <rgbColor rgb="FFC0C0C0"/>
      <rgbColor rgb="FF800080"/>
      <rgbColor rgb="FF006411"/>
      <rgbColor rgb="FF800000"/>
      <rgbColor rgb="FF0000FF"/>
      <rgbColor rgb="FFFF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44405040972944E-2"/>
          <c:y val="1.5499070573737967E-2"/>
          <c:w val="0.85507397650940631"/>
          <c:h val="0.86409821891066663"/>
        </c:manualLayout>
      </c:layout>
      <c:scatterChart>
        <c:scatterStyle val="lineMarker"/>
        <c:varyColors val="0"/>
        <c:ser>
          <c:idx val="0"/>
          <c:order val="0"/>
          <c:tx>
            <c:v>CG Envelope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DATA!$S$4:$S$8</c:f>
              <c:numCache>
                <c:formatCode>General</c:formatCode>
                <c:ptCount val="5"/>
                <c:pt idx="0">
                  <c:v>248.43</c:v>
                </c:pt>
                <c:pt idx="1">
                  <c:v>248.43</c:v>
                </c:pt>
                <c:pt idx="2">
                  <c:v>244.44</c:v>
                </c:pt>
                <c:pt idx="3">
                  <c:v>240.14</c:v>
                </c:pt>
                <c:pt idx="4">
                  <c:v>240.14</c:v>
                </c:pt>
              </c:numCache>
            </c:numRef>
          </c:xVal>
          <c:yVal>
            <c:numRef>
              <c:f>DATA!$R$4:$R$8</c:f>
              <c:numCache>
                <c:formatCode>General</c:formatCode>
                <c:ptCount val="5"/>
                <c:pt idx="0">
                  <c:v>6600</c:v>
                </c:pt>
                <c:pt idx="1">
                  <c:v>10800</c:v>
                </c:pt>
                <c:pt idx="2">
                  <c:v>10800</c:v>
                </c:pt>
                <c:pt idx="3">
                  <c:v>7700</c:v>
                </c:pt>
                <c:pt idx="4">
                  <c:v>6600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1E-934B-9535-4803C5D68E3D}"/>
            </c:ext>
          </c:extLst>
        </c:ser>
        <c:ser>
          <c:idx val="1"/>
          <c:order val="1"/>
          <c:tx>
            <c:v>T/O to Land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70C0"/>
                </a:solidFill>
                <a:ln>
                  <a:solidFill>
                    <a:srgbClr val="FFFF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91E-934B-9535-4803C5D68E3D}"/>
              </c:ext>
            </c:extLst>
          </c:dPt>
          <c:dPt>
            <c:idx val="1"/>
            <c:marker>
              <c:spPr>
                <a:solidFill>
                  <a:srgbClr val="00B050"/>
                </a:solidFill>
                <a:ln>
                  <a:solidFill>
                    <a:srgbClr val="FFFF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91E-934B-9535-4803C5D68E3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Takeoff</a:t>
                    </a:r>
                  </a:p>
                </c:rich>
              </c:tx>
              <c:spPr>
                <a:solidFill>
                  <a:srgbClr val="0070C0"/>
                </a:solidFill>
                <a:scene3d>
                  <a:camera prst="orthographicFront"/>
                  <a:lightRig rig="threePt" dir="t"/>
                </a:scene3d>
                <a:sp3d>
                  <a:bevelT w="12700"/>
                </a:sp3d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1E-934B-9535-4803C5D68E3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Landing</a:t>
                    </a:r>
                  </a:p>
                </c:rich>
              </c:tx>
              <c:spPr>
                <a:solidFill>
                  <a:srgbClr val="00B050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1E-934B-9535-4803C5D68E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('CE525 Wgt &amp; Bal'!$C$32,'CE525 Wgt &amp; Bal'!$C$35)</c:f>
              <c:numCache>
                <c:formatCode>General</c:formatCode>
                <c:ptCount val="2"/>
                <c:pt idx="0">
                  <c:v>248.15110229858908</c:v>
                </c:pt>
                <c:pt idx="1">
                  <c:v>247.60560310769617</c:v>
                </c:pt>
              </c:numCache>
            </c:numRef>
          </c:xVal>
          <c:yVal>
            <c:numRef>
              <c:f>('CE525 Wgt &amp; Bal'!$B$32,'CE525 Wgt &amp; Bal'!$B$35)</c:f>
              <c:numCache>
                <c:formatCode>0.0</c:formatCode>
                <c:ptCount val="2"/>
                <c:pt idx="0">
                  <c:v>10681.77</c:v>
                </c:pt>
                <c:pt idx="1">
                  <c:v>9681.77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1E-934B-9535-4803C5D68E3D}"/>
            </c:ext>
          </c:extLst>
        </c:ser>
        <c:ser>
          <c:idx val="2"/>
          <c:order val="2"/>
          <c:tx>
            <c:v>MaxRamp Weight</c:v>
          </c:tx>
          <c:spPr>
            <a:ln w="19050">
              <a:solidFill>
                <a:srgbClr val="FF0000"/>
              </a:solidFill>
            </a:ln>
          </c:spPr>
          <c:marker>
            <c:symbol val="triangle"/>
            <c:size val="4"/>
            <c:spPr>
              <a:solidFill>
                <a:srgbClr val="FF0000"/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1E-934B-9535-4803C5D68E3D}"/>
                </c:ext>
              </c:extLst>
            </c:dLbl>
            <c:dLbl>
              <c:idx val="1"/>
              <c:layout>
                <c:manualLayout>
                  <c:x val="-0.50521351011980065"/>
                  <c:y val="-1.625503330066573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MAX Ramp 10800</a:t>
                    </a:r>
                  </a:p>
                </c:rich>
              </c:tx>
              <c:spPr>
                <a:solidFill>
                  <a:srgbClr val="FF0000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9700115340254"/>
                      <c:h val="3.39355079830821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91E-934B-9535-4803C5D68E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(DATA!$T$12,DATA!$U$12)</c:f>
              <c:numCache>
                <c:formatCode>General</c:formatCode>
                <c:ptCount val="2"/>
                <c:pt idx="0">
                  <c:v>244.44</c:v>
                </c:pt>
                <c:pt idx="1">
                  <c:v>248.43</c:v>
                </c:pt>
              </c:numCache>
            </c:numRef>
          </c:xVal>
          <c:yVal>
            <c:numRef>
              <c:f>(DATA!$S$12,DATA!$S$12)</c:f>
              <c:numCache>
                <c:formatCode>General</c:formatCode>
                <c:ptCount val="2"/>
                <c:pt idx="0">
                  <c:v>10800</c:v>
                </c:pt>
                <c:pt idx="1">
                  <c:v>10800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1E-934B-9535-4803C5D68E3D}"/>
            </c:ext>
          </c:extLst>
        </c:ser>
        <c:ser>
          <c:idx val="3"/>
          <c:order val="3"/>
          <c:tx>
            <c:v>MAX Landing weight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0.23955428358871389"/>
                  <c:y val="-5.4089323962487343E-3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Max Land 9900</a:t>
                    </a:r>
                  </a:p>
                </c:rich>
              </c:tx>
              <c:spPr>
                <a:solidFill>
                  <a:srgbClr val="FF0000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1E-934B-9535-4803C5D68E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1E-934B-9535-4803C5D68E3D}"/>
                </c:ext>
              </c:extLst>
            </c:dLbl>
            <c:spPr>
              <a:solidFill>
                <a:srgbClr val="FF0000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(DATA!$T$10,DATA!$U$10)</c:f>
              <c:numCache>
                <c:formatCode>General</c:formatCode>
                <c:ptCount val="2"/>
                <c:pt idx="0">
                  <c:v>243.54</c:v>
                </c:pt>
                <c:pt idx="1">
                  <c:v>248.43</c:v>
                </c:pt>
              </c:numCache>
            </c:numRef>
          </c:xVal>
          <c:yVal>
            <c:numRef>
              <c:f>(DATA!$S$10,DATA!$S$10)</c:f>
              <c:numCache>
                <c:formatCode>General</c:formatCode>
                <c:ptCount val="2"/>
                <c:pt idx="0">
                  <c:v>9900</c:v>
                </c:pt>
                <c:pt idx="1">
                  <c:v>9900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91E-934B-9535-4803C5D68E3D}"/>
            </c:ext>
          </c:extLst>
        </c:ser>
        <c:ser>
          <c:idx val="4"/>
          <c:order val="4"/>
          <c:tx>
            <c:v>Max Zero Fuel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2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0.22157886040221556"/>
                  <c:y val="-3.0754477219377383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Max ZFW 8400</a:t>
                    </a:r>
                  </a:p>
                </c:rich>
              </c:tx>
              <c:spPr>
                <a:solidFill>
                  <a:srgbClr val="FF0000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1E-934B-9535-4803C5D68E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1E-934B-9535-4803C5D68E3D}"/>
                </c:ext>
              </c:extLst>
            </c:dLbl>
            <c:spPr>
              <a:solidFill>
                <a:srgbClr val="FF0000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(DATA!$T$9,DATA!$U$9)</c:f>
              <c:numCache>
                <c:formatCode>General</c:formatCode>
                <c:ptCount val="2"/>
                <c:pt idx="0">
                  <c:v>241.47</c:v>
                </c:pt>
                <c:pt idx="1">
                  <c:v>248.43</c:v>
                </c:pt>
              </c:numCache>
            </c:numRef>
          </c:xVal>
          <c:yVal>
            <c:numRef>
              <c:f>(DATA!$S$9,DATA!$S$9)</c:f>
              <c:numCache>
                <c:formatCode>General</c:formatCode>
                <c:ptCount val="2"/>
                <c:pt idx="0">
                  <c:v>8400</c:v>
                </c:pt>
                <c:pt idx="1">
                  <c:v>8400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91E-934B-9535-4803C5D68E3D}"/>
            </c:ext>
          </c:extLst>
        </c:ser>
        <c:ser>
          <c:idx val="5"/>
          <c:order val="5"/>
          <c:tx>
            <c:v>ZFW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ZFW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1E-934B-9535-4803C5D68E3D}"/>
                </c:ext>
              </c:extLst>
            </c:dLbl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'CE525 Wgt &amp; Bal'!$C$22</c:f>
              <c:numCache>
                <c:formatCode>General</c:formatCode>
                <c:ptCount val="1"/>
                <c:pt idx="0">
                  <c:v>246.48440513635782</c:v>
                </c:pt>
              </c:numCache>
            </c:numRef>
          </c:xVal>
          <c:yVal>
            <c:numRef>
              <c:f>'CE525 Wgt &amp; Bal'!$B$22</c:f>
              <c:numCache>
                <c:formatCode>0.0</c:formatCode>
                <c:ptCount val="1"/>
                <c:pt idx="0">
                  <c:v>7906.77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91E-934B-9535-4803C5D68E3D}"/>
            </c:ext>
          </c:extLst>
        </c:ser>
        <c:ser>
          <c:idx val="6"/>
          <c:order val="6"/>
          <c:tx>
            <c:v>Ramp Weight</c:v>
          </c:tx>
          <c:marker>
            <c:symbol val="circle"/>
            <c:size val="5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0"/>
                  <c:y val="-1.0818120351588901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Ramp</a:t>
                    </a:r>
                  </a:p>
                </c:rich>
              </c:tx>
              <c:spPr>
                <a:solidFill>
                  <a:srgbClr val="FF0000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1E-934B-9535-4803C5D68E3D}"/>
                </c:ext>
              </c:extLst>
            </c:dLbl>
            <c:spPr>
              <a:solidFill>
                <a:srgbClr val="FF0000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'CE525 Wgt &amp; Bal'!$C$30</c:f>
              <c:numCache>
                <c:formatCode>General</c:formatCode>
                <c:ptCount val="1"/>
                <c:pt idx="0">
                  <c:v>248.20603195959569</c:v>
                </c:pt>
              </c:numCache>
            </c:numRef>
          </c:xVal>
          <c:yVal>
            <c:numRef>
              <c:f>'CE525 Wgt &amp; Bal'!$B$30</c:f>
              <c:numCache>
                <c:formatCode>0.0</c:formatCode>
                <c:ptCount val="1"/>
                <c:pt idx="0">
                  <c:v>10806.77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91E-934B-9535-4803C5D68E3D}"/>
            </c:ext>
          </c:extLst>
        </c:ser>
        <c:ser>
          <c:idx val="7"/>
          <c:order val="7"/>
          <c:tx>
            <c:v>MAX TOW</c:v>
          </c:tx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MAX TOW</a:t>
                    </a:r>
                    <a:fld id="{5915E8CE-BAF8-0A4B-BF73-3F516A1D962E}" type="YVALUE">
                      <a:rPr lang="en-US"/>
                      <a:pPr>
                        <a:defRPr/>
                      </a:pPr>
                      <a:t>[Y VALUE]</a:t>
                    </a:fld>
                    <a:endParaRPr lang="en-US"/>
                  </a:p>
                </c:rich>
              </c:tx>
              <c:spPr>
                <a:solidFill>
                  <a:srgbClr val="FF0000"/>
                </a:solidFill>
                <a:ln>
                  <a:noFill/>
                </a:ln>
                <a:effectLst/>
              </c:sp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291E-934B-9535-4803C5D68E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1E-934B-9535-4803C5D68E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(DATA!$T$11,DATA!$U$11)</c:f>
              <c:numCache>
                <c:formatCode>General</c:formatCode>
                <c:ptCount val="2"/>
                <c:pt idx="0">
                  <c:v>244.34</c:v>
                </c:pt>
                <c:pt idx="1">
                  <c:v>248.43</c:v>
                </c:pt>
              </c:numCache>
            </c:numRef>
          </c:xVal>
          <c:yVal>
            <c:numRef>
              <c:f>(DATA!$S$11,DATA!$S$11)</c:f>
              <c:numCache>
                <c:formatCode>General</c:formatCode>
                <c:ptCount val="2"/>
                <c:pt idx="0">
                  <c:v>10700</c:v>
                </c:pt>
                <c:pt idx="1">
                  <c:v>10700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91E-934B-9535-4803C5D68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386992"/>
        <c:axId val="1"/>
      </c:scatterChart>
      <c:valAx>
        <c:axId val="1614386992"/>
        <c:scaling>
          <c:orientation val="minMax"/>
          <c:max val="249"/>
          <c:min val="239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3200"/>
        <c:crossBetween val="midCat"/>
        <c:majorUnit val="1"/>
        <c:minorUnit val="1"/>
      </c:valAx>
      <c:valAx>
        <c:axId val="1"/>
        <c:scaling>
          <c:orientation val="minMax"/>
          <c:max val="11000"/>
          <c:min val="6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4386992"/>
        <c:crossesAt val="31"/>
        <c:crossBetween val="midCat"/>
        <c:majorUnit val="100"/>
        <c:minorUnit val="8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63419</xdr:colOff>
      <xdr:row>1</xdr:row>
      <xdr:rowOff>56870</xdr:rowOff>
    </xdr:from>
    <xdr:to>
      <xdr:col>4</xdr:col>
      <xdr:colOff>781158</xdr:colOff>
      <xdr:row>26</xdr:row>
      <xdr:rowOff>42484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C12CBF-9B1B-0E48-B587-83A7097D0C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488" t="19692" r="2944" b="-1016"/>
        <a:stretch/>
      </xdr:blipFill>
      <xdr:spPr>
        <a:xfrm>
          <a:off x="3617523" y="217989"/>
          <a:ext cx="1542292" cy="4089420"/>
        </a:xfrm>
        <a:prstGeom prst="rect">
          <a:avLst/>
        </a:prstGeom>
      </xdr:spPr>
    </xdr:pic>
    <xdr:clientData/>
  </xdr:twoCellAnchor>
  <xdr:twoCellAnchor>
    <xdr:from>
      <xdr:col>5</xdr:col>
      <xdr:colOff>113731</xdr:colOff>
      <xdr:row>0</xdr:row>
      <xdr:rowOff>151641</xdr:rowOff>
    </xdr:from>
    <xdr:to>
      <xdr:col>9</xdr:col>
      <xdr:colOff>417014</xdr:colOff>
      <xdr:row>33</xdr:row>
      <xdr:rowOff>123208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CE8E3B-C8DD-D946-8637-2C5B87E5F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offhatcher/Documents/Aviation/Tri%20State%20Charter/TSC%20W&amp;B/graph%20w&amp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p Sheet"/>
      <sheetName val="Weight &amp; Balance"/>
      <sheetName val="113GL Data"/>
    </sheetNames>
    <sheetDataSet>
      <sheetData sheetId="0"/>
      <sheetData sheetId="1"/>
      <sheetData sheetId="2">
        <row r="2">
          <cell r="C2">
            <v>152.6</v>
          </cell>
          <cell r="D2">
            <v>159.9</v>
          </cell>
        </row>
        <row r="3">
          <cell r="C3">
            <v>151.30000000000001</v>
          </cell>
          <cell r="D3">
            <v>160.04</v>
          </cell>
        </row>
        <row r="12">
          <cell r="B12">
            <v>4600</v>
          </cell>
          <cell r="C12">
            <v>147.82</v>
          </cell>
        </row>
        <row r="13">
          <cell r="B13">
            <v>5800</v>
          </cell>
          <cell r="C13">
            <v>147.82</v>
          </cell>
        </row>
        <row r="14">
          <cell r="B14">
            <v>7100</v>
          </cell>
          <cell r="C14">
            <v>152.56</v>
          </cell>
        </row>
        <row r="15">
          <cell r="B15">
            <v>7100</v>
          </cell>
          <cell r="C15">
            <v>159.9</v>
          </cell>
        </row>
        <row r="16">
          <cell r="B16">
            <v>6750</v>
          </cell>
          <cell r="C16">
            <v>160.04</v>
          </cell>
        </row>
        <row r="17">
          <cell r="B17">
            <v>4600</v>
          </cell>
          <cell r="C17">
            <v>160.04</v>
          </cell>
        </row>
        <row r="18">
          <cell r="B18">
            <v>7127</v>
          </cell>
          <cell r="C18">
            <v>159.91432580328328</v>
          </cell>
        </row>
        <row r="19">
          <cell r="B19">
            <v>6515</v>
          </cell>
          <cell r="C19">
            <v>159.7184036838066</v>
          </cell>
        </row>
        <row r="20">
          <cell r="B20">
            <v>7091</v>
          </cell>
          <cell r="C20">
            <v>159.90373713157521</v>
          </cell>
        </row>
        <row r="21">
          <cell r="B21">
            <v>6671</v>
          </cell>
          <cell r="C21">
            <v>159.77175835706788</v>
          </cell>
        </row>
        <row r="23">
          <cell r="D23">
            <v>6515</v>
          </cell>
          <cell r="E23">
            <v>150.42988505747127</v>
          </cell>
          <cell r="F23">
            <v>160.04</v>
          </cell>
        </row>
        <row r="24">
          <cell r="D24">
            <v>7140</v>
          </cell>
        </row>
        <row r="26">
          <cell r="D26">
            <v>6750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636DE-2E81-044E-B10A-A6D1020A3A27}">
  <dimension ref="B1:H37"/>
  <sheetViews>
    <sheetView tabSelected="1" zoomScale="125" zoomScaleNormal="134" zoomScaleSheetLayoutView="100" zoomScalePageLayoutView="65" workbookViewId="0">
      <selection activeCell="C15" sqref="C15"/>
    </sheetView>
  </sheetViews>
  <sheetFormatPr baseColWidth="10" defaultRowHeight="13" x14ac:dyDescent="0.15"/>
  <cols>
    <col min="1" max="1" width="3.33203125" style="4" customWidth="1"/>
    <col min="2" max="2" width="32.5" style="4" customWidth="1"/>
    <col min="3" max="5" width="10.83203125" style="4"/>
    <col min="6" max="6" width="14.1640625" style="4" customWidth="1"/>
    <col min="7" max="8" width="10.83203125" style="4"/>
    <col min="9" max="9" width="10.83203125" style="4" customWidth="1"/>
    <col min="10" max="16384" width="10.83203125" style="4"/>
  </cols>
  <sheetData>
    <row r="1" spans="2:6" x14ac:dyDescent="0.15">
      <c r="B1" s="3"/>
    </row>
    <row r="3" spans="2:6" x14ac:dyDescent="0.15">
      <c r="B3" s="5" t="s">
        <v>49</v>
      </c>
      <c r="C3" s="1">
        <v>230</v>
      </c>
      <c r="D3" s="7"/>
      <c r="E3" s="8"/>
      <c r="F3" s="9"/>
    </row>
    <row r="4" spans="2:6" x14ac:dyDescent="0.15">
      <c r="B4" s="5" t="s">
        <v>48</v>
      </c>
      <c r="C4" s="1">
        <v>10</v>
      </c>
      <c r="D4" s="7"/>
      <c r="E4" s="8"/>
      <c r="F4" s="9"/>
    </row>
    <row r="5" spans="2:6" x14ac:dyDescent="0.15">
      <c r="B5" s="10" t="s">
        <v>18</v>
      </c>
      <c r="C5" s="1">
        <v>10</v>
      </c>
      <c r="D5" s="7"/>
      <c r="E5" s="8"/>
      <c r="F5" s="9"/>
    </row>
    <row r="6" spans="2:6" x14ac:dyDescent="0.15">
      <c r="B6" s="10" t="s">
        <v>19</v>
      </c>
      <c r="C6" s="1">
        <v>30</v>
      </c>
      <c r="D6" s="7"/>
      <c r="E6" s="8"/>
      <c r="F6" s="9"/>
    </row>
    <row r="7" spans="2:6" x14ac:dyDescent="0.15">
      <c r="B7" s="11" t="s">
        <v>47</v>
      </c>
      <c r="C7" s="1">
        <v>20</v>
      </c>
      <c r="D7" s="7"/>
      <c r="E7" s="8"/>
      <c r="F7" s="9"/>
    </row>
    <row r="8" spans="2:6" x14ac:dyDescent="0.15">
      <c r="B8" s="11" t="s">
        <v>50</v>
      </c>
      <c r="C8" s="1">
        <v>10</v>
      </c>
      <c r="D8" s="7"/>
      <c r="E8" s="8"/>
      <c r="F8" s="9"/>
    </row>
    <row r="9" spans="2:6" x14ac:dyDescent="0.15">
      <c r="B9" s="12" t="s">
        <v>31</v>
      </c>
      <c r="C9" s="8">
        <f>'CE525 Wgt &amp; Bal'!B13</f>
        <v>7076.77</v>
      </c>
      <c r="D9" s="7"/>
      <c r="E9" s="8"/>
      <c r="F9" s="9"/>
    </row>
    <row r="10" spans="2:6" x14ac:dyDescent="0.15">
      <c r="B10" s="11" t="s">
        <v>44</v>
      </c>
      <c r="C10" s="2">
        <v>130</v>
      </c>
      <c r="D10" s="7"/>
      <c r="E10" s="8"/>
      <c r="F10" s="9"/>
    </row>
    <row r="11" spans="2:6" x14ac:dyDescent="0.15">
      <c r="B11" s="5" t="s">
        <v>51</v>
      </c>
      <c r="C11" s="2">
        <v>200</v>
      </c>
      <c r="D11" s="7"/>
      <c r="E11" s="8"/>
      <c r="F11" s="9"/>
    </row>
    <row r="12" spans="2:6" x14ac:dyDescent="0.15">
      <c r="B12" s="10" t="s">
        <v>20</v>
      </c>
      <c r="C12" s="2">
        <v>200</v>
      </c>
      <c r="D12" s="7"/>
      <c r="E12" s="8"/>
      <c r="F12" s="9"/>
    </row>
    <row r="13" spans="2:6" x14ac:dyDescent="0.15">
      <c r="B13" s="14" t="s">
        <v>21</v>
      </c>
      <c r="C13" s="2">
        <v>0</v>
      </c>
      <c r="D13" s="7"/>
      <c r="E13" s="8"/>
      <c r="F13" s="9"/>
    </row>
    <row r="14" spans="2:6" x14ac:dyDescent="0.15">
      <c r="B14" s="14" t="s">
        <v>29</v>
      </c>
      <c r="C14" s="2">
        <v>0</v>
      </c>
      <c r="D14" s="7"/>
      <c r="E14" s="8"/>
      <c r="F14" s="9"/>
    </row>
    <row r="15" spans="2:6" x14ac:dyDescent="0.15">
      <c r="B15" s="11" t="s">
        <v>54</v>
      </c>
      <c r="C15" s="2">
        <v>0</v>
      </c>
      <c r="D15" s="7"/>
      <c r="E15" s="8"/>
      <c r="F15" s="9"/>
    </row>
    <row r="16" spans="2:6" x14ac:dyDescent="0.15">
      <c r="B16" s="14" t="s">
        <v>23</v>
      </c>
      <c r="C16" s="2">
        <v>300</v>
      </c>
      <c r="D16" s="7"/>
      <c r="E16" s="8"/>
      <c r="F16" s="9"/>
    </row>
    <row r="17" spans="2:7" x14ac:dyDescent="0.15">
      <c r="B17" s="11" t="s">
        <v>43</v>
      </c>
      <c r="C17" s="15">
        <f>'CE525 Wgt &amp; Bal'!B21</f>
        <v>830</v>
      </c>
      <c r="D17" s="7"/>
      <c r="E17" s="8"/>
      <c r="F17" s="9"/>
    </row>
    <row r="18" spans="2:7" x14ac:dyDescent="0.15">
      <c r="B18" s="12" t="s">
        <v>52</v>
      </c>
      <c r="C18" s="16">
        <f>'CE525 Wgt &amp; Bal'!B22</f>
        <v>7906.77</v>
      </c>
      <c r="D18" s="9"/>
      <c r="E18" s="8"/>
      <c r="F18" s="9"/>
    </row>
    <row r="19" spans="2:7" x14ac:dyDescent="0.15">
      <c r="B19" s="17" t="s">
        <v>37</v>
      </c>
      <c r="C19" s="9"/>
      <c r="D19" s="9"/>
      <c r="E19" s="8"/>
      <c r="F19" s="9"/>
    </row>
    <row r="20" spans="2:7" x14ac:dyDescent="0.15">
      <c r="B20" s="11" t="s">
        <v>45</v>
      </c>
      <c r="C20" s="1">
        <v>2900</v>
      </c>
      <c r="D20" s="18"/>
      <c r="E20" s="8"/>
      <c r="F20" s="9"/>
    </row>
    <row r="21" spans="2:7" x14ac:dyDescent="0.15">
      <c r="B21" s="14" t="s">
        <v>32</v>
      </c>
      <c r="C21" s="1">
        <v>125</v>
      </c>
      <c r="D21" s="18"/>
      <c r="E21" s="8"/>
      <c r="F21" s="9"/>
    </row>
    <row r="22" spans="2:7" x14ac:dyDescent="0.15">
      <c r="B22" s="14" t="s">
        <v>33</v>
      </c>
      <c r="C22" s="19">
        <f>'CE525 Wgt &amp; Bal'!B26</f>
        <v>2775</v>
      </c>
      <c r="D22" s="18"/>
      <c r="E22" s="8"/>
      <c r="F22" s="9"/>
    </row>
    <row r="23" spans="2:7" x14ac:dyDescent="0.15">
      <c r="B23" s="11" t="s">
        <v>53</v>
      </c>
      <c r="C23" s="1">
        <v>1000</v>
      </c>
      <c r="D23" s="18"/>
      <c r="E23" s="8"/>
      <c r="F23" s="9"/>
    </row>
    <row r="24" spans="2:7" x14ac:dyDescent="0.15">
      <c r="B24" s="20" t="s">
        <v>46</v>
      </c>
      <c r="C24" s="21">
        <f>'CE525 Wgt &amp; Bal'!B28</f>
        <v>1775</v>
      </c>
      <c r="D24" s="18"/>
      <c r="E24" s="8"/>
      <c r="F24" s="9"/>
    </row>
    <row r="25" spans="2:7" ht="16" x14ac:dyDescent="0.2">
      <c r="B25" s="9"/>
      <c r="C25" s="22"/>
      <c r="D25" s="9"/>
      <c r="E25" s="23"/>
      <c r="F25" s="24"/>
    </row>
    <row r="26" spans="2:7" ht="16" x14ac:dyDescent="0.2">
      <c r="B26" s="12" t="s">
        <v>30</v>
      </c>
      <c r="C26" s="16">
        <f>'CE525 Wgt &amp; Bal'!B30</f>
        <v>10806.77</v>
      </c>
      <c r="D26" s="9"/>
      <c r="E26" s="8"/>
      <c r="F26" s="24"/>
    </row>
    <row r="27" spans="2:7" x14ac:dyDescent="0.15">
      <c r="B27" s="9"/>
      <c r="C27" s="25"/>
      <c r="D27" s="9"/>
      <c r="E27" s="26"/>
      <c r="F27" s="19"/>
    </row>
    <row r="28" spans="2:7" ht="18" x14ac:dyDescent="0.2">
      <c r="B28" s="12" t="s">
        <v>38</v>
      </c>
      <c r="C28" s="16">
        <f>'CE525 Wgt &amp; Bal'!B32</f>
        <v>10681.77</v>
      </c>
      <c r="D28" s="69" t="str">
        <f>'CE525 Wgt &amp; Bal'!B33</f>
        <v>T.O.Weight OK</v>
      </c>
      <c r="E28" s="69"/>
      <c r="F28" s="69"/>
      <c r="G28" s="69"/>
    </row>
    <row r="29" spans="2:7" x14ac:dyDescent="0.15">
      <c r="B29" s="9"/>
      <c r="C29" s="27"/>
      <c r="D29" s="9"/>
      <c r="E29" s="8"/>
      <c r="F29" s="19"/>
    </row>
    <row r="30" spans="2:7" x14ac:dyDescent="0.15">
      <c r="B30" s="9"/>
      <c r="C30" s="28"/>
      <c r="D30" s="9"/>
      <c r="E30" s="23"/>
      <c r="F30" s="29"/>
    </row>
    <row r="31" spans="2:7" ht="18" x14ac:dyDescent="0.2">
      <c r="B31" s="12" t="s">
        <v>34</v>
      </c>
      <c r="C31" s="16">
        <f>'CE525 Wgt &amp; Bal'!B35</f>
        <v>9681.77</v>
      </c>
      <c r="D31" s="70" t="str">
        <f>'CE525 Wgt &amp; Bal'!B36</f>
        <v>Landing Weight OK</v>
      </c>
      <c r="E31" s="70"/>
      <c r="F31" s="70"/>
      <c r="G31" s="70"/>
    </row>
    <row r="32" spans="2:7" x14ac:dyDescent="0.15">
      <c r="B32" s="9"/>
      <c r="C32" s="28"/>
      <c r="D32" s="9"/>
      <c r="E32" s="9"/>
      <c r="F32" s="19"/>
    </row>
    <row r="33" spans="2:8" x14ac:dyDescent="0.15">
      <c r="B33" s="9"/>
      <c r="C33" s="9"/>
      <c r="D33" s="9"/>
      <c r="E33" s="9"/>
      <c r="F33" s="30"/>
    </row>
    <row r="34" spans="2:8" x14ac:dyDescent="0.15">
      <c r="B34" s="31" t="s">
        <v>25</v>
      </c>
      <c r="C34" s="17" t="s">
        <v>39</v>
      </c>
      <c r="D34" s="32" t="s">
        <v>41</v>
      </c>
      <c r="E34" s="17" t="s">
        <v>40</v>
      </c>
      <c r="F34" s="30"/>
    </row>
    <row r="35" spans="2:8" ht="18" x14ac:dyDescent="0.2">
      <c r="B35" s="11" t="s">
        <v>55</v>
      </c>
      <c r="C35" s="7">
        <f>'CE525 Wgt &amp; Bal'!B39</f>
        <v>244.239</v>
      </c>
      <c r="D35" s="52">
        <f>'CE525 Wgt &amp; Bal'!C39</f>
        <v>248.15110229858908</v>
      </c>
      <c r="E35" s="7">
        <f>'CE525 Wgt &amp; Bal'!D39</f>
        <v>248.43</v>
      </c>
      <c r="F35" s="71" t="str">
        <f>IF(AND(D35&lt;E35,D35&gt;C35),"Takeoff CG is ok","Takeoff CG OUT OF LIMITS")</f>
        <v>Takeoff CG is ok</v>
      </c>
      <c r="G35" s="71"/>
      <c r="H35" s="71"/>
    </row>
    <row r="36" spans="2:8" ht="18" x14ac:dyDescent="0.2">
      <c r="B36" s="14" t="s">
        <v>27</v>
      </c>
      <c r="C36" s="7">
        <f>'CE525 Wgt &amp; Bal'!B40</f>
        <v>243.23400000000001</v>
      </c>
      <c r="D36" s="52">
        <f>'CE525 Wgt &amp; Bal'!C40</f>
        <v>247.60560310769617</v>
      </c>
      <c r="E36" s="7">
        <f>'CE525 Wgt &amp; Bal'!D40</f>
        <v>248.43</v>
      </c>
      <c r="F36" s="71" t="str">
        <f>IF(AND(D36&lt;E36,D36&gt;C36),"Landing CG is ok","Landing CG IS OUT OF LIMITS")</f>
        <v>Landing CG is ok</v>
      </c>
      <c r="G36" s="71"/>
      <c r="H36" s="71"/>
    </row>
    <row r="37" spans="2:8" x14ac:dyDescent="0.15">
      <c r="F37" s="53"/>
    </row>
  </sheetData>
  <sheetProtection algorithmName="SHA-512" hashValue="efOX890flnYZgREuMgZhUOo3KauvPMamud3c66A37POQFRhXGfB5pUYJejVmQ9BBDuQlqiEi2PfsE/dpRHrTMA==" saltValue="sOAlSNh8VoW8bvFejZ5pyw==" spinCount="100000" sheet="1" objects="1" scenarios="1" selectLockedCells="1"/>
  <mergeCells count="4">
    <mergeCell ref="D28:G28"/>
    <mergeCell ref="D31:G31"/>
    <mergeCell ref="F35:H35"/>
    <mergeCell ref="F36:H36"/>
  </mergeCells>
  <conditionalFormatting sqref="D28">
    <cfRule type="containsText" dxfId="3" priority="4" operator="containsText" text="OVER">
      <formula>NOT(ISERROR(SEARCH("OVER",D28)))</formula>
    </cfRule>
  </conditionalFormatting>
  <conditionalFormatting sqref="D31">
    <cfRule type="containsText" dxfId="2" priority="3" operator="containsText" text="OVER">
      <formula>NOT(ISERROR(SEARCH("OVER",D31)))</formula>
    </cfRule>
  </conditionalFormatting>
  <conditionalFormatting sqref="F35">
    <cfRule type="containsText" dxfId="1" priority="2" operator="containsText" text="OUT">
      <formula>NOT(ISERROR(SEARCH("OUT",F35)))</formula>
    </cfRule>
  </conditionalFormatting>
  <conditionalFormatting sqref="F36:H36">
    <cfRule type="containsText" dxfId="0" priority="1" operator="containsText" text="out">
      <formula>NOT(ISERROR(SEARCH("out",F36)))</formula>
    </cfRule>
  </conditionalFormatting>
  <pageMargins left="0.7" right="0.7" top="0.75" bottom="0.75" header="0.3" footer="0.3"/>
  <pageSetup scale="67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1"/>
  <sheetViews>
    <sheetView showGridLines="0" topLeftCell="A7" zoomScale="125" zoomScaleNormal="15" workbookViewId="0">
      <selection activeCell="E17" sqref="E17"/>
    </sheetView>
  </sheetViews>
  <sheetFormatPr baseColWidth="10" defaultColWidth="8.83203125" defaultRowHeight="12.75" customHeight="1" x14ac:dyDescent="0.15"/>
  <cols>
    <col min="1" max="1" width="39.5" style="19" customWidth="1"/>
    <col min="2" max="4" width="8.83203125" style="19" customWidth="1"/>
    <col min="5" max="5" width="14.6640625" style="19" customWidth="1"/>
    <col min="6" max="7" width="8.83203125" style="19" customWidth="1"/>
    <col min="8" max="8" width="11.6640625" style="19" customWidth="1"/>
    <col min="9" max="9" width="13.1640625" style="19" customWidth="1"/>
    <col min="10" max="10" width="12.33203125" style="19" customWidth="1"/>
    <col min="11" max="13" width="8.83203125" style="19" customWidth="1"/>
    <col min="14" max="14" width="10.1640625" style="19" customWidth="1"/>
    <col min="15" max="16" width="8.83203125" style="19" customWidth="1"/>
    <col min="17" max="17" width="11.83203125" style="19" customWidth="1"/>
    <col min="18" max="18" width="10.83203125" style="19" customWidth="1"/>
    <col min="19" max="20" width="8.83203125" style="19" customWidth="1"/>
    <col min="21" max="248" width="8.83203125" style="9" customWidth="1"/>
    <col min="249" max="16384" width="8.83203125" style="9"/>
  </cols>
  <sheetData>
    <row r="1" spans="1:20" ht="12.7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40" customHeight="1" x14ac:dyDescent="0.2">
      <c r="A2" s="72" t="s">
        <v>35</v>
      </c>
      <c r="B2" s="72"/>
      <c r="C2" s="72"/>
      <c r="D2" s="72"/>
      <c r="E2" s="9"/>
      <c r="F2" s="9"/>
      <c r="G2" s="9"/>
      <c r="H2" s="9"/>
      <c r="I2" s="9"/>
      <c r="J2" s="9"/>
      <c r="K2" s="9"/>
    </row>
    <row r="3" spans="1:20" ht="13.5" customHeight="1" x14ac:dyDescent="0.15">
      <c r="A3" s="33" t="s">
        <v>2</v>
      </c>
      <c r="B3" s="9"/>
      <c r="C3" s="9"/>
      <c r="D3" s="9"/>
      <c r="E3" s="9"/>
      <c r="F3" s="9"/>
      <c r="G3" s="9"/>
      <c r="H3" s="31"/>
      <c r="I3" s="9"/>
      <c r="J3" s="9"/>
      <c r="K3" s="9"/>
    </row>
    <row r="4" spans="1:20" ht="15" customHeight="1" x14ac:dyDescent="0.15">
      <c r="A4" s="9"/>
      <c r="B4" s="34" t="s">
        <v>5</v>
      </c>
      <c r="C4" s="34" t="s">
        <v>6</v>
      </c>
      <c r="D4" s="34" t="s">
        <v>7</v>
      </c>
      <c r="E4" s="34" t="s">
        <v>8</v>
      </c>
      <c r="F4" s="9"/>
      <c r="G4" s="9"/>
      <c r="H4" s="9"/>
      <c r="I4" s="9"/>
      <c r="J4" s="9"/>
      <c r="K4" s="9"/>
    </row>
    <row r="5" spans="1:20" ht="13.5" customHeight="1" x14ac:dyDescent="0.15">
      <c r="A5" s="9"/>
      <c r="B5" s="34" t="s">
        <v>13</v>
      </c>
      <c r="C5" s="34" t="s">
        <v>14</v>
      </c>
      <c r="D5" s="35" t="s">
        <v>15</v>
      </c>
      <c r="E5" s="34" t="s">
        <v>14</v>
      </c>
      <c r="F5" s="9"/>
      <c r="G5" s="36"/>
      <c r="K5" s="9"/>
    </row>
    <row r="6" spans="1:20" ht="13.5" customHeight="1" x14ac:dyDescent="0.15">
      <c r="A6" s="37" t="s">
        <v>42</v>
      </c>
      <c r="B6" s="38">
        <v>6766.77</v>
      </c>
      <c r="C6" s="8">
        <f>D6/B6*100</f>
        <v>252.31683654091981</v>
      </c>
      <c r="D6" s="38">
        <v>17073.7</v>
      </c>
      <c r="E6" s="7">
        <f>D6*100/B6</f>
        <v>252.31683654091981</v>
      </c>
      <c r="F6" s="9"/>
      <c r="G6" s="15"/>
      <c r="K6" s="9"/>
    </row>
    <row r="7" spans="1:20" ht="13.25" customHeight="1" x14ac:dyDescent="0.15">
      <c r="A7" s="5" t="s">
        <v>49</v>
      </c>
      <c r="B7" s="6">
        <f>N311GL!C3</f>
        <v>230</v>
      </c>
      <c r="C7" s="7">
        <v>131</v>
      </c>
      <c r="D7" s="8">
        <f t="shared" ref="D7:D20" si="0">B7*C7/100</f>
        <v>301.3</v>
      </c>
      <c r="E7" s="9"/>
      <c r="F7" s="9"/>
      <c r="G7" s="15"/>
      <c r="K7" s="9"/>
    </row>
    <row r="8" spans="1:20" ht="13.25" customHeight="1" x14ac:dyDescent="0.15">
      <c r="A8" s="5" t="s">
        <v>48</v>
      </c>
      <c r="B8" s="6">
        <f>N311GL!C4</f>
        <v>10</v>
      </c>
      <c r="C8" s="7">
        <v>149.19999999999999</v>
      </c>
      <c r="D8" s="8">
        <f t="shared" si="0"/>
        <v>14.92</v>
      </c>
      <c r="E8" s="9"/>
      <c r="F8" s="9"/>
      <c r="G8" s="15"/>
      <c r="K8" s="9"/>
    </row>
    <row r="9" spans="1:20" ht="13.25" customHeight="1" x14ac:dyDescent="0.15">
      <c r="A9" s="10" t="s">
        <v>18</v>
      </c>
      <c r="B9" s="6">
        <f>N311GL!C5</f>
        <v>10</v>
      </c>
      <c r="C9" s="7">
        <v>158.75</v>
      </c>
      <c r="D9" s="8">
        <f t="shared" si="0"/>
        <v>15.875</v>
      </c>
      <c r="E9" s="9"/>
      <c r="F9" s="9"/>
      <c r="G9" s="15"/>
      <c r="K9" s="9"/>
    </row>
    <row r="10" spans="1:20" ht="13.25" customHeight="1" x14ac:dyDescent="0.15">
      <c r="A10" s="10" t="s">
        <v>19</v>
      </c>
      <c r="B10" s="6">
        <f>N311GL!C6</f>
        <v>30</v>
      </c>
      <c r="C10" s="7">
        <v>155</v>
      </c>
      <c r="D10" s="8">
        <f t="shared" si="0"/>
        <v>46.5</v>
      </c>
      <c r="E10" s="9"/>
      <c r="F10" s="9"/>
      <c r="G10" s="15"/>
      <c r="K10" s="9"/>
    </row>
    <row r="11" spans="1:20" ht="13.25" customHeight="1" x14ac:dyDescent="0.15">
      <c r="A11" s="11" t="s">
        <v>47</v>
      </c>
      <c r="B11" s="6">
        <f>N311GL!C7</f>
        <v>20</v>
      </c>
      <c r="C11" s="7">
        <v>279.39999999999998</v>
      </c>
      <c r="D11" s="8">
        <f>B11*C11/100</f>
        <v>55.88</v>
      </c>
      <c r="E11" s="9"/>
      <c r="F11" s="9"/>
      <c r="G11" s="15"/>
      <c r="K11" s="9"/>
    </row>
    <row r="12" spans="1:20" ht="13.25" customHeight="1" x14ac:dyDescent="0.15">
      <c r="A12" s="11" t="s">
        <v>50</v>
      </c>
      <c r="B12" s="6">
        <f>N311GL!C8</f>
        <v>10</v>
      </c>
      <c r="C12" s="7">
        <v>177.8</v>
      </c>
      <c r="D12" s="8">
        <f>B12*C12/100</f>
        <v>17.78</v>
      </c>
      <c r="E12" s="9"/>
      <c r="F12" s="9"/>
      <c r="G12" s="15"/>
      <c r="K12" s="9"/>
    </row>
    <row r="13" spans="1:20" ht="13.25" customHeight="1" x14ac:dyDescent="0.15">
      <c r="A13" s="12" t="s">
        <v>31</v>
      </c>
      <c r="B13" s="8">
        <f>SUM(B6:B12)</f>
        <v>7076.77</v>
      </c>
      <c r="C13" s="7"/>
      <c r="D13" s="8">
        <f>SUM(D6:D12)</f>
        <v>17525.954999999998</v>
      </c>
      <c r="E13" s="9"/>
      <c r="F13" s="9"/>
      <c r="G13" s="15"/>
      <c r="K13" s="9"/>
    </row>
    <row r="14" spans="1:20" ht="13.25" customHeight="1" x14ac:dyDescent="0.15">
      <c r="A14" s="11" t="s">
        <v>44</v>
      </c>
      <c r="B14" s="13">
        <f>N311GL!C10</f>
        <v>130</v>
      </c>
      <c r="C14" s="7">
        <v>131</v>
      </c>
      <c r="D14" s="8">
        <f t="shared" si="0"/>
        <v>170.3</v>
      </c>
      <c r="E14" s="9"/>
      <c r="F14" s="9"/>
      <c r="G14" s="15"/>
      <c r="K14" s="9"/>
    </row>
    <row r="15" spans="1:20" ht="13.25" customHeight="1" x14ac:dyDescent="0.15">
      <c r="A15" s="5" t="s">
        <v>51</v>
      </c>
      <c r="B15" s="13">
        <f>N311GL!C11</f>
        <v>200</v>
      </c>
      <c r="C15" s="7">
        <v>162.6</v>
      </c>
      <c r="D15" s="8">
        <f>B15*C15/100</f>
        <v>325.2</v>
      </c>
      <c r="E15" s="9"/>
      <c r="F15" s="9"/>
      <c r="G15" s="15"/>
      <c r="K15" s="9"/>
    </row>
    <row r="16" spans="1:20" ht="13.25" customHeight="1" x14ac:dyDescent="0.15">
      <c r="A16" s="10" t="s">
        <v>20</v>
      </c>
      <c r="B16" s="13">
        <f>N311GL!C12</f>
        <v>200</v>
      </c>
      <c r="C16" s="7">
        <v>199</v>
      </c>
      <c r="D16" s="8">
        <f t="shared" si="0"/>
        <v>398</v>
      </c>
      <c r="E16" s="9"/>
      <c r="F16" s="9"/>
      <c r="G16" s="15"/>
      <c r="K16" s="9"/>
    </row>
    <row r="17" spans="1:11" ht="13.25" customHeight="1" x14ac:dyDescent="0.15">
      <c r="A17" s="14" t="s">
        <v>21</v>
      </c>
      <c r="B17" s="13">
        <f>N311GL!C13</f>
        <v>0</v>
      </c>
      <c r="C17" s="7">
        <v>241.4</v>
      </c>
      <c r="D17" s="8">
        <f t="shared" si="0"/>
        <v>0</v>
      </c>
      <c r="E17" s="9"/>
      <c r="F17" s="9"/>
      <c r="G17" s="15"/>
      <c r="K17" s="9"/>
    </row>
    <row r="18" spans="1:11" ht="13.25" customHeight="1" x14ac:dyDescent="0.15">
      <c r="A18" s="14" t="s">
        <v>29</v>
      </c>
      <c r="B18" s="13">
        <f>N311GL!C14</f>
        <v>0</v>
      </c>
      <c r="C18" s="7">
        <v>267.39999999999998</v>
      </c>
      <c r="D18" s="8">
        <f t="shared" si="0"/>
        <v>0</v>
      </c>
      <c r="E18" s="9"/>
      <c r="F18" s="9"/>
      <c r="G18" s="15"/>
      <c r="K18" s="9"/>
    </row>
    <row r="19" spans="1:11" ht="13.25" customHeight="1" x14ac:dyDescent="0.15">
      <c r="A19" s="14" t="s">
        <v>22</v>
      </c>
      <c r="B19" s="13">
        <f>N311GL!C15</f>
        <v>0</v>
      </c>
      <c r="C19" s="7">
        <v>74</v>
      </c>
      <c r="D19" s="8">
        <f t="shared" si="0"/>
        <v>0</v>
      </c>
      <c r="E19" s="9"/>
      <c r="F19" s="9"/>
      <c r="G19" s="15"/>
      <c r="K19" s="9"/>
    </row>
    <row r="20" spans="1:11" ht="13.25" customHeight="1" x14ac:dyDescent="0.15">
      <c r="A20" s="14" t="s">
        <v>23</v>
      </c>
      <c r="B20" s="13">
        <f>N311GL!C16</f>
        <v>300</v>
      </c>
      <c r="C20" s="7">
        <v>356.5</v>
      </c>
      <c r="D20" s="8">
        <f t="shared" si="0"/>
        <v>1069.5</v>
      </c>
      <c r="E20" s="9"/>
      <c r="F20" s="9"/>
      <c r="G20" s="15"/>
      <c r="K20" s="9"/>
    </row>
    <row r="21" spans="1:11" ht="13.25" customHeight="1" x14ac:dyDescent="0.15">
      <c r="A21" s="11" t="s">
        <v>43</v>
      </c>
      <c r="B21" s="15">
        <f>SUM(B14:B20)</f>
        <v>830</v>
      </c>
      <c r="C21" s="7"/>
      <c r="D21" s="8"/>
      <c r="E21" s="9"/>
      <c r="F21" s="9"/>
      <c r="G21" s="15"/>
      <c r="K21" s="9"/>
    </row>
    <row r="22" spans="1:11" ht="13.25" customHeight="1" x14ac:dyDescent="0.15">
      <c r="A22" s="12" t="s">
        <v>52</v>
      </c>
      <c r="B22" s="16">
        <f>SUM(B13:B20)</f>
        <v>7906.77</v>
      </c>
      <c r="C22" s="9">
        <f>D22/B22*100</f>
        <v>246.48440513635782</v>
      </c>
      <c r="D22" s="8">
        <f>SUM(D13:D20)</f>
        <v>19488.954999999998</v>
      </c>
      <c r="E22" s="9"/>
      <c r="F22" s="9"/>
      <c r="G22" s="15"/>
      <c r="K22" s="9"/>
    </row>
    <row r="23" spans="1:11" ht="13.5" customHeight="1" x14ac:dyDescent="0.15">
      <c r="A23" s="17" t="s">
        <v>37</v>
      </c>
      <c r="B23" s="9"/>
      <c r="C23" s="9"/>
      <c r="D23" s="8"/>
      <c r="E23" s="9"/>
      <c r="F23" s="9"/>
      <c r="G23" s="15"/>
      <c r="K23" s="9"/>
    </row>
    <row r="24" spans="1:11" ht="13.5" customHeight="1" x14ac:dyDescent="0.15">
      <c r="A24" s="11" t="s">
        <v>45</v>
      </c>
      <c r="B24" s="6">
        <f>N311GL!C20</f>
        <v>2900</v>
      </c>
      <c r="C24" s="18">
        <f>VLOOKUP(B24,DATA!B3:D36,3)</f>
        <v>252.9</v>
      </c>
      <c r="D24" s="8">
        <f>B24*C24/100</f>
        <v>7334.1</v>
      </c>
      <c r="E24" s="9"/>
      <c r="F24" s="9"/>
      <c r="G24" s="15"/>
      <c r="K24" s="9"/>
    </row>
    <row r="25" spans="1:11" ht="13.25" customHeight="1" x14ac:dyDescent="0.15">
      <c r="A25" s="14" t="s">
        <v>32</v>
      </c>
      <c r="B25" s="6">
        <f>N311GL!C21</f>
        <v>125</v>
      </c>
      <c r="C25" s="18"/>
      <c r="D25" s="8"/>
      <c r="E25" s="9"/>
      <c r="F25" s="9"/>
      <c r="G25" s="15"/>
      <c r="K25" s="9"/>
    </row>
    <row r="26" spans="1:11" ht="13.5" customHeight="1" x14ac:dyDescent="0.15">
      <c r="A26" s="14" t="s">
        <v>33</v>
      </c>
      <c r="B26" s="19">
        <f>B24-B25</f>
        <v>2775</v>
      </c>
      <c r="C26" s="18">
        <f>VLOOKUP(B26,DATA!B3:D36,3)</f>
        <v>252.9</v>
      </c>
      <c r="D26" s="8">
        <f>B26*C26/100</f>
        <v>7017.9750000000004</v>
      </c>
      <c r="E26" s="9"/>
      <c r="F26" s="9"/>
      <c r="G26" s="15"/>
      <c r="K26" s="9"/>
    </row>
    <row r="27" spans="1:11" ht="13.25" customHeight="1" x14ac:dyDescent="0.15">
      <c r="A27" s="11" t="s">
        <v>53</v>
      </c>
      <c r="B27" s="6">
        <f>N311GL!C23</f>
        <v>1000</v>
      </c>
      <c r="C27" s="18"/>
      <c r="D27" s="8"/>
      <c r="E27" s="9"/>
      <c r="F27" s="9"/>
      <c r="G27" s="15"/>
      <c r="K27" s="9"/>
    </row>
    <row r="28" spans="1:11" ht="12.75" customHeight="1" x14ac:dyDescent="0.15">
      <c r="A28" s="20" t="s">
        <v>46</v>
      </c>
      <c r="B28" s="21">
        <f>B26-B27</f>
        <v>1775</v>
      </c>
      <c r="C28" s="18">
        <f>VLOOKUP(B28,DATA!B3:D36,3)</f>
        <v>252.6</v>
      </c>
      <c r="D28" s="8">
        <f>B28*C28/100</f>
        <v>4483.6499999999996</v>
      </c>
      <c r="E28" s="9"/>
      <c r="F28" s="9"/>
      <c r="G28" s="15"/>
      <c r="K28" s="9"/>
    </row>
    <row r="29" spans="1:11" ht="12.75" customHeight="1" x14ac:dyDescent="0.2">
      <c r="A29" s="9"/>
      <c r="B29" s="22"/>
      <c r="C29" s="9"/>
      <c r="D29" s="23"/>
      <c r="E29" s="24"/>
      <c r="F29" s="9"/>
      <c r="G29" s="15"/>
      <c r="K29" s="9"/>
    </row>
    <row r="30" spans="1:11" ht="12.75" customHeight="1" x14ac:dyDescent="0.2">
      <c r="A30" s="12" t="s">
        <v>30</v>
      </c>
      <c r="B30" s="16">
        <f>SUM(B22:B24)</f>
        <v>10806.77</v>
      </c>
      <c r="C30" s="9">
        <f>D30/B30*100</f>
        <v>248.20603195959569</v>
      </c>
      <c r="D30" s="8">
        <f>SUM(D22:D24)</f>
        <v>26823.055</v>
      </c>
      <c r="E30" s="24"/>
      <c r="F30" s="9"/>
      <c r="G30" s="15"/>
      <c r="K30" s="9"/>
    </row>
    <row r="31" spans="1:11" ht="13.25" customHeight="1" x14ac:dyDescent="0.15">
      <c r="A31" s="9"/>
      <c r="B31" s="25"/>
      <c r="C31" s="9"/>
      <c r="D31" s="26" t="s">
        <v>24</v>
      </c>
      <c r="F31" s="9"/>
      <c r="G31" s="15"/>
      <c r="K31" s="9"/>
    </row>
    <row r="32" spans="1:11" ht="13.5" customHeight="1" x14ac:dyDescent="0.15">
      <c r="A32" s="12" t="s">
        <v>38</v>
      </c>
      <c r="B32" s="16">
        <f>B22+B26</f>
        <v>10681.77</v>
      </c>
      <c r="C32" s="9">
        <f>D32/B32*100</f>
        <v>248.15110229858908</v>
      </c>
      <c r="D32" s="8">
        <f>D22+D26</f>
        <v>26506.93</v>
      </c>
      <c r="F32" s="9"/>
      <c r="G32" s="15"/>
      <c r="K32" s="9"/>
    </row>
    <row r="33" spans="1:11" ht="13.5" customHeight="1" x14ac:dyDescent="0.15">
      <c r="A33" s="9"/>
      <c r="B33" s="49" t="str">
        <f>IF(B32&gt;10700,"OVER MAX T.O.WEIGHT,  MAX = 10700","T.O.Weight OK")</f>
        <v>T.O.Weight OK</v>
      </c>
      <c r="C33" s="9"/>
      <c r="D33" s="8"/>
      <c r="F33" s="9"/>
      <c r="G33" s="15"/>
      <c r="K33" s="9"/>
    </row>
    <row r="34" spans="1:11" ht="13.25" customHeight="1" x14ac:dyDescent="0.15">
      <c r="A34" s="9"/>
      <c r="B34" s="28"/>
      <c r="C34" s="9"/>
      <c r="D34" s="23"/>
      <c r="E34" s="29"/>
      <c r="F34" s="9"/>
      <c r="G34" s="15"/>
      <c r="K34" s="9"/>
    </row>
    <row r="35" spans="1:11" ht="13.25" customHeight="1" x14ac:dyDescent="0.15">
      <c r="A35" s="12" t="s">
        <v>34</v>
      </c>
      <c r="B35" s="16">
        <f>B22+B28</f>
        <v>9681.77</v>
      </c>
      <c r="C35" s="9">
        <f>D35/B35*100</f>
        <v>247.60560310769617</v>
      </c>
      <c r="D35" s="8">
        <f>D22+D28</f>
        <v>23972.604999999996</v>
      </c>
      <c r="F35" s="9"/>
      <c r="G35" s="15"/>
      <c r="K35" s="9"/>
    </row>
    <row r="36" spans="1:11" ht="12.75" customHeight="1" x14ac:dyDescent="0.15">
      <c r="A36" s="9"/>
      <c r="B36" s="50" t="str">
        <f>IF(B35&gt;9900,"OVER LANDING WEIGHT,  MAX = 9900","Landing Weight OK")</f>
        <v>Landing Weight OK</v>
      </c>
      <c r="C36" s="9"/>
      <c r="D36" s="9"/>
      <c r="F36" s="9"/>
      <c r="G36" s="15"/>
      <c r="K36" s="9"/>
    </row>
    <row r="37" spans="1:11" ht="13.5" customHeight="1" x14ac:dyDescent="0.15">
      <c r="A37" s="9"/>
      <c r="B37" s="9"/>
      <c r="C37" s="9"/>
      <c r="D37" s="9"/>
      <c r="E37" s="30"/>
      <c r="F37" s="39"/>
      <c r="G37" s="15"/>
      <c r="K37" s="9"/>
    </row>
    <row r="38" spans="1:11" ht="13.25" customHeight="1" x14ac:dyDescent="0.15">
      <c r="A38" s="31" t="s">
        <v>25</v>
      </c>
      <c r="B38" s="17" t="s">
        <v>39</v>
      </c>
      <c r="C38" s="32" t="s">
        <v>41</v>
      </c>
      <c r="D38" s="17" t="s">
        <v>40</v>
      </c>
      <c r="E38" s="30"/>
      <c r="F38" s="9"/>
      <c r="G38" s="15"/>
      <c r="K38" s="9"/>
    </row>
    <row r="39" spans="1:11" ht="13.25" customHeight="1" x14ac:dyDescent="0.15">
      <c r="A39" s="14" t="s">
        <v>26</v>
      </c>
      <c r="B39" s="7">
        <f>DATA!I2</f>
        <v>244.239</v>
      </c>
      <c r="C39" s="52">
        <f>D32*100/B32</f>
        <v>248.15110229858908</v>
      </c>
      <c r="D39" s="7">
        <f>DATA!N2</f>
        <v>248.43</v>
      </c>
      <c r="E39" s="51" t="str">
        <f>IF(AND(C39&lt;D39,C39&gt;B39),"Takeoff CG is ok","Takeoff CG out")</f>
        <v>Takeoff CG is ok</v>
      </c>
      <c r="F39" s="9"/>
      <c r="G39" s="15"/>
      <c r="H39" s="9"/>
      <c r="I39" s="38"/>
      <c r="J39" s="40"/>
      <c r="K39" s="9"/>
    </row>
    <row r="40" spans="1:11" ht="13.25" customHeight="1" x14ac:dyDescent="0.15">
      <c r="A40" s="14" t="s">
        <v>27</v>
      </c>
      <c r="B40" s="7">
        <f>DATA!I3</f>
        <v>243.23400000000001</v>
      </c>
      <c r="C40" s="52">
        <f>D35*100/B35</f>
        <v>247.60560310769617</v>
      </c>
      <c r="D40" s="7">
        <f>DATA!N3</f>
        <v>248.43</v>
      </c>
      <c r="E40" s="51" t="str">
        <f>IF(AND(C40&lt;D40,C40&gt;B40),"Landing CG is ok","Landing CG out")</f>
        <v>Landing CG is ok</v>
      </c>
      <c r="F40" s="9"/>
      <c r="G40" s="15"/>
      <c r="H40" s="9"/>
      <c r="I40" s="38"/>
      <c r="J40" s="40"/>
      <c r="K40" s="9"/>
    </row>
    <row r="41" spans="1:11" ht="13.25" customHeight="1" x14ac:dyDescent="0.15">
      <c r="A41" s="9"/>
      <c r="B41" s="9"/>
      <c r="C41" s="9"/>
      <c r="D41" s="10" t="s">
        <v>28</v>
      </c>
      <c r="E41" s="9"/>
      <c r="F41" s="9"/>
      <c r="G41" s="15"/>
      <c r="H41" s="9"/>
      <c r="I41" s="38"/>
      <c r="J41" s="40"/>
      <c r="K41" s="9"/>
    </row>
    <row r="42" spans="1:11" ht="13.25" customHeight="1" x14ac:dyDescent="0.15">
      <c r="A42" s="11" t="s">
        <v>36</v>
      </c>
      <c r="B42" s="9"/>
      <c r="C42" s="9"/>
      <c r="D42" s="9"/>
      <c r="E42" s="9"/>
      <c r="F42" s="9"/>
      <c r="G42" s="15"/>
      <c r="H42" s="9"/>
      <c r="I42" s="41"/>
      <c r="J42" s="40"/>
      <c r="K42" s="9"/>
    </row>
    <row r="43" spans="1:11" ht="13.25" customHeight="1" x14ac:dyDescent="0.15">
      <c r="A43" s="42"/>
      <c r="B43" s="9"/>
      <c r="C43" s="39"/>
      <c r="D43" s="9"/>
      <c r="E43" s="9"/>
      <c r="F43" s="9"/>
      <c r="G43" s="15"/>
      <c r="H43" s="9"/>
      <c r="I43" s="41"/>
      <c r="J43" s="40"/>
      <c r="K43" s="9"/>
    </row>
    <row r="44" spans="1:11" ht="13.25" customHeight="1" x14ac:dyDescent="0.15">
      <c r="A44" s="43"/>
      <c r="B44" s="39"/>
      <c r="C44" s="9"/>
      <c r="D44" s="9"/>
      <c r="E44" s="9"/>
      <c r="F44" s="44"/>
      <c r="G44" s="15"/>
      <c r="H44" s="9"/>
      <c r="I44" s="41"/>
      <c r="J44" s="40"/>
      <c r="K44" s="9"/>
    </row>
    <row r="45" spans="1:11" ht="13.25" customHeight="1" x14ac:dyDescent="0.15">
      <c r="A45" s="10"/>
      <c r="B45" s="9"/>
      <c r="C45" s="9"/>
      <c r="D45" s="9"/>
      <c r="E45" s="9"/>
      <c r="F45" s="44"/>
      <c r="G45" s="15"/>
      <c r="H45" s="9"/>
      <c r="I45" s="38"/>
      <c r="J45" s="40"/>
      <c r="K45" s="9"/>
    </row>
    <row r="46" spans="1:11" ht="13.25" customHeight="1" x14ac:dyDescent="0.15">
      <c r="A46" s="9"/>
      <c r="B46" s="9"/>
      <c r="C46" s="39"/>
      <c r="D46" s="9"/>
      <c r="E46" s="9"/>
      <c r="F46" s="9"/>
      <c r="G46" s="9"/>
      <c r="H46" s="9"/>
      <c r="I46" s="41"/>
      <c r="J46" s="40"/>
      <c r="K46" s="9"/>
    </row>
    <row r="47" spans="1:11" ht="13.25" customHeight="1" x14ac:dyDescent="0.15">
      <c r="A47" s="9"/>
      <c r="B47" s="9"/>
      <c r="C47" s="9"/>
      <c r="D47" s="9"/>
      <c r="E47" s="9"/>
      <c r="F47" s="9"/>
      <c r="G47" s="9"/>
      <c r="H47" s="9"/>
      <c r="I47" s="41"/>
      <c r="J47" s="40"/>
      <c r="K47" s="9"/>
    </row>
    <row r="48" spans="1:11" ht="13.25" customHeight="1" x14ac:dyDescent="0.15">
      <c r="A48" s="9"/>
      <c r="B48" s="9"/>
      <c r="C48" s="9"/>
      <c r="D48" s="9"/>
      <c r="E48" s="9"/>
      <c r="F48" s="9"/>
      <c r="G48" s="9"/>
      <c r="H48" s="9"/>
      <c r="I48" s="41"/>
      <c r="J48" s="40"/>
      <c r="K48" s="9"/>
    </row>
    <row r="49" spans="1:20" ht="13.25" customHeight="1" x14ac:dyDescent="0.15">
      <c r="A49" s="9"/>
      <c r="B49" s="9"/>
      <c r="C49" s="9"/>
      <c r="D49" s="9"/>
      <c r="E49" s="9"/>
      <c r="F49" s="9"/>
      <c r="G49" s="9"/>
      <c r="H49" s="9"/>
      <c r="I49" s="41"/>
      <c r="J49" s="40"/>
      <c r="K49" s="9"/>
    </row>
    <row r="50" spans="1:20" ht="13.25" customHeight="1" x14ac:dyDescent="0.15">
      <c r="A50" s="9"/>
      <c r="B50" s="9"/>
      <c r="C50" s="9"/>
      <c r="D50" s="9"/>
      <c r="E50" s="9"/>
      <c r="F50" s="9"/>
      <c r="G50" s="9"/>
      <c r="H50" s="9"/>
      <c r="I50" s="41"/>
      <c r="J50" s="40"/>
      <c r="K50" s="9"/>
      <c r="L50" s="9"/>
      <c r="N50" s="8"/>
      <c r="O50" s="8"/>
      <c r="P50" s="9"/>
      <c r="R50" s="8"/>
      <c r="S50" s="8"/>
      <c r="T50" s="9"/>
    </row>
    <row r="51" spans="1:20" ht="13.25" customHeight="1" x14ac:dyDescent="0.15">
      <c r="A51" s="9"/>
      <c r="B51" s="9"/>
      <c r="C51" s="9"/>
      <c r="D51" s="9"/>
      <c r="E51" s="9"/>
      <c r="F51" s="9"/>
      <c r="G51" s="9"/>
      <c r="H51" s="9"/>
      <c r="I51" s="41"/>
      <c r="J51" s="40"/>
      <c r="K51" s="9"/>
      <c r="L51" s="9"/>
      <c r="N51" s="8"/>
      <c r="O51" s="8"/>
      <c r="P51" s="9"/>
      <c r="R51" s="8"/>
      <c r="S51" s="8"/>
      <c r="T51" s="9"/>
    </row>
    <row r="52" spans="1:20" ht="13.25" customHeight="1" x14ac:dyDescent="0.15">
      <c r="A52" s="9"/>
      <c r="B52" s="9"/>
      <c r="C52" s="9"/>
      <c r="D52" s="9"/>
      <c r="E52" s="9"/>
      <c r="F52" s="9"/>
      <c r="G52" s="9"/>
      <c r="H52" s="9"/>
      <c r="I52" s="41"/>
      <c r="J52" s="40"/>
      <c r="K52" s="9"/>
      <c r="L52" s="9"/>
      <c r="N52" s="8"/>
      <c r="O52" s="8"/>
      <c r="P52" s="9"/>
      <c r="R52" s="8"/>
      <c r="S52" s="8"/>
      <c r="T52" s="9"/>
    </row>
    <row r="53" spans="1:20" ht="13.25" customHeight="1" x14ac:dyDescent="0.15">
      <c r="A53" s="9"/>
      <c r="B53" s="9"/>
      <c r="C53" s="9"/>
      <c r="D53" s="9"/>
      <c r="E53" s="9"/>
      <c r="F53" s="9"/>
      <c r="G53" s="9"/>
      <c r="H53" s="9"/>
      <c r="I53" s="41"/>
      <c r="J53" s="40"/>
      <c r="K53" s="9"/>
      <c r="L53" s="9"/>
      <c r="N53" s="8"/>
      <c r="O53" s="8"/>
      <c r="P53" s="9"/>
      <c r="R53" s="8"/>
      <c r="S53" s="8"/>
      <c r="T53" s="9"/>
    </row>
    <row r="54" spans="1:20" ht="13.25" customHeight="1" x14ac:dyDescent="0.15">
      <c r="A54" s="9"/>
      <c r="B54" s="9"/>
      <c r="C54" s="9"/>
      <c r="D54" s="9"/>
      <c r="E54" s="9"/>
      <c r="F54" s="9"/>
      <c r="G54" s="9"/>
      <c r="H54" s="9"/>
      <c r="I54" s="41"/>
      <c r="J54" s="40"/>
      <c r="K54" s="9"/>
      <c r="L54" s="9"/>
      <c r="N54" s="8"/>
      <c r="O54" s="8"/>
      <c r="P54" s="9"/>
      <c r="R54" s="8"/>
      <c r="S54" s="8"/>
      <c r="T54" s="9"/>
    </row>
    <row r="55" spans="1:20" ht="13.25" customHeight="1" x14ac:dyDescent="0.15">
      <c r="A55" s="45"/>
      <c r="B55" s="9"/>
      <c r="C55" s="9"/>
      <c r="D55" s="9"/>
      <c r="E55" s="9"/>
      <c r="F55" s="9"/>
      <c r="G55" s="9"/>
      <c r="H55" s="9"/>
      <c r="I55" s="41"/>
      <c r="J55" s="40"/>
      <c r="K55" s="9"/>
      <c r="L55" s="9"/>
      <c r="N55" s="8"/>
      <c r="O55" s="8"/>
      <c r="P55" s="9"/>
      <c r="R55" s="8"/>
      <c r="S55" s="8"/>
      <c r="T55" s="9"/>
    </row>
    <row r="56" spans="1:20" ht="13.25" customHeight="1" x14ac:dyDescent="0.15">
      <c r="A56" s="9"/>
      <c r="B56" s="9"/>
      <c r="C56" s="9"/>
      <c r="D56" s="9"/>
      <c r="E56" s="9"/>
      <c r="F56" s="9"/>
      <c r="G56" s="9"/>
      <c r="H56" s="9"/>
      <c r="I56" s="41"/>
      <c r="J56" s="40"/>
      <c r="K56" s="9"/>
      <c r="L56" s="9"/>
      <c r="N56" s="8"/>
      <c r="O56" s="8"/>
      <c r="P56" s="9"/>
      <c r="R56" s="8"/>
      <c r="S56" s="8"/>
      <c r="T56" s="9"/>
    </row>
    <row r="57" spans="1:20" ht="13.25" customHeight="1" x14ac:dyDescent="0.15">
      <c r="A57" s="9"/>
      <c r="B57" s="9"/>
      <c r="C57" s="9"/>
      <c r="D57" s="9"/>
      <c r="E57" s="9"/>
      <c r="F57" s="9"/>
      <c r="G57" s="9"/>
      <c r="H57" s="9"/>
      <c r="I57" s="41"/>
      <c r="J57" s="40"/>
      <c r="K57" s="9"/>
      <c r="L57" s="9"/>
      <c r="N57" s="8"/>
      <c r="O57" s="8"/>
      <c r="P57" s="9"/>
      <c r="R57" s="8"/>
      <c r="S57" s="8"/>
      <c r="T57" s="9"/>
    </row>
    <row r="58" spans="1:20" ht="13.25" customHeight="1" x14ac:dyDescent="0.15">
      <c r="A58" s="9"/>
      <c r="B58" s="9"/>
      <c r="C58" s="9"/>
      <c r="D58" s="9"/>
      <c r="E58" s="9"/>
      <c r="F58" s="9"/>
      <c r="G58" s="9"/>
      <c r="H58" s="9"/>
      <c r="I58" s="41"/>
      <c r="J58" s="40"/>
      <c r="K58" s="9"/>
      <c r="L58" s="9"/>
      <c r="N58" s="8"/>
      <c r="O58" s="8"/>
      <c r="P58" s="9"/>
      <c r="R58" s="8"/>
      <c r="S58" s="8"/>
      <c r="T58" s="9"/>
    </row>
    <row r="59" spans="1:20" ht="13.25" customHeight="1" x14ac:dyDescent="0.15">
      <c r="A59" s="46"/>
      <c r="B59" s="9"/>
      <c r="C59" s="9"/>
      <c r="D59" s="9"/>
      <c r="E59" s="9"/>
      <c r="F59" s="9"/>
      <c r="G59" s="9"/>
      <c r="H59" s="9"/>
      <c r="I59" s="41"/>
      <c r="J59" s="40"/>
      <c r="K59" s="9"/>
      <c r="L59" s="9"/>
      <c r="N59" s="8"/>
      <c r="O59" s="8"/>
      <c r="P59" s="9"/>
      <c r="R59" s="8"/>
      <c r="S59" s="8"/>
      <c r="T59" s="9"/>
    </row>
    <row r="60" spans="1:20" ht="13.25" customHeight="1" x14ac:dyDescent="0.15">
      <c r="A60" s="9"/>
      <c r="B60" s="9"/>
      <c r="C60" s="9"/>
      <c r="D60" s="9"/>
      <c r="E60" s="9"/>
      <c r="F60" s="9"/>
      <c r="G60" s="9"/>
      <c r="H60" s="15"/>
      <c r="I60" s="41"/>
      <c r="J60" s="40"/>
      <c r="K60" s="9"/>
      <c r="L60" s="9"/>
      <c r="N60" s="8"/>
      <c r="O60" s="8"/>
      <c r="P60" s="9"/>
      <c r="R60" s="8"/>
      <c r="S60" s="8"/>
      <c r="T60" s="9"/>
    </row>
    <row r="61" spans="1:20" ht="13.2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N61" s="8"/>
      <c r="O61" s="8"/>
      <c r="P61" s="9"/>
      <c r="R61" s="8"/>
      <c r="S61" s="8"/>
      <c r="T61" s="9"/>
    </row>
    <row r="62" spans="1:20" ht="12.75" customHeight="1" x14ac:dyDescent="0.15">
      <c r="A62" s="9"/>
      <c r="B62" s="47"/>
      <c r="C62" s="47"/>
      <c r="D62" s="9"/>
      <c r="E62" s="9"/>
      <c r="F62" s="9"/>
      <c r="G62" s="9"/>
      <c r="H62" s="9"/>
      <c r="I62" s="9"/>
      <c r="J62" s="9"/>
      <c r="K62" s="9"/>
      <c r="L62" s="9"/>
      <c r="N62" s="8"/>
      <c r="O62" s="8"/>
      <c r="P62" s="9"/>
      <c r="R62" s="8"/>
      <c r="S62" s="8"/>
      <c r="T62" s="9"/>
    </row>
    <row r="63" spans="1:20" ht="13.25" customHeight="1" x14ac:dyDescent="0.15">
      <c r="A63" s="42"/>
      <c r="B63" s="48"/>
      <c r="C63" s="48"/>
      <c r="D63" s="9"/>
      <c r="E63" s="9"/>
      <c r="F63" s="9"/>
      <c r="G63" s="9"/>
      <c r="H63" s="9"/>
      <c r="I63" s="9"/>
      <c r="J63" s="9"/>
      <c r="K63" s="9"/>
      <c r="L63" s="9"/>
      <c r="N63" s="8"/>
      <c r="O63" s="8"/>
      <c r="P63" s="9"/>
      <c r="R63" s="8"/>
      <c r="S63" s="8"/>
      <c r="T63" s="9"/>
    </row>
    <row r="64" spans="1:20" ht="12.75" customHeight="1" x14ac:dyDescent="0.15">
      <c r="A64" s="42"/>
      <c r="B64" s="48"/>
      <c r="C64" s="48"/>
      <c r="D64" s="9"/>
      <c r="E64" s="9"/>
      <c r="F64" s="9"/>
      <c r="G64" s="9"/>
      <c r="H64" s="9"/>
      <c r="I64" s="9"/>
      <c r="J64" s="9"/>
      <c r="K64" s="9"/>
      <c r="L64" s="9"/>
      <c r="N64" s="8"/>
      <c r="O64" s="8"/>
      <c r="P64" s="9"/>
      <c r="R64" s="8"/>
      <c r="S64" s="8"/>
      <c r="T64" s="9"/>
    </row>
    <row r="65" spans="1:20" ht="12.7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N65" s="8"/>
      <c r="O65" s="8"/>
      <c r="P65" s="9"/>
      <c r="R65" s="8"/>
      <c r="S65" s="8"/>
      <c r="T65" s="9"/>
    </row>
    <row r="66" spans="1:20" ht="12.7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N66" s="8"/>
      <c r="O66" s="8"/>
      <c r="P66" s="9"/>
      <c r="R66" s="8"/>
      <c r="S66" s="8"/>
      <c r="T66" s="9"/>
    </row>
    <row r="67" spans="1:20" ht="12.75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N67" s="8"/>
      <c r="O67" s="8"/>
      <c r="P67" s="9"/>
      <c r="R67" s="8"/>
      <c r="S67" s="8"/>
      <c r="T67" s="9"/>
    </row>
    <row r="68" spans="1:20" ht="12.75" customHeight="1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N68" s="8"/>
      <c r="O68" s="8"/>
      <c r="P68" s="9"/>
      <c r="R68" s="8"/>
      <c r="S68" s="8"/>
      <c r="T68" s="9"/>
    </row>
    <row r="69" spans="1:20" ht="13.25" customHeight="1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N69" s="8"/>
      <c r="O69" s="8"/>
      <c r="P69" s="9"/>
      <c r="R69" s="8"/>
      <c r="S69" s="8"/>
      <c r="T69" s="9"/>
    </row>
    <row r="70" spans="1:20" ht="12.75" customHeight="1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N70" s="8"/>
      <c r="O70" s="8"/>
      <c r="P70" s="9"/>
      <c r="R70" s="8"/>
      <c r="S70" s="8"/>
      <c r="T70" s="9"/>
    </row>
    <row r="71" spans="1:20" ht="12.75" customHeight="1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N71" s="8"/>
      <c r="O71" s="8"/>
      <c r="P71" s="9"/>
      <c r="R71" s="8"/>
      <c r="S71" s="8"/>
      <c r="T71" s="9"/>
    </row>
    <row r="72" spans="1:20" ht="12.75" customHeight="1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N72" s="8"/>
      <c r="O72" s="8"/>
      <c r="P72" s="9"/>
      <c r="R72" s="8"/>
      <c r="S72" s="8"/>
      <c r="T72" s="9"/>
    </row>
    <row r="73" spans="1:20" ht="12.75" customHeight="1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N73" s="8"/>
      <c r="O73" s="8"/>
      <c r="P73" s="9"/>
      <c r="R73" s="8"/>
      <c r="S73" s="8"/>
      <c r="T73" s="9"/>
    </row>
    <row r="74" spans="1:20" ht="12.75" customHeight="1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N74" s="8"/>
      <c r="O74" s="8"/>
      <c r="P74" s="9"/>
      <c r="R74" s="8"/>
      <c r="S74" s="8"/>
      <c r="T74" s="9"/>
    </row>
    <row r="75" spans="1:20" ht="12.75" customHeight="1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N75" s="8"/>
      <c r="O75" s="8"/>
      <c r="P75" s="9"/>
      <c r="R75" s="8"/>
      <c r="S75" s="8"/>
      <c r="T75" s="9"/>
    </row>
    <row r="76" spans="1:20" ht="12.75" customHeight="1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N76" s="8"/>
      <c r="O76" s="8"/>
      <c r="P76" s="9"/>
      <c r="Q76" s="9"/>
      <c r="R76" s="8"/>
      <c r="S76" s="8"/>
      <c r="T76" s="9"/>
    </row>
    <row r="77" spans="1:20" ht="12.75" customHeight="1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N77" s="8"/>
      <c r="P77" s="9"/>
      <c r="Q77" s="9"/>
      <c r="R77" s="8"/>
      <c r="S77" s="8"/>
      <c r="T77" s="9"/>
    </row>
    <row r="78" spans="1:20" ht="12.75" customHeight="1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N78" s="8"/>
      <c r="P78" s="9"/>
      <c r="Q78" s="9"/>
      <c r="R78" s="8"/>
      <c r="S78" s="8"/>
      <c r="T78" s="9"/>
    </row>
    <row r="79" spans="1:20" ht="12.75" customHeight="1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2.75" customHeight="1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2.75" customHeight="1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2.75" customHeight="1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12.75" customHeight="1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2.75" customHeight="1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2.75" customHeight="1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2.75" customHeight="1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12.75" customHeight="1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2.75" customHeight="1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12.75" customHeight="1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12.75" customHeight="1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2.75" customHeight="1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2.75" customHeight="1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12.75" customHeight="1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2.75" customHeight="1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2.75" customHeight="1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2.75" customHeight="1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12.75" customHeight="1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2.75" customHeight="1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2.75" customHeight="1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12.75" customHeight="1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12.75" customHeight="1" x14ac:dyDescent="0.15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</sheetData>
  <sheetProtection algorithmName="SHA-512" hashValue="cSgc4fQULFIQKKlNCNR7rwnrvuQczV0sSec+dlh1+a7BBCJxbNCFW3A9G669bAV1lpLKE+YaOCQ2fKa3dg3Yvg==" saltValue="4JejQef9ySR8qvKUlV8vSw==" spinCount="100000" sheet="1" objects="1" scenarios="1" selectLockedCells="1"/>
  <mergeCells count="1">
    <mergeCell ref="A2:D2"/>
  </mergeCells>
  <pageMargins left="0.75" right="0.75" top="0.25" bottom="0.25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9713-6CB3-9348-862A-5EEE6B5D40DF}">
  <dimension ref="A1:U50"/>
  <sheetViews>
    <sheetView topLeftCell="K12" zoomScale="107" workbookViewId="0">
      <selection activeCell="W39" sqref="W39"/>
    </sheetView>
  </sheetViews>
  <sheetFormatPr baseColWidth="10" defaultColWidth="8.83203125" defaultRowHeight="13" x14ac:dyDescent="0.15"/>
  <cols>
    <col min="1" max="16384" width="8.83203125" style="56"/>
  </cols>
  <sheetData>
    <row r="1" spans="1:21" ht="18" x14ac:dyDescent="0.2">
      <c r="A1" s="54"/>
      <c r="B1" s="55"/>
      <c r="C1" s="55"/>
      <c r="D1" s="55"/>
      <c r="E1" s="54"/>
    </row>
    <row r="2" spans="1:21" ht="13.75" customHeight="1" x14ac:dyDescent="0.15">
      <c r="A2" s="54"/>
      <c r="B2" s="57" t="s">
        <v>5</v>
      </c>
      <c r="C2" s="58" t="s">
        <v>9</v>
      </c>
      <c r="D2" s="59" t="s">
        <v>10</v>
      </c>
      <c r="E2" s="54"/>
      <c r="F2" s="60" t="s">
        <v>0</v>
      </c>
      <c r="G2" s="54"/>
      <c r="H2" s="54"/>
      <c r="I2" s="61">
        <f>VLOOKUP('CE525 Wgt &amp; Bal'!B32,G8:I50,3)</f>
        <v>244.239</v>
      </c>
      <c r="J2" s="54"/>
      <c r="K2" s="60" t="s">
        <v>1</v>
      </c>
      <c r="L2" s="54"/>
      <c r="M2" s="54"/>
      <c r="N2" s="61">
        <f>VLOOKUP('CE525 Wgt &amp; Bal'!B32,K8:M50,3)</f>
        <v>248.43</v>
      </c>
    </row>
    <row r="3" spans="1:21" ht="13.75" customHeight="1" x14ac:dyDescent="0.15">
      <c r="A3" s="54"/>
      <c r="B3" s="62">
        <v>100</v>
      </c>
      <c r="C3" s="63">
        <v>258.10000000000002</v>
      </c>
      <c r="D3" s="64">
        <f>C3*100/B3</f>
        <v>258.10000000000002</v>
      </c>
      <c r="E3" s="54"/>
      <c r="F3" s="60" t="s">
        <v>3</v>
      </c>
      <c r="G3" s="54"/>
      <c r="H3" s="54"/>
      <c r="I3" s="61">
        <f>VLOOKUP('CE525 Wgt &amp; Bal'!B35,G8:I50,3)</f>
        <v>243.23400000000001</v>
      </c>
      <c r="J3" s="54"/>
      <c r="K3" s="60" t="s">
        <v>4</v>
      </c>
      <c r="L3" s="54"/>
      <c r="M3" s="54"/>
      <c r="N3" s="61">
        <f>VLOOKUP('CE525 Wgt &amp; Bal'!B35,K8:M50,3)</f>
        <v>248.43</v>
      </c>
      <c r="R3" s="56" t="s">
        <v>56</v>
      </c>
    </row>
    <row r="4" spans="1:21" ht="16" x14ac:dyDescent="0.2">
      <c r="A4" s="54"/>
      <c r="B4" s="62">
        <v>200</v>
      </c>
      <c r="C4" s="63">
        <v>516.1</v>
      </c>
      <c r="D4" s="64">
        <v>258</v>
      </c>
      <c r="E4" s="54"/>
      <c r="F4" s="54"/>
      <c r="G4" s="73" t="s">
        <v>11</v>
      </c>
      <c r="H4" s="74"/>
      <c r="I4" s="75"/>
      <c r="J4" s="54"/>
      <c r="K4" s="54"/>
      <c r="L4" s="65" t="s">
        <v>12</v>
      </c>
      <c r="M4" s="54"/>
      <c r="N4" s="54"/>
      <c r="R4" s="56">
        <v>6600</v>
      </c>
      <c r="S4" s="56">
        <v>248.43</v>
      </c>
    </row>
    <row r="5" spans="1:21" ht="13.75" customHeight="1" x14ac:dyDescent="0.15">
      <c r="A5" s="54"/>
      <c r="B5" s="62">
        <v>300</v>
      </c>
      <c r="C5" s="63">
        <v>774.1</v>
      </c>
      <c r="D5" s="64">
        <v>257.60000000000002</v>
      </c>
      <c r="E5" s="54"/>
      <c r="F5" s="54"/>
      <c r="G5" s="66"/>
      <c r="H5" s="66"/>
      <c r="I5" s="66"/>
      <c r="J5" s="54"/>
      <c r="K5" s="54"/>
      <c r="L5" s="54"/>
      <c r="M5" s="54"/>
      <c r="N5" s="54"/>
      <c r="R5" s="56">
        <v>10800</v>
      </c>
      <c r="S5" s="56">
        <v>248.43</v>
      </c>
    </row>
    <row r="6" spans="1:21" ht="16" x14ac:dyDescent="0.2">
      <c r="A6" s="54"/>
      <c r="B6" s="62">
        <v>400</v>
      </c>
      <c r="C6" s="63">
        <v>1032.0999999999999</v>
      </c>
      <c r="D6" s="64">
        <v>257</v>
      </c>
      <c r="E6" s="54"/>
      <c r="F6" s="54"/>
      <c r="G6" s="67" t="s">
        <v>5</v>
      </c>
      <c r="H6" s="67" t="s">
        <v>16</v>
      </c>
      <c r="I6" s="65" t="s">
        <v>17</v>
      </c>
      <c r="J6" s="54"/>
      <c r="K6" s="65" t="s">
        <v>5</v>
      </c>
      <c r="L6" s="65" t="s">
        <v>16</v>
      </c>
      <c r="M6" s="65" t="s">
        <v>17</v>
      </c>
      <c r="N6" s="54"/>
      <c r="R6" s="56">
        <v>10800</v>
      </c>
      <c r="S6" s="56">
        <v>244.44</v>
      </c>
    </row>
    <row r="7" spans="1:21" ht="13.75" customHeight="1" x14ac:dyDescent="0.15">
      <c r="A7" s="54"/>
      <c r="B7" s="62">
        <v>500</v>
      </c>
      <c r="C7" s="63">
        <v>1290.0999999999999</v>
      </c>
      <c r="D7" s="64">
        <v>256.3</v>
      </c>
      <c r="E7" s="54"/>
      <c r="F7" s="54"/>
      <c r="G7" s="54"/>
      <c r="H7" s="54"/>
      <c r="I7" s="54"/>
      <c r="J7" s="54"/>
      <c r="K7" s="54"/>
      <c r="L7" s="54"/>
      <c r="M7" s="54"/>
      <c r="N7" s="54"/>
      <c r="R7" s="56">
        <v>7700</v>
      </c>
      <c r="S7" s="56">
        <v>240.14</v>
      </c>
    </row>
    <row r="8" spans="1:21" ht="13.75" customHeight="1" x14ac:dyDescent="0.15">
      <c r="A8" s="54"/>
      <c r="B8" s="62">
        <v>600</v>
      </c>
      <c r="C8" s="63">
        <v>1548.1</v>
      </c>
      <c r="D8" s="64">
        <v>255.6</v>
      </c>
      <c r="E8" s="54"/>
      <c r="F8" s="54"/>
      <c r="G8" s="54">
        <v>6600</v>
      </c>
      <c r="H8" s="61">
        <f t="shared" ref="H8:H50" si="0">(G8*I8)/100</f>
        <v>15849.24</v>
      </c>
      <c r="I8" s="61">
        <v>240.14</v>
      </c>
      <c r="J8" s="54"/>
      <c r="K8" s="54">
        <v>6600</v>
      </c>
      <c r="L8" s="61">
        <f t="shared" ref="L8:L50" si="1">(K8*M8)/100</f>
        <v>16396.38</v>
      </c>
      <c r="M8" s="61">
        <v>248.43</v>
      </c>
      <c r="N8" s="54"/>
      <c r="R8" s="56">
        <v>6600</v>
      </c>
      <c r="S8" s="56">
        <v>240.14</v>
      </c>
    </row>
    <row r="9" spans="1:21" ht="13.75" customHeight="1" x14ac:dyDescent="0.15">
      <c r="A9" s="54"/>
      <c r="B9" s="62">
        <v>700</v>
      </c>
      <c r="C9" s="63">
        <v>1806.1</v>
      </c>
      <c r="D9" s="64">
        <v>254.9</v>
      </c>
      <c r="E9" s="54"/>
      <c r="F9" s="54"/>
      <c r="G9" s="54">
        <v>6700</v>
      </c>
      <c r="H9" s="61">
        <f t="shared" si="0"/>
        <v>16089.38</v>
      </c>
      <c r="I9" s="61">
        <v>240.14</v>
      </c>
      <c r="J9" s="54"/>
      <c r="K9" s="54">
        <v>6700</v>
      </c>
      <c r="L9" s="61">
        <f t="shared" si="1"/>
        <v>16644.810000000001</v>
      </c>
      <c r="M9" s="61">
        <v>248.43</v>
      </c>
      <c r="N9" s="54"/>
      <c r="Q9" s="56">
        <f>N311GL!C18</f>
        <v>7906.77</v>
      </c>
      <c r="R9" s="56" t="s">
        <v>57</v>
      </c>
      <c r="S9" s="56">
        <v>8400</v>
      </c>
      <c r="T9" s="56">
        <v>241.47</v>
      </c>
      <c r="U9" s="56">
        <v>248.43</v>
      </c>
    </row>
    <row r="10" spans="1:21" ht="13.75" customHeight="1" x14ac:dyDescent="0.15">
      <c r="A10" s="54"/>
      <c r="B10" s="62">
        <v>800</v>
      </c>
      <c r="C10" s="63">
        <v>2064.1</v>
      </c>
      <c r="D10" s="64">
        <v>254.4</v>
      </c>
      <c r="E10" s="54"/>
      <c r="F10" s="54"/>
      <c r="G10" s="54">
        <v>6800</v>
      </c>
      <c r="H10" s="61">
        <f t="shared" si="0"/>
        <v>16329.52</v>
      </c>
      <c r="I10" s="61">
        <v>240.14</v>
      </c>
      <c r="J10" s="54"/>
      <c r="K10" s="54">
        <v>6800</v>
      </c>
      <c r="L10" s="61">
        <f t="shared" si="1"/>
        <v>16893.240000000002</v>
      </c>
      <c r="M10" s="61">
        <v>248.43</v>
      </c>
      <c r="N10" s="54"/>
      <c r="Q10" s="56">
        <f>N311GL!C31</f>
        <v>9681.77</v>
      </c>
      <c r="R10" s="56" t="s">
        <v>58</v>
      </c>
      <c r="S10" s="56">
        <v>9900</v>
      </c>
      <c r="T10" s="56">
        <v>243.54</v>
      </c>
      <c r="U10" s="56">
        <v>248.43</v>
      </c>
    </row>
    <row r="11" spans="1:21" ht="12.75" customHeight="1" x14ac:dyDescent="0.15">
      <c r="B11" s="62">
        <v>900</v>
      </c>
      <c r="C11" s="63">
        <v>2322.1</v>
      </c>
      <c r="D11" s="64">
        <v>254</v>
      </c>
      <c r="F11" s="54"/>
      <c r="G11" s="54">
        <v>6900</v>
      </c>
      <c r="H11" s="61">
        <f t="shared" si="0"/>
        <v>16569.66</v>
      </c>
      <c r="I11" s="61">
        <v>240.14</v>
      </c>
      <c r="J11" s="54"/>
      <c r="K11" s="54">
        <v>6900</v>
      </c>
      <c r="L11" s="61">
        <f t="shared" si="1"/>
        <v>17141.669999999998</v>
      </c>
      <c r="M11" s="61">
        <v>248.43</v>
      </c>
      <c r="N11" s="54"/>
      <c r="Q11" s="56">
        <f>N311GL!C28</f>
        <v>10681.77</v>
      </c>
      <c r="R11" s="56" t="s">
        <v>59</v>
      </c>
      <c r="S11" s="56">
        <v>10700</v>
      </c>
      <c r="T11" s="56">
        <v>244.34</v>
      </c>
      <c r="U11" s="56">
        <v>248.43</v>
      </c>
    </row>
    <row r="12" spans="1:21" ht="12.75" customHeight="1" x14ac:dyDescent="0.15">
      <c r="B12" s="62">
        <v>1000</v>
      </c>
      <c r="C12" s="63">
        <v>2580.1</v>
      </c>
      <c r="D12" s="64">
        <v>253.7</v>
      </c>
      <c r="F12" s="54"/>
      <c r="G12" s="54">
        <v>7000</v>
      </c>
      <c r="H12" s="61">
        <f t="shared" si="0"/>
        <v>16809.8</v>
      </c>
      <c r="I12" s="61">
        <v>240.14</v>
      </c>
      <c r="J12" s="54"/>
      <c r="K12" s="54">
        <v>7000</v>
      </c>
      <c r="L12" s="61">
        <f t="shared" si="1"/>
        <v>17390.099999999999</v>
      </c>
      <c r="M12" s="61">
        <v>248.43</v>
      </c>
      <c r="N12" s="54"/>
      <c r="Q12" s="56">
        <f>N311GL!C26</f>
        <v>10806.77</v>
      </c>
      <c r="R12" s="56" t="s">
        <v>60</v>
      </c>
      <c r="S12" s="56">
        <v>10800</v>
      </c>
      <c r="T12" s="56">
        <v>244.44</v>
      </c>
      <c r="U12" s="56">
        <v>248.43</v>
      </c>
    </row>
    <row r="13" spans="1:21" ht="12.75" customHeight="1" x14ac:dyDescent="0.15">
      <c r="B13" s="62">
        <v>1100</v>
      </c>
      <c r="C13" s="63">
        <v>2838.1</v>
      </c>
      <c r="D13" s="64">
        <v>253.4</v>
      </c>
      <c r="F13" s="54"/>
      <c r="G13" s="54">
        <v>7100</v>
      </c>
      <c r="H13" s="61">
        <f t="shared" si="0"/>
        <v>17049.939999999999</v>
      </c>
      <c r="I13" s="61">
        <v>240.14</v>
      </c>
      <c r="J13" s="54"/>
      <c r="K13" s="54">
        <v>7100</v>
      </c>
      <c r="L13" s="61">
        <f t="shared" si="1"/>
        <v>17638.53</v>
      </c>
      <c r="M13" s="61">
        <v>248.43</v>
      </c>
      <c r="N13" s="54"/>
    </row>
    <row r="14" spans="1:21" ht="12.75" customHeight="1" x14ac:dyDescent="0.15">
      <c r="B14" s="62">
        <v>1200</v>
      </c>
      <c r="C14" s="63">
        <v>3096.1</v>
      </c>
      <c r="D14" s="64">
        <v>253.2</v>
      </c>
      <c r="F14" s="54"/>
      <c r="G14" s="54">
        <v>7200</v>
      </c>
      <c r="H14" s="61">
        <f t="shared" si="0"/>
        <v>17290.080000000002</v>
      </c>
      <c r="I14" s="61">
        <v>240.14</v>
      </c>
      <c r="J14" s="54"/>
      <c r="K14" s="54">
        <v>7200</v>
      </c>
      <c r="L14" s="61">
        <f t="shared" si="1"/>
        <v>17886.96</v>
      </c>
      <c r="M14" s="61">
        <v>248.43</v>
      </c>
      <c r="N14" s="54"/>
    </row>
    <row r="15" spans="1:21" ht="12.75" customHeight="1" x14ac:dyDescent="0.15">
      <c r="B15" s="62">
        <v>1300</v>
      </c>
      <c r="C15" s="63">
        <v>3354.1</v>
      </c>
      <c r="D15" s="64">
        <v>253.1</v>
      </c>
      <c r="F15" s="54"/>
      <c r="G15" s="54">
        <v>7300</v>
      </c>
      <c r="H15" s="61">
        <f t="shared" si="0"/>
        <v>17530.22</v>
      </c>
      <c r="I15" s="61">
        <v>240.14</v>
      </c>
      <c r="J15" s="54"/>
      <c r="K15" s="54">
        <v>7300</v>
      </c>
      <c r="L15" s="61">
        <f t="shared" si="1"/>
        <v>18135.39</v>
      </c>
      <c r="M15" s="61">
        <v>248.43</v>
      </c>
      <c r="N15" s="54"/>
    </row>
    <row r="16" spans="1:21" ht="12.75" customHeight="1" x14ac:dyDescent="0.15">
      <c r="B16" s="62">
        <v>1400</v>
      </c>
      <c r="C16" s="63">
        <v>3612.1</v>
      </c>
      <c r="D16" s="64">
        <v>252.9</v>
      </c>
      <c r="F16" s="54"/>
      <c r="G16" s="54">
        <v>7400</v>
      </c>
      <c r="H16" s="61">
        <f t="shared" si="0"/>
        <v>17770.36</v>
      </c>
      <c r="I16" s="61">
        <v>240.14</v>
      </c>
      <c r="J16" s="54"/>
      <c r="K16" s="54">
        <v>7400</v>
      </c>
      <c r="L16" s="61">
        <f t="shared" si="1"/>
        <v>18383.82</v>
      </c>
      <c r="M16" s="61">
        <v>248.43</v>
      </c>
      <c r="N16" s="54"/>
    </row>
    <row r="17" spans="2:14" ht="12.75" customHeight="1" x14ac:dyDescent="0.15">
      <c r="B17" s="62">
        <v>1500</v>
      </c>
      <c r="C17" s="63">
        <v>3870.1</v>
      </c>
      <c r="D17" s="64">
        <v>252.9</v>
      </c>
      <c r="F17" s="54"/>
      <c r="G17" s="54">
        <v>7500</v>
      </c>
      <c r="H17" s="61">
        <f t="shared" si="0"/>
        <v>18010.5</v>
      </c>
      <c r="I17" s="61">
        <v>240.14</v>
      </c>
      <c r="J17" s="54"/>
      <c r="K17" s="54">
        <v>7500</v>
      </c>
      <c r="L17" s="61">
        <f t="shared" si="1"/>
        <v>18632.25</v>
      </c>
      <c r="M17" s="61">
        <v>248.43</v>
      </c>
      <c r="N17" s="54"/>
    </row>
    <row r="18" spans="2:14" ht="12.75" customHeight="1" x14ac:dyDescent="0.15">
      <c r="B18" s="62">
        <v>1600</v>
      </c>
      <c r="C18" s="63">
        <v>4128.1000000000004</v>
      </c>
      <c r="D18" s="64">
        <v>252.7</v>
      </c>
      <c r="F18" s="54"/>
      <c r="G18" s="54">
        <v>7600</v>
      </c>
      <c r="H18" s="61">
        <f t="shared" si="0"/>
        <v>18250.64</v>
      </c>
      <c r="I18" s="61">
        <v>240.14</v>
      </c>
      <c r="J18" s="54"/>
      <c r="K18" s="54">
        <v>7600</v>
      </c>
      <c r="L18" s="61">
        <f t="shared" si="1"/>
        <v>18880.68</v>
      </c>
      <c r="M18" s="61">
        <v>248.43</v>
      </c>
      <c r="N18" s="54"/>
    </row>
    <row r="19" spans="2:14" ht="12.75" customHeight="1" x14ac:dyDescent="0.15">
      <c r="B19" s="62">
        <v>1700</v>
      </c>
      <c r="C19" s="63">
        <v>4386.1000000000004</v>
      </c>
      <c r="D19" s="64">
        <v>252.6</v>
      </c>
      <c r="F19" s="54"/>
      <c r="G19" s="54">
        <v>7700</v>
      </c>
      <c r="H19" s="61">
        <f t="shared" si="0"/>
        <v>18490.78</v>
      </c>
      <c r="I19" s="61">
        <v>240.14</v>
      </c>
      <c r="J19" s="54"/>
      <c r="K19" s="54">
        <v>7700</v>
      </c>
      <c r="L19" s="61">
        <f t="shared" si="1"/>
        <v>19129.11</v>
      </c>
      <c r="M19" s="61">
        <v>248.43</v>
      </c>
      <c r="N19" s="54"/>
    </row>
    <row r="20" spans="2:14" ht="12.75" customHeight="1" x14ac:dyDescent="0.15">
      <c r="B20" s="62">
        <v>1800</v>
      </c>
      <c r="C20" s="63">
        <v>4644.1000000000004</v>
      </c>
      <c r="D20" s="64">
        <v>252.6</v>
      </c>
      <c r="F20" s="54"/>
      <c r="G20" s="54">
        <v>7800</v>
      </c>
      <c r="H20" s="61">
        <f t="shared" si="0"/>
        <v>18745.740000000002</v>
      </c>
      <c r="I20" s="61">
        <v>240.33</v>
      </c>
      <c r="J20" s="61"/>
      <c r="K20" s="54">
        <v>7800</v>
      </c>
      <c r="L20" s="61">
        <f t="shared" si="1"/>
        <v>19377.54</v>
      </c>
      <c r="M20" s="61">
        <v>248.43</v>
      </c>
      <c r="N20" s="54"/>
    </row>
    <row r="21" spans="2:14" ht="12.75" customHeight="1" x14ac:dyDescent="0.15">
      <c r="B21" s="62">
        <v>1900</v>
      </c>
      <c r="C21" s="63">
        <v>4902.1000000000004</v>
      </c>
      <c r="D21" s="64">
        <v>252.6</v>
      </c>
      <c r="F21" s="54"/>
      <c r="G21" s="54">
        <v>7900</v>
      </c>
      <c r="H21" s="61">
        <f t="shared" si="0"/>
        <v>19001.080000000002</v>
      </c>
      <c r="I21" s="61">
        <v>240.52</v>
      </c>
      <c r="J21" s="61"/>
      <c r="K21" s="54">
        <v>7900</v>
      </c>
      <c r="L21" s="61">
        <f t="shared" si="1"/>
        <v>19625.97</v>
      </c>
      <c r="M21" s="61">
        <v>248.43</v>
      </c>
      <c r="N21" s="54"/>
    </row>
    <row r="22" spans="2:14" ht="12.75" customHeight="1" x14ac:dyDescent="0.15">
      <c r="B22" s="62">
        <v>2000</v>
      </c>
      <c r="C22" s="63">
        <v>5160.1000000000004</v>
      </c>
      <c r="D22" s="64">
        <v>252.6</v>
      </c>
      <c r="F22" s="54"/>
      <c r="G22" s="54">
        <v>8000</v>
      </c>
      <c r="H22" s="61">
        <f t="shared" si="0"/>
        <v>19256.8</v>
      </c>
      <c r="I22" s="61">
        <v>240.71</v>
      </c>
      <c r="J22" s="68"/>
      <c r="K22" s="54">
        <v>8000</v>
      </c>
      <c r="L22" s="61">
        <f t="shared" si="1"/>
        <v>19874.400000000001</v>
      </c>
      <c r="M22" s="61">
        <v>248.43</v>
      </c>
      <c r="N22" s="54"/>
    </row>
    <row r="23" spans="2:14" ht="12.75" customHeight="1" x14ac:dyDescent="0.15">
      <c r="B23" s="62">
        <v>2100</v>
      </c>
      <c r="C23" s="63">
        <v>5418.1</v>
      </c>
      <c r="D23" s="64">
        <v>252.6</v>
      </c>
      <c r="F23" s="54"/>
      <c r="G23" s="54">
        <v>8100</v>
      </c>
      <c r="H23" s="61">
        <f t="shared" si="0"/>
        <v>19512.900000000001</v>
      </c>
      <c r="I23" s="61">
        <v>240.9</v>
      </c>
      <c r="J23" s="68"/>
      <c r="K23" s="54">
        <v>8100</v>
      </c>
      <c r="L23" s="61">
        <f t="shared" si="1"/>
        <v>20122.830000000002</v>
      </c>
      <c r="M23" s="61">
        <v>248.43</v>
      </c>
      <c r="N23" s="54"/>
    </row>
    <row r="24" spans="2:14" ht="12.75" customHeight="1" x14ac:dyDescent="0.15">
      <c r="B24" s="62">
        <v>2200</v>
      </c>
      <c r="C24" s="63">
        <v>5676.1</v>
      </c>
      <c r="D24" s="64">
        <v>252.6</v>
      </c>
      <c r="F24" s="54"/>
      <c r="G24" s="54">
        <v>8200</v>
      </c>
      <c r="H24" s="61">
        <f t="shared" si="0"/>
        <v>19769.38</v>
      </c>
      <c r="I24" s="61">
        <v>241.09</v>
      </c>
      <c r="J24" s="61"/>
      <c r="K24" s="54">
        <v>8200</v>
      </c>
      <c r="L24" s="61">
        <f t="shared" si="1"/>
        <v>20371.259999999998</v>
      </c>
      <c r="M24" s="61">
        <v>248.43</v>
      </c>
      <c r="N24" s="54"/>
    </row>
    <row r="25" spans="2:14" ht="12.75" customHeight="1" x14ac:dyDescent="0.15">
      <c r="B25" s="62">
        <v>2300</v>
      </c>
      <c r="C25" s="63">
        <v>5934.1</v>
      </c>
      <c r="D25" s="64">
        <v>252.7</v>
      </c>
      <c r="F25" s="54"/>
      <c r="G25" s="54">
        <v>8300</v>
      </c>
      <c r="H25" s="61">
        <f t="shared" si="0"/>
        <v>20026.240000000002</v>
      </c>
      <c r="I25" s="61">
        <v>241.28</v>
      </c>
      <c r="J25" s="61"/>
      <c r="K25" s="54">
        <v>8300</v>
      </c>
      <c r="L25" s="61">
        <f t="shared" si="1"/>
        <v>20619.689999999999</v>
      </c>
      <c r="M25" s="61">
        <v>248.43</v>
      </c>
      <c r="N25" s="54"/>
    </row>
    <row r="26" spans="2:14" ht="12.75" customHeight="1" x14ac:dyDescent="0.15">
      <c r="B26" s="62">
        <v>2400</v>
      </c>
      <c r="C26" s="63">
        <v>6192.1</v>
      </c>
      <c r="D26" s="64">
        <v>252.7</v>
      </c>
      <c r="F26" s="54"/>
      <c r="G26" s="54">
        <v>8400</v>
      </c>
      <c r="H26" s="61">
        <f t="shared" si="0"/>
        <v>20283.48</v>
      </c>
      <c r="I26" s="61">
        <v>241.47</v>
      </c>
      <c r="J26" s="61"/>
      <c r="K26" s="54">
        <v>8400</v>
      </c>
      <c r="L26" s="61">
        <f t="shared" si="1"/>
        <v>20868.12</v>
      </c>
      <c r="M26" s="61">
        <v>248.43</v>
      </c>
      <c r="N26" s="54"/>
    </row>
    <row r="27" spans="2:14" ht="12.75" customHeight="1" x14ac:dyDescent="0.15">
      <c r="B27" s="62">
        <v>2500</v>
      </c>
      <c r="C27" s="63">
        <v>6450.1</v>
      </c>
      <c r="D27" s="64">
        <v>252.8</v>
      </c>
      <c r="F27" s="54"/>
      <c r="G27" s="54">
        <v>8500</v>
      </c>
      <c r="H27" s="61">
        <f t="shared" si="0"/>
        <v>20541.099999999999</v>
      </c>
      <c r="I27" s="61">
        <v>241.66</v>
      </c>
      <c r="J27" s="61"/>
      <c r="K27" s="54">
        <v>8500</v>
      </c>
      <c r="L27" s="61">
        <f t="shared" si="1"/>
        <v>21116.55</v>
      </c>
      <c r="M27" s="61">
        <v>248.43</v>
      </c>
      <c r="N27" s="54"/>
    </row>
    <row r="28" spans="2:14" ht="12.75" customHeight="1" x14ac:dyDescent="0.15">
      <c r="B28" s="62">
        <v>2600</v>
      </c>
      <c r="C28" s="63">
        <v>6708.1</v>
      </c>
      <c r="D28" s="64">
        <v>252.8</v>
      </c>
      <c r="F28" s="54"/>
      <c r="G28" s="54">
        <v>8600</v>
      </c>
      <c r="H28" s="61">
        <f t="shared" si="0"/>
        <v>20799.099999999999</v>
      </c>
      <c r="I28" s="61">
        <v>241.85</v>
      </c>
      <c r="J28" s="61"/>
      <c r="K28" s="54">
        <v>8600</v>
      </c>
      <c r="L28" s="61">
        <f t="shared" si="1"/>
        <v>21364.98</v>
      </c>
      <c r="M28" s="61">
        <v>248.43</v>
      </c>
      <c r="N28" s="54"/>
    </row>
    <row r="29" spans="2:14" ht="12.75" customHeight="1" x14ac:dyDescent="0.15">
      <c r="B29" s="62">
        <v>2700</v>
      </c>
      <c r="C29" s="63">
        <v>6966.1</v>
      </c>
      <c r="D29" s="64">
        <v>252.9</v>
      </c>
      <c r="F29" s="54"/>
      <c r="G29" s="54">
        <v>8700</v>
      </c>
      <c r="H29" s="61">
        <f t="shared" si="0"/>
        <v>21057.48</v>
      </c>
      <c r="I29" s="61">
        <v>242.04</v>
      </c>
      <c r="J29" s="61"/>
      <c r="K29" s="54">
        <v>8700</v>
      </c>
      <c r="L29" s="61">
        <f t="shared" si="1"/>
        <v>21613.41</v>
      </c>
      <c r="M29" s="61">
        <v>248.43</v>
      </c>
      <c r="N29" s="54"/>
    </row>
    <row r="30" spans="2:14" ht="12.75" customHeight="1" x14ac:dyDescent="0.15">
      <c r="B30" s="62">
        <v>2800</v>
      </c>
      <c r="C30" s="63">
        <v>7224.1</v>
      </c>
      <c r="D30" s="64">
        <v>252.9</v>
      </c>
      <c r="F30" s="54"/>
      <c r="G30" s="54">
        <v>8800</v>
      </c>
      <c r="H30" s="61">
        <f t="shared" si="0"/>
        <v>21333.84</v>
      </c>
      <c r="I30" s="61">
        <v>242.43</v>
      </c>
      <c r="J30" s="54"/>
      <c r="K30" s="54">
        <v>8800</v>
      </c>
      <c r="L30" s="61">
        <f t="shared" si="1"/>
        <v>21861.84</v>
      </c>
      <c r="M30" s="61">
        <v>248.43</v>
      </c>
      <c r="N30" s="54"/>
    </row>
    <row r="31" spans="2:14" ht="12.75" customHeight="1" x14ac:dyDescent="0.15">
      <c r="B31" s="62">
        <v>2900</v>
      </c>
      <c r="C31" s="63">
        <v>7482.1</v>
      </c>
      <c r="D31" s="64">
        <v>252.9</v>
      </c>
      <c r="F31" s="54"/>
      <c r="G31" s="54">
        <v>8900</v>
      </c>
      <c r="H31" s="61">
        <f t="shared" si="0"/>
        <v>21585.214499999998</v>
      </c>
      <c r="I31" s="61">
        <v>242.53049999999999</v>
      </c>
      <c r="J31" s="54"/>
      <c r="K31" s="54">
        <v>8900</v>
      </c>
      <c r="L31" s="61">
        <f t="shared" si="1"/>
        <v>22110.27</v>
      </c>
      <c r="M31" s="61">
        <v>248.43</v>
      </c>
      <c r="N31" s="54"/>
    </row>
    <row r="32" spans="2:14" ht="12.75" customHeight="1" x14ac:dyDescent="0.15">
      <c r="B32" s="62">
        <v>3000</v>
      </c>
      <c r="C32" s="63">
        <v>7740.1</v>
      </c>
      <c r="D32" s="64">
        <v>252.9</v>
      </c>
      <c r="F32" s="54"/>
      <c r="G32" s="54">
        <v>9000</v>
      </c>
      <c r="H32" s="61">
        <f t="shared" si="0"/>
        <v>21836.79</v>
      </c>
      <c r="I32" s="61">
        <v>242.631</v>
      </c>
      <c r="J32" s="54"/>
      <c r="K32" s="54">
        <v>9000</v>
      </c>
      <c r="L32" s="61">
        <f t="shared" si="1"/>
        <v>22358.7</v>
      </c>
      <c r="M32" s="61">
        <v>248.43</v>
      </c>
      <c r="N32" s="54"/>
    </row>
    <row r="33" spans="2:14" ht="12.75" customHeight="1" x14ac:dyDescent="0.15">
      <c r="B33" s="62">
        <v>3100</v>
      </c>
      <c r="C33" s="63">
        <v>7998.1</v>
      </c>
      <c r="D33" s="64">
        <v>253</v>
      </c>
      <c r="F33" s="54"/>
      <c r="G33" s="54">
        <v>9100</v>
      </c>
      <c r="H33" s="61">
        <f t="shared" si="0"/>
        <v>22088.566500000001</v>
      </c>
      <c r="I33" s="61">
        <v>242.73150000000001</v>
      </c>
      <c r="J33" s="54"/>
      <c r="K33" s="54">
        <v>9100</v>
      </c>
      <c r="L33" s="61">
        <f t="shared" si="1"/>
        <v>22607.13</v>
      </c>
      <c r="M33" s="61">
        <v>248.43</v>
      </c>
      <c r="N33" s="54"/>
    </row>
    <row r="34" spans="2:14" ht="12.75" customHeight="1" x14ac:dyDescent="0.15">
      <c r="B34" s="62">
        <v>3200</v>
      </c>
      <c r="C34" s="63">
        <v>8256.1</v>
      </c>
      <c r="D34" s="64">
        <v>253</v>
      </c>
      <c r="F34" s="54"/>
      <c r="G34" s="54">
        <v>9200</v>
      </c>
      <c r="H34" s="61">
        <f t="shared" si="0"/>
        <v>22340.543999999998</v>
      </c>
      <c r="I34" s="61">
        <v>242.83199999999999</v>
      </c>
      <c r="J34" s="54"/>
      <c r="K34" s="54">
        <v>9200</v>
      </c>
      <c r="L34" s="61">
        <f t="shared" si="1"/>
        <v>22855.56</v>
      </c>
      <c r="M34" s="61">
        <v>248.43</v>
      </c>
      <c r="N34" s="54"/>
    </row>
    <row r="35" spans="2:14" ht="12.75" customHeight="1" x14ac:dyDescent="0.15">
      <c r="B35" s="62">
        <v>3300</v>
      </c>
      <c r="C35" s="63">
        <v>8514.1</v>
      </c>
      <c r="D35" s="64">
        <v>253</v>
      </c>
      <c r="F35" s="54"/>
      <c r="G35" s="54">
        <v>9300</v>
      </c>
      <c r="H35" s="61">
        <f t="shared" si="0"/>
        <v>22592.7225</v>
      </c>
      <c r="I35" s="61">
        <v>242.9325</v>
      </c>
      <c r="J35" s="54"/>
      <c r="K35" s="54">
        <v>9300</v>
      </c>
      <c r="L35" s="61">
        <f t="shared" si="1"/>
        <v>23103.99</v>
      </c>
      <c r="M35" s="61">
        <v>248.43</v>
      </c>
      <c r="N35" s="54"/>
    </row>
    <row r="36" spans="2:14" ht="12.75" customHeight="1" x14ac:dyDescent="0.15">
      <c r="B36" s="62">
        <v>3400</v>
      </c>
      <c r="C36" s="63">
        <v>8772.1</v>
      </c>
      <c r="D36" s="64">
        <v>253</v>
      </c>
      <c r="F36" s="54"/>
      <c r="G36" s="54">
        <v>9400</v>
      </c>
      <c r="H36" s="61">
        <f t="shared" si="0"/>
        <v>22845.101999999999</v>
      </c>
      <c r="I36" s="61">
        <v>243.03299999999999</v>
      </c>
      <c r="J36" s="54"/>
      <c r="K36" s="54">
        <v>9400</v>
      </c>
      <c r="L36" s="61">
        <f t="shared" si="1"/>
        <v>23352.42</v>
      </c>
      <c r="M36" s="61">
        <v>248.43</v>
      </c>
      <c r="N36" s="54"/>
    </row>
    <row r="37" spans="2:14" ht="12.75" customHeight="1" x14ac:dyDescent="0.15">
      <c r="F37" s="54"/>
      <c r="G37" s="54">
        <v>9500</v>
      </c>
      <c r="H37" s="61">
        <f t="shared" si="0"/>
        <v>23097.682499999999</v>
      </c>
      <c r="I37" s="61">
        <v>243.1335</v>
      </c>
      <c r="J37" s="54"/>
      <c r="K37" s="54">
        <v>9500</v>
      </c>
      <c r="L37" s="61">
        <f t="shared" si="1"/>
        <v>23600.85</v>
      </c>
      <c r="M37" s="61">
        <v>248.43</v>
      </c>
      <c r="N37" s="54"/>
    </row>
    <row r="38" spans="2:14" ht="12.75" customHeight="1" x14ac:dyDescent="0.15">
      <c r="F38" s="54"/>
      <c r="G38" s="54">
        <v>9600</v>
      </c>
      <c r="H38" s="61">
        <f t="shared" si="0"/>
        <v>23350.464</v>
      </c>
      <c r="I38" s="61">
        <v>243.23400000000001</v>
      </c>
      <c r="J38" s="54"/>
      <c r="K38" s="54">
        <v>9600</v>
      </c>
      <c r="L38" s="61">
        <f t="shared" si="1"/>
        <v>23849.279999999999</v>
      </c>
      <c r="M38" s="61">
        <v>248.43</v>
      </c>
      <c r="N38" s="54"/>
    </row>
    <row r="39" spans="2:14" ht="12.75" customHeight="1" x14ac:dyDescent="0.15">
      <c r="F39" s="54"/>
      <c r="G39" s="54">
        <v>9700</v>
      </c>
      <c r="H39" s="61">
        <f t="shared" si="0"/>
        <v>23603.446499999998</v>
      </c>
      <c r="I39" s="61">
        <v>243.33449999999999</v>
      </c>
      <c r="J39" s="68"/>
      <c r="K39" s="54">
        <v>9700</v>
      </c>
      <c r="L39" s="61">
        <f t="shared" si="1"/>
        <v>24097.71</v>
      </c>
      <c r="M39" s="61">
        <v>248.43</v>
      </c>
      <c r="N39" s="54"/>
    </row>
    <row r="40" spans="2:14" ht="12.75" customHeight="1" x14ac:dyDescent="0.15">
      <c r="F40" s="54"/>
      <c r="G40" s="54">
        <v>9800</v>
      </c>
      <c r="H40" s="61">
        <f t="shared" si="0"/>
        <v>23856.63</v>
      </c>
      <c r="I40" s="61">
        <v>243.435</v>
      </c>
      <c r="J40" s="54"/>
      <c r="K40" s="54">
        <v>9800</v>
      </c>
      <c r="L40" s="61">
        <f t="shared" si="1"/>
        <v>24346.14</v>
      </c>
      <c r="M40" s="61">
        <v>248.43</v>
      </c>
      <c r="N40" s="54"/>
    </row>
    <row r="41" spans="2:14" ht="12.75" customHeight="1" x14ac:dyDescent="0.15">
      <c r="F41" s="54"/>
      <c r="G41" s="54">
        <v>9900</v>
      </c>
      <c r="H41" s="61">
        <f t="shared" si="0"/>
        <v>24110.014500000001</v>
      </c>
      <c r="I41" s="61">
        <v>243.53550000000001</v>
      </c>
      <c r="J41" s="54"/>
      <c r="K41" s="54">
        <v>9900</v>
      </c>
      <c r="L41" s="61">
        <f t="shared" si="1"/>
        <v>24594.57</v>
      </c>
      <c r="M41" s="61">
        <v>248.43</v>
      </c>
      <c r="N41" s="54"/>
    </row>
    <row r="42" spans="2:14" ht="12.75" customHeight="1" x14ac:dyDescent="0.15">
      <c r="F42" s="54"/>
      <c r="G42" s="54">
        <v>10000</v>
      </c>
      <c r="H42" s="61">
        <f t="shared" si="0"/>
        <v>24363.599999999999</v>
      </c>
      <c r="I42" s="61">
        <v>243.636</v>
      </c>
      <c r="J42" s="54"/>
      <c r="K42" s="54">
        <v>10000</v>
      </c>
      <c r="L42" s="61">
        <f t="shared" si="1"/>
        <v>24843</v>
      </c>
      <c r="M42" s="61">
        <v>248.43</v>
      </c>
      <c r="N42" s="54"/>
    </row>
    <row r="43" spans="2:14" ht="12.75" customHeight="1" x14ac:dyDescent="0.15">
      <c r="F43" s="54"/>
      <c r="G43" s="54">
        <v>10100</v>
      </c>
      <c r="H43" s="61">
        <f t="shared" si="0"/>
        <v>24617.386500000001</v>
      </c>
      <c r="I43" s="61">
        <v>243.73650000000001</v>
      </c>
      <c r="J43" s="54"/>
      <c r="K43" s="54">
        <v>10100</v>
      </c>
      <c r="L43" s="61">
        <f t="shared" si="1"/>
        <v>25091.43</v>
      </c>
      <c r="M43" s="61">
        <v>248.43</v>
      </c>
      <c r="N43" s="54"/>
    </row>
    <row r="44" spans="2:14" ht="12.75" customHeight="1" x14ac:dyDescent="0.15">
      <c r="F44" s="54"/>
      <c r="G44" s="54">
        <v>10200</v>
      </c>
      <c r="H44" s="61">
        <f t="shared" si="0"/>
        <v>24871.374</v>
      </c>
      <c r="I44" s="61">
        <v>243.83699999999999</v>
      </c>
      <c r="J44" s="61"/>
      <c r="K44" s="54">
        <v>10200</v>
      </c>
      <c r="L44" s="61">
        <f t="shared" si="1"/>
        <v>25339.86</v>
      </c>
      <c r="M44" s="61">
        <v>248.43</v>
      </c>
      <c r="N44" s="54"/>
    </row>
    <row r="45" spans="2:14" ht="12.75" customHeight="1" x14ac:dyDescent="0.15">
      <c r="F45" s="54"/>
      <c r="G45" s="54">
        <v>10300</v>
      </c>
      <c r="H45" s="61">
        <f t="shared" si="0"/>
        <v>25125.5625</v>
      </c>
      <c r="I45" s="61">
        <v>243.9375</v>
      </c>
      <c r="J45" s="54"/>
      <c r="K45" s="54">
        <v>10300</v>
      </c>
      <c r="L45" s="61">
        <f t="shared" si="1"/>
        <v>25588.29</v>
      </c>
      <c r="M45" s="61">
        <v>248.43</v>
      </c>
      <c r="N45" s="54"/>
    </row>
    <row r="46" spans="2:14" ht="12.75" customHeight="1" x14ac:dyDescent="0.15">
      <c r="F46" s="54"/>
      <c r="G46" s="54">
        <v>10400</v>
      </c>
      <c r="H46" s="61">
        <f t="shared" si="0"/>
        <v>25379.952000000001</v>
      </c>
      <c r="I46" s="61">
        <v>244.03800000000001</v>
      </c>
      <c r="J46" s="54"/>
      <c r="K46" s="54">
        <v>10400</v>
      </c>
      <c r="L46" s="61">
        <f t="shared" si="1"/>
        <v>25836.720000000001</v>
      </c>
      <c r="M46" s="61">
        <v>248.43</v>
      </c>
      <c r="N46" s="54"/>
    </row>
    <row r="47" spans="2:14" ht="12.75" customHeight="1" x14ac:dyDescent="0.15">
      <c r="F47" s="54"/>
      <c r="G47" s="54">
        <v>10500</v>
      </c>
      <c r="H47" s="61">
        <f t="shared" si="0"/>
        <v>25634.5425</v>
      </c>
      <c r="I47" s="61">
        <v>244.13849999999999</v>
      </c>
      <c r="J47" s="54"/>
      <c r="K47" s="54">
        <v>10500</v>
      </c>
      <c r="L47" s="61">
        <f t="shared" si="1"/>
        <v>26085.15</v>
      </c>
      <c r="M47" s="61">
        <v>248.43</v>
      </c>
      <c r="N47" s="54"/>
    </row>
    <row r="48" spans="2:14" ht="12.75" customHeight="1" x14ac:dyDescent="0.15">
      <c r="F48" s="54"/>
      <c r="G48" s="54">
        <v>10600</v>
      </c>
      <c r="H48" s="61">
        <f t="shared" si="0"/>
        <v>25889.333999999999</v>
      </c>
      <c r="I48" s="61">
        <v>244.239</v>
      </c>
      <c r="J48" s="54"/>
      <c r="K48" s="54">
        <v>10600</v>
      </c>
      <c r="L48" s="61">
        <f t="shared" si="1"/>
        <v>26333.58</v>
      </c>
      <c r="M48" s="61">
        <v>248.43</v>
      </c>
      <c r="N48" s="54"/>
    </row>
    <row r="49" spans="6:14" ht="12.75" customHeight="1" x14ac:dyDescent="0.15">
      <c r="F49" s="54"/>
      <c r="G49" s="54">
        <v>10700</v>
      </c>
      <c r="H49" s="61">
        <f t="shared" si="0"/>
        <v>26144.326499999999</v>
      </c>
      <c r="I49" s="61">
        <v>244.33949999999999</v>
      </c>
      <c r="J49" s="54"/>
      <c r="K49" s="54">
        <v>10700</v>
      </c>
      <c r="L49" s="61">
        <f t="shared" si="1"/>
        <v>26582.01</v>
      </c>
      <c r="M49" s="61">
        <v>248.43</v>
      </c>
      <c r="N49" s="54"/>
    </row>
    <row r="50" spans="6:14" ht="12.75" customHeight="1" x14ac:dyDescent="0.15">
      <c r="F50" s="54"/>
      <c r="G50" s="54">
        <v>10800</v>
      </c>
      <c r="H50" s="61">
        <f t="shared" si="0"/>
        <v>26399.52</v>
      </c>
      <c r="I50" s="61">
        <v>244.44</v>
      </c>
      <c r="J50" s="54"/>
      <c r="K50" s="54">
        <v>10800</v>
      </c>
      <c r="L50" s="61">
        <f t="shared" si="1"/>
        <v>26830.44</v>
      </c>
      <c r="M50" s="61">
        <v>248.43</v>
      </c>
      <c r="N50" s="54"/>
    </row>
  </sheetData>
  <sheetProtection algorithmName="SHA-512" hashValue="FwdUmGzc8E6dvqlhOCAvFkrfQHbQktP4nrmbIA4hu8jmO6PATiS+Tjgz9uksEUOC+YMKxjD6FVRrNtBT24h7gQ==" saltValue="5ndeAM6SZHa4dGqhSMItfg==" spinCount="100000" sheet="1" objects="1" scenarios="1" selectLockedCells="1"/>
  <mergeCells count="1"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N311GL</vt:lpstr>
      <vt:lpstr>CE525 Wgt &amp; Bal</vt:lpstr>
      <vt:lpstr>DATA</vt:lpstr>
      <vt:lpstr>N311GL!Print_Area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geoff hatcher</cp:lastModifiedBy>
  <dcterms:created xsi:type="dcterms:W3CDTF">2017-12-11T16:14:57Z</dcterms:created>
  <dcterms:modified xsi:type="dcterms:W3CDTF">2019-10-10T04:13:46Z</dcterms:modified>
</cp:coreProperties>
</file>