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CJ4/"/>
    </mc:Choice>
  </mc:AlternateContent>
  <xr:revisionPtr revIDLastSave="0" documentId="13_ncr:1_{AE5103CA-7210-9741-81FA-87EAA51CC8D2}" xr6:coauthVersionLast="43" xr6:coauthVersionMax="43" xr10:uidLastSave="{00000000-0000-0000-0000-000000000000}"/>
  <bookViews>
    <workbookView xWindow="0" yWindow="460" windowWidth="27580" windowHeight="16200" xr2:uid="{00000000-000D-0000-FFFF-FFFF00000000}"/>
  </bookViews>
  <sheets>
    <sheet name="CE525C Wgt &amp; Bal" sheetId="1" r:id="rId1"/>
    <sheet name="CE525 CG Envelope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B31" i="1"/>
  <c r="D27" i="1"/>
  <c r="C27" i="1"/>
  <c r="B25" i="1" l="1"/>
  <c r="B24" i="1" s="1"/>
  <c r="B23" i="1"/>
  <c r="U9" i="1"/>
  <c r="U10" i="1"/>
  <c r="U11" i="1" s="1"/>
  <c r="V78" i="1"/>
  <c r="W68" i="1"/>
  <c r="W69" i="1" s="1"/>
  <c r="W70" i="1" s="1"/>
  <c r="W71" i="1" s="1"/>
  <c r="W72" i="1" s="1"/>
  <c r="W73" i="1" s="1"/>
  <c r="W74" i="1" s="1"/>
  <c r="W75" i="1" s="1"/>
  <c r="W76" i="1" s="1"/>
  <c r="W77" i="1" s="1"/>
  <c r="Y9" i="1"/>
  <c r="Z9" i="1" s="1"/>
  <c r="V67" i="1"/>
  <c r="W57" i="1"/>
  <c r="W58" i="1"/>
  <c r="W59" i="1" s="1"/>
  <c r="W60" i="1" s="1"/>
  <c r="W61" i="1" s="1"/>
  <c r="W62" i="1" s="1"/>
  <c r="W63" i="1" s="1"/>
  <c r="W64" i="1" s="1"/>
  <c r="W65" i="1" s="1"/>
  <c r="W66" i="1" s="1"/>
  <c r="AA49" i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P59" i="1"/>
  <c r="Q59" i="1" s="1"/>
  <c r="P58" i="1"/>
  <c r="O7" i="1"/>
  <c r="O8" i="1" s="1"/>
  <c r="O9" i="1" s="1"/>
  <c r="O10" i="1" s="1"/>
  <c r="O11" i="1" s="1"/>
  <c r="V56" i="1"/>
  <c r="P56" i="1"/>
  <c r="W49" i="1"/>
  <c r="W50" i="1" s="1"/>
  <c r="W51" i="1" s="1"/>
  <c r="W52" i="1" s="1"/>
  <c r="W53" i="1" s="1"/>
  <c r="W54" i="1" s="1"/>
  <c r="W55" i="1" s="1"/>
  <c r="P54" i="1"/>
  <c r="P52" i="1"/>
  <c r="P50" i="1"/>
  <c r="P48" i="1"/>
  <c r="W36" i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P46" i="1"/>
  <c r="P44" i="1"/>
  <c r="P42" i="1"/>
  <c r="P40" i="1"/>
  <c r="P38" i="1"/>
  <c r="D9" i="1"/>
  <c r="D10" i="1"/>
  <c r="D25" i="1" s="1"/>
  <c r="D29" i="1" s="1"/>
  <c r="D11" i="1"/>
  <c r="D12" i="1"/>
  <c r="D13" i="1"/>
  <c r="D14" i="1"/>
  <c r="D15" i="1"/>
  <c r="D16" i="1"/>
  <c r="D17" i="1"/>
  <c r="D18" i="1"/>
  <c r="D19" i="1"/>
  <c r="D20" i="1"/>
  <c r="D21" i="1"/>
  <c r="D22" i="1"/>
  <c r="P36" i="1"/>
  <c r="J35" i="1"/>
  <c r="G35" i="1"/>
  <c r="P34" i="1"/>
  <c r="H7" i="1"/>
  <c r="H8" i="1"/>
  <c r="H9" i="1"/>
  <c r="H10" i="1" s="1"/>
  <c r="AA25" i="1"/>
  <c r="AA26" i="1"/>
  <c r="AA27" i="1"/>
  <c r="AA28" i="1" s="1"/>
  <c r="AA29" i="1" s="1"/>
  <c r="AA30" i="1" s="1"/>
  <c r="AA31" i="1" s="1"/>
  <c r="AA32" i="1" s="1"/>
  <c r="P32" i="1"/>
  <c r="P30" i="1"/>
  <c r="P28" i="1"/>
  <c r="P29" i="1" s="1"/>
  <c r="P26" i="1"/>
  <c r="P24" i="1"/>
  <c r="P22" i="1"/>
  <c r="P20" i="1"/>
  <c r="P18" i="1"/>
  <c r="P16" i="1"/>
  <c r="P14" i="1"/>
  <c r="P12" i="1"/>
  <c r="P10" i="1"/>
  <c r="V9" i="1"/>
  <c r="P9" i="1"/>
  <c r="J9" i="1"/>
  <c r="Z8" i="1"/>
  <c r="V8" i="1"/>
  <c r="P8" i="1"/>
  <c r="J8" i="1"/>
  <c r="G8" i="1"/>
  <c r="P7" i="1"/>
  <c r="Q7" i="1" s="1"/>
  <c r="J7" i="1"/>
  <c r="G7" i="1"/>
  <c r="E7" i="1"/>
  <c r="P6" i="1"/>
  <c r="Q6" i="1"/>
  <c r="J6" i="1"/>
  <c r="G6" i="1"/>
  <c r="O5" i="1"/>
  <c r="B33" i="1" l="1"/>
  <c r="B37" i="1" s="1"/>
  <c r="B29" i="1"/>
  <c r="B28" i="1" s="1"/>
  <c r="H11" i="1"/>
  <c r="J10" i="1"/>
  <c r="G10" i="1"/>
  <c r="Q11" i="1"/>
  <c r="O12" i="1"/>
  <c r="Q9" i="1"/>
  <c r="V11" i="1"/>
  <c r="U12" i="1"/>
  <c r="Q10" i="1"/>
  <c r="Q8" i="1"/>
  <c r="V10" i="1"/>
  <c r="Y10" i="1"/>
  <c r="G9" i="1"/>
  <c r="B32" i="1" l="1"/>
  <c r="V12" i="1"/>
  <c r="U13" i="1"/>
  <c r="Y11" i="1"/>
  <c r="Z10" i="1"/>
  <c r="J11" i="1"/>
  <c r="H12" i="1"/>
  <c r="G11" i="1"/>
  <c r="B36" i="1"/>
  <c r="O13" i="1"/>
  <c r="Q12" i="1"/>
  <c r="Z11" i="1" l="1"/>
  <c r="Y12" i="1"/>
  <c r="U14" i="1"/>
  <c r="V13" i="1"/>
  <c r="O14" i="1"/>
  <c r="Q13" i="1"/>
  <c r="H13" i="1"/>
  <c r="J12" i="1"/>
  <c r="G12" i="1"/>
  <c r="O15" i="1" l="1"/>
  <c r="Q14" i="1"/>
  <c r="V14" i="1"/>
  <c r="U15" i="1"/>
  <c r="Y13" i="1"/>
  <c r="Z12" i="1"/>
  <c r="J13" i="1"/>
  <c r="G13" i="1"/>
  <c r="H14" i="1"/>
  <c r="Y14" i="1" l="1"/>
  <c r="Z13" i="1"/>
  <c r="U16" i="1"/>
  <c r="V15" i="1"/>
  <c r="J14" i="1"/>
  <c r="H15" i="1"/>
  <c r="G14" i="1"/>
  <c r="O16" i="1"/>
  <c r="Q15" i="1"/>
  <c r="O17" i="1" l="1"/>
  <c r="Q16" i="1"/>
  <c r="H16" i="1"/>
  <c r="G15" i="1"/>
  <c r="J15" i="1"/>
  <c r="U17" i="1"/>
  <c r="V16" i="1"/>
  <c r="Y15" i="1"/>
  <c r="Z14" i="1"/>
  <c r="V17" i="1" l="1"/>
  <c r="U18" i="1"/>
  <c r="Z15" i="1"/>
  <c r="Y16" i="1"/>
  <c r="J16" i="1"/>
  <c r="G16" i="1"/>
  <c r="H17" i="1"/>
  <c r="Q17" i="1"/>
  <c r="O18" i="1"/>
  <c r="H18" i="1" l="1"/>
  <c r="G17" i="1"/>
  <c r="J17" i="1"/>
  <c r="Y17" i="1"/>
  <c r="Z16" i="1"/>
  <c r="V18" i="1"/>
  <c r="U19" i="1"/>
  <c r="O19" i="1"/>
  <c r="Q18" i="1"/>
  <c r="U20" i="1" l="1"/>
  <c r="V19" i="1"/>
  <c r="Y18" i="1"/>
  <c r="Z17" i="1"/>
  <c r="O20" i="1"/>
  <c r="Q19" i="1"/>
  <c r="H19" i="1"/>
  <c r="G18" i="1"/>
  <c r="J18" i="1"/>
  <c r="Z18" i="1" l="1"/>
  <c r="Y19" i="1"/>
  <c r="G19" i="1"/>
  <c r="H20" i="1"/>
  <c r="J19" i="1"/>
  <c r="O21" i="1"/>
  <c r="Q20" i="1"/>
  <c r="U21" i="1"/>
  <c r="V20" i="1"/>
  <c r="U22" i="1" l="1"/>
  <c r="V21" i="1"/>
  <c r="Q21" i="1"/>
  <c r="O22" i="1"/>
  <c r="J20" i="1"/>
  <c r="G20" i="1"/>
  <c r="H21" i="1"/>
  <c r="Y20" i="1"/>
  <c r="Z19" i="1"/>
  <c r="Y21" i="1" l="1"/>
  <c r="Z20" i="1"/>
  <c r="H22" i="1"/>
  <c r="G21" i="1"/>
  <c r="J21" i="1"/>
  <c r="O23" i="1"/>
  <c r="Q22" i="1"/>
  <c r="U23" i="1"/>
  <c r="V22" i="1"/>
  <c r="O24" i="1" l="1"/>
  <c r="Q23" i="1"/>
  <c r="U24" i="1"/>
  <c r="V23" i="1"/>
  <c r="G22" i="1"/>
  <c r="H23" i="1"/>
  <c r="J22" i="1"/>
  <c r="Y22" i="1"/>
  <c r="Z21" i="1"/>
  <c r="Z22" i="1" l="1"/>
  <c r="Y23" i="1"/>
  <c r="J23" i="1"/>
  <c r="G23" i="1"/>
  <c r="H24" i="1"/>
  <c r="V24" i="1"/>
  <c r="U25" i="1"/>
  <c r="O25" i="1"/>
  <c r="Q24" i="1"/>
  <c r="O26" i="1" l="1"/>
  <c r="Q25" i="1"/>
  <c r="V25" i="1"/>
  <c r="U26" i="1"/>
  <c r="J24" i="1"/>
  <c r="H25" i="1"/>
  <c r="G24" i="1"/>
  <c r="Y24" i="1"/>
  <c r="Z23" i="1"/>
  <c r="Y25" i="1" l="1"/>
  <c r="Z24" i="1"/>
  <c r="U27" i="1"/>
  <c r="V26" i="1"/>
  <c r="H26" i="1"/>
  <c r="G25" i="1"/>
  <c r="J25" i="1"/>
  <c r="O27" i="1"/>
  <c r="Q26" i="1"/>
  <c r="V27" i="1" l="1"/>
  <c r="U28" i="1"/>
  <c r="O28" i="1"/>
  <c r="Q27" i="1"/>
  <c r="J26" i="1"/>
  <c r="H27" i="1"/>
  <c r="G26" i="1"/>
  <c r="Z25" i="1"/>
  <c r="Y26" i="1"/>
  <c r="V28" i="1" l="1"/>
  <c r="U29" i="1"/>
  <c r="G27" i="1"/>
  <c r="H28" i="1"/>
  <c r="J27" i="1"/>
  <c r="Q28" i="1"/>
  <c r="O29" i="1"/>
  <c r="Y27" i="1"/>
  <c r="Z26" i="1"/>
  <c r="Z27" i="1" l="1"/>
  <c r="Y28" i="1"/>
  <c r="U30" i="1"/>
  <c r="V29" i="1"/>
  <c r="O30" i="1"/>
  <c r="Q29" i="1"/>
  <c r="H29" i="1"/>
  <c r="G28" i="1"/>
  <c r="J28" i="1"/>
  <c r="J29" i="1" l="1"/>
  <c r="H30" i="1"/>
  <c r="G29" i="1"/>
  <c r="Q30" i="1"/>
  <c r="O31" i="1"/>
  <c r="U31" i="1"/>
  <c r="V30" i="1"/>
  <c r="Y29" i="1"/>
  <c r="Z28" i="1"/>
  <c r="O32" i="1" l="1"/>
  <c r="Q31" i="1"/>
  <c r="U32" i="1"/>
  <c r="V31" i="1"/>
  <c r="H31" i="1"/>
  <c r="G30" i="1"/>
  <c r="J30" i="1"/>
  <c r="Y30" i="1"/>
  <c r="Z29" i="1"/>
  <c r="Z30" i="1" l="1"/>
  <c r="Y31" i="1"/>
  <c r="H32" i="1"/>
  <c r="J31" i="1"/>
  <c r="G31" i="1"/>
  <c r="U33" i="1"/>
  <c r="V32" i="1"/>
  <c r="O33" i="1"/>
  <c r="C35" i="1"/>
  <c r="D35" i="1" s="1"/>
  <c r="D37" i="1" s="1"/>
  <c r="E37" i="1" s="1"/>
  <c r="Q32" i="1"/>
  <c r="O34" i="1" l="1"/>
  <c r="Q33" i="1"/>
  <c r="V33" i="1"/>
  <c r="U34" i="1"/>
  <c r="J32" i="1"/>
  <c r="G32" i="1"/>
  <c r="H33" i="1"/>
  <c r="Z31" i="1"/>
  <c r="Y32" i="1"/>
  <c r="V34" i="1" l="1"/>
  <c r="U35" i="1"/>
  <c r="H34" i="1"/>
  <c r="J33" i="1"/>
  <c r="G33" i="1"/>
  <c r="Y33" i="1"/>
  <c r="Z32" i="1"/>
  <c r="O35" i="1"/>
  <c r="Q34" i="1"/>
  <c r="Z33" i="1" l="1"/>
  <c r="Y34" i="1"/>
  <c r="O36" i="1"/>
  <c r="Q35" i="1"/>
  <c r="J34" i="1"/>
  <c r="G34" i="1"/>
  <c r="V35" i="1"/>
  <c r="U36" i="1"/>
  <c r="V36" i="1" l="1"/>
  <c r="U37" i="1"/>
  <c r="Q36" i="1"/>
  <c r="O37" i="1"/>
  <c r="Z34" i="1"/>
  <c r="Y35" i="1"/>
  <c r="Y36" i="1" l="1"/>
  <c r="Z35" i="1"/>
  <c r="O38" i="1"/>
  <c r="Q37" i="1"/>
  <c r="U38" i="1"/>
  <c r="V37" i="1"/>
  <c r="U39" i="1" l="1"/>
  <c r="V38" i="1"/>
  <c r="O39" i="1"/>
  <c r="Q38" i="1"/>
  <c r="Y37" i="1"/>
  <c r="Z36" i="1"/>
  <c r="O40" i="1" l="1"/>
  <c r="Q39" i="1"/>
  <c r="Y38" i="1"/>
  <c r="Z37" i="1"/>
  <c r="U40" i="1"/>
  <c r="V39" i="1"/>
  <c r="U41" i="1" l="1"/>
  <c r="V40" i="1"/>
  <c r="Y39" i="1"/>
  <c r="Z38" i="1"/>
  <c r="O41" i="1"/>
  <c r="Q40" i="1"/>
  <c r="Z39" i="1" l="1"/>
  <c r="Y40" i="1"/>
  <c r="Q41" i="1"/>
  <c r="O42" i="1"/>
  <c r="U42" i="1"/>
  <c r="V41" i="1"/>
  <c r="V42" i="1" l="1"/>
  <c r="U43" i="1"/>
  <c r="O43" i="1"/>
  <c r="Q42" i="1"/>
  <c r="Y41" i="1"/>
  <c r="Z40" i="1"/>
  <c r="Y42" i="1" l="1"/>
  <c r="Z41" i="1"/>
  <c r="V43" i="1"/>
  <c r="U44" i="1"/>
  <c r="W3" i="1"/>
  <c r="B42" i="1" s="1"/>
  <c r="Q43" i="1"/>
  <c r="O44" i="1"/>
  <c r="O45" i="1" l="1"/>
  <c r="Q44" i="1"/>
  <c r="V44" i="1"/>
  <c r="U45" i="1"/>
  <c r="Z42" i="1"/>
  <c r="Y43" i="1"/>
  <c r="AB3" i="1"/>
  <c r="C42" i="1" s="1"/>
  <c r="E38" i="1" s="1"/>
  <c r="Z43" i="1" l="1"/>
  <c r="Y44" i="1"/>
  <c r="U46" i="1"/>
  <c r="V45" i="1"/>
  <c r="Q45" i="1"/>
  <c r="O46" i="1"/>
  <c r="O47" i="1" l="1"/>
  <c r="Q46" i="1"/>
  <c r="D31" i="1"/>
  <c r="U47" i="1"/>
  <c r="V46" i="1"/>
  <c r="Y45" i="1"/>
  <c r="Z44" i="1"/>
  <c r="D33" i="1" l="1"/>
  <c r="U48" i="1"/>
  <c r="V47" i="1"/>
  <c r="Y46" i="1"/>
  <c r="Z45" i="1"/>
  <c r="O48" i="1"/>
  <c r="Q47" i="1"/>
  <c r="E33" i="1" l="1"/>
  <c r="C33" i="1"/>
  <c r="Y47" i="1"/>
  <c r="Z46" i="1"/>
  <c r="O49" i="1"/>
  <c r="Q48" i="1"/>
  <c r="U49" i="1"/>
  <c r="V48" i="1"/>
  <c r="Q49" i="1" l="1"/>
  <c r="O50" i="1"/>
  <c r="V49" i="1"/>
  <c r="U50" i="1"/>
  <c r="Y48" i="1"/>
  <c r="Z47" i="1"/>
  <c r="V50" i="1" l="1"/>
  <c r="U51" i="1"/>
  <c r="Y49" i="1"/>
  <c r="Z48" i="1"/>
  <c r="O51" i="1"/>
  <c r="Q50" i="1"/>
  <c r="O52" i="1" l="1"/>
  <c r="Q51" i="1"/>
  <c r="Y50" i="1"/>
  <c r="Z49" i="1"/>
  <c r="V51" i="1"/>
  <c r="U52" i="1"/>
  <c r="V52" i="1" l="1"/>
  <c r="U53" i="1"/>
  <c r="Z50" i="1"/>
  <c r="Y51" i="1"/>
  <c r="O53" i="1"/>
  <c r="Q52" i="1"/>
  <c r="Q53" i="1" l="1"/>
  <c r="O54" i="1"/>
  <c r="Z51" i="1"/>
  <c r="Y52" i="1"/>
  <c r="U54" i="1"/>
  <c r="V53" i="1"/>
  <c r="U55" i="1" l="1"/>
  <c r="V54" i="1"/>
  <c r="Y53" i="1"/>
  <c r="Z52" i="1"/>
  <c r="O55" i="1"/>
  <c r="Q54" i="1"/>
  <c r="O56" i="1" l="1"/>
  <c r="Q55" i="1"/>
  <c r="Y54" i="1"/>
  <c r="Z53" i="1"/>
  <c r="U57" i="1"/>
  <c r="V55" i="1"/>
  <c r="U58" i="1" l="1"/>
  <c r="V57" i="1"/>
  <c r="Y55" i="1"/>
  <c r="Z54" i="1"/>
  <c r="O57" i="1"/>
  <c r="Q56" i="1"/>
  <c r="O58" i="1" l="1"/>
  <c r="Q58" i="1" s="1"/>
  <c r="Q57" i="1"/>
  <c r="Y56" i="1"/>
  <c r="Z55" i="1"/>
  <c r="U59" i="1"/>
  <c r="V58" i="1"/>
  <c r="V59" i="1" l="1"/>
  <c r="U60" i="1"/>
  <c r="Y57" i="1"/>
  <c r="Z56" i="1"/>
  <c r="U61" i="1" l="1"/>
  <c r="V60" i="1"/>
  <c r="Z57" i="1"/>
  <c r="Y58" i="1"/>
  <c r="Z58" i="1" l="1"/>
  <c r="Y59" i="1"/>
  <c r="V61" i="1"/>
  <c r="U62" i="1"/>
  <c r="W2" i="1"/>
  <c r="B41" i="1" s="1"/>
  <c r="U63" i="1" l="1"/>
  <c r="V62" i="1"/>
  <c r="Z59" i="1"/>
  <c r="Y60" i="1"/>
  <c r="AB2" i="1"/>
  <c r="C41" i="1" s="1"/>
  <c r="E34" i="1" s="1"/>
  <c r="Y61" i="1" l="1"/>
  <c r="Z60" i="1"/>
  <c r="U64" i="1"/>
  <c r="V63" i="1"/>
  <c r="U65" i="1" l="1"/>
  <c r="V64" i="1"/>
  <c r="Z61" i="1"/>
  <c r="Y62" i="1"/>
  <c r="Y63" i="1" l="1"/>
  <c r="Z62" i="1"/>
  <c r="V65" i="1"/>
  <c r="U66" i="1"/>
  <c r="U68" i="1" l="1"/>
  <c r="V66" i="1"/>
  <c r="Y64" i="1"/>
  <c r="Z63" i="1"/>
  <c r="Y65" i="1" l="1"/>
  <c r="Z64" i="1"/>
  <c r="V68" i="1"/>
  <c r="U69" i="1"/>
  <c r="U70" i="1" l="1"/>
  <c r="V69" i="1"/>
  <c r="Z65" i="1"/>
  <c r="Y66" i="1"/>
  <c r="Z66" i="1" l="1"/>
  <c r="Y67" i="1"/>
  <c r="V70" i="1"/>
  <c r="U71" i="1"/>
  <c r="U72" i="1" l="1"/>
  <c r="V71" i="1"/>
  <c r="Z67" i="1"/>
  <c r="Y68" i="1"/>
  <c r="Y69" i="1" l="1"/>
  <c r="Z68" i="1"/>
  <c r="U73" i="1"/>
  <c r="V72" i="1"/>
  <c r="U74" i="1" l="1"/>
  <c r="V73" i="1"/>
  <c r="Y70" i="1"/>
  <c r="Z69" i="1"/>
  <c r="Y71" i="1" l="1"/>
  <c r="Z70" i="1"/>
  <c r="U75" i="1"/>
  <c r="V74" i="1"/>
  <c r="U76" i="1" l="1"/>
  <c r="V75" i="1"/>
  <c r="Z71" i="1"/>
  <c r="Y72" i="1"/>
  <c r="Z72" i="1" l="1"/>
  <c r="Y73" i="1"/>
  <c r="V76" i="1"/>
  <c r="U77" i="1"/>
  <c r="Y74" i="1" l="1"/>
  <c r="Z73" i="1"/>
  <c r="V77" i="1"/>
  <c r="U79" i="1"/>
  <c r="V79" i="1" s="1"/>
  <c r="Z74" i="1" l="1"/>
  <c r="Y75" i="1"/>
  <c r="Z75" i="1" l="1"/>
  <c r="Y76" i="1"/>
  <c r="Z76" i="1" s="1"/>
</calcChain>
</file>

<file path=xl/sharedStrings.xml><?xml version="1.0" encoding="utf-8"?>
<sst xmlns="http://schemas.openxmlformats.org/spreadsheetml/2006/main" count="72" uniqueCount="61">
  <si>
    <t>Cessna Citation CJ4 N313GL WEIGHT and BALANCE CALCULATION</t>
  </si>
  <si>
    <t>FUEL Weight and Moment</t>
  </si>
  <si>
    <t>Min.Fwd.C.G. at Takeoff Wgt =</t>
  </si>
  <si>
    <t>Min.Aft.C.G. at Takeoff Wgt =</t>
  </si>
  <si>
    <t>Enter data in the yellow highlighted areas</t>
  </si>
  <si>
    <t>(100 lb increments)</t>
  </si>
  <si>
    <t>Min.Fwd.C.G. at Landing Wgt =</t>
  </si>
  <si>
    <t>Min.Aft.C.G. at Landing Wgt =</t>
  </si>
  <si>
    <t>Weight</t>
  </si>
  <si>
    <t>Arm</t>
  </si>
  <si>
    <t>Moment</t>
  </si>
  <si>
    <t>CG</t>
  </si>
  <si>
    <t>Moment/100</t>
  </si>
  <si>
    <t>Arm (inches)</t>
  </si>
  <si>
    <t>FWD C.G. LIMITS</t>
  </si>
  <si>
    <t>AFT C.G. LIMITS</t>
  </si>
  <si>
    <t>(lbs)</t>
  </si>
  <si>
    <t>(inches)</t>
  </si>
  <si>
    <t>(in. lbs./100)</t>
  </si>
  <si>
    <t>Gallons</t>
  </si>
  <si>
    <t>Aircraft Data</t>
  </si>
  <si>
    <t>Mom./100</t>
  </si>
  <si>
    <t>C.G.</t>
  </si>
  <si>
    <r>
      <rPr>
        <b/>
        <sz val="10"/>
        <color indexed="8"/>
        <rFont val="Arial"/>
      </rPr>
      <t>N313GL</t>
    </r>
    <r>
      <rPr>
        <b/>
        <sz val="8"/>
        <color indexed="8"/>
        <rFont val="Arial"/>
      </rPr>
      <t xml:space="preserve">  </t>
    </r>
    <r>
      <rPr>
        <sz val="8"/>
        <color indexed="8"/>
        <rFont val="Arial"/>
      </rPr>
      <t xml:space="preserve">(s/n 525C-0255) </t>
    </r>
  </si>
  <si>
    <t>Crew, Passengers and Baggage</t>
  </si>
  <si>
    <t>Crew (seats 1 and 2)</t>
  </si>
  <si>
    <r>
      <rPr>
        <sz val="10"/>
        <color indexed="8"/>
        <rFont val="Arial"/>
      </rPr>
      <t>RH FWD Nav Chart Case</t>
    </r>
    <r>
      <rPr>
        <sz val="8"/>
        <color indexed="8"/>
        <rFont val="Arial"/>
      </rPr>
      <t xml:space="preserve"> - behind copilot</t>
    </r>
    <r>
      <rPr>
        <sz val="10"/>
        <color indexed="8"/>
        <rFont val="Arial"/>
      </rPr>
      <t xml:space="preserve"> </t>
    </r>
    <r>
      <rPr>
        <sz val="8"/>
        <color indexed="8"/>
        <rFont val="Arial"/>
      </rPr>
      <t>(10 lbs max)</t>
    </r>
  </si>
  <si>
    <r>
      <rPr>
        <sz val="10"/>
        <color indexed="8"/>
        <rFont val="Arial"/>
      </rPr>
      <t xml:space="preserve">RH FWD Slimline Cabinet </t>
    </r>
    <r>
      <rPr>
        <sz val="8"/>
        <color indexed="8"/>
        <rFont val="Arial"/>
      </rPr>
      <t>(10 lbs max)</t>
    </r>
  </si>
  <si>
    <r>
      <rPr>
        <sz val="10"/>
        <color indexed="8"/>
        <rFont val="Arial"/>
      </rPr>
      <t xml:space="preserve">LH FWD Refreshment Center </t>
    </r>
    <r>
      <rPr>
        <sz val="8"/>
        <color indexed="8"/>
        <rFont val="Arial"/>
      </rPr>
      <t>(112 lbs max)</t>
    </r>
  </si>
  <si>
    <r>
      <rPr>
        <sz val="10"/>
        <color indexed="8"/>
        <rFont val="Arial"/>
      </rPr>
      <t xml:space="preserve">Seats 3 &amp; 4 </t>
    </r>
    <r>
      <rPr>
        <sz val="9"/>
        <color indexed="8"/>
        <rFont val="Arial"/>
      </rPr>
      <t>(aft facing club seats)</t>
    </r>
  </si>
  <si>
    <r>
      <rPr>
        <sz val="10"/>
        <color indexed="8"/>
        <rFont val="Arial"/>
      </rPr>
      <t>Seast 5 &amp; 6</t>
    </r>
    <r>
      <rPr>
        <sz val="9"/>
        <color indexed="8"/>
        <rFont val="Arial"/>
      </rPr>
      <t xml:space="preserve"> (forward facing club seats)</t>
    </r>
  </si>
  <si>
    <r>
      <rPr>
        <sz val="10"/>
        <color indexed="8"/>
        <rFont val="Arial"/>
      </rPr>
      <t>Seats 7 &amp; 8</t>
    </r>
    <r>
      <rPr>
        <sz val="9"/>
        <color indexed="8"/>
        <rFont val="Arial"/>
      </rPr>
      <t xml:space="preserve"> (forward facing rearmost seats)</t>
    </r>
  </si>
  <si>
    <r>
      <rPr>
        <sz val="10"/>
        <color indexed="8"/>
        <rFont val="Arial"/>
      </rPr>
      <t xml:space="preserve">Seat 10 </t>
    </r>
    <r>
      <rPr>
        <sz val="9"/>
        <color indexed="8"/>
        <rFont val="Arial"/>
      </rPr>
      <t>(forward side facing couch seat)</t>
    </r>
  </si>
  <si>
    <r>
      <rPr>
        <sz val="10"/>
        <color indexed="8"/>
        <rFont val="Arial"/>
      </rPr>
      <t>Seat 11</t>
    </r>
    <r>
      <rPr>
        <sz val="9"/>
        <color indexed="8"/>
        <rFont val="Arial"/>
      </rPr>
      <t xml:space="preserve"> (aft side facing couch seat)</t>
    </r>
  </si>
  <si>
    <r>
      <rPr>
        <sz val="10"/>
        <color indexed="8"/>
        <rFont val="Arial"/>
      </rPr>
      <t xml:space="preserve">Belted Toilet Seat </t>
    </r>
    <r>
      <rPr>
        <sz val="8"/>
        <color indexed="8"/>
        <rFont val="Arial"/>
      </rPr>
      <t>(left side)</t>
    </r>
  </si>
  <si>
    <r>
      <rPr>
        <sz val="10"/>
        <color indexed="8"/>
        <rFont val="Arial"/>
      </rPr>
      <t xml:space="preserve">Aft Toilet Cabinet </t>
    </r>
    <r>
      <rPr>
        <sz val="8"/>
        <color indexed="8"/>
        <rFont val="Arial"/>
      </rPr>
      <t>(5 lbs max)</t>
    </r>
  </si>
  <si>
    <t>Nose Compartment Baggage (max = 400 lbs)</t>
  </si>
  <si>
    <t>Aft Tailcone Baggage (max = 600 lbs)</t>
  </si>
  <si>
    <r>
      <rPr>
        <sz val="10"/>
        <color indexed="8"/>
        <rFont val="Arial"/>
      </rPr>
      <t xml:space="preserve">Baggage stored in potty area </t>
    </r>
    <r>
      <rPr>
        <sz val="8"/>
        <color indexed="8"/>
        <rFont val="Arial"/>
      </rPr>
      <t>(limit to 100 lbs)</t>
    </r>
  </si>
  <si>
    <t xml:space="preserve">Zero Fuel Weight, ZFW  (12,500 lb max) </t>
  </si>
  <si>
    <t>Fuel Load</t>
  </si>
  <si>
    <t>________</t>
  </si>
  <si>
    <t>Ramp Weight (17,230 max)</t>
  </si>
  <si>
    <t>Less Taxi Fuel of 125 lbs = Takeoff Fuel Load</t>
  </si>
  <si>
    <t>Takeoff CG</t>
  </si>
  <si>
    <r>
      <rPr>
        <b/>
        <sz val="10"/>
        <color indexed="8"/>
        <rFont val="Arial"/>
      </rPr>
      <t>Takeoff Totals (17,110 max)</t>
    </r>
    <r>
      <rPr>
        <b/>
        <sz val="8"/>
        <color indexed="8"/>
        <rFont val="Arial"/>
      </rPr>
      <t xml:space="preserve"> </t>
    </r>
    <r>
      <rPr>
        <sz val="9"/>
        <color indexed="8"/>
        <rFont val="Arial"/>
      </rPr>
      <t>[ZFW + T.O.Fuel]</t>
    </r>
  </si>
  <si>
    <t>Less Enroute Fuel</t>
  </si>
  <si>
    <t>Landing CG</t>
  </si>
  <si>
    <t>Total at Landing (15,660 max)</t>
  </si>
  <si>
    <t>NOTES:</t>
  </si>
  <si>
    <t>FWD</t>
  </si>
  <si>
    <t>AFT</t>
  </si>
  <si>
    <t>CG Limits for this Takeoff Weight   (inches)</t>
  </si>
  <si>
    <t>CG Limits for this Landing Weight   (inches)</t>
  </si>
  <si>
    <t>`</t>
  </si>
  <si>
    <t>N313GL date of last wgt &amp; bal = 9/13/2017 @ Cessna factory, Wichita</t>
  </si>
  <si>
    <t xml:space="preserve">MAX FUEL - </t>
  </si>
  <si>
    <t xml:space="preserve">     Tanks filled to bottom of standpipes (normal max fuel) = 4,710 lbs</t>
  </si>
  <si>
    <t>updated 9/28/2017</t>
  </si>
  <si>
    <t>Fuel (max 4900)</t>
  </si>
  <si>
    <t>payload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</si>
</sst>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&quot; &quot;"/>
  </numFmts>
  <fonts count="19" x14ac:knownFonts="1">
    <font>
      <sz val="10"/>
      <color indexed="8"/>
      <name val="Arial"/>
    </font>
    <font>
      <b/>
      <u/>
      <sz val="12"/>
      <color indexed="8"/>
      <name val="Arial"/>
    </font>
    <font>
      <b/>
      <u/>
      <sz val="10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0"/>
      <color indexed="8"/>
      <name val="Times New Roman"/>
    </font>
    <font>
      <sz val="10"/>
      <color indexed="8"/>
      <name val="Times New Roman"/>
    </font>
    <font>
      <b/>
      <sz val="8"/>
      <color indexed="8"/>
      <name val="Arial"/>
    </font>
    <font>
      <sz val="9"/>
      <color indexed="8"/>
      <name val="Arial"/>
    </font>
    <font>
      <b/>
      <sz val="10"/>
      <color indexed="12"/>
      <name val="Arial"/>
    </font>
    <font>
      <sz val="10"/>
      <color indexed="13"/>
      <name val="Arial"/>
    </font>
    <font>
      <b/>
      <sz val="10"/>
      <color indexed="14"/>
      <name val="Arial"/>
    </font>
    <font>
      <u/>
      <sz val="10"/>
      <color indexed="8"/>
      <name val="Arial"/>
    </font>
    <font>
      <b/>
      <sz val="10"/>
      <color indexed="15"/>
      <name val="Arial"/>
    </font>
    <font>
      <b/>
      <u/>
      <sz val="10"/>
      <color indexed="15"/>
      <name val="Arial"/>
    </font>
    <font>
      <b/>
      <sz val="10"/>
      <color indexed="16"/>
      <name val="Arial"/>
    </font>
    <font>
      <b/>
      <sz val="9"/>
      <color indexed="16"/>
      <name val="Arial"/>
    </font>
    <font>
      <b/>
      <u/>
      <sz val="14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9"/>
      </bottom>
      <diagonal/>
    </border>
    <border>
      <left/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2" xfId="0" applyNumberFormat="1" applyFont="1" applyBorder="1" applyAlignment="1">
      <alignment horizontal="left"/>
    </xf>
    <xf numFmtId="49" fontId="2" fillId="0" borderId="1" xfId="0" applyNumberFormat="1" applyFont="1" applyBorder="1" applyAlignment="1"/>
    <xf numFmtId="49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/>
    <xf numFmtId="49" fontId="3" fillId="2" borderId="3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49" fontId="0" fillId="0" borderId="6" xfId="0" applyNumberFormat="1" applyFont="1" applyBorder="1" applyAlignment="1">
      <alignment horizontal="right"/>
    </xf>
    <xf numFmtId="0" fontId="0" fillId="0" borderId="7" xfId="0" applyFont="1" applyBorder="1" applyAlignment="1"/>
    <xf numFmtId="49" fontId="0" fillId="0" borderId="8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>
      <alignment horizontal="right"/>
    </xf>
    <xf numFmtId="49" fontId="0" fillId="0" borderId="13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right"/>
    </xf>
    <xf numFmtId="0" fontId="0" fillId="0" borderId="14" xfId="0" applyFont="1" applyBorder="1" applyAlignment="1"/>
    <xf numFmtId="49" fontId="5" fillId="0" borderId="1" xfId="0" applyNumberFormat="1" applyFont="1" applyBorder="1" applyAlignment="1">
      <alignment horizontal="center"/>
    </xf>
    <xf numFmtId="0" fontId="0" fillId="0" borderId="15" xfId="0" applyFont="1" applyBorder="1" applyAlignment="1"/>
    <xf numFmtId="49" fontId="0" fillId="0" borderId="16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0" fillId="0" borderId="19" xfId="0" applyFont="1" applyBorder="1" applyAlignment="1"/>
    <xf numFmtId="0" fontId="0" fillId="0" borderId="12" xfId="0" applyFont="1" applyBorder="1" applyAlignment="1"/>
    <xf numFmtId="0" fontId="0" fillId="0" borderId="13" xfId="0" applyNumberFormat="1" applyFont="1" applyBorder="1" applyAlignment="1"/>
    <xf numFmtId="2" fontId="0" fillId="0" borderId="13" xfId="0" applyNumberFormat="1" applyFont="1" applyBorder="1" applyAlignment="1"/>
    <xf numFmtId="2" fontId="4" fillId="0" borderId="13" xfId="0" applyNumberFormat="1" applyFont="1" applyBorder="1" applyAlignment="1"/>
    <xf numFmtId="0" fontId="7" fillId="0" borderId="1" xfId="0" applyFont="1" applyBorder="1" applyAlignment="1"/>
    <xf numFmtId="49" fontId="2" fillId="0" borderId="20" xfId="0" applyNumberFormat="1" applyFont="1" applyBorder="1" applyAlignment="1">
      <alignment horizontal="center"/>
    </xf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1" fontId="0" fillId="0" borderId="13" xfId="0" applyNumberFormat="1" applyFont="1" applyBorder="1" applyAlignment="1"/>
    <xf numFmtId="2" fontId="3" fillId="0" borderId="13" xfId="0" applyNumberFormat="1" applyFont="1" applyBorder="1" applyAlignment="1"/>
    <xf numFmtId="49" fontId="5" fillId="0" borderId="1" xfId="0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left"/>
    </xf>
    <xf numFmtId="2" fontId="3" fillId="0" borderId="19" xfId="0" applyNumberFormat="1" applyFont="1" applyBorder="1" applyAlignment="1"/>
    <xf numFmtId="2" fontId="0" fillId="3" borderId="26" xfId="0" applyNumberFormat="1" applyFont="1" applyFill="1" applyBorder="1" applyAlignment="1"/>
    <xf numFmtId="2" fontId="3" fillId="0" borderId="27" xfId="0" applyNumberFormat="1" applyFont="1" applyBorder="1" applyAlignment="1"/>
    <xf numFmtId="2" fontId="0" fillId="3" borderId="28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16" xfId="0" applyFont="1" applyBorder="1" applyAlignment="1"/>
    <xf numFmtId="0" fontId="0" fillId="0" borderId="26" xfId="0" applyFont="1" applyBorder="1" applyAlignment="1"/>
    <xf numFmtId="2" fontId="0" fillId="0" borderId="18" xfId="0" applyNumberFormat="1" applyFont="1" applyBorder="1" applyAlignment="1"/>
    <xf numFmtId="0" fontId="0" fillId="3" borderId="28" xfId="0" applyFont="1" applyFill="1" applyBorder="1" applyAlignment="1"/>
    <xf numFmtId="0" fontId="0" fillId="0" borderId="1" xfId="0" applyNumberFormat="1" applyFont="1" applyBorder="1" applyAlignment="1"/>
    <xf numFmtId="49" fontId="0" fillId="0" borderId="29" xfId="0" applyNumberFormat="1" applyFont="1" applyBorder="1" applyAlignment="1"/>
    <xf numFmtId="2" fontId="0" fillId="3" borderId="26" xfId="0" applyNumberFormat="1" applyFont="1" applyFill="1" applyBorder="1" applyAlignment="1">
      <alignment horizontal="center"/>
    </xf>
    <xf numFmtId="2" fontId="0" fillId="0" borderId="31" xfId="0" applyNumberFormat="1" applyFont="1" applyBorder="1" applyAlignment="1"/>
    <xf numFmtId="2" fontId="0" fillId="3" borderId="32" xfId="0" applyNumberFormat="1" applyFont="1" applyFill="1" applyBorder="1" applyAlignment="1">
      <alignment horizontal="center"/>
    </xf>
    <xf numFmtId="2" fontId="0" fillId="3" borderId="13" xfId="0" applyNumberFormat="1" applyFont="1" applyFill="1" applyBorder="1" applyAlignment="1">
      <alignment horizontal="center"/>
    </xf>
    <xf numFmtId="49" fontId="0" fillId="0" borderId="29" xfId="0" applyNumberFormat="1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30" xfId="0" applyFont="1" applyBorder="1" applyAlignment="1"/>
    <xf numFmtId="0" fontId="0" fillId="0" borderId="13" xfId="0" applyFont="1" applyBorder="1" applyAlignment="1"/>
    <xf numFmtId="0" fontId="0" fillId="0" borderId="31" xfId="0" applyFont="1" applyBorder="1" applyAlignment="1"/>
    <xf numFmtId="0" fontId="0" fillId="0" borderId="25" xfId="0" applyFont="1" applyBorder="1" applyAlignment="1">
      <alignment horizontal="left"/>
    </xf>
    <xf numFmtId="49" fontId="10" fillId="0" borderId="30" xfId="0" applyNumberFormat="1" applyFont="1" applyBorder="1" applyAlignment="1">
      <alignment horizontal="right"/>
    </xf>
    <xf numFmtId="2" fontId="0" fillId="0" borderId="13" xfId="0" applyNumberFormat="1" applyFont="1" applyBorder="1" applyAlignment="1">
      <alignment horizontal="center"/>
    </xf>
    <xf numFmtId="49" fontId="0" fillId="0" borderId="33" xfId="0" applyNumberFormat="1" applyFont="1" applyBorder="1" applyAlignment="1"/>
    <xf numFmtId="164" fontId="0" fillId="0" borderId="30" xfId="0" applyNumberFormat="1" applyFont="1" applyBorder="1" applyAlignment="1"/>
    <xf numFmtId="0" fontId="0" fillId="3" borderId="22" xfId="0" applyFont="1" applyFill="1" applyBorder="1" applyAlignment="1"/>
    <xf numFmtId="0" fontId="0" fillId="0" borderId="34" xfId="0" applyFont="1" applyBorder="1" applyAlignment="1"/>
    <xf numFmtId="0" fontId="0" fillId="3" borderId="35" xfId="0" applyFont="1" applyFill="1" applyBorder="1" applyAlignment="1"/>
    <xf numFmtId="2" fontId="0" fillId="0" borderId="36" xfId="0" applyNumberFormat="1" applyFont="1" applyBorder="1" applyAlignment="1"/>
    <xf numFmtId="49" fontId="0" fillId="0" borderId="25" xfId="0" applyNumberFormat="1" applyFont="1" applyBorder="1" applyAlignment="1">
      <alignment horizontal="left"/>
    </xf>
    <xf numFmtId="4" fontId="0" fillId="3" borderId="26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/>
    <xf numFmtId="0" fontId="11" fillId="0" borderId="7" xfId="0" applyFont="1" applyBorder="1" applyAlignment="1"/>
    <xf numFmtId="49" fontId="12" fillId="0" borderId="37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right"/>
    </xf>
    <xf numFmtId="164" fontId="0" fillId="0" borderId="39" xfId="0" applyNumberFormat="1" applyFont="1" applyBorder="1" applyAlignment="1"/>
    <xf numFmtId="2" fontId="0" fillId="0" borderId="40" xfId="0" applyNumberFormat="1" applyFont="1" applyBorder="1" applyAlignment="1"/>
    <xf numFmtId="0" fontId="1" fillId="3" borderId="28" xfId="0" applyFont="1" applyFill="1" applyBorder="1" applyAlignment="1">
      <alignment horizontal="center"/>
    </xf>
    <xf numFmtId="0" fontId="0" fillId="0" borderId="29" xfId="0" applyFont="1" applyBorder="1" applyAlignment="1"/>
    <xf numFmtId="0" fontId="13" fillId="0" borderId="39" xfId="0" applyFont="1" applyBorder="1" applyAlignment="1">
      <alignment horizontal="right"/>
    </xf>
    <xf numFmtId="2" fontId="13" fillId="0" borderId="40" xfId="0" applyNumberFormat="1" applyFont="1" applyBorder="1" applyAlignment="1">
      <alignment horizontal="right"/>
    </xf>
    <xf numFmtId="1" fontId="0" fillId="0" borderId="39" xfId="0" applyNumberFormat="1" applyFont="1" applyBorder="1" applyAlignment="1">
      <alignment horizontal="right"/>
    </xf>
    <xf numFmtId="4" fontId="0" fillId="3" borderId="35" xfId="0" applyNumberFormat="1" applyFont="1" applyFill="1" applyBorder="1" applyAlignment="1">
      <alignment horizontal="center"/>
    </xf>
    <xf numFmtId="49" fontId="14" fillId="0" borderId="41" xfId="0" applyNumberFormat="1" applyFont="1" applyBorder="1" applyAlignment="1">
      <alignment horizontal="right"/>
    </xf>
    <xf numFmtId="49" fontId="13" fillId="0" borderId="40" xfId="0" applyNumberFormat="1" applyFont="1" applyBorder="1" applyAlignment="1">
      <alignment horizontal="right"/>
    </xf>
    <xf numFmtId="49" fontId="15" fillId="0" borderId="42" xfId="0" applyNumberFormat="1" applyFont="1" applyBorder="1" applyAlignment="1">
      <alignment horizontal="center"/>
    </xf>
    <xf numFmtId="49" fontId="3" fillId="0" borderId="29" xfId="0" applyNumberFormat="1" applyFont="1" applyBorder="1" applyAlignment="1"/>
    <xf numFmtId="164" fontId="0" fillId="0" borderId="43" xfId="0" applyNumberFormat="1" applyFont="1" applyBorder="1" applyAlignment="1"/>
    <xf numFmtId="2" fontId="0" fillId="0" borderId="44" xfId="0" applyNumberFormat="1" applyFont="1" applyBorder="1" applyAlignment="1"/>
    <xf numFmtId="2" fontId="14" fillId="0" borderId="29" xfId="0" applyNumberFormat="1" applyFont="1" applyBorder="1" applyAlignment="1">
      <alignment horizontal="center"/>
    </xf>
    <xf numFmtId="0" fontId="0" fillId="0" borderId="45" xfId="0" applyFont="1" applyBorder="1" applyAlignment="1"/>
    <xf numFmtId="2" fontId="0" fillId="0" borderId="46" xfId="0" applyNumberFormat="1" applyFont="1" applyBorder="1" applyAlignment="1"/>
    <xf numFmtId="49" fontId="16" fillId="0" borderId="25" xfId="0" applyNumberFormat="1" applyFont="1" applyBorder="1" applyAlignment="1">
      <alignment horizontal="center"/>
    </xf>
    <xf numFmtId="4" fontId="0" fillId="3" borderId="47" xfId="0" applyNumberFormat="1" applyFont="1" applyFill="1" applyBorder="1" applyAlignment="1">
      <alignment horizontal="center"/>
    </xf>
    <xf numFmtId="0" fontId="0" fillId="3" borderId="48" xfId="0" applyFont="1" applyFill="1" applyBorder="1" applyAlignment="1"/>
    <xf numFmtId="49" fontId="14" fillId="0" borderId="49" xfId="0" applyNumberFormat="1" applyFont="1" applyBorder="1" applyAlignment="1">
      <alignment horizontal="right"/>
    </xf>
    <xf numFmtId="1" fontId="0" fillId="0" borderId="50" xfId="0" applyNumberFormat="1" applyFont="1" applyBorder="1" applyAlignment="1"/>
    <xf numFmtId="0" fontId="0" fillId="0" borderId="50" xfId="0" applyFont="1" applyBorder="1" applyAlignment="1"/>
    <xf numFmtId="2" fontId="3" fillId="0" borderId="50" xfId="0" applyNumberFormat="1" applyFont="1" applyBorder="1" applyAlignment="1"/>
    <xf numFmtId="2" fontId="4" fillId="0" borderId="50" xfId="0" applyNumberFormat="1" applyFont="1" applyBorder="1" applyAlignment="1"/>
    <xf numFmtId="49" fontId="3" fillId="0" borderId="25" xfId="0" applyNumberFormat="1" applyFont="1" applyBorder="1" applyAlignment="1"/>
    <xf numFmtId="0" fontId="0" fillId="3" borderId="51" xfId="0" applyFont="1" applyFill="1" applyBorder="1" applyAlignment="1"/>
    <xf numFmtId="1" fontId="0" fillId="0" borderId="1" xfId="0" applyNumberFormat="1" applyFont="1" applyBorder="1" applyAlignment="1"/>
    <xf numFmtId="2" fontId="3" fillId="0" borderId="1" xfId="0" applyNumberFormat="1" applyFont="1" applyBorder="1" applyAlignment="1"/>
    <xf numFmtId="2" fontId="4" fillId="0" borderId="1" xfId="0" applyNumberFormat="1" applyFont="1" applyBorder="1" applyAlignment="1"/>
    <xf numFmtId="0" fontId="0" fillId="0" borderId="52" xfId="0" applyFont="1" applyBorder="1" applyAlignment="1"/>
    <xf numFmtId="0" fontId="0" fillId="0" borderId="53" xfId="0" applyFont="1" applyBorder="1" applyAlignment="1"/>
    <xf numFmtId="49" fontId="17" fillId="0" borderId="25" xfId="0" applyNumberFormat="1" applyFont="1" applyBorder="1" applyAlignment="1">
      <alignment horizontal="center"/>
    </xf>
    <xf numFmtId="0" fontId="0" fillId="0" borderId="11" xfId="0" applyFont="1" applyBorder="1" applyAlignment="1">
      <alignment horizontal="right"/>
    </xf>
    <xf numFmtId="165" fontId="3" fillId="0" borderId="5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/>
    <xf numFmtId="0" fontId="3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9" fontId="3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NumberFormat="1" applyFont="1" applyAlignment="1"/>
    <xf numFmtId="0" fontId="18" fillId="0" borderId="1" xfId="0" applyFont="1" applyBorder="1" applyAlignment="1"/>
    <xf numFmtId="0" fontId="2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30" xfId="0" applyNumberFormat="1" applyFont="1" applyFill="1" applyBorder="1" applyAlignment="1" applyProtection="1">
      <protection locked="0"/>
    </xf>
    <xf numFmtId="0" fontId="0" fillId="2" borderId="30" xfId="0" applyFont="1" applyFill="1" applyBorder="1" applyAlignment="1" applyProtection="1">
      <protection locked="0"/>
    </xf>
    <xf numFmtId="0" fontId="0" fillId="2" borderId="30" xfId="0" applyNumberFormat="1" applyFont="1" applyFill="1" applyBorder="1" applyAlignment="1" applyProtection="1">
      <alignment horizontal="right"/>
      <protection locked="0"/>
    </xf>
    <xf numFmtId="0" fontId="0" fillId="2" borderId="30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99"/>
      <rgbColor rgb="FFC0C0C0"/>
      <rgbColor rgb="FF800080"/>
      <rgbColor rgb="FF006411"/>
      <rgbColor rgb="FF800000"/>
      <rgbColor rgb="FF0000FF"/>
      <rgbColor rgb="FFFF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47</xdr:row>
      <xdr:rowOff>59531</xdr:rowOff>
    </xdr:from>
    <xdr:to>
      <xdr:col>4</xdr:col>
      <xdr:colOff>240507</xdr:colOff>
      <xdr:row>53</xdr:row>
      <xdr:rowOff>102393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 rot="16200000">
          <a:off x="2155270" y="5929393"/>
          <a:ext cx="1044895" cy="51839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2"/>
  <sheetViews>
    <sheetView showGridLines="0" tabSelected="1" topLeftCell="A6" workbookViewId="0">
      <selection activeCell="B10" sqref="B10"/>
    </sheetView>
  </sheetViews>
  <sheetFormatPr baseColWidth="10" defaultColWidth="8.83203125" defaultRowHeight="12.75" customHeight="1" x14ac:dyDescent="0.15"/>
  <cols>
    <col min="1" max="1" width="39.5" style="1" customWidth="1"/>
    <col min="2" max="4" width="8.83203125" style="1" customWidth="1"/>
    <col min="5" max="5" width="14" style="1" customWidth="1"/>
    <col min="6" max="7" width="8.83203125" style="1" customWidth="1"/>
    <col min="8" max="8" width="11.6640625" style="1" customWidth="1"/>
    <col min="9" max="9" width="13.1640625" style="1" customWidth="1"/>
    <col min="10" max="10" width="12.33203125" style="1" customWidth="1"/>
    <col min="11" max="15" width="8.83203125" style="1" customWidth="1"/>
    <col min="16" max="16" width="11.83203125" style="1" customWidth="1"/>
    <col min="17" max="21" width="8.83203125" style="1" customWidth="1"/>
    <col min="22" max="22" width="10.1640625" style="1" customWidth="1"/>
    <col min="23" max="24" width="8.83203125" style="1" customWidth="1"/>
    <col min="25" max="25" width="11.83203125" style="1" customWidth="1"/>
    <col min="26" max="26" width="10.83203125" style="1" customWidth="1"/>
    <col min="27" max="28" width="8.83203125" style="1" customWidth="1"/>
    <col min="29" max="256" width="8.83203125" customWidth="1"/>
  </cols>
  <sheetData>
    <row r="1" spans="1:28" ht="12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 t="s">
        <v>1</v>
      </c>
      <c r="P2" s="2"/>
      <c r="Q2" s="2"/>
      <c r="R2" s="2"/>
      <c r="S2" s="2"/>
      <c r="T2" s="5" t="s">
        <v>2</v>
      </c>
      <c r="U2" s="2"/>
      <c r="V2" s="2"/>
      <c r="W2" s="6">
        <f>VLOOKUP(B33,U8:W79,3)</f>
        <v>306.64999999999998</v>
      </c>
      <c r="X2" s="2"/>
      <c r="Y2" s="5" t="s">
        <v>3</v>
      </c>
      <c r="Z2" s="2"/>
      <c r="AA2" s="2"/>
      <c r="AB2" s="6">
        <f>VLOOKUP(B33,Y8:AA76,3)</f>
        <v>316.23</v>
      </c>
    </row>
    <row r="3" spans="1:28" ht="13.5" customHeight="1" x14ac:dyDescent="0.15">
      <c r="A3" s="7" t="s">
        <v>4</v>
      </c>
      <c r="B3" s="8"/>
      <c r="C3" s="9"/>
      <c r="D3" s="9"/>
      <c r="E3" s="9"/>
      <c r="F3" s="2"/>
      <c r="G3" s="2"/>
      <c r="H3" s="4" t="s">
        <v>1</v>
      </c>
      <c r="I3" s="2"/>
      <c r="J3" s="2"/>
      <c r="K3" s="2"/>
      <c r="L3" s="2"/>
      <c r="M3" s="2"/>
      <c r="N3" s="2"/>
      <c r="O3" s="10"/>
      <c r="P3" s="11" t="s">
        <v>5</v>
      </c>
      <c r="Q3" s="10"/>
      <c r="R3" s="2"/>
      <c r="S3" s="2"/>
      <c r="T3" s="5" t="s">
        <v>6</v>
      </c>
      <c r="U3" s="2"/>
      <c r="V3" s="2"/>
      <c r="W3" s="6">
        <f>VLOOKUP(B37,U8:W79,3)</f>
        <v>306.64999999999998</v>
      </c>
      <c r="X3" s="2"/>
      <c r="Y3" s="5" t="s">
        <v>7</v>
      </c>
      <c r="Z3" s="2"/>
      <c r="AA3" s="2"/>
      <c r="AB3" s="6">
        <f>VLOOKUP(B37,Y8:AA76,3)</f>
        <v>317.06</v>
      </c>
    </row>
    <row r="4" spans="1:28" ht="15" customHeight="1" x14ac:dyDescent="0.2">
      <c r="A4" s="12"/>
      <c r="B4" s="13" t="s">
        <v>8</v>
      </c>
      <c r="C4" s="14" t="s">
        <v>9</v>
      </c>
      <c r="D4" s="15" t="s">
        <v>10</v>
      </c>
      <c r="E4" s="16" t="s">
        <v>11</v>
      </c>
      <c r="F4" s="17"/>
      <c r="G4" s="10"/>
      <c r="H4" s="10"/>
      <c r="I4" s="10"/>
      <c r="J4" s="10"/>
      <c r="K4" s="2"/>
      <c r="L4" s="2"/>
      <c r="M4" s="2"/>
      <c r="N4" s="18"/>
      <c r="O4" s="19" t="s">
        <v>8</v>
      </c>
      <c r="P4" s="20" t="s">
        <v>12</v>
      </c>
      <c r="Q4" s="21" t="s">
        <v>13</v>
      </c>
      <c r="R4" s="22"/>
      <c r="S4" s="2"/>
      <c r="T4" s="2"/>
      <c r="U4" s="130" t="s">
        <v>14</v>
      </c>
      <c r="V4" s="131"/>
      <c r="W4" s="132"/>
      <c r="X4" s="2"/>
      <c r="Y4" s="2"/>
      <c r="Z4" s="23" t="s">
        <v>15</v>
      </c>
      <c r="AA4" s="2"/>
      <c r="AB4" s="2"/>
    </row>
    <row r="5" spans="1:28" ht="13.5" customHeight="1" x14ac:dyDescent="0.15">
      <c r="A5" s="24"/>
      <c r="B5" s="25" t="s">
        <v>16</v>
      </c>
      <c r="C5" s="26" t="s">
        <v>17</v>
      </c>
      <c r="D5" s="27" t="s">
        <v>18</v>
      </c>
      <c r="E5" s="28" t="s">
        <v>17</v>
      </c>
      <c r="F5" s="29"/>
      <c r="G5" s="19" t="s">
        <v>19</v>
      </c>
      <c r="H5" s="19" t="s">
        <v>8</v>
      </c>
      <c r="I5" s="20" t="s">
        <v>12</v>
      </c>
      <c r="J5" s="21" t="s">
        <v>13</v>
      </c>
      <c r="K5" s="22"/>
      <c r="L5" s="2"/>
      <c r="M5" s="2"/>
      <c r="N5" s="30"/>
      <c r="O5" s="31">
        <f>N5*6.7</f>
        <v>0</v>
      </c>
      <c r="P5" s="32">
        <v>0</v>
      </c>
      <c r="Q5" s="33"/>
      <c r="R5" s="22"/>
      <c r="S5" s="2"/>
      <c r="T5" s="2"/>
      <c r="U5" s="34"/>
      <c r="V5" s="34"/>
      <c r="W5" s="34"/>
      <c r="X5" s="2"/>
      <c r="Y5" s="2"/>
      <c r="Z5" s="2"/>
      <c r="AA5" s="2"/>
      <c r="AB5" s="2"/>
    </row>
    <row r="6" spans="1:28" ht="15.5" customHeight="1" x14ac:dyDescent="0.2">
      <c r="A6" s="35" t="s">
        <v>20</v>
      </c>
      <c r="B6" s="36"/>
      <c r="C6" s="37"/>
      <c r="D6" s="38"/>
      <c r="E6" s="39"/>
      <c r="F6" s="29"/>
      <c r="G6" s="40">
        <f t="shared" ref="G6:G35" si="0">H6/6.7</f>
        <v>29.850746268656717</v>
      </c>
      <c r="H6" s="31">
        <v>200</v>
      </c>
      <c r="I6" s="41">
        <v>619.45000000000005</v>
      </c>
      <c r="J6" s="33">
        <f t="shared" ref="J6:J35" si="1">I6*100/H6</f>
        <v>309.72500000000002</v>
      </c>
      <c r="K6" s="22"/>
      <c r="L6" s="2"/>
      <c r="M6" s="2"/>
      <c r="N6" s="30"/>
      <c r="O6" s="31">
        <v>200</v>
      </c>
      <c r="P6" s="41">
        <f>I6</f>
        <v>619.45000000000005</v>
      </c>
      <c r="Q6" s="33">
        <f t="shared" ref="Q6:Q37" si="2">P6*100/O6</f>
        <v>309.72500000000002</v>
      </c>
      <c r="R6" s="22"/>
      <c r="S6" s="2"/>
      <c r="T6" s="2"/>
      <c r="U6" s="42" t="s">
        <v>8</v>
      </c>
      <c r="V6" s="42" t="s">
        <v>21</v>
      </c>
      <c r="W6" s="23" t="s">
        <v>22</v>
      </c>
      <c r="X6" s="2"/>
      <c r="Y6" s="23" t="s">
        <v>8</v>
      </c>
      <c r="Z6" s="23" t="s">
        <v>21</v>
      </c>
      <c r="AA6" s="23" t="s">
        <v>22</v>
      </c>
      <c r="AB6" s="2"/>
    </row>
    <row r="7" spans="1:28" ht="13.5" customHeight="1" x14ac:dyDescent="0.15">
      <c r="A7" s="43" t="s">
        <v>23</v>
      </c>
      <c r="B7" s="44">
        <v>10066.049999999999</v>
      </c>
      <c r="C7" s="45"/>
      <c r="D7" s="46">
        <v>32567.63</v>
      </c>
      <c r="E7" s="47">
        <f>D7*100/B7</f>
        <v>323.53932277308382</v>
      </c>
      <c r="F7" s="29"/>
      <c r="G7" s="40">
        <f t="shared" si="0"/>
        <v>59.701492537313435</v>
      </c>
      <c r="H7" s="31">
        <f t="shared" ref="H7:H34" si="3">H6+200</f>
        <v>400</v>
      </c>
      <c r="I7" s="41">
        <v>1226.1600000000001</v>
      </c>
      <c r="J7" s="33">
        <f t="shared" si="1"/>
        <v>306.54000000000002</v>
      </c>
      <c r="K7" s="22"/>
      <c r="L7" s="2"/>
      <c r="M7" s="2"/>
      <c r="N7" s="30"/>
      <c r="O7" s="31">
        <f>O6+200</f>
        <v>400</v>
      </c>
      <c r="P7" s="41">
        <f>I7</f>
        <v>1226.1600000000001</v>
      </c>
      <c r="Q7" s="33">
        <f t="shared" si="2"/>
        <v>306.54000000000002</v>
      </c>
      <c r="R7" s="2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3.25" customHeight="1" x14ac:dyDescent="0.15">
      <c r="A8" s="48" t="s">
        <v>24</v>
      </c>
      <c r="B8" s="49"/>
      <c r="C8" s="50"/>
      <c r="D8" s="51"/>
      <c r="E8" s="52"/>
      <c r="F8" s="29"/>
      <c r="G8" s="40">
        <f t="shared" si="0"/>
        <v>89.552238805970148</v>
      </c>
      <c r="H8" s="31">
        <f t="shared" si="3"/>
        <v>600</v>
      </c>
      <c r="I8" s="41">
        <v>1828.57</v>
      </c>
      <c r="J8" s="33">
        <f t="shared" si="1"/>
        <v>304.76166666666666</v>
      </c>
      <c r="K8" s="22"/>
      <c r="L8" s="2"/>
      <c r="M8" s="2"/>
      <c r="N8" s="30"/>
      <c r="O8" s="31">
        <f>O7+200</f>
        <v>600</v>
      </c>
      <c r="P8" s="41">
        <f>I8</f>
        <v>1828.57</v>
      </c>
      <c r="Q8" s="33">
        <f t="shared" si="2"/>
        <v>304.76166666666666</v>
      </c>
      <c r="R8" s="22"/>
      <c r="S8" s="2"/>
      <c r="T8" s="2"/>
      <c r="U8" s="53">
        <v>10500</v>
      </c>
      <c r="V8" s="6">
        <f t="shared" ref="V8:V39" si="4">(U8*W8)/100</f>
        <v>32198.249999999996</v>
      </c>
      <c r="W8" s="6">
        <v>306.64999999999998</v>
      </c>
      <c r="X8" s="2"/>
      <c r="Y8" s="53">
        <v>10500</v>
      </c>
      <c r="Z8" s="6">
        <f t="shared" ref="Z8:Z39" si="5">(Y8*AA8)/100</f>
        <v>33291.300000000003</v>
      </c>
      <c r="AA8" s="6">
        <v>317.06</v>
      </c>
      <c r="AB8" s="2"/>
    </row>
    <row r="9" spans="1:28" ht="13.25" customHeight="1" x14ac:dyDescent="0.15">
      <c r="A9" s="54" t="s">
        <v>25</v>
      </c>
      <c r="B9" s="133">
        <v>300</v>
      </c>
      <c r="C9" s="55">
        <v>131</v>
      </c>
      <c r="D9" s="56">
        <f t="shared" ref="D9:D22" si="6">B9*C9/100</f>
        <v>393</v>
      </c>
      <c r="E9" s="52"/>
      <c r="F9" s="29"/>
      <c r="G9" s="40">
        <f t="shared" si="0"/>
        <v>119.40298507462687</v>
      </c>
      <c r="H9" s="31">
        <f t="shared" si="3"/>
        <v>800</v>
      </c>
      <c r="I9" s="41">
        <v>2433.92</v>
      </c>
      <c r="J9" s="33">
        <f t="shared" si="1"/>
        <v>304.24</v>
      </c>
      <c r="K9" s="22"/>
      <c r="L9" s="2"/>
      <c r="M9" s="2"/>
      <c r="N9" s="30"/>
      <c r="O9" s="31">
        <f>O8+200</f>
        <v>800</v>
      </c>
      <c r="P9" s="41">
        <f>I9</f>
        <v>2433.92</v>
      </c>
      <c r="Q9" s="33">
        <f t="shared" si="2"/>
        <v>304.24</v>
      </c>
      <c r="R9" s="22"/>
      <c r="S9" s="2"/>
      <c r="T9" s="2"/>
      <c r="U9" s="53">
        <f t="shared" ref="U9:U55" si="7">U8+100</f>
        <v>10600</v>
      </c>
      <c r="V9" s="6">
        <f t="shared" si="4"/>
        <v>32504.899999999994</v>
      </c>
      <c r="W9" s="6">
        <v>306.64999999999998</v>
      </c>
      <c r="X9" s="2"/>
      <c r="Y9" s="53">
        <f t="shared" ref="Y9:Y40" si="8">Y8+100</f>
        <v>10600</v>
      </c>
      <c r="Z9" s="6">
        <f t="shared" si="5"/>
        <v>33608.36</v>
      </c>
      <c r="AA9" s="6">
        <v>317.06</v>
      </c>
      <c r="AB9" s="2"/>
    </row>
    <row r="10" spans="1:28" ht="13.25" customHeight="1" x14ac:dyDescent="0.15">
      <c r="A10" s="54" t="s">
        <v>26</v>
      </c>
      <c r="B10" s="133">
        <v>0</v>
      </c>
      <c r="C10" s="57">
        <v>152.22</v>
      </c>
      <c r="D10" s="56">
        <f t="shared" si="6"/>
        <v>0</v>
      </c>
      <c r="E10" s="52"/>
      <c r="F10" s="29"/>
      <c r="G10" s="40">
        <f t="shared" si="0"/>
        <v>149.25373134328359</v>
      </c>
      <c r="H10" s="31">
        <f t="shared" si="3"/>
        <v>1000</v>
      </c>
      <c r="I10" s="41">
        <v>3042.77</v>
      </c>
      <c r="J10" s="33">
        <f t="shared" si="1"/>
        <v>304.27699999999999</v>
      </c>
      <c r="K10" s="22"/>
      <c r="L10" s="2"/>
      <c r="M10" s="2"/>
      <c r="N10" s="30"/>
      <c r="O10" s="31">
        <f>O9+200</f>
        <v>1000</v>
      </c>
      <c r="P10" s="41">
        <f>I10</f>
        <v>3042.77</v>
      </c>
      <c r="Q10" s="33">
        <f t="shared" si="2"/>
        <v>304.27699999999999</v>
      </c>
      <c r="R10" s="22"/>
      <c r="S10" s="2"/>
      <c r="T10" s="2"/>
      <c r="U10" s="53">
        <f t="shared" si="7"/>
        <v>10700</v>
      </c>
      <c r="V10" s="6">
        <f t="shared" si="4"/>
        <v>32811.549999999996</v>
      </c>
      <c r="W10" s="6">
        <v>306.64999999999998</v>
      </c>
      <c r="X10" s="2"/>
      <c r="Y10" s="53">
        <f t="shared" si="8"/>
        <v>10700</v>
      </c>
      <c r="Z10" s="6">
        <f t="shared" si="5"/>
        <v>33925.42</v>
      </c>
      <c r="AA10" s="6">
        <v>317.06</v>
      </c>
      <c r="AB10" s="2"/>
    </row>
    <row r="11" spans="1:28" ht="13.25" customHeight="1" x14ac:dyDescent="0.15">
      <c r="A11" s="54" t="s">
        <v>27</v>
      </c>
      <c r="B11" s="134">
        <v>0</v>
      </c>
      <c r="C11" s="58">
        <v>158.75</v>
      </c>
      <c r="D11" s="56">
        <f t="shared" si="6"/>
        <v>0</v>
      </c>
      <c r="E11" s="52"/>
      <c r="F11" s="29"/>
      <c r="G11" s="40">
        <f t="shared" si="0"/>
        <v>179.1044776119403</v>
      </c>
      <c r="H11" s="31">
        <f t="shared" si="3"/>
        <v>1200</v>
      </c>
      <c r="I11" s="41">
        <v>3654.36</v>
      </c>
      <c r="J11" s="33">
        <f t="shared" si="1"/>
        <v>304.52999999999997</v>
      </c>
      <c r="K11" s="22"/>
      <c r="L11" s="2"/>
      <c r="M11" s="2"/>
      <c r="N11" s="30"/>
      <c r="O11" s="31">
        <f t="shared" ref="O11:O58" si="9">O10+100</f>
        <v>1100</v>
      </c>
      <c r="P11" s="32">
        <v>3348.26</v>
      </c>
      <c r="Q11" s="33">
        <f t="shared" si="2"/>
        <v>304.38727272727272</v>
      </c>
      <c r="R11" s="22"/>
      <c r="S11" s="2"/>
      <c r="T11" s="2"/>
      <c r="U11" s="53">
        <f t="shared" si="7"/>
        <v>10800</v>
      </c>
      <c r="V11" s="6">
        <f t="shared" si="4"/>
        <v>33118.199999999997</v>
      </c>
      <c r="W11" s="6">
        <v>306.64999999999998</v>
      </c>
      <c r="X11" s="2"/>
      <c r="Y11" s="53">
        <f t="shared" si="8"/>
        <v>10800</v>
      </c>
      <c r="Z11" s="6">
        <f t="shared" si="5"/>
        <v>34242.480000000003</v>
      </c>
      <c r="AA11" s="6">
        <v>317.06</v>
      </c>
      <c r="AB11" s="2"/>
    </row>
    <row r="12" spans="1:28" ht="13.25" customHeight="1" x14ac:dyDescent="0.15">
      <c r="A12" s="54" t="s">
        <v>28</v>
      </c>
      <c r="B12" s="134">
        <v>0</v>
      </c>
      <c r="C12" s="58">
        <v>165.74</v>
      </c>
      <c r="D12" s="56">
        <f t="shared" si="6"/>
        <v>0</v>
      </c>
      <c r="E12" s="52"/>
      <c r="F12" s="29"/>
      <c r="G12" s="40">
        <f t="shared" si="0"/>
        <v>208.955223880597</v>
      </c>
      <c r="H12" s="31">
        <f t="shared" si="3"/>
        <v>1400</v>
      </c>
      <c r="I12" s="41">
        <v>4268.25</v>
      </c>
      <c r="J12" s="33">
        <f t="shared" si="1"/>
        <v>304.875</v>
      </c>
      <c r="K12" s="22"/>
      <c r="L12" s="2"/>
      <c r="M12" s="2"/>
      <c r="N12" s="30"/>
      <c r="O12" s="31">
        <f t="shared" si="9"/>
        <v>1200</v>
      </c>
      <c r="P12" s="41">
        <f>I11</f>
        <v>3654.36</v>
      </c>
      <c r="Q12" s="33">
        <f t="shared" si="2"/>
        <v>304.52999999999997</v>
      </c>
      <c r="R12" s="22"/>
      <c r="S12" s="2"/>
      <c r="T12" s="2"/>
      <c r="U12" s="53">
        <f t="shared" si="7"/>
        <v>10900</v>
      </c>
      <c r="V12" s="6">
        <f t="shared" si="4"/>
        <v>33424.85</v>
      </c>
      <c r="W12" s="6">
        <v>306.64999999999998</v>
      </c>
      <c r="X12" s="2"/>
      <c r="Y12" s="53">
        <f t="shared" si="8"/>
        <v>10900</v>
      </c>
      <c r="Z12" s="6">
        <f t="shared" si="5"/>
        <v>34559.54</v>
      </c>
      <c r="AA12" s="6">
        <v>317.06</v>
      </c>
      <c r="AB12" s="2"/>
    </row>
    <row r="13" spans="1:28" ht="13.25" customHeight="1" x14ac:dyDescent="0.15">
      <c r="A13" s="54" t="s">
        <v>29</v>
      </c>
      <c r="B13" s="133">
        <v>0</v>
      </c>
      <c r="C13" s="58">
        <v>227.01</v>
      </c>
      <c r="D13" s="56">
        <f t="shared" si="6"/>
        <v>0</v>
      </c>
      <c r="E13" s="52"/>
      <c r="F13" s="29"/>
      <c r="G13" s="40">
        <f t="shared" si="0"/>
        <v>238.80597014925374</v>
      </c>
      <c r="H13" s="31">
        <f t="shared" si="3"/>
        <v>1600</v>
      </c>
      <c r="I13" s="41">
        <v>4884.49</v>
      </c>
      <c r="J13" s="33">
        <f t="shared" si="1"/>
        <v>305.28062499999999</v>
      </c>
      <c r="K13" s="22"/>
      <c r="L13" s="2"/>
      <c r="M13" s="2"/>
      <c r="N13" s="30"/>
      <c r="O13" s="31">
        <f t="shared" si="9"/>
        <v>1300</v>
      </c>
      <c r="P13" s="32">
        <v>3961.04</v>
      </c>
      <c r="Q13" s="33">
        <f t="shared" si="2"/>
        <v>304.69538461538463</v>
      </c>
      <c r="R13" s="22"/>
      <c r="S13" s="2"/>
      <c r="T13" s="2"/>
      <c r="U13" s="53">
        <f t="shared" si="7"/>
        <v>11000</v>
      </c>
      <c r="V13" s="6">
        <f t="shared" si="4"/>
        <v>33731.499999999993</v>
      </c>
      <c r="W13" s="6">
        <v>306.64999999999998</v>
      </c>
      <c r="X13" s="2"/>
      <c r="Y13" s="53">
        <f t="shared" si="8"/>
        <v>11000</v>
      </c>
      <c r="Z13" s="6">
        <f t="shared" si="5"/>
        <v>34876.6</v>
      </c>
      <c r="AA13" s="6">
        <v>317.06</v>
      </c>
      <c r="AB13" s="2"/>
    </row>
    <row r="14" spans="1:28" ht="13.25" customHeight="1" x14ac:dyDescent="0.15">
      <c r="A14" s="59" t="s">
        <v>30</v>
      </c>
      <c r="B14" s="133">
        <v>0</v>
      </c>
      <c r="C14" s="58">
        <v>276.07</v>
      </c>
      <c r="D14" s="56">
        <f t="shared" si="6"/>
        <v>0</v>
      </c>
      <c r="E14" s="52"/>
      <c r="F14" s="29"/>
      <c r="G14" s="40">
        <f t="shared" si="0"/>
        <v>268.65671641791045</v>
      </c>
      <c r="H14" s="31">
        <f t="shared" si="3"/>
        <v>1800</v>
      </c>
      <c r="I14" s="41">
        <v>5503.69</v>
      </c>
      <c r="J14" s="33">
        <f t="shared" si="1"/>
        <v>305.76055555555558</v>
      </c>
      <c r="K14" s="22"/>
      <c r="L14" s="2"/>
      <c r="M14" s="2"/>
      <c r="N14" s="30"/>
      <c r="O14" s="31">
        <f t="shared" si="9"/>
        <v>1400</v>
      </c>
      <c r="P14" s="41">
        <f>I12</f>
        <v>4268.25</v>
      </c>
      <c r="Q14" s="33">
        <f t="shared" si="2"/>
        <v>304.875</v>
      </c>
      <c r="R14" s="22"/>
      <c r="S14" s="2"/>
      <c r="T14" s="2"/>
      <c r="U14" s="53">
        <f t="shared" si="7"/>
        <v>11100</v>
      </c>
      <c r="V14" s="6">
        <f t="shared" si="4"/>
        <v>34038.149999999994</v>
      </c>
      <c r="W14" s="6">
        <v>306.64999999999998</v>
      </c>
      <c r="X14" s="2"/>
      <c r="Y14" s="53">
        <f t="shared" si="8"/>
        <v>11100</v>
      </c>
      <c r="Z14" s="6">
        <f t="shared" si="5"/>
        <v>35193.660000000003</v>
      </c>
      <c r="AA14" s="6">
        <v>317.06</v>
      </c>
      <c r="AB14" s="2"/>
    </row>
    <row r="15" spans="1:28" ht="13.25" customHeight="1" x14ac:dyDescent="0.15">
      <c r="A15" s="59" t="s">
        <v>31</v>
      </c>
      <c r="B15" s="133">
        <v>0</v>
      </c>
      <c r="C15" s="58">
        <v>313.22000000000003</v>
      </c>
      <c r="D15" s="56">
        <f t="shared" si="6"/>
        <v>0</v>
      </c>
      <c r="E15" s="52"/>
      <c r="F15" s="29"/>
      <c r="G15" s="40">
        <f t="shared" si="0"/>
        <v>298.50746268656718</v>
      </c>
      <c r="H15" s="31">
        <f t="shared" si="3"/>
        <v>2000</v>
      </c>
      <c r="I15" s="41">
        <v>6125.28</v>
      </c>
      <c r="J15" s="33">
        <f t="shared" si="1"/>
        <v>306.26400000000001</v>
      </c>
      <c r="K15" s="22"/>
      <c r="L15" s="2"/>
      <c r="M15" s="2"/>
      <c r="N15" s="30"/>
      <c r="O15" s="31">
        <f t="shared" si="9"/>
        <v>1500</v>
      </c>
      <c r="P15" s="32">
        <v>4575.96</v>
      </c>
      <c r="Q15" s="33">
        <f t="shared" si="2"/>
        <v>305.06400000000002</v>
      </c>
      <c r="R15" s="22"/>
      <c r="S15" s="2"/>
      <c r="T15" s="2"/>
      <c r="U15" s="53">
        <f t="shared" si="7"/>
        <v>11200</v>
      </c>
      <c r="V15" s="6">
        <f t="shared" si="4"/>
        <v>34344.799999999996</v>
      </c>
      <c r="W15" s="6">
        <v>306.64999999999998</v>
      </c>
      <c r="X15" s="2"/>
      <c r="Y15" s="53">
        <f t="shared" si="8"/>
        <v>11200</v>
      </c>
      <c r="Z15" s="6">
        <f t="shared" si="5"/>
        <v>35510.720000000001</v>
      </c>
      <c r="AA15" s="6">
        <v>317.06</v>
      </c>
      <c r="AB15" s="2"/>
    </row>
    <row r="16" spans="1:28" ht="13.25" customHeight="1" x14ac:dyDescent="0.15">
      <c r="A16" s="54" t="s">
        <v>32</v>
      </c>
      <c r="B16" s="133">
        <v>0</v>
      </c>
      <c r="C16" s="58">
        <v>174</v>
      </c>
      <c r="D16" s="56">
        <f t="shared" si="6"/>
        <v>0</v>
      </c>
      <c r="E16" s="52"/>
      <c r="F16" s="29"/>
      <c r="G16" s="40">
        <f t="shared" si="0"/>
        <v>328.35820895522386</v>
      </c>
      <c r="H16" s="31">
        <f t="shared" si="3"/>
        <v>2200</v>
      </c>
      <c r="I16" s="41">
        <v>6749.18</v>
      </c>
      <c r="J16" s="33">
        <f t="shared" si="1"/>
        <v>306.78090909090906</v>
      </c>
      <c r="K16" s="22"/>
      <c r="L16" s="2"/>
      <c r="M16" s="2"/>
      <c r="N16" s="30"/>
      <c r="O16" s="31">
        <f t="shared" si="9"/>
        <v>1600</v>
      </c>
      <c r="P16" s="41">
        <f>I13</f>
        <v>4884.49</v>
      </c>
      <c r="Q16" s="33">
        <f t="shared" si="2"/>
        <v>305.28062499999999</v>
      </c>
      <c r="R16" s="22"/>
      <c r="S16" s="2"/>
      <c r="T16" s="2"/>
      <c r="U16" s="53">
        <f t="shared" si="7"/>
        <v>11300</v>
      </c>
      <c r="V16" s="6">
        <f t="shared" si="4"/>
        <v>34651.449999999997</v>
      </c>
      <c r="W16" s="6">
        <v>306.64999999999998</v>
      </c>
      <c r="X16" s="2"/>
      <c r="Y16" s="53">
        <f t="shared" si="8"/>
        <v>11300</v>
      </c>
      <c r="Z16" s="6">
        <f t="shared" si="5"/>
        <v>35827.78</v>
      </c>
      <c r="AA16" s="6">
        <v>317.06</v>
      </c>
      <c r="AB16" s="2"/>
    </row>
    <row r="17" spans="1:28" ht="13.25" customHeight="1" x14ac:dyDescent="0.15">
      <c r="A17" s="54" t="s">
        <v>33</v>
      </c>
      <c r="B17" s="133">
        <v>0</v>
      </c>
      <c r="C17" s="58">
        <v>199.13</v>
      </c>
      <c r="D17" s="56">
        <f t="shared" si="6"/>
        <v>0</v>
      </c>
      <c r="E17" s="52"/>
      <c r="F17" s="29"/>
      <c r="G17" s="40">
        <f t="shared" si="0"/>
        <v>358.20895522388059</v>
      </c>
      <c r="H17" s="31">
        <f t="shared" si="3"/>
        <v>2400</v>
      </c>
      <c r="I17" s="41">
        <v>7375.33</v>
      </c>
      <c r="J17" s="33">
        <f t="shared" si="1"/>
        <v>307.30541666666664</v>
      </c>
      <c r="K17" s="22"/>
      <c r="L17" s="2"/>
      <c r="M17" s="2"/>
      <c r="N17" s="30"/>
      <c r="O17" s="31">
        <f t="shared" si="9"/>
        <v>1700</v>
      </c>
      <c r="P17" s="32">
        <v>5193.78</v>
      </c>
      <c r="Q17" s="33">
        <f t="shared" si="2"/>
        <v>305.51647058823528</v>
      </c>
      <c r="R17" s="22"/>
      <c r="S17" s="2"/>
      <c r="T17" s="2"/>
      <c r="U17" s="53">
        <f t="shared" si="7"/>
        <v>11400</v>
      </c>
      <c r="V17" s="6">
        <f t="shared" si="4"/>
        <v>34958.1</v>
      </c>
      <c r="W17" s="6">
        <v>306.64999999999998</v>
      </c>
      <c r="X17" s="2"/>
      <c r="Y17" s="53">
        <f t="shared" si="8"/>
        <v>11400</v>
      </c>
      <c r="Z17" s="6">
        <f t="shared" si="5"/>
        <v>36144.839999999997</v>
      </c>
      <c r="AA17" s="6">
        <v>317.06</v>
      </c>
      <c r="AB17" s="2"/>
    </row>
    <row r="18" spans="1:28" ht="13.25" customHeight="1" x14ac:dyDescent="0.15">
      <c r="A18" s="59" t="s">
        <v>34</v>
      </c>
      <c r="B18" s="133">
        <v>0</v>
      </c>
      <c r="C18" s="58">
        <v>345.31</v>
      </c>
      <c r="D18" s="56">
        <f t="shared" si="6"/>
        <v>0</v>
      </c>
      <c r="E18" s="52"/>
      <c r="F18" s="29"/>
      <c r="G18" s="40">
        <f t="shared" si="0"/>
        <v>388.05970149253733</v>
      </c>
      <c r="H18" s="31">
        <f t="shared" si="3"/>
        <v>2600</v>
      </c>
      <c r="I18" s="41">
        <v>8003.82</v>
      </c>
      <c r="J18" s="33">
        <f t="shared" si="1"/>
        <v>307.83923076923077</v>
      </c>
      <c r="K18" s="22"/>
      <c r="L18" s="2"/>
      <c r="M18" s="2"/>
      <c r="N18" s="30"/>
      <c r="O18" s="31">
        <f t="shared" si="9"/>
        <v>1800</v>
      </c>
      <c r="P18" s="41">
        <f>I14</f>
        <v>5503.69</v>
      </c>
      <c r="Q18" s="33">
        <f t="shared" si="2"/>
        <v>305.76055555555558</v>
      </c>
      <c r="R18" s="22"/>
      <c r="S18" s="2"/>
      <c r="T18" s="2"/>
      <c r="U18" s="53">
        <f t="shared" si="7"/>
        <v>11500</v>
      </c>
      <c r="V18" s="6">
        <f t="shared" si="4"/>
        <v>35264.749999999993</v>
      </c>
      <c r="W18" s="6">
        <v>306.64999999999998</v>
      </c>
      <c r="X18" s="2"/>
      <c r="Y18" s="53">
        <f t="shared" si="8"/>
        <v>11500</v>
      </c>
      <c r="Z18" s="6">
        <f t="shared" si="5"/>
        <v>36461.9</v>
      </c>
      <c r="AA18" s="6">
        <v>317.06</v>
      </c>
      <c r="AB18" s="2"/>
    </row>
    <row r="19" spans="1:28" ht="13.25" customHeight="1" x14ac:dyDescent="0.15">
      <c r="A19" s="59" t="s">
        <v>35</v>
      </c>
      <c r="B19" s="134"/>
      <c r="C19" s="58">
        <v>359.04</v>
      </c>
      <c r="D19" s="56">
        <f t="shared" si="6"/>
        <v>0</v>
      </c>
      <c r="E19" s="52"/>
      <c r="F19" s="29"/>
      <c r="G19" s="40">
        <f t="shared" si="0"/>
        <v>417.91044776119401</v>
      </c>
      <c r="H19" s="31">
        <f t="shared" si="3"/>
        <v>2800</v>
      </c>
      <c r="I19" s="41">
        <v>8634.75</v>
      </c>
      <c r="J19" s="33">
        <f t="shared" si="1"/>
        <v>308.38392857142856</v>
      </c>
      <c r="K19" s="22"/>
      <c r="L19" s="2"/>
      <c r="M19" s="2"/>
      <c r="N19" s="30"/>
      <c r="O19" s="31">
        <f t="shared" si="9"/>
        <v>1900</v>
      </c>
      <c r="P19" s="32">
        <v>5814.2</v>
      </c>
      <c r="Q19" s="33">
        <f t="shared" si="2"/>
        <v>306.01052631578949</v>
      </c>
      <c r="R19" s="22"/>
      <c r="S19" s="2"/>
      <c r="T19" s="2"/>
      <c r="U19" s="53">
        <f t="shared" si="7"/>
        <v>11600</v>
      </c>
      <c r="V19" s="6">
        <f t="shared" si="4"/>
        <v>35571.399999999994</v>
      </c>
      <c r="W19" s="6">
        <v>306.64999999999998</v>
      </c>
      <c r="X19" s="2"/>
      <c r="Y19" s="53">
        <f t="shared" si="8"/>
        <v>11600</v>
      </c>
      <c r="Z19" s="6">
        <f t="shared" si="5"/>
        <v>36778.959999999999</v>
      </c>
      <c r="AA19" s="6">
        <v>317.06</v>
      </c>
      <c r="AB19" s="2"/>
    </row>
    <row r="20" spans="1:28" ht="13.25" customHeight="1" x14ac:dyDescent="0.15">
      <c r="A20" s="59" t="s">
        <v>36</v>
      </c>
      <c r="B20" s="134"/>
      <c r="C20" s="58">
        <v>76.14</v>
      </c>
      <c r="D20" s="56">
        <f t="shared" si="6"/>
        <v>0</v>
      </c>
      <c r="E20" s="52"/>
      <c r="F20" s="29"/>
      <c r="G20" s="40">
        <f t="shared" si="0"/>
        <v>447.76119402985074</v>
      </c>
      <c r="H20" s="31">
        <f t="shared" si="3"/>
        <v>3000</v>
      </c>
      <c r="I20" s="41">
        <v>9268.1</v>
      </c>
      <c r="J20" s="33">
        <f t="shared" si="1"/>
        <v>308.93666666666667</v>
      </c>
      <c r="K20" s="22"/>
      <c r="L20" s="2"/>
      <c r="M20" s="2"/>
      <c r="N20" s="30"/>
      <c r="O20" s="31">
        <f t="shared" si="9"/>
        <v>2000</v>
      </c>
      <c r="P20" s="41">
        <f>I15</f>
        <v>6125.28</v>
      </c>
      <c r="Q20" s="33">
        <f t="shared" si="2"/>
        <v>306.26400000000001</v>
      </c>
      <c r="R20" s="22"/>
      <c r="S20" s="2"/>
      <c r="T20" s="2"/>
      <c r="U20" s="53">
        <f t="shared" si="7"/>
        <v>11700</v>
      </c>
      <c r="V20" s="6">
        <f t="shared" si="4"/>
        <v>35878.049999999996</v>
      </c>
      <c r="W20" s="6">
        <v>306.64999999999998</v>
      </c>
      <c r="X20" s="2"/>
      <c r="Y20" s="53">
        <f t="shared" si="8"/>
        <v>11700</v>
      </c>
      <c r="Z20" s="6">
        <f t="shared" si="5"/>
        <v>37096.019999999997</v>
      </c>
      <c r="AA20" s="6">
        <v>317.06</v>
      </c>
      <c r="AB20" s="2"/>
    </row>
    <row r="21" spans="1:28" ht="13.25" customHeight="1" x14ac:dyDescent="0.15">
      <c r="A21" s="59" t="s">
        <v>37</v>
      </c>
      <c r="B21" s="135">
        <v>0</v>
      </c>
      <c r="C21" s="58">
        <v>431.69</v>
      </c>
      <c r="D21" s="56">
        <f t="shared" si="6"/>
        <v>0</v>
      </c>
      <c r="E21" s="52"/>
      <c r="F21" s="29"/>
      <c r="G21" s="40">
        <f t="shared" si="0"/>
        <v>477.61194029850748</v>
      </c>
      <c r="H21" s="31">
        <f t="shared" si="3"/>
        <v>3200</v>
      </c>
      <c r="I21" s="41">
        <v>9903.94</v>
      </c>
      <c r="J21" s="33">
        <f t="shared" si="1"/>
        <v>309.49812500000002</v>
      </c>
      <c r="K21" s="22"/>
      <c r="L21" s="2"/>
      <c r="M21" s="2"/>
      <c r="N21" s="30"/>
      <c r="O21" s="31">
        <f t="shared" si="9"/>
        <v>2100</v>
      </c>
      <c r="P21" s="32">
        <v>6436.95</v>
      </c>
      <c r="Q21" s="33">
        <f t="shared" si="2"/>
        <v>306.52142857142854</v>
      </c>
      <c r="R21" s="22"/>
      <c r="S21" s="2"/>
      <c r="T21" s="2"/>
      <c r="U21" s="53">
        <f t="shared" si="7"/>
        <v>11800</v>
      </c>
      <c r="V21" s="6">
        <f t="shared" si="4"/>
        <v>36184.699999999997</v>
      </c>
      <c r="W21" s="6">
        <v>306.64999999999998</v>
      </c>
      <c r="X21" s="2"/>
      <c r="Y21" s="53">
        <f t="shared" si="8"/>
        <v>11800</v>
      </c>
      <c r="Z21" s="6">
        <f t="shared" si="5"/>
        <v>37413.08</v>
      </c>
      <c r="AA21" s="6">
        <v>317.06</v>
      </c>
      <c r="AB21" s="2"/>
    </row>
    <row r="22" spans="1:28" ht="13.25" customHeight="1" x14ac:dyDescent="0.15">
      <c r="A22" s="59" t="s">
        <v>38</v>
      </c>
      <c r="B22" s="133">
        <v>0</v>
      </c>
      <c r="C22" s="58">
        <v>345.31</v>
      </c>
      <c r="D22" s="56">
        <f t="shared" si="6"/>
        <v>0</v>
      </c>
      <c r="E22" s="52"/>
      <c r="F22" s="29"/>
      <c r="G22" s="40">
        <f t="shared" si="0"/>
        <v>507.46268656716416</v>
      </c>
      <c r="H22" s="31">
        <f t="shared" si="3"/>
        <v>3400</v>
      </c>
      <c r="I22" s="41">
        <v>10542.51</v>
      </c>
      <c r="J22" s="33">
        <f t="shared" si="1"/>
        <v>310.07382352941175</v>
      </c>
      <c r="K22" s="22"/>
      <c r="L22" s="2"/>
      <c r="M22" s="2"/>
      <c r="N22" s="30"/>
      <c r="O22" s="31">
        <f t="shared" si="9"/>
        <v>2200</v>
      </c>
      <c r="P22" s="41">
        <f>I16</f>
        <v>6749.18</v>
      </c>
      <c r="Q22" s="33">
        <f t="shared" si="2"/>
        <v>306.78090909090906</v>
      </c>
      <c r="R22" s="22"/>
      <c r="S22" s="2"/>
      <c r="T22" s="2"/>
      <c r="U22" s="53">
        <f t="shared" si="7"/>
        <v>11900</v>
      </c>
      <c r="V22" s="6">
        <f t="shared" si="4"/>
        <v>36491.35</v>
      </c>
      <c r="W22" s="6">
        <v>306.64999999999998</v>
      </c>
      <c r="X22" s="2"/>
      <c r="Y22" s="53">
        <f t="shared" si="8"/>
        <v>11900</v>
      </c>
      <c r="Z22" s="6">
        <f t="shared" si="5"/>
        <v>37730.14</v>
      </c>
      <c r="AA22" s="6">
        <v>317.06</v>
      </c>
      <c r="AB22" s="2"/>
    </row>
    <row r="23" spans="1:28" ht="13.25" customHeight="1" x14ac:dyDescent="0.15">
      <c r="A23" s="60" t="s">
        <v>60</v>
      </c>
      <c r="B23" s="61">
        <f>SUM(B10:B22)</f>
        <v>0</v>
      </c>
      <c r="C23" s="62"/>
      <c r="D23" s="63"/>
      <c r="E23" s="52"/>
      <c r="F23" s="29"/>
      <c r="G23" s="40">
        <f t="shared" si="0"/>
        <v>537.31343283582089</v>
      </c>
      <c r="H23" s="31">
        <f t="shared" si="3"/>
        <v>3600</v>
      </c>
      <c r="I23" s="41">
        <v>11184.55</v>
      </c>
      <c r="J23" s="33">
        <f t="shared" si="1"/>
        <v>310.68194444444447</v>
      </c>
      <c r="K23" s="22"/>
      <c r="L23" s="2"/>
      <c r="M23" s="2"/>
      <c r="N23" s="30"/>
      <c r="O23" s="31">
        <f t="shared" si="9"/>
        <v>2300</v>
      </c>
      <c r="P23" s="32">
        <v>7061.97</v>
      </c>
      <c r="Q23" s="33">
        <f t="shared" si="2"/>
        <v>307.04217391304348</v>
      </c>
      <c r="R23" s="22"/>
      <c r="S23" s="2"/>
      <c r="T23" s="2"/>
      <c r="U23" s="53">
        <f t="shared" si="7"/>
        <v>12000</v>
      </c>
      <c r="V23" s="6">
        <f t="shared" si="4"/>
        <v>36797.999999999993</v>
      </c>
      <c r="W23" s="6">
        <v>306.64999999999998</v>
      </c>
      <c r="X23" s="2"/>
      <c r="Y23" s="53">
        <f t="shared" si="8"/>
        <v>12000</v>
      </c>
      <c r="Z23" s="6">
        <f t="shared" si="5"/>
        <v>38047.199999999997</v>
      </c>
      <c r="AA23" s="6">
        <v>317.06</v>
      </c>
      <c r="AB23" s="2"/>
    </row>
    <row r="24" spans="1:28" ht="13.5" customHeight="1" x14ac:dyDescent="0.15">
      <c r="A24" s="64"/>
      <c r="B24" s="65" t="str">
        <f>IF(B25&gt;12500,"CHECK Zero FW - MAX = 12,500","")</f>
        <v/>
      </c>
      <c r="C24" s="66"/>
      <c r="D24" s="56"/>
      <c r="E24" s="52"/>
      <c r="F24" s="29"/>
      <c r="G24" s="40">
        <f t="shared" si="0"/>
        <v>567.16417910447763</v>
      </c>
      <c r="H24" s="31">
        <f t="shared" si="3"/>
        <v>3800</v>
      </c>
      <c r="I24" s="41">
        <v>11830.34</v>
      </c>
      <c r="J24" s="33">
        <f t="shared" si="1"/>
        <v>311.32473684210527</v>
      </c>
      <c r="K24" s="22"/>
      <c r="L24" s="2"/>
      <c r="M24" s="2"/>
      <c r="N24" s="30"/>
      <c r="O24" s="31">
        <f t="shared" si="9"/>
        <v>2400</v>
      </c>
      <c r="P24" s="41">
        <f>I17</f>
        <v>7375.33</v>
      </c>
      <c r="Q24" s="33">
        <f t="shared" si="2"/>
        <v>307.30541666666664</v>
      </c>
      <c r="R24" s="22"/>
      <c r="S24" s="2"/>
      <c r="T24" s="2"/>
      <c r="U24" s="53">
        <f t="shared" si="7"/>
        <v>12100</v>
      </c>
      <c r="V24" s="6">
        <f t="shared" si="4"/>
        <v>37104.649999999994</v>
      </c>
      <c r="W24" s="6">
        <v>306.64999999999998</v>
      </c>
      <c r="X24" s="2"/>
      <c r="Y24" s="53">
        <f t="shared" si="8"/>
        <v>12100</v>
      </c>
      <c r="Z24" s="6">
        <f t="shared" si="5"/>
        <v>38364.26</v>
      </c>
      <c r="AA24" s="6">
        <v>317.06</v>
      </c>
      <c r="AB24" s="2"/>
    </row>
    <row r="25" spans="1:28" ht="13.5" customHeight="1" x14ac:dyDescent="0.15">
      <c r="A25" s="67" t="s">
        <v>39</v>
      </c>
      <c r="B25" s="68">
        <f>SUM(B7:B22)</f>
        <v>10366.049999999999</v>
      </c>
      <c r="C25" s="69"/>
      <c r="D25" s="56">
        <f>SUM(D7:D22)</f>
        <v>32960.630000000005</v>
      </c>
      <c r="E25" s="52"/>
      <c r="F25" s="29"/>
      <c r="G25" s="40">
        <f t="shared" si="0"/>
        <v>597.01492537313436</v>
      </c>
      <c r="H25" s="31">
        <f t="shared" si="3"/>
        <v>4000</v>
      </c>
      <c r="I25" s="41">
        <v>12479.66</v>
      </c>
      <c r="J25" s="33">
        <f t="shared" si="1"/>
        <v>311.99149999999997</v>
      </c>
      <c r="K25" s="22"/>
      <c r="L25" s="6"/>
      <c r="M25" s="2"/>
      <c r="N25" s="30"/>
      <c r="O25" s="31">
        <f t="shared" si="9"/>
        <v>2500</v>
      </c>
      <c r="P25" s="32">
        <v>7689.28</v>
      </c>
      <c r="Q25" s="33">
        <f t="shared" si="2"/>
        <v>307.57119999999998</v>
      </c>
      <c r="R25" s="22"/>
      <c r="S25" s="2"/>
      <c r="T25" s="2"/>
      <c r="U25" s="53">
        <f t="shared" si="7"/>
        <v>12200</v>
      </c>
      <c r="V25" s="6">
        <f t="shared" si="4"/>
        <v>37411.299999999996</v>
      </c>
      <c r="W25" s="6">
        <v>306.64999999999998</v>
      </c>
      <c r="X25" s="2"/>
      <c r="Y25" s="53">
        <f t="shared" si="8"/>
        <v>12200</v>
      </c>
      <c r="Z25" s="6">
        <f t="shared" si="5"/>
        <v>38669.407058823526</v>
      </c>
      <c r="AA25" s="6">
        <f t="shared" ref="AA25:AA32" si="10">AA24+(AA$33-AA$24)/8.5</f>
        <v>316.96235294117645</v>
      </c>
      <c r="AB25" s="2"/>
    </row>
    <row r="26" spans="1:28" ht="13.25" customHeight="1" x14ac:dyDescent="0.15">
      <c r="A26" s="48" t="s">
        <v>40</v>
      </c>
      <c r="B26" s="70"/>
      <c r="C26" s="71"/>
      <c r="D26" s="72"/>
      <c r="E26" s="52"/>
      <c r="F26" s="29"/>
      <c r="G26" s="40">
        <f t="shared" si="0"/>
        <v>626.86567164179098</v>
      </c>
      <c r="H26" s="31">
        <f t="shared" si="3"/>
        <v>4200</v>
      </c>
      <c r="I26" s="41">
        <v>13132.44</v>
      </c>
      <c r="J26" s="33">
        <f t="shared" si="1"/>
        <v>312.67714285714288</v>
      </c>
      <c r="K26" s="22"/>
      <c r="L26" s="2"/>
      <c r="M26" s="2"/>
      <c r="N26" s="30"/>
      <c r="O26" s="31">
        <f t="shared" si="9"/>
        <v>2600</v>
      </c>
      <c r="P26" s="41">
        <f>I18</f>
        <v>8003.82</v>
      </c>
      <c r="Q26" s="33">
        <f t="shared" si="2"/>
        <v>307.83923076923077</v>
      </c>
      <c r="R26" s="22"/>
      <c r="S26" s="2"/>
      <c r="T26" s="2"/>
      <c r="U26" s="53">
        <f t="shared" si="7"/>
        <v>12300</v>
      </c>
      <c r="V26" s="6">
        <f t="shared" si="4"/>
        <v>37717.949999999997</v>
      </c>
      <c r="W26" s="6">
        <v>306.64999999999998</v>
      </c>
      <c r="X26" s="2"/>
      <c r="Y26" s="53">
        <f t="shared" si="8"/>
        <v>12300</v>
      </c>
      <c r="Z26" s="6">
        <f t="shared" si="5"/>
        <v>38974.358823529408</v>
      </c>
      <c r="AA26" s="6">
        <f t="shared" si="10"/>
        <v>316.86470588235289</v>
      </c>
      <c r="AB26" s="2"/>
    </row>
    <row r="27" spans="1:28" ht="13.5" customHeight="1" x14ac:dyDescent="0.15">
      <c r="A27" s="73" t="s">
        <v>59</v>
      </c>
      <c r="B27" s="133">
        <v>3000</v>
      </c>
      <c r="C27" s="74">
        <f>VLOOKUP(B27,O6:Q59,3)</f>
        <v>308.93666666666667</v>
      </c>
      <c r="D27" s="56">
        <f>B27*C27/100</f>
        <v>9268.1</v>
      </c>
      <c r="E27" s="52"/>
      <c r="F27" s="29"/>
      <c r="G27" s="40">
        <f t="shared" si="0"/>
        <v>656.71641791044772</v>
      </c>
      <c r="H27" s="31">
        <f t="shared" si="3"/>
        <v>4400</v>
      </c>
      <c r="I27" s="41">
        <v>13788.9</v>
      </c>
      <c r="J27" s="33">
        <f t="shared" si="1"/>
        <v>313.3840909090909</v>
      </c>
      <c r="K27" s="22"/>
      <c r="L27" s="6"/>
      <c r="M27" s="2"/>
      <c r="N27" s="75"/>
      <c r="O27" s="31">
        <f t="shared" si="9"/>
        <v>2700</v>
      </c>
      <c r="P27" s="32">
        <v>8318.98</v>
      </c>
      <c r="Q27" s="33">
        <f t="shared" si="2"/>
        <v>308.11037037037039</v>
      </c>
      <c r="R27" s="22"/>
      <c r="S27" s="2"/>
      <c r="T27" s="2"/>
      <c r="U27" s="53">
        <f t="shared" si="7"/>
        <v>12400</v>
      </c>
      <c r="V27" s="6">
        <f t="shared" si="4"/>
        <v>38024.6</v>
      </c>
      <c r="W27" s="6">
        <v>306.64999999999998</v>
      </c>
      <c r="X27" s="2"/>
      <c r="Y27" s="53">
        <f t="shared" si="8"/>
        <v>12400</v>
      </c>
      <c r="Z27" s="6">
        <f t="shared" si="5"/>
        <v>39279.115294117641</v>
      </c>
      <c r="AA27" s="6">
        <f t="shared" si="10"/>
        <v>316.76705882352934</v>
      </c>
      <c r="AB27" s="2"/>
    </row>
    <row r="28" spans="1:28" ht="13.25" customHeight="1" x14ac:dyDescent="0.15">
      <c r="A28" s="76"/>
      <c r="B28" s="77" t="str">
        <f>IF(B29&gt;17230,"CHECK RAMP WT. -MAX = 17,230","")</f>
        <v/>
      </c>
      <c r="C28" s="71"/>
      <c r="D28" s="78" t="s">
        <v>41</v>
      </c>
      <c r="E28" s="52"/>
      <c r="F28" s="29"/>
      <c r="G28" s="40">
        <f t="shared" si="0"/>
        <v>686.56716417910445</v>
      </c>
      <c r="H28" s="31">
        <f t="shared" si="3"/>
        <v>4600</v>
      </c>
      <c r="I28" s="41">
        <v>14449.44</v>
      </c>
      <c r="J28" s="33">
        <f t="shared" si="1"/>
        <v>314.11826086956523</v>
      </c>
      <c r="K28" s="22"/>
      <c r="L28" s="2"/>
      <c r="M28" s="2"/>
      <c r="N28" s="30"/>
      <c r="O28" s="31">
        <f t="shared" si="9"/>
        <v>2800</v>
      </c>
      <c r="P28" s="41">
        <f>I19</f>
        <v>8634.75</v>
      </c>
      <c r="Q28" s="33">
        <f t="shared" si="2"/>
        <v>308.38392857142856</v>
      </c>
      <c r="R28" s="22"/>
      <c r="S28" s="2"/>
      <c r="T28" s="2"/>
      <c r="U28" s="53">
        <f t="shared" si="7"/>
        <v>12500</v>
      </c>
      <c r="V28" s="6">
        <f t="shared" si="4"/>
        <v>38331.249999999993</v>
      </c>
      <c r="W28" s="6">
        <v>306.64999999999998</v>
      </c>
      <c r="X28" s="2"/>
      <c r="Y28" s="53">
        <f t="shared" si="8"/>
        <v>12500</v>
      </c>
      <c r="Z28" s="6">
        <f t="shared" si="5"/>
        <v>39583.676470588223</v>
      </c>
      <c r="AA28" s="6">
        <f t="shared" si="10"/>
        <v>316.66941176470579</v>
      </c>
      <c r="AB28" s="2"/>
    </row>
    <row r="29" spans="1:28" ht="12.75" customHeight="1" x14ac:dyDescent="0.2">
      <c r="A29" s="54" t="s">
        <v>42</v>
      </c>
      <c r="B29" s="79">
        <f>SUM(B25:B27)</f>
        <v>13366.05</v>
      </c>
      <c r="C29" s="71"/>
      <c r="D29" s="80">
        <f>SUM(D25:D27)</f>
        <v>42228.73</v>
      </c>
      <c r="E29" s="81"/>
      <c r="F29" s="29"/>
      <c r="G29" s="40">
        <f t="shared" si="0"/>
        <v>716.41791044776119</v>
      </c>
      <c r="H29" s="31">
        <f t="shared" si="3"/>
        <v>4800</v>
      </c>
      <c r="I29" s="41">
        <v>15114.28</v>
      </c>
      <c r="J29" s="33">
        <f t="shared" si="1"/>
        <v>314.88083333333333</v>
      </c>
      <c r="K29" s="22"/>
      <c r="L29" s="2"/>
      <c r="M29" s="2"/>
      <c r="N29" s="30"/>
      <c r="O29" s="31">
        <f t="shared" si="9"/>
        <v>2900</v>
      </c>
      <c r="P29" s="32">
        <f>((P30-P28)/2)+P28</f>
        <v>8951.4249999999993</v>
      </c>
      <c r="Q29" s="33">
        <f t="shared" si="2"/>
        <v>308.66982758620685</v>
      </c>
      <c r="R29" s="22"/>
      <c r="S29" s="2"/>
      <c r="T29" s="2"/>
      <c r="U29" s="53">
        <f t="shared" si="7"/>
        <v>12600</v>
      </c>
      <c r="V29" s="6">
        <f t="shared" si="4"/>
        <v>38637.899999999994</v>
      </c>
      <c r="W29" s="6">
        <v>306.64999999999998</v>
      </c>
      <c r="X29" s="2"/>
      <c r="Y29" s="53">
        <f t="shared" si="8"/>
        <v>12600</v>
      </c>
      <c r="Z29" s="6">
        <f t="shared" si="5"/>
        <v>39888.042352941164</v>
      </c>
      <c r="AA29" s="6">
        <f t="shared" si="10"/>
        <v>316.57176470588223</v>
      </c>
      <c r="AB29" s="2"/>
    </row>
    <row r="30" spans="1:28" ht="12.75" customHeight="1" x14ac:dyDescent="0.2">
      <c r="A30" s="82"/>
      <c r="B30" s="83"/>
      <c r="C30" s="71"/>
      <c r="D30" s="84"/>
      <c r="E30" s="81"/>
      <c r="F30" s="29"/>
      <c r="G30" s="40">
        <f t="shared" si="0"/>
        <v>746.26865671641792</v>
      </c>
      <c r="H30" s="31">
        <f t="shared" si="3"/>
        <v>5000</v>
      </c>
      <c r="I30" s="41">
        <v>15783.77</v>
      </c>
      <c r="J30" s="33">
        <f t="shared" si="1"/>
        <v>315.67540000000002</v>
      </c>
      <c r="K30" s="22"/>
      <c r="L30" s="2"/>
      <c r="M30" s="2"/>
      <c r="N30" s="30"/>
      <c r="O30" s="31">
        <f t="shared" si="9"/>
        <v>3000</v>
      </c>
      <c r="P30" s="41">
        <f>I20</f>
        <v>9268.1</v>
      </c>
      <c r="Q30" s="33">
        <f t="shared" si="2"/>
        <v>308.93666666666667</v>
      </c>
      <c r="R30" s="22"/>
      <c r="S30" s="2"/>
      <c r="T30" s="2"/>
      <c r="U30" s="53">
        <f t="shared" si="7"/>
        <v>12700</v>
      </c>
      <c r="V30" s="6">
        <f t="shared" si="4"/>
        <v>38944.549999999996</v>
      </c>
      <c r="W30" s="6">
        <v>306.64999999999998</v>
      </c>
      <c r="X30" s="2"/>
      <c r="Y30" s="53">
        <f t="shared" si="8"/>
        <v>12700</v>
      </c>
      <c r="Z30" s="6">
        <f t="shared" si="5"/>
        <v>40192.212941176454</v>
      </c>
      <c r="AA30" s="6">
        <f t="shared" si="10"/>
        <v>316.47411764705868</v>
      </c>
      <c r="AB30" s="2"/>
    </row>
    <row r="31" spans="1:28" ht="12.75" customHeight="1" x14ac:dyDescent="0.2">
      <c r="A31" s="59" t="s">
        <v>43</v>
      </c>
      <c r="B31" s="85">
        <f>B27-125</f>
        <v>2875</v>
      </c>
      <c r="C31" s="86">
        <f>VLOOKUP(B31,O6:Q59,3)</f>
        <v>308.38392857142856</v>
      </c>
      <c r="D31" s="80">
        <f>B31*C31/100</f>
        <v>8866.0379464285706</v>
      </c>
      <c r="E31" s="81"/>
      <c r="F31" s="29"/>
      <c r="G31" s="40">
        <f t="shared" si="0"/>
        <v>776.11940298507466</v>
      </c>
      <c r="H31" s="31">
        <f t="shared" si="3"/>
        <v>5200</v>
      </c>
      <c r="I31" s="41">
        <v>16458.32</v>
      </c>
      <c r="J31" s="33">
        <f t="shared" si="1"/>
        <v>316.50615384615384</v>
      </c>
      <c r="K31" s="22"/>
      <c r="L31" s="2"/>
      <c r="M31" s="2"/>
      <c r="N31" s="30"/>
      <c r="O31" s="31">
        <f t="shared" si="9"/>
        <v>3100</v>
      </c>
      <c r="P31" s="32">
        <v>9585.7000000000007</v>
      </c>
      <c r="Q31" s="33">
        <f t="shared" si="2"/>
        <v>309.2161290322581</v>
      </c>
      <c r="R31" s="22"/>
      <c r="S31" s="2"/>
      <c r="T31" s="2"/>
      <c r="U31" s="53">
        <f t="shared" si="7"/>
        <v>12800</v>
      </c>
      <c r="V31" s="6">
        <f t="shared" si="4"/>
        <v>39251.199999999997</v>
      </c>
      <c r="W31" s="6">
        <v>306.64999999999998</v>
      </c>
      <c r="X31" s="2"/>
      <c r="Y31" s="53">
        <f t="shared" si="8"/>
        <v>12800</v>
      </c>
      <c r="Z31" s="6">
        <f t="shared" si="5"/>
        <v>40496.188235294096</v>
      </c>
      <c r="AA31" s="6">
        <f t="shared" si="10"/>
        <v>316.37647058823512</v>
      </c>
      <c r="AB31" s="2"/>
    </row>
    <row r="32" spans="1:28" ht="13.25" customHeight="1" x14ac:dyDescent="0.15">
      <c r="A32" s="17"/>
      <c r="B32" s="87" t="str">
        <f>IF(B33&gt;17110,"CHECK T.O.Weight,  MAX = 17,110","T.O.Weight OK")</f>
        <v>T.O.Weight OK</v>
      </c>
      <c r="C32" s="71"/>
      <c r="D32" s="88" t="s">
        <v>41</v>
      </c>
      <c r="E32" s="89" t="s">
        <v>44</v>
      </c>
      <c r="F32" s="29"/>
      <c r="G32" s="40">
        <f t="shared" si="0"/>
        <v>805.97014925373128</v>
      </c>
      <c r="H32" s="31">
        <f t="shared" si="3"/>
        <v>5400</v>
      </c>
      <c r="I32" s="41">
        <v>17138.14</v>
      </c>
      <c r="J32" s="33">
        <f t="shared" si="1"/>
        <v>317.37296296296296</v>
      </c>
      <c r="K32" s="22"/>
      <c r="L32" s="2"/>
      <c r="M32" s="2"/>
      <c r="N32" s="30"/>
      <c r="O32" s="31">
        <f t="shared" si="9"/>
        <v>3200</v>
      </c>
      <c r="P32" s="41">
        <f>I21</f>
        <v>9903.94</v>
      </c>
      <c r="Q32" s="33">
        <f t="shared" si="2"/>
        <v>309.49812500000002</v>
      </c>
      <c r="R32" s="22"/>
      <c r="S32" s="2"/>
      <c r="T32" s="2"/>
      <c r="U32" s="53">
        <f t="shared" si="7"/>
        <v>12900</v>
      </c>
      <c r="V32" s="6">
        <f t="shared" si="4"/>
        <v>39557.85</v>
      </c>
      <c r="W32" s="6">
        <v>306.64999999999998</v>
      </c>
      <c r="X32" s="2"/>
      <c r="Y32" s="53">
        <f t="shared" si="8"/>
        <v>12900</v>
      </c>
      <c r="Z32" s="6">
        <f t="shared" si="5"/>
        <v>40799.968235294094</v>
      </c>
      <c r="AA32" s="6">
        <f t="shared" si="10"/>
        <v>316.27882352941157</v>
      </c>
      <c r="AB32" s="2"/>
    </row>
    <row r="33" spans="1:28" ht="13.5" customHeight="1" x14ac:dyDescent="0.15">
      <c r="A33" s="90" t="s">
        <v>45</v>
      </c>
      <c r="B33" s="91">
        <f>B25+B31</f>
        <v>13241.05</v>
      </c>
      <c r="C33" s="71">
        <f>D33/B33*100</f>
        <v>315.88633791450513</v>
      </c>
      <c r="D33" s="92">
        <f>D25+D31</f>
        <v>41826.667946428577</v>
      </c>
      <c r="E33" s="93">
        <f>D33*100/B33</f>
        <v>315.88633791450513</v>
      </c>
      <c r="F33" s="29"/>
      <c r="G33" s="40">
        <f t="shared" si="0"/>
        <v>835.82089552238801</v>
      </c>
      <c r="H33" s="31">
        <f t="shared" si="3"/>
        <v>5600</v>
      </c>
      <c r="I33" s="41">
        <v>17822.53</v>
      </c>
      <c r="J33" s="33">
        <f t="shared" si="1"/>
        <v>318.25946428571427</v>
      </c>
      <c r="K33" s="22"/>
      <c r="L33" s="2"/>
      <c r="M33" s="2"/>
      <c r="N33" s="30"/>
      <c r="O33" s="31">
        <f t="shared" si="9"/>
        <v>3300</v>
      </c>
      <c r="P33" s="32">
        <v>10222.86</v>
      </c>
      <c r="Q33" s="33">
        <f t="shared" si="2"/>
        <v>309.78363636363639</v>
      </c>
      <c r="R33" s="22"/>
      <c r="S33" s="2"/>
      <c r="T33" s="2"/>
      <c r="U33" s="53">
        <f t="shared" si="7"/>
        <v>13000</v>
      </c>
      <c r="V33" s="6">
        <f t="shared" si="4"/>
        <v>39864.499999999993</v>
      </c>
      <c r="W33" s="6">
        <v>306.64999999999998</v>
      </c>
      <c r="X33" s="2"/>
      <c r="Y33" s="53">
        <f t="shared" si="8"/>
        <v>13000</v>
      </c>
      <c r="Z33" s="6">
        <f t="shared" si="5"/>
        <v>41109.9</v>
      </c>
      <c r="AA33" s="6">
        <v>316.23</v>
      </c>
      <c r="AB33" s="2"/>
    </row>
    <row r="34" spans="1:28" ht="13.5" customHeight="1" x14ac:dyDescent="0.15">
      <c r="A34" s="82"/>
      <c r="B34" s="94"/>
      <c r="C34" s="71"/>
      <c r="D34" s="95"/>
      <c r="E34" s="96" t="str">
        <f>IF(AND(E33&lt;C41,E33&gt;B41),"T.O. CG is OK","OUT of C.G.")</f>
        <v>T.O. CG is OK</v>
      </c>
      <c r="F34" s="29"/>
      <c r="G34" s="40">
        <f t="shared" si="0"/>
        <v>865.67164179104475</v>
      </c>
      <c r="H34" s="31">
        <f t="shared" si="3"/>
        <v>5800</v>
      </c>
      <c r="I34" s="41">
        <v>18511.849999999999</v>
      </c>
      <c r="J34" s="33">
        <f t="shared" si="1"/>
        <v>319.16982758620685</v>
      </c>
      <c r="K34" s="22"/>
      <c r="L34" s="2"/>
      <c r="M34" s="2"/>
      <c r="N34" s="30"/>
      <c r="O34" s="31">
        <f t="shared" si="9"/>
        <v>3400</v>
      </c>
      <c r="P34" s="41">
        <f>I22</f>
        <v>10542.51</v>
      </c>
      <c r="Q34" s="33">
        <f t="shared" si="2"/>
        <v>310.07382352941175</v>
      </c>
      <c r="R34" s="22"/>
      <c r="S34" s="2"/>
      <c r="T34" s="2"/>
      <c r="U34" s="53">
        <f t="shared" si="7"/>
        <v>13100</v>
      </c>
      <c r="V34" s="6">
        <f t="shared" si="4"/>
        <v>40171.149999999994</v>
      </c>
      <c r="W34" s="6">
        <v>306.64999999999998</v>
      </c>
      <c r="X34" s="2"/>
      <c r="Y34" s="53">
        <f t="shared" si="8"/>
        <v>13100</v>
      </c>
      <c r="Z34" s="6">
        <f t="shared" si="5"/>
        <v>41426.130000000005</v>
      </c>
      <c r="AA34" s="6">
        <v>316.23</v>
      </c>
      <c r="AB34" s="2"/>
    </row>
    <row r="35" spans="1:28" ht="13.25" customHeight="1" x14ac:dyDescent="0.15">
      <c r="A35" s="59" t="s">
        <v>46</v>
      </c>
      <c r="B35" s="136">
        <v>1100</v>
      </c>
      <c r="C35" s="97">
        <f>VLOOKUP((B31-B35),O6:Q59,3)</f>
        <v>305.51647058823528</v>
      </c>
      <c r="D35" s="80">
        <f>(B31-B35)*C35/100</f>
        <v>5422.9173529411755</v>
      </c>
      <c r="E35" s="98"/>
      <c r="F35" s="29"/>
      <c r="G35" s="40">
        <f t="shared" si="0"/>
        <v>869.85074626865674</v>
      </c>
      <c r="H35" s="31">
        <v>5828</v>
      </c>
      <c r="I35" s="41">
        <v>18608.830000000002</v>
      </c>
      <c r="J35" s="33">
        <f t="shared" si="1"/>
        <v>319.30044612216886</v>
      </c>
      <c r="K35" s="22"/>
      <c r="L35" s="2"/>
      <c r="M35" s="2"/>
      <c r="N35" s="30"/>
      <c r="O35" s="31">
        <f t="shared" si="9"/>
        <v>3500</v>
      </c>
      <c r="P35" s="32">
        <v>10863.04</v>
      </c>
      <c r="Q35" s="33">
        <f t="shared" si="2"/>
        <v>310.3725714285714</v>
      </c>
      <c r="R35" s="22"/>
      <c r="S35" s="2"/>
      <c r="T35" s="2"/>
      <c r="U35" s="53">
        <f t="shared" si="7"/>
        <v>13200</v>
      </c>
      <c r="V35" s="6">
        <f t="shared" si="4"/>
        <v>40477.799999999996</v>
      </c>
      <c r="W35" s="6">
        <v>306.64999999999998</v>
      </c>
      <c r="X35" s="2"/>
      <c r="Y35" s="53">
        <f t="shared" si="8"/>
        <v>13200</v>
      </c>
      <c r="Z35" s="6">
        <f t="shared" si="5"/>
        <v>41742.360000000008</v>
      </c>
      <c r="AA35" s="6">
        <v>316.23</v>
      </c>
      <c r="AB35" s="2"/>
    </row>
    <row r="36" spans="1:28" ht="13.25" customHeight="1" x14ac:dyDescent="0.15">
      <c r="A36" s="17"/>
      <c r="B36" s="99" t="str">
        <f>IF(B37&gt;15660,"CHECK Landing Weight,  MAX = 15,660","Landing Weight OK")</f>
        <v>Landing Weight OK</v>
      </c>
      <c r="C36" s="71"/>
      <c r="D36" s="84"/>
      <c r="E36" s="89" t="s">
        <v>47</v>
      </c>
      <c r="F36" s="17"/>
      <c r="G36" s="100"/>
      <c r="H36" s="101"/>
      <c r="I36" s="102"/>
      <c r="J36" s="103"/>
      <c r="K36" s="2"/>
      <c r="L36" s="2"/>
      <c r="M36" s="2"/>
      <c r="N36" s="30"/>
      <c r="O36" s="31">
        <f t="shared" si="9"/>
        <v>3600</v>
      </c>
      <c r="P36" s="41">
        <f>I23</f>
        <v>11184.55</v>
      </c>
      <c r="Q36" s="33">
        <f t="shared" si="2"/>
        <v>310.68194444444447</v>
      </c>
      <c r="R36" s="22"/>
      <c r="S36" s="2"/>
      <c r="T36" s="2"/>
      <c r="U36" s="53">
        <f t="shared" si="7"/>
        <v>13300</v>
      </c>
      <c r="V36" s="6">
        <f t="shared" si="4"/>
        <v>40791.202307692307</v>
      </c>
      <c r="W36" s="6">
        <f t="shared" ref="W36:W47" si="11">W35+($W$48-$W$35)/13</f>
        <v>306.7007692307692</v>
      </c>
      <c r="X36" s="2"/>
      <c r="Y36" s="53">
        <f t="shared" si="8"/>
        <v>13300</v>
      </c>
      <c r="Z36" s="6">
        <f t="shared" si="5"/>
        <v>42058.59</v>
      </c>
      <c r="AA36" s="6">
        <v>316.23</v>
      </c>
      <c r="AB36" s="2"/>
    </row>
    <row r="37" spans="1:28" ht="12.75" customHeight="1" x14ac:dyDescent="0.15">
      <c r="A37" s="104" t="s">
        <v>48</v>
      </c>
      <c r="B37" s="91">
        <f>B33-B35</f>
        <v>12141.05</v>
      </c>
      <c r="C37" s="105"/>
      <c r="D37" s="92">
        <f>D25+D35</f>
        <v>38383.547352941183</v>
      </c>
      <c r="E37" s="93">
        <f>D37*100/B37</f>
        <v>316.14685182040421</v>
      </c>
      <c r="F37" s="17"/>
      <c r="G37" s="106"/>
      <c r="H37" s="2"/>
      <c r="I37" s="107"/>
      <c r="J37" s="108"/>
      <c r="K37" s="2"/>
      <c r="L37" s="2"/>
      <c r="M37" s="2"/>
      <c r="N37" s="30"/>
      <c r="O37" s="31">
        <f t="shared" si="9"/>
        <v>3700</v>
      </c>
      <c r="P37" s="32">
        <v>11506.99</v>
      </c>
      <c r="Q37" s="33">
        <f t="shared" si="2"/>
        <v>310.99972972972972</v>
      </c>
      <c r="R37" s="22"/>
      <c r="S37" s="2"/>
      <c r="T37" s="2"/>
      <c r="U37" s="53">
        <f t="shared" si="7"/>
        <v>13400</v>
      </c>
      <c r="V37" s="6">
        <f t="shared" si="4"/>
        <v>41104.706153846142</v>
      </c>
      <c r="W37" s="6">
        <f t="shared" si="11"/>
        <v>306.75153846153842</v>
      </c>
      <c r="X37" s="2"/>
      <c r="Y37" s="53">
        <f t="shared" si="8"/>
        <v>13400</v>
      </c>
      <c r="Z37" s="6">
        <f t="shared" si="5"/>
        <v>42374.82</v>
      </c>
      <c r="AA37" s="6">
        <v>316.23</v>
      </c>
      <c r="AB37" s="2"/>
    </row>
    <row r="38" spans="1:28" ht="13.5" customHeight="1" x14ac:dyDescent="0.15">
      <c r="A38" s="109"/>
      <c r="B38" s="109"/>
      <c r="C38" s="109"/>
      <c r="D38" s="110"/>
      <c r="E38" s="111" t="str">
        <f>IF(AND(E37&lt;C42,E37&gt;B42),"Landing CG is OK","OUT of C.G.")</f>
        <v>Landing CG is OK</v>
      </c>
      <c r="F38" s="112"/>
      <c r="G38" s="106"/>
      <c r="H38" s="2"/>
      <c r="I38" s="107"/>
      <c r="J38" s="108"/>
      <c r="K38" s="2"/>
      <c r="L38" s="2"/>
      <c r="M38" s="2"/>
      <c r="N38" s="30"/>
      <c r="O38" s="31">
        <f t="shared" si="9"/>
        <v>3800</v>
      </c>
      <c r="P38" s="41">
        <f>I24</f>
        <v>11830.34</v>
      </c>
      <c r="Q38" s="33">
        <f t="shared" ref="Q38:Q59" si="12">P38*100/O38</f>
        <v>311.32473684210527</v>
      </c>
      <c r="R38" s="22"/>
      <c r="S38" s="2"/>
      <c r="T38" s="2"/>
      <c r="U38" s="53">
        <f t="shared" si="7"/>
        <v>13500</v>
      </c>
      <c r="V38" s="6">
        <f t="shared" si="4"/>
        <v>41418.31153846153</v>
      </c>
      <c r="W38" s="6">
        <f t="shared" si="11"/>
        <v>306.80230769230764</v>
      </c>
      <c r="X38" s="2"/>
      <c r="Y38" s="53">
        <f t="shared" si="8"/>
        <v>13500</v>
      </c>
      <c r="Z38" s="6">
        <f t="shared" si="5"/>
        <v>42691.05</v>
      </c>
      <c r="AA38" s="6">
        <v>316.23</v>
      </c>
      <c r="AB38" s="2"/>
    </row>
    <row r="39" spans="1:28" ht="13.25" customHeight="1" x14ac:dyDescent="0.15">
      <c r="A39" s="2"/>
      <c r="B39" s="2"/>
      <c r="C39" s="2"/>
      <c r="D39" s="2"/>
      <c r="E39" s="113"/>
      <c r="F39" s="2"/>
      <c r="G39" s="106"/>
      <c r="H39" s="2"/>
      <c r="I39" s="107"/>
      <c r="J39" s="108"/>
      <c r="K39" s="2"/>
      <c r="L39" s="2"/>
      <c r="M39" s="2"/>
      <c r="N39" s="30"/>
      <c r="O39" s="31">
        <f t="shared" si="9"/>
        <v>3900</v>
      </c>
      <c r="P39" s="32">
        <v>12154.57</v>
      </c>
      <c r="Q39" s="33">
        <f t="shared" si="12"/>
        <v>311.65564102564105</v>
      </c>
      <c r="R39" s="22"/>
      <c r="S39" s="2"/>
      <c r="T39" s="2"/>
      <c r="U39" s="53">
        <f t="shared" si="7"/>
        <v>13600</v>
      </c>
      <c r="V39" s="6">
        <f t="shared" si="4"/>
        <v>41732.01846153845</v>
      </c>
      <c r="W39" s="6">
        <f t="shared" si="11"/>
        <v>306.85307692307686</v>
      </c>
      <c r="X39" s="2"/>
      <c r="Y39" s="53">
        <f t="shared" si="8"/>
        <v>13600</v>
      </c>
      <c r="Z39" s="6">
        <f t="shared" si="5"/>
        <v>43007.28</v>
      </c>
      <c r="AA39" s="6">
        <v>316.23</v>
      </c>
      <c r="AB39" s="2"/>
    </row>
    <row r="40" spans="1:28" ht="13.25" customHeight="1" x14ac:dyDescent="0.15">
      <c r="A40" s="4" t="s">
        <v>49</v>
      </c>
      <c r="B40" s="114" t="s">
        <v>50</v>
      </c>
      <c r="C40" s="114" t="s">
        <v>51</v>
      </c>
      <c r="D40" s="2"/>
      <c r="E40" s="115"/>
      <c r="F40" s="2"/>
      <c r="G40" s="106"/>
      <c r="H40" s="2"/>
      <c r="I40" s="107"/>
      <c r="J40" s="108"/>
      <c r="K40" s="2"/>
      <c r="L40" s="2"/>
      <c r="M40" s="2"/>
      <c r="N40" s="30"/>
      <c r="O40" s="31">
        <f t="shared" si="9"/>
        <v>4000</v>
      </c>
      <c r="P40" s="41">
        <f>I25</f>
        <v>12479.66</v>
      </c>
      <c r="Q40" s="33">
        <f t="shared" si="12"/>
        <v>311.99149999999997</v>
      </c>
      <c r="R40" s="22"/>
      <c r="S40" s="2"/>
      <c r="T40" s="2"/>
      <c r="U40" s="53">
        <f t="shared" si="7"/>
        <v>13700</v>
      </c>
      <c r="V40" s="6">
        <f t="shared" ref="V40:V71" si="13">(U40*W40)/100</f>
        <v>42045.826923076907</v>
      </c>
      <c r="W40" s="6">
        <f t="shared" si="11"/>
        <v>306.90384615384608</v>
      </c>
      <c r="X40" s="2"/>
      <c r="Y40" s="53">
        <f t="shared" si="8"/>
        <v>13700</v>
      </c>
      <c r="Z40" s="6">
        <f t="shared" ref="Z40:Z71" si="14">(Y40*AA40)/100</f>
        <v>43323.51</v>
      </c>
      <c r="AA40" s="6">
        <v>316.23</v>
      </c>
      <c r="AB40" s="2"/>
    </row>
    <row r="41" spans="1:28" ht="13.25" customHeight="1" x14ac:dyDescent="0.15">
      <c r="A41" s="5" t="s">
        <v>52</v>
      </c>
      <c r="B41" s="116">
        <f>W2</f>
        <v>306.64999999999998</v>
      </c>
      <c r="C41" s="116">
        <f>AB2</f>
        <v>316.23</v>
      </c>
      <c r="D41" s="2"/>
      <c r="E41" s="2"/>
      <c r="F41" s="2"/>
      <c r="G41" s="106"/>
      <c r="H41" s="2"/>
      <c r="I41" s="107"/>
      <c r="J41" s="108"/>
      <c r="K41" s="2"/>
      <c r="L41" s="2"/>
      <c r="M41" s="2"/>
      <c r="N41" s="30"/>
      <c r="O41" s="31">
        <f t="shared" si="9"/>
        <v>4100</v>
      </c>
      <c r="P41" s="32">
        <v>12805.61</v>
      </c>
      <c r="Q41" s="33">
        <f t="shared" si="12"/>
        <v>312.33195121951218</v>
      </c>
      <c r="R41" s="22"/>
      <c r="S41" s="2"/>
      <c r="T41" s="2"/>
      <c r="U41" s="53">
        <f t="shared" si="7"/>
        <v>13800</v>
      </c>
      <c r="V41" s="6">
        <f t="shared" si="13"/>
        <v>42359.736923076911</v>
      </c>
      <c r="W41" s="6">
        <f t="shared" si="11"/>
        <v>306.95461538461529</v>
      </c>
      <c r="X41" s="2"/>
      <c r="Y41" s="53">
        <f t="shared" ref="Y41:Y76" si="15">Y40+100</f>
        <v>13800</v>
      </c>
      <c r="Z41" s="6">
        <f t="shared" si="14"/>
        <v>43639.74</v>
      </c>
      <c r="AA41" s="6">
        <v>316.23</v>
      </c>
      <c r="AB41" s="2"/>
    </row>
    <row r="42" spans="1:28" ht="13.25" customHeight="1" x14ac:dyDescent="0.15">
      <c r="A42" s="5" t="s">
        <v>53</v>
      </c>
      <c r="B42" s="116">
        <f>W3</f>
        <v>306.64999999999998</v>
      </c>
      <c r="C42" s="116">
        <f>AB3</f>
        <v>317.06</v>
      </c>
      <c r="D42" s="2"/>
      <c r="E42" s="2"/>
      <c r="F42" s="2"/>
      <c r="G42" s="106"/>
      <c r="H42" s="2"/>
      <c r="I42" s="107"/>
      <c r="J42" s="108"/>
      <c r="K42" s="2"/>
      <c r="L42" s="2"/>
      <c r="M42" s="2"/>
      <c r="N42" s="30"/>
      <c r="O42" s="31">
        <f t="shared" si="9"/>
        <v>4200</v>
      </c>
      <c r="P42" s="41">
        <f>I26</f>
        <v>13132.44</v>
      </c>
      <c r="Q42" s="33">
        <f t="shared" si="12"/>
        <v>312.67714285714288</v>
      </c>
      <c r="R42" s="22"/>
      <c r="S42" s="2"/>
      <c r="T42" s="2"/>
      <c r="U42" s="53">
        <f t="shared" si="7"/>
        <v>13900</v>
      </c>
      <c r="V42" s="6">
        <f t="shared" si="13"/>
        <v>42673.748461538453</v>
      </c>
      <c r="W42" s="6">
        <f t="shared" si="11"/>
        <v>307.00538461538451</v>
      </c>
      <c r="X42" s="2"/>
      <c r="Y42" s="53">
        <f t="shared" si="15"/>
        <v>13900</v>
      </c>
      <c r="Z42" s="6">
        <f t="shared" si="14"/>
        <v>43955.97</v>
      </c>
      <c r="AA42" s="6">
        <v>316.23</v>
      </c>
      <c r="AB42" s="2"/>
    </row>
    <row r="43" spans="1:28" ht="13.25" customHeight="1" x14ac:dyDescent="0.15">
      <c r="A43" s="2"/>
      <c r="B43" s="2"/>
      <c r="C43" s="2"/>
      <c r="D43" s="117" t="s">
        <v>54</v>
      </c>
      <c r="E43" s="2"/>
      <c r="F43" s="2"/>
      <c r="G43" s="106"/>
      <c r="H43" s="2"/>
      <c r="I43" s="118"/>
      <c r="J43" s="108"/>
      <c r="K43" s="2"/>
      <c r="L43" s="2"/>
      <c r="M43" s="2"/>
      <c r="N43" s="30"/>
      <c r="O43" s="31">
        <f t="shared" si="9"/>
        <v>4300</v>
      </c>
      <c r="P43" s="32">
        <v>13460.18</v>
      </c>
      <c r="Q43" s="33">
        <f t="shared" si="12"/>
        <v>313.0274418604651</v>
      </c>
      <c r="R43" s="22"/>
      <c r="S43" s="2"/>
      <c r="T43" s="2"/>
      <c r="U43" s="53">
        <f t="shared" si="7"/>
        <v>14000</v>
      </c>
      <c r="V43" s="6">
        <f t="shared" si="13"/>
        <v>42987.861538461519</v>
      </c>
      <c r="W43" s="6">
        <f t="shared" si="11"/>
        <v>307.05615384615373</v>
      </c>
      <c r="X43" s="2"/>
      <c r="Y43" s="53">
        <f t="shared" si="15"/>
        <v>14000</v>
      </c>
      <c r="Z43" s="6">
        <f t="shared" si="14"/>
        <v>44272.2</v>
      </c>
      <c r="AA43" s="6">
        <v>316.23</v>
      </c>
      <c r="AB43" s="2"/>
    </row>
    <row r="44" spans="1:28" ht="13.25" customHeight="1" x14ac:dyDescent="0.15">
      <c r="A44" s="5" t="s">
        <v>55</v>
      </c>
      <c r="B44" s="2"/>
      <c r="C44" s="2"/>
      <c r="D44" s="2"/>
      <c r="E44" s="2"/>
      <c r="F44" s="2"/>
      <c r="G44" s="106"/>
      <c r="H44" s="2"/>
      <c r="I44" s="118"/>
      <c r="J44" s="108"/>
      <c r="K44" s="2"/>
      <c r="L44" s="2"/>
      <c r="M44" s="2"/>
      <c r="N44" s="30"/>
      <c r="O44" s="31">
        <f t="shared" si="9"/>
        <v>4400</v>
      </c>
      <c r="P44" s="32">
        <f>I27</f>
        <v>13788.9</v>
      </c>
      <c r="Q44" s="33">
        <f t="shared" si="12"/>
        <v>313.3840909090909</v>
      </c>
      <c r="R44" s="22"/>
      <c r="S44" s="2"/>
      <c r="T44" s="2"/>
      <c r="U44" s="53">
        <f t="shared" si="7"/>
        <v>14100</v>
      </c>
      <c r="V44" s="6">
        <f t="shared" si="13"/>
        <v>43302.076153846137</v>
      </c>
      <c r="W44" s="6">
        <f t="shared" si="11"/>
        <v>307.10692307692295</v>
      </c>
      <c r="X44" s="2"/>
      <c r="Y44" s="53">
        <f t="shared" si="15"/>
        <v>14100</v>
      </c>
      <c r="Z44" s="6">
        <f t="shared" si="14"/>
        <v>44588.43</v>
      </c>
      <c r="AA44" s="6">
        <v>316.23</v>
      </c>
      <c r="AB44" s="2"/>
    </row>
    <row r="45" spans="1:28" ht="13.25" customHeight="1" x14ac:dyDescent="0.15">
      <c r="A45" s="119"/>
      <c r="B45" s="2"/>
      <c r="C45" s="120"/>
      <c r="D45" s="2"/>
      <c r="E45" s="2"/>
      <c r="F45" s="121"/>
      <c r="G45" s="106"/>
      <c r="H45" s="2"/>
      <c r="I45" s="118"/>
      <c r="J45" s="108"/>
      <c r="K45" s="2"/>
      <c r="L45" s="2"/>
      <c r="M45" s="2"/>
      <c r="N45" s="30"/>
      <c r="O45" s="31">
        <f t="shared" si="9"/>
        <v>4500</v>
      </c>
      <c r="P45" s="32">
        <v>14118.64</v>
      </c>
      <c r="Q45" s="33">
        <f t="shared" si="12"/>
        <v>313.74755555555555</v>
      </c>
      <c r="R45" s="22"/>
      <c r="S45" s="2"/>
      <c r="T45" s="2"/>
      <c r="U45" s="53">
        <f t="shared" si="7"/>
        <v>14200</v>
      </c>
      <c r="V45" s="6">
        <f t="shared" si="13"/>
        <v>43616.392307692295</v>
      </c>
      <c r="W45" s="6">
        <f t="shared" si="11"/>
        <v>307.15769230769217</v>
      </c>
      <c r="X45" s="2"/>
      <c r="Y45" s="53">
        <f t="shared" si="15"/>
        <v>14200</v>
      </c>
      <c r="Z45" s="6">
        <f t="shared" si="14"/>
        <v>44904.66</v>
      </c>
      <c r="AA45" s="6">
        <v>316.23</v>
      </c>
      <c r="AB45" s="2"/>
    </row>
    <row r="46" spans="1:28" ht="13.25" customHeight="1" x14ac:dyDescent="0.15">
      <c r="A46" s="122" t="s">
        <v>56</v>
      </c>
      <c r="B46" s="120"/>
      <c r="C46" s="2"/>
      <c r="D46" s="2"/>
      <c r="E46" s="2"/>
      <c r="F46" s="121"/>
      <c r="G46" s="106"/>
      <c r="H46" s="2"/>
      <c r="I46" s="107"/>
      <c r="J46" s="108"/>
      <c r="K46" s="2"/>
      <c r="L46" s="2"/>
      <c r="M46" s="2"/>
      <c r="N46" s="30"/>
      <c r="O46" s="31">
        <f t="shared" si="9"/>
        <v>4600</v>
      </c>
      <c r="P46" s="41">
        <f>I28</f>
        <v>14449.44</v>
      </c>
      <c r="Q46" s="33">
        <f t="shared" si="12"/>
        <v>314.11826086956523</v>
      </c>
      <c r="R46" s="22"/>
      <c r="S46" s="2"/>
      <c r="T46" s="2"/>
      <c r="U46" s="53">
        <f t="shared" si="7"/>
        <v>14300</v>
      </c>
      <c r="V46" s="6">
        <f t="shared" si="13"/>
        <v>43930.809999999983</v>
      </c>
      <c r="W46" s="6">
        <f t="shared" si="11"/>
        <v>307.20846153846139</v>
      </c>
      <c r="X46" s="2"/>
      <c r="Y46" s="53">
        <f t="shared" si="15"/>
        <v>14300</v>
      </c>
      <c r="Z46" s="6">
        <f t="shared" si="14"/>
        <v>45220.89</v>
      </c>
      <c r="AA46" s="6">
        <v>316.23</v>
      </c>
      <c r="AB46" s="2"/>
    </row>
    <row r="47" spans="1:28" ht="13.25" customHeight="1" x14ac:dyDescent="0.15">
      <c r="A47" s="117" t="s">
        <v>57</v>
      </c>
      <c r="B47" s="2"/>
      <c r="C47" s="2"/>
      <c r="D47" s="2"/>
      <c r="E47" s="2"/>
      <c r="F47" s="2"/>
      <c r="G47" s="2"/>
      <c r="H47" s="2"/>
      <c r="I47" s="118"/>
      <c r="J47" s="108"/>
      <c r="K47" s="2"/>
      <c r="L47" s="2"/>
      <c r="M47" s="2"/>
      <c r="N47" s="30"/>
      <c r="O47" s="31">
        <f t="shared" si="9"/>
        <v>4700</v>
      </c>
      <c r="P47" s="41">
        <v>14781.3</v>
      </c>
      <c r="Q47" s="33">
        <f t="shared" si="12"/>
        <v>314.49574468085109</v>
      </c>
      <c r="R47" s="22"/>
      <c r="S47" s="2"/>
      <c r="T47" s="2"/>
      <c r="U47" s="53">
        <f t="shared" si="7"/>
        <v>14400</v>
      </c>
      <c r="V47" s="6">
        <f t="shared" si="13"/>
        <v>44245.32923076921</v>
      </c>
      <c r="W47" s="6">
        <f t="shared" si="11"/>
        <v>307.25923076923061</v>
      </c>
      <c r="X47" s="2"/>
      <c r="Y47" s="53">
        <f t="shared" si="15"/>
        <v>14400</v>
      </c>
      <c r="Z47" s="6">
        <f t="shared" si="14"/>
        <v>45537.120000000003</v>
      </c>
      <c r="AA47" s="6">
        <v>316.23</v>
      </c>
      <c r="AB47" s="2"/>
    </row>
    <row r="48" spans="1:28" ht="13.25" customHeight="1" x14ac:dyDescent="0.15">
      <c r="A48" s="2"/>
      <c r="B48" s="2"/>
      <c r="C48" s="120"/>
      <c r="D48" s="2"/>
      <c r="E48" s="2"/>
      <c r="F48" s="2"/>
      <c r="G48" s="2"/>
      <c r="H48" s="2"/>
      <c r="I48" s="118"/>
      <c r="J48" s="108"/>
      <c r="K48" s="2"/>
      <c r="L48" s="2"/>
      <c r="M48" s="2"/>
      <c r="N48" s="30"/>
      <c r="O48" s="31">
        <f t="shared" si="9"/>
        <v>4800</v>
      </c>
      <c r="P48" s="41">
        <f>I29</f>
        <v>15114.28</v>
      </c>
      <c r="Q48" s="33">
        <f t="shared" si="12"/>
        <v>314.88083333333333</v>
      </c>
      <c r="R48" s="22"/>
      <c r="S48" s="2"/>
      <c r="T48" s="2"/>
      <c r="U48" s="53">
        <f t="shared" si="7"/>
        <v>14500</v>
      </c>
      <c r="V48" s="6">
        <f t="shared" si="13"/>
        <v>44559.95</v>
      </c>
      <c r="W48" s="6">
        <v>307.31</v>
      </c>
      <c r="X48" s="2"/>
      <c r="Y48" s="53">
        <f t="shared" si="15"/>
        <v>14500</v>
      </c>
      <c r="Z48" s="6">
        <f t="shared" si="14"/>
        <v>45853.35</v>
      </c>
      <c r="AA48" s="6">
        <v>316.23</v>
      </c>
      <c r="AB48" s="2"/>
    </row>
    <row r="49" spans="1:28" ht="13.25" customHeight="1" x14ac:dyDescent="0.15">
      <c r="A49" s="2"/>
      <c r="B49" s="2"/>
      <c r="C49" s="2"/>
      <c r="D49" s="2"/>
      <c r="E49" s="2"/>
      <c r="F49" s="2"/>
      <c r="G49" s="2"/>
      <c r="H49" s="2"/>
      <c r="I49" s="118"/>
      <c r="J49" s="108"/>
      <c r="K49" s="2"/>
      <c r="L49" s="2"/>
      <c r="M49" s="2"/>
      <c r="N49" s="30"/>
      <c r="O49" s="31">
        <f t="shared" si="9"/>
        <v>4900</v>
      </c>
      <c r="P49" s="32">
        <v>15448.43</v>
      </c>
      <c r="Q49" s="33">
        <f t="shared" si="12"/>
        <v>315.27408163265306</v>
      </c>
      <c r="R49" s="22"/>
      <c r="S49" s="2"/>
      <c r="T49" s="2"/>
      <c r="U49" s="53">
        <f t="shared" si="7"/>
        <v>14600</v>
      </c>
      <c r="V49" s="6">
        <f t="shared" si="13"/>
        <v>44880.302666666663</v>
      </c>
      <c r="W49" s="6">
        <f t="shared" ref="W49:W55" si="16">W48+($W$56-$W$48)/7.5</f>
        <v>307.39933333333335</v>
      </c>
      <c r="X49" s="2"/>
      <c r="Y49" s="53">
        <f t="shared" si="15"/>
        <v>14600</v>
      </c>
      <c r="Z49" s="6">
        <f t="shared" si="14"/>
        <v>46188.968800000002</v>
      </c>
      <c r="AA49" s="6">
        <f t="shared" ref="AA49:AA60" si="17">AA48+(AA$61-AA$48)/12.5</f>
        <v>316.36279999999999</v>
      </c>
      <c r="AB49" s="2"/>
    </row>
    <row r="50" spans="1:28" ht="13.25" customHeight="1" x14ac:dyDescent="0.15">
      <c r="A50" s="2"/>
      <c r="B50" s="2"/>
      <c r="C50" s="2"/>
      <c r="D50" s="2"/>
      <c r="E50" s="2"/>
      <c r="F50" s="2"/>
      <c r="G50" s="2"/>
      <c r="H50" s="2"/>
      <c r="I50" s="118"/>
      <c r="J50" s="108"/>
      <c r="K50" s="2"/>
      <c r="L50" s="2"/>
      <c r="M50" s="2"/>
      <c r="N50" s="30"/>
      <c r="O50" s="31">
        <f t="shared" si="9"/>
        <v>5000</v>
      </c>
      <c r="P50" s="41">
        <f>I30</f>
        <v>15783.77</v>
      </c>
      <c r="Q50" s="33">
        <f t="shared" si="12"/>
        <v>315.67540000000002</v>
      </c>
      <c r="R50" s="22"/>
      <c r="S50" s="2"/>
      <c r="T50" s="2"/>
      <c r="U50" s="53">
        <f t="shared" si="7"/>
        <v>14700</v>
      </c>
      <c r="V50" s="6">
        <f t="shared" si="13"/>
        <v>45200.834000000003</v>
      </c>
      <c r="W50" s="6">
        <f t="shared" si="16"/>
        <v>307.48866666666669</v>
      </c>
      <c r="X50" s="2"/>
      <c r="Y50" s="53">
        <f t="shared" si="15"/>
        <v>14700</v>
      </c>
      <c r="Z50" s="6">
        <f t="shared" si="14"/>
        <v>46524.85319999999</v>
      </c>
      <c r="AA50" s="6">
        <f t="shared" si="17"/>
        <v>316.49559999999997</v>
      </c>
      <c r="AB50" s="2"/>
    </row>
    <row r="51" spans="1:28" ht="13.25" customHeight="1" x14ac:dyDescent="0.15">
      <c r="A51" s="2"/>
      <c r="B51" s="2"/>
      <c r="C51" s="2"/>
      <c r="D51" s="2"/>
      <c r="E51" s="2"/>
      <c r="F51" s="2"/>
      <c r="G51" s="2"/>
      <c r="H51" s="2"/>
      <c r="I51" s="118"/>
      <c r="J51" s="108"/>
      <c r="K51" s="2"/>
      <c r="L51" s="2"/>
      <c r="M51" s="2"/>
      <c r="N51" s="30"/>
      <c r="O51" s="31">
        <f t="shared" si="9"/>
        <v>5100</v>
      </c>
      <c r="P51" s="32">
        <v>16120.39</v>
      </c>
      <c r="Q51" s="33">
        <f t="shared" si="12"/>
        <v>316.08607843137253</v>
      </c>
      <c r="R51" s="22"/>
      <c r="S51" s="2"/>
      <c r="T51" s="2"/>
      <c r="U51" s="53">
        <f t="shared" si="7"/>
        <v>14800</v>
      </c>
      <c r="V51" s="6">
        <f t="shared" si="13"/>
        <v>45521.544000000002</v>
      </c>
      <c r="W51" s="6">
        <f t="shared" si="16"/>
        <v>307.57800000000003</v>
      </c>
      <c r="X51" s="2"/>
      <c r="Y51" s="53">
        <f t="shared" si="15"/>
        <v>14800</v>
      </c>
      <c r="Z51" s="6">
        <f t="shared" si="14"/>
        <v>46861.003199999992</v>
      </c>
      <c r="AA51" s="6">
        <f t="shared" si="17"/>
        <v>316.62839999999994</v>
      </c>
      <c r="AB51" s="2"/>
    </row>
    <row r="52" spans="1:28" ht="13.25" customHeight="1" x14ac:dyDescent="0.15">
      <c r="A52" s="2"/>
      <c r="B52" s="2"/>
      <c r="C52" s="2"/>
      <c r="D52" s="2"/>
      <c r="E52" s="2"/>
      <c r="F52" s="2"/>
      <c r="G52" s="2"/>
      <c r="H52" s="2"/>
      <c r="I52" s="118"/>
      <c r="J52" s="108"/>
      <c r="K52" s="2"/>
      <c r="L52" s="2"/>
      <c r="M52" s="2"/>
      <c r="N52" s="30"/>
      <c r="O52" s="31">
        <f t="shared" si="9"/>
        <v>5200</v>
      </c>
      <c r="P52" s="41">
        <f>I31</f>
        <v>16458.32</v>
      </c>
      <c r="Q52" s="33">
        <f t="shared" si="12"/>
        <v>316.50615384615384</v>
      </c>
      <c r="R52" s="22"/>
      <c r="S52" s="2"/>
      <c r="T52" s="2"/>
      <c r="U52" s="53">
        <f t="shared" si="7"/>
        <v>14900</v>
      </c>
      <c r="V52" s="6">
        <f t="shared" si="13"/>
        <v>45842.432666666675</v>
      </c>
      <c r="W52" s="6">
        <f t="shared" si="16"/>
        <v>307.66733333333337</v>
      </c>
      <c r="X52" s="2"/>
      <c r="Y52" s="53">
        <f t="shared" si="15"/>
        <v>14900</v>
      </c>
      <c r="Z52" s="6">
        <f t="shared" si="14"/>
        <v>47197.418799999992</v>
      </c>
      <c r="AA52" s="6">
        <f t="shared" si="17"/>
        <v>316.76119999999992</v>
      </c>
      <c r="AB52" s="2"/>
    </row>
    <row r="53" spans="1:28" ht="13.25" customHeight="1" x14ac:dyDescent="0.15">
      <c r="A53" s="2"/>
      <c r="B53" s="2"/>
      <c r="C53" s="2"/>
      <c r="D53" s="2"/>
      <c r="E53" s="2"/>
      <c r="F53" s="2"/>
      <c r="G53" s="2"/>
      <c r="H53" s="2"/>
      <c r="I53" s="118"/>
      <c r="J53" s="108"/>
      <c r="K53" s="2"/>
      <c r="L53" s="2"/>
      <c r="M53" s="2"/>
      <c r="N53" s="30"/>
      <c r="O53" s="31">
        <f t="shared" si="9"/>
        <v>5300</v>
      </c>
      <c r="P53" s="32">
        <v>16797.63</v>
      </c>
      <c r="Q53" s="33">
        <f t="shared" si="12"/>
        <v>316.93641509433962</v>
      </c>
      <c r="R53" s="22"/>
      <c r="S53" s="2"/>
      <c r="T53" s="2"/>
      <c r="U53" s="53">
        <f t="shared" si="7"/>
        <v>15000</v>
      </c>
      <c r="V53" s="6">
        <f t="shared" si="13"/>
        <v>46163.500000000007</v>
      </c>
      <c r="W53" s="6">
        <f t="shared" si="16"/>
        <v>307.75666666666672</v>
      </c>
      <c r="X53" s="2"/>
      <c r="Y53" s="53">
        <f t="shared" si="15"/>
        <v>15000</v>
      </c>
      <c r="Z53" s="6">
        <f t="shared" si="14"/>
        <v>47534.099999999984</v>
      </c>
      <c r="AA53" s="6">
        <f t="shared" si="17"/>
        <v>316.89399999999989</v>
      </c>
      <c r="AB53" s="2"/>
    </row>
    <row r="54" spans="1:28" ht="13.25" customHeight="1" x14ac:dyDescent="0.15">
      <c r="A54" s="2"/>
      <c r="B54" s="2"/>
      <c r="C54" s="2"/>
      <c r="D54" s="2"/>
      <c r="E54" s="2"/>
      <c r="F54" s="2"/>
      <c r="G54" s="2"/>
      <c r="H54" s="2"/>
      <c r="I54" s="118"/>
      <c r="J54" s="108"/>
      <c r="K54" s="2"/>
      <c r="L54" s="2"/>
      <c r="M54" s="2"/>
      <c r="N54" s="30"/>
      <c r="O54" s="31">
        <f t="shared" si="9"/>
        <v>5400</v>
      </c>
      <c r="P54" s="41">
        <f>I32</f>
        <v>17138.14</v>
      </c>
      <c r="Q54" s="33">
        <f t="shared" si="12"/>
        <v>317.37296296296296</v>
      </c>
      <c r="R54" s="22"/>
      <c r="S54" s="2"/>
      <c r="T54" s="2"/>
      <c r="U54" s="53">
        <f t="shared" si="7"/>
        <v>15100</v>
      </c>
      <c r="V54" s="6">
        <f t="shared" si="13"/>
        <v>46484.746000000006</v>
      </c>
      <c r="W54" s="6">
        <f t="shared" si="16"/>
        <v>307.84600000000006</v>
      </c>
      <c r="X54" s="2"/>
      <c r="Y54" s="53">
        <f t="shared" si="15"/>
        <v>15100</v>
      </c>
      <c r="Z54" s="6">
        <f t="shared" si="14"/>
        <v>47871.046799999982</v>
      </c>
      <c r="AA54" s="6">
        <f t="shared" si="17"/>
        <v>317.02679999999987</v>
      </c>
      <c r="AB54" s="2"/>
    </row>
    <row r="55" spans="1:28" ht="13.25" customHeight="1" x14ac:dyDescent="0.15">
      <c r="A55" s="2"/>
      <c r="B55" s="2"/>
      <c r="C55" s="2"/>
      <c r="D55" s="2"/>
      <c r="E55" s="2"/>
      <c r="F55" s="2"/>
      <c r="G55" s="2"/>
      <c r="H55" s="2"/>
      <c r="I55" s="118"/>
      <c r="J55" s="108"/>
      <c r="K55" s="2"/>
      <c r="L55" s="2"/>
      <c r="M55" s="2"/>
      <c r="N55" s="30"/>
      <c r="O55" s="31">
        <f t="shared" si="9"/>
        <v>5500</v>
      </c>
      <c r="P55" s="32">
        <v>17479.77</v>
      </c>
      <c r="Q55" s="33">
        <f t="shared" si="12"/>
        <v>317.81400000000002</v>
      </c>
      <c r="R55" s="22"/>
      <c r="S55" s="2"/>
      <c r="T55" s="2"/>
      <c r="U55" s="53">
        <f t="shared" si="7"/>
        <v>15200</v>
      </c>
      <c r="V55" s="6">
        <f t="shared" si="13"/>
        <v>46806.170666666672</v>
      </c>
      <c r="W55" s="6">
        <f t="shared" si="16"/>
        <v>307.9353333333334</v>
      </c>
      <c r="X55" s="2"/>
      <c r="Y55" s="53">
        <f t="shared" si="15"/>
        <v>15200</v>
      </c>
      <c r="Z55" s="6">
        <f t="shared" si="14"/>
        <v>48208.259199999971</v>
      </c>
      <c r="AA55" s="6">
        <f t="shared" si="17"/>
        <v>317.15959999999984</v>
      </c>
      <c r="AB55" s="2"/>
    </row>
    <row r="56" spans="1:28" ht="13.25" customHeight="1" x14ac:dyDescent="0.15">
      <c r="A56" s="2"/>
      <c r="B56" s="2"/>
      <c r="C56" s="2"/>
      <c r="D56" s="2"/>
      <c r="E56" s="2"/>
      <c r="F56" s="2"/>
      <c r="G56" s="2"/>
      <c r="H56" s="2"/>
      <c r="I56" s="118"/>
      <c r="J56" s="108"/>
      <c r="K56" s="2"/>
      <c r="L56" s="2"/>
      <c r="M56" s="2"/>
      <c r="N56" s="30"/>
      <c r="O56" s="31">
        <f t="shared" si="9"/>
        <v>5600</v>
      </c>
      <c r="P56" s="41">
        <f>I33</f>
        <v>17822.53</v>
      </c>
      <c r="Q56" s="33">
        <f t="shared" si="12"/>
        <v>318.25946428571427</v>
      </c>
      <c r="R56" s="22"/>
      <c r="S56" s="2"/>
      <c r="T56" s="2"/>
      <c r="U56" s="53">
        <v>15250</v>
      </c>
      <c r="V56" s="6">
        <f t="shared" si="13"/>
        <v>46966.95</v>
      </c>
      <c r="W56" s="53">
        <v>307.98</v>
      </c>
      <c r="X56" s="2"/>
      <c r="Y56" s="53">
        <f t="shared" si="15"/>
        <v>15300</v>
      </c>
      <c r="Z56" s="6">
        <f t="shared" si="14"/>
        <v>48545.737199999967</v>
      </c>
      <c r="AA56" s="6">
        <f t="shared" si="17"/>
        <v>317.29239999999982</v>
      </c>
      <c r="AB56" s="2"/>
    </row>
    <row r="57" spans="1:28" ht="13.25" customHeight="1" x14ac:dyDescent="0.15">
      <c r="A57" s="123" t="s">
        <v>58</v>
      </c>
      <c r="B57" s="2"/>
      <c r="C57" s="2"/>
      <c r="D57" s="2"/>
      <c r="E57" s="2"/>
      <c r="F57" s="2"/>
      <c r="G57" s="2"/>
      <c r="H57" s="2"/>
      <c r="I57" s="118"/>
      <c r="J57" s="108"/>
      <c r="K57" s="2"/>
      <c r="L57" s="2"/>
      <c r="M57" s="2"/>
      <c r="N57" s="30"/>
      <c r="O57" s="31">
        <f t="shared" si="9"/>
        <v>5700</v>
      </c>
      <c r="P57" s="32">
        <v>18166.5</v>
      </c>
      <c r="Q57" s="33">
        <f t="shared" si="12"/>
        <v>318.71052631578948</v>
      </c>
      <c r="R57" s="22"/>
      <c r="S57" s="2"/>
      <c r="T57" s="2"/>
      <c r="U57" s="53">
        <f>U55+100</f>
        <v>15300</v>
      </c>
      <c r="V57" s="6">
        <f t="shared" si="13"/>
        <v>47139.875643564359</v>
      </c>
      <c r="W57" s="6">
        <f t="shared" ref="W57:W66" si="18">W56+($W$67-$W$56)/10.1</f>
        <v>308.10376237623763</v>
      </c>
      <c r="X57" s="2"/>
      <c r="Y57" s="53">
        <f t="shared" si="15"/>
        <v>15400</v>
      </c>
      <c r="Z57" s="6">
        <f t="shared" si="14"/>
        <v>48883.480799999961</v>
      </c>
      <c r="AA57" s="6">
        <f t="shared" si="17"/>
        <v>317.42519999999979</v>
      </c>
      <c r="AB57" s="2"/>
    </row>
    <row r="58" spans="1:28" ht="13.25" customHeight="1" x14ac:dyDescent="0.15">
      <c r="A58" s="2"/>
      <c r="B58" s="2"/>
      <c r="C58" s="2"/>
      <c r="D58" s="2"/>
      <c r="E58" s="2"/>
      <c r="F58" s="2"/>
      <c r="G58" s="2"/>
      <c r="H58" s="2"/>
      <c r="I58" s="118"/>
      <c r="J58" s="108"/>
      <c r="K58" s="2"/>
      <c r="L58" s="2"/>
      <c r="M58" s="2"/>
      <c r="N58" s="30"/>
      <c r="O58" s="31">
        <f t="shared" si="9"/>
        <v>5800</v>
      </c>
      <c r="P58" s="41">
        <f>I34</f>
        <v>18511.849999999999</v>
      </c>
      <c r="Q58" s="33">
        <f t="shared" si="12"/>
        <v>319.16982758620685</v>
      </c>
      <c r="R58" s="22"/>
      <c r="S58" s="2"/>
      <c r="T58" s="2"/>
      <c r="U58" s="53">
        <f t="shared" ref="U58:U66" si="19">U57+100</f>
        <v>15400</v>
      </c>
      <c r="V58" s="6">
        <f t="shared" si="13"/>
        <v>47467.03881188119</v>
      </c>
      <c r="W58" s="6">
        <f t="shared" si="18"/>
        <v>308.22752475247523</v>
      </c>
      <c r="X58" s="2"/>
      <c r="Y58" s="53">
        <f t="shared" si="15"/>
        <v>15500</v>
      </c>
      <c r="Z58" s="6">
        <f t="shared" si="14"/>
        <v>49221.489999999962</v>
      </c>
      <c r="AA58" s="6">
        <f t="shared" si="17"/>
        <v>317.55799999999977</v>
      </c>
      <c r="AB58" s="2"/>
    </row>
    <row r="59" spans="1:28" ht="13.25" customHeight="1" x14ac:dyDescent="0.15">
      <c r="A59" s="2"/>
      <c r="B59" s="2"/>
      <c r="C59" s="2"/>
      <c r="D59" s="2"/>
      <c r="E59" s="2"/>
      <c r="F59" s="2"/>
      <c r="G59" s="2"/>
      <c r="H59" s="2"/>
      <c r="I59" s="118"/>
      <c r="J59" s="108"/>
      <c r="K59" s="2"/>
      <c r="L59" s="2"/>
      <c r="M59" s="2"/>
      <c r="N59" s="30"/>
      <c r="O59" s="31">
        <v>5828</v>
      </c>
      <c r="P59" s="41">
        <f>I35</f>
        <v>18608.830000000002</v>
      </c>
      <c r="Q59" s="33">
        <f t="shared" si="12"/>
        <v>319.30044612216886</v>
      </c>
      <c r="R59" s="22"/>
      <c r="S59" s="2"/>
      <c r="T59" s="2"/>
      <c r="U59" s="53">
        <f t="shared" si="19"/>
        <v>15500</v>
      </c>
      <c r="V59" s="6">
        <f t="shared" si="13"/>
        <v>47794.449504950491</v>
      </c>
      <c r="W59" s="6">
        <f t="shared" si="18"/>
        <v>308.35128712871284</v>
      </c>
      <c r="X59" s="2"/>
      <c r="Y59" s="53">
        <f t="shared" si="15"/>
        <v>15600</v>
      </c>
      <c r="Z59" s="6">
        <f t="shared" si="14"/>
        <v>49559.764799999961</v>
      </c>
      <c r="AA59" s="6">
        <f t="shared" si="17"/>
        <v>317.69079999999974</v>
      </c>
      <c r="AB59" s="2"/>
    </row>
    <row r="60" spans="1:28" ht="13.25" customHeight="1" x14ac:dyDescent="0.15">
      <c r="A60" s="2"/>
      <c r="B60" s="2"/>
      <c r="C60" s="2"/>
      <c r="D60" s="2"/>
      <c r="E60" s="2"/>
      <c r="F60" s="2"/>
      <c r="G60" s="2"/>
      <c r="H60" s="2"/>
      <c r="I60" s="118"/>
      <c r="J60" s="108"/>
      <c r="K60" s="2"/>
      <c r="L60" s="2"/>
      <c r="M60" s="2"/>
      <c r="N60" s="30"/>
      <c r="O60" s="62"/>
      <c r="P60" s="41"/>
      <c r="Q60" s="33"/>
      <c r="R60" s="22"/>
      <c r="S60" s="2"/>
      <c r="T60" s="2"/>
      <c r="U60" s="53">
        <f t="shared" si="19"/>
        <v>15600</v>
      </c>
      <c r="V60" s="6">
        <f t="shared" si="13"/>
        <v>48122.107722772264</v>
      </c>
      <c r="W60" s="6">
        <f t="shared" si="18"/>
        <v>308.47504950495045</v>
      </c>
      <c r="X60" s="2"/>
      <c r="Y60" s="53">
        <f t="shared" si="15"/>
        <v>15700</v>
      </c>
      <c r="Z60" s="6">
        <f t="shared" si="14"/>
        <v>49898.305199999959</v>
      </c>
      <c r="AA60" s="6">
        <f t="shared" si="17"/>
        <v>317.82359999999971</v>
      </c>
      <c r="AB60" s="2"/>
    </row>
    <row r="61" spans="1:28" ht="13.25" customHeight="1" x14ac:dyDescent="0.15">
      <c r="A61" s="124"/>
      <c r="B61" s="2"/>
      <c r="C61" s="2"/>
      <c r="D61" s="2"/>
      <c r="E61" s="2"/>
      <c r="F61" s="2"/>
      <c r="G61" s="2"/>
      <c r="H61" s="106"/>
      <c r="I61" s="118"/>
      <c r="J61" s="108"/>
      <c r="K61" s="2"/>
      <c r="L61" s="2"/>
      <c r="M61" s="2"/>
      <c r="N61" s="30"/>
      <c r="O61" s="62"/>
      <c r="P61" s="32"/>
      <c r="Q61" s="33"/>
      <c r="R61" s="22"/>
      <c r="S61" s="2"/>
      <c r="T61" s="2"/>
      <c r="U61" s="53">
        <f t="shared" si="19"/>
        <v>15700</v>
      </c>
      <c r="V61" s="6">
        <f t="shared" si="13"/>
        <v>48450.013465346528</v>
      </c>
      <c r="W61" s="6">
        <f t="shared" si="18"/>
        <v>308.59881188118806</v>
      </c>
      <c r="X61" s="2"/>
      <c r="Y61" s="53">
        <f t="shared" si="15"/>
        <v>15800</v>
      </c>
      <c r="Z61" s="6">
        <f t="shared" si="14"/>
        <v>50226.62</v>
      </c>
      <c r="AA61" s="6">
        <v>317.89</v>
      </c>
      <c r="AB61" s="2"/>
    </row>
    <row r="62" spans="1:28" ht="13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0"/>
      <c r="O62" s="62"/>
      <c r="P62" s="41"/>
      <c r="Q62" s="33"/>
      <c r="R62" s="22"/>
      <c r="S62" s="2"/>
      <c r="T62" s="2"/>
      <c r="U62" s="53">
        <f t="shared" si="19"/>
        <v>15800</v>
      </c>
      <c r="V62" s="6">
        <f t="shared" si="13"/>
        <v>48778.166732673257</v>
      </c>
      <c r="W62" s="6">
        <f t="shared" si="18"/>
        <v>308.72257425742566</v>
      </c>
      <c r="X62" s="2"/>
      <c r="Y62" s="53">
        <f t="shared" si="15"/>
        <v>15900</v>
      </c>
      <c r="Z62" s="6">
        <f t="shared" si="14"/>
        <v>50544.51</v>
      </c>
      <c r="AA62" s="6">
        <v>317.89</v>
      </c>
      <c r="AB62" s="2"/>
    </row>
    <row r="63" spans="1:28" ht="12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0"/>
      <c r="O63" s="62"/>
      <c r="P63" s="32"/>
      <c r="Q63" s="33"/>
      <c r="R63" s="22"/>
      <c r="S63" s="2"/>
      <c r="T63" s="2"/>
      <c r="U63" s="53">
        <f t="shared" si="19"/>
        <v>15900</v>
      </c>
      <c r="V63" s="6">
        <f t="shared" si="13"/>
        <v>49106.567524752456</v>
      </c>
      <c r="W63" s="6">
        <f t="shared" si="18"/>
        <v>308.84633663366327</v>
      </c>
      <c r="X63" s="2"/>
      <c r="Y63" s="53">
        <f t="shared" si="15"/>
        <v>16000</v>
      </c>
      <c r="Z63" s="6">
        <f t="shared" si="14"/>
        <v>50862.400000000001</v>
      </c>
      <c r="AA63" s="6">
        <v>317.89</v>
      </c>
      <c r="AB63" s="2"/>
    </row>
    <row r="64" spans="1:28" ht="13.25" customHeight="1" x14ac:dyDescent="0.15">
      <c r="A64" s="2"/>
      <c r="B64" s="125"/>
      <c r="C64" s="125"/>
      <c r="D64" s="2"/>
      <c r="E64" s="2"/>
      <c r="F64" s="2"/>
      <c r="G64" s="2"/>
      <c r="H64" s="2"/>
      <c r="I64" s="2"/>
      <c r="J64" s="2"/>
      <c r="K64" s="2"/>
      <c r="L64" s="2"/>
      <c r="M64" s="2"/>
      <c r="N64" s="30"/>
      <c r="O64" s="62"/>
      <c r="P64" s="41"/>
      <c r="Q64" s="33"/>
      <c r="R64" s="22"/>
      <c r="S64" s="2"/>
      <c r="T64" s="2"/>
      <c r="U64" s="53">
        <f t="shared" si="19"/>
        <v>16000</v>
      </c>
      <c r="V64" s="6">
        <f t="shared" si="13"/>
        <v>49435.21584158414</v>
      </c>
      <c r="W64" s="6">
        <f t="shared" si="18"/>
        <v>308.97009900990088</v>
      </c>
      <c r="X64" s="2"/>
      <c r="Y64" s="53">
        <f t="shared" si="15"/>
        <v>16100</v>
      </c>
      <c r="Z64" s="6">
        <f t="shared" si="14"/>
        <v>51180.29</v>
      </c>
      <c r="AA64" s="6">
        <v>317.89</v>
      </c>
      <c r="AB64" s="2"/>
    </row>
    <row r="65" spans="1:28" ht="12.75" customHeight="1" x14ac:dyDescent="0.15">
      <c r="A65" s="119"/>
      <c r="B65" s="126"/>
      <c r="C65" s="126"/>
      <c r="D65" s="2"/>
      <c r="E65" s="2"/>
      <c r="F65" s="2"/>
      <c r="G65" s="2"/>
      <c r="H65" s="2"/>
      <c r="I65" s="2"/>
      <c r="J65" s="2"/>
      <c r="K65" s="2"/>
      <c r="L65" s="2"/>
      <c r="M65" s="2"/>
      <c r="N65" s="30"/>
      <c r="O65" s="62"/>
      <c r="P65" s="32"/>
      <c r="Q65" s="33"/>
      <c r="R65" s="22"/>
      <c r="S65" s="2"/>
      <c r="T65" s="2"/>
      <c r="U65" s="53">
        <f t="shared" si="19"/>
        <v>16100</v>
      </c>
      <c r="V65" s="6">
        <f t="shared" si="13"/>
        <v>49764.111683168303</v>
      </c>
      <c r="W65" s="6">
        <f t="shared" si="18"/>
        <v>309.09386138613849</v>
      </c>
      <c r="X65" s="2"/>
      <c r="Y65" s="53">
        <f t="shared" si="15"/>
        <v>16200</v>
      </c>
      <c r="Z65" s="6">
        <f t="shared" si="14"/>
        <v>51498.18</v>
      </c>
      <c r="AA65" s="6">
        <v>317.89</v>
      </c>
      <c r="AB65" s="2"/>
    </row>
    <row r="66" spans="1:28" ht="12.75" customHeight="1" x14ac:dyDescent="0.15">
      <c r="A66" s="119"/>
      <c r="B66" s="126"/>
      <c r="C66" s="126"/>
      <c r="D66" s="2"/>
      <c r="E66" s="2"/>
      <c r="F66" s="2"/>
      <c r="G66" s="2"/>
      <c r="H66" s="2"/>
      <c r="I66" s="2"/>
      <c r="J66" s="2"/>
      <c r="K66" s="2"/>
      <c r="L66" s="2"/>
      <c r="M66" s="2"/>
      <c r="N66" s="30"/>
      <c r="O66" s="62"/>
      <c r="P66" s="32"/>
      <c r="Q66" s="33"/>
      <c r="R66" s="22"/>
      <c r="S66" s="2"/>
      <c r="T66" s="2"/>
      <c r="U66" s="53">
        <f t="shared" si="19"/>
        <v>16200</v>
      </c>
      <c r="V66" s="6">
        <f t="shared" si="13"/>
        <v>50093.255049504929</v>
      </c>
      <c r="W66" s="6">
        <f t="shared" si="18"/>
        <v>309.21762376237609</v>
      </c>
      <c r="X66" s="2"/>
      <c r="Y66" s="53">
        <f t="shared" si="15"/>
        <v>16300</v>
      </c>
      <c r="Z66" s="6">
        <f t="shared" si="14"/>
        <v>51816.07</v>
      </c>
      <c r="AA66" s="6">
        <v>317.89</v>
      </c>
      <c r="AB66" s="2"/>
    </row>
    <row r="67" spans="1:28" ht="12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0"/>
      <c r="O67" s="62"/>
      <c r="P67" s="32"/>
      <c r="Q67" s="33"/>
      <c r="R67" s="22"/>
      <c r="S67" s="2"/>
      <c r="T67" s="2"/>
      <c r="U67" s="53">
        <v>16250</v>
      </c>
      <c r="V67" s="6">
        <f t="shared" si="13"/>
        <v>50249.875</v>
      </c>
      <c r="W67" s="53">
        <v>309.23</v>
      </c>
      <c r="X67" s="2"/>
      <c r="Y67" s="53">
        <f t="shared" si="15"/>
        <v>16400</v>
      </c>
      <c r="Z67" s="6">
        <f t="shared" si="14"/>
        <v>52133.96</v>
      </c>
      <c r="AA67" s="6">
        <v>317.89</v>
      </c>
      <c r="AB67" s="2"/>
    </row>
    <row r="68" spans="1:28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0"/>
      <c r="O68" s="62"/>
      <c r="P68" s="32"/>
      <c r="Q68" s="33"/>
      <c r="R68" s="22"/>
      <c r="S68" s="2"/>
      <c r="T68" s="2"/>
      <c r="U68" s="53">
        <f>U66+100</f>
        <v>16300</v>
      </c>
      <c r="V68" s="6">
        <f t="shared" si="13"/>
        <v>50433.378118811881</v>
      </c>
      <c r="W68" s="6">
        <f t="shared" ref="W68:W77" si="20">W67+($W$78-$W$67)/10.1</f>
        <v>309.40722772277229</v>
      </c>
      <c r="X68" s="2"/>
      <c r="Y68" s="53">
        <f t="shared" si="15"/>
        <v>16500</v>
      </c>
      <c r="Z68" s="6">
        <f t="shared" si="14"/>
        <v>52451.85</v>
      </c>
      <c r="AA68" s="6">
        <v>317.89</v>
      </c>
      <c r="AB68" s="2"/>
    </row>
    <row r="69" spans="1:28" ht="12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0"/>
      <c r="O69" s="62"/>
      <c r="P69" s="32"/>
      <c r="Q69" s="33"/>
      <c r="R69" s="22"/>
      <c r="S69" s="2"/>
      <c r="T69" s="2"/>
      <c r="U69" s="53">
        <f t="shared" ref="U69:U77" si="21">U68+100</f>
        <v>16400</v>
      </c>
      <c r="V69" s="6">
        <f t="shared" si="13"/>
        <v>50771.850693069304</v>
      </c>
      <c r="W69" s="6">
        <f t="shared" si="20"/>
        <v>309.58445544554456</v>
      </c>
      <c r="X69" s="2"/>
      <c r="Y69" s="53">
        <f t="shared" si="15"/>
        <v>16600</v>
      </c>
      <c r="Z69" s="6">
        <f t="shared" si="14"/>
        <v>52769.74</v>
      </c>
      <c r="AA69" s="6">
        <v>317.89</v>
      </c>
      <c r="AB69" s="2"/>
    </row>
    <row r="70" spans="1:28" ht="13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0"/>
      <c r="O70" s="62"/>
      <c r="P70" s="41"/>
      <c r="Q70" s="33"/>
      <c r="R70" s="22"/>
      <c r="S70" s="2"/>
      <c r="T70" s="2"/>
      <c r="U70" s="53">
        <f t="shared" si="21"/>
        <v>16500</v>
      </c>
      <c r="V70" s="6">
        <f t="shared" si="13"/>
        <v>51110.677722772278</v>
      </c>
      <c r="W70" s="6">
        <f t="shared" si="20"/>
        <v>309.76168316831684</v>
      </c>
      <c r="X70" s="2"/>
      <c r="Y70" s="53">
        <f t="shared" si="15"/>
        <v>16700</v>
      </c>
      <c r="Z70" s="6">
        <f t="shared" si="14"/>
        <v>53087.63</v>
      </c>
      <c r="AA70" s="6">
        <v>317.89</v>
      </c>
      <c r="AB70" s="2"/>
    </row>
    <row r="71" spans="1:28" ht="12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0"/>
      <c r="O71" s="62"/>
      <c r="P71" s="32"/>
      <c r="Q71" s="33"/>
      <c r="R71" s="22"/>
      <c r="S71" s="2"/>
      <c r="T71" s="2"/>
      <c r="U71" s="53">
        <f t="shared" si="21"/>
        <v>16600</v>
      </c>
      <c r="V71" s="6">
        <f t="shared" si="13"/>
        <v>51449.859207920796</v>
      </c>
      <c r="W71" s="6">
        <f t="shared" si="20"/>
        <v>309.93891089108911</v>
      </c>
      <c r="X71" s="2"/>
      <c r="Y71" s="53">
        <f t="shared" si="15"/>
        <v>16800</v>
      </c>
      <c r="Z71" s="6">
        <f t="shared" si="14"/>
        <v>53405.52</v>
      </c>
      <c r="AA71" s="6">
        <v>317.89</v>
      </c>
      <c r="AB71" s="2"/>
    </row>
    <row r="72" spans="1:28" ht="12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0"/>
      <c r="O72" s="62"/>
      <c r="P72" s="32"/>
      <c r="Q72" s="33"/>
      <c r="R72" s="22"/>
      <c r="S72" s="2"/>
      <c r="T72" s="2"/>
      <c r="U72" s="53">
        <f t="shared" si="21"/>
        <v>16700</v>
      </c>
      <c r="V72" s="6">
        <f t="shared" ref="V72:V79" si="22">(U72*W72)/100</f>
        <v>51789.395148514857</v>
      </c>
      <c r="W72" s="6">
        <f t="shared" si="20"/>
        <v>310.11613861386138</v>
      </c>
      <c r="X72" s="2"/>
      <c r="Y72" s="53">
        <f t="shared" si="15"/>
        <v>16900</v>
      </c>
      <c r="Z72" s="6">
        <f t="shared" ref="Z72:Z76" si="23">(Y72*AA72)/100</f>
        <v>53723.41</v>
      </c>
      <c r="AA72" s="6">
        <v>317.89</v>
      </c>
      <c r="AB72" s="2"/>
    </row>
    <row r="73" spans="1:28" ht="12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0"/>
      <c r="O73" s="62"/>
      <c r="P73" s="32"/>
      <c r="Q73" s="33"/>
      <c r="R73" s="22"/>
      <c r="S73" s="2"/>
      <c r="T73" s="2"/>
      <c r="U73" s="53">
        <f t="shared" si="21"/>
        <v>16800</v>
      </c>
      <c r="V73" s="6">
        <f t="shared" si="22"/>
        <v>52129.285544554448</v>
      </c>
      <c r="W73" s="6">
        <f t="shared" si="20"/>
        <v>310.29336633663365</v>
      </c>
      <c r="X73" s="2"/>
      <c r="Y73" s="53">
        <f t="shared" si="15"/>
        <v>17000</v>
      </c>
      <c r="Z73" s="6">
        <f t="shared" si="23"/>
        <v>54041.3</v>
      </c>
      <c r="AA73" s="6">
        <v>317.89</v>
      </c>
      <c r="AB73" s="2"/>
    </row>
    <row r="74" spans="1:28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0"/>
      <c r="O74" s="62"/>
      <c r="P74" s="32"/>
      <c r="Q74" s="33"/>
      <c r="R74" s="22"/>
      <c r="S74" s="2"/>
      <c r="T74" s="2"/>
      <c r="U74" s="53">
        <f t="shared" si="21"/>
        <v>16900</v>
      </c>
      <c r="V74" s="6">
        <f t="shared" si="22"/>
        <v>52469.530396039598</v>
      </c>
      <c r="W74" s="6">
        <f t="shared" si="20"/>
        <v>310.47059405940593</v>
      </c>
      <c r="X74" s="2"/>
      <c r="Y74" s="53">
        <f t="shared" si="15"/>
        <v>17100</v>
      </c>
      <c r="Z74" s="6">
        <f t="shared" si="23"/>
        <v>54359.19</v>
      </c>
      <c r="AA74" s="6">
        <v>317.89</v>
      </c>
      <c r="AB74" s="2"/>
    </row>
    <row r="75" spans="1:28" ht="12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0"/>
      <c r="O75" s="62"/>
      <c r="P75" s="32"/>
      <c r="Q75" s="33"/>
      <c r="R75" s="22"/>
      <c r="S75" s="2"/>
      <c r="T75" s="2"/>
      <c r="U75" s="53">
        <f t="shared" si="21"/>
        <v>17000</v>
      </c>
      <c r="V75" s="6">
        <f t="shared" si="22"/>
        <v>52810.129702970291</v>
      </c>
      <c r="W75" s="6">
        <f t="shared" si="20"/>
        <v>310.6478217821782</v>
      </c>
      <c r="X75" s="2"/>
      <c r="Y75" s="53">
        <f t="shared" si="15"/>
        <v>17200</v>
      </c>
      <c r="Z75" s="6">
        <f t="shared" si="23"/>
        <v>54677.08</v>
      </c>
      <c r="AA75" s="6">
        <v>317.89</v>
      </c>
      <c r="AB75" s="2"/>
    </row>
    <row r="76" spans="1:28" ht="12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0"/>
      <c r="O76" s="62"/>
      <c r="P76" s="32"/>
      <c r="Q76" s="33"/>
      <c r="R76" s="22"/>
      <c r="S76" s="2"/>
      <c r="T76" s="2"/>
      <c r="U76" s="53">
        <f t="shared" si="21"/>
        <v>17100</v>
      </c>
      <c r="V76" s="6">
        <f t="shared" si="22"/>
        <v>53151.083465346528</v>
      </c>
      <c r="W76" s="6">
        <f t="shared" si="20"/>
        <v>310.82504950495047</v>
      </c>
      <c r="X76" s="2"/>
      <c r="Y76" s="53">
        <f t="shared" si="15"/>
        <v>17300</v>
      </c>
      <c r="Z76" s="6">
        <f t="shared" si="23"/>
        <v>54994.97</v>
      </c>
      <c r="AA76" s="6">
        <v>317.89</v>
      </c>
      <c r="AB76" s="2"/>
    </row>
    <row r="77" spans="1:28" ht="12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0"/>
      <c r="O77" s="62"/>
      <c r="P77" s="32"/>
      <c r="Q77" s="33"/>
      <c r="R77" s="22"/>
      <c r="S77" s="2"/>
      <c r="T77" s="2"/>
      <c r="U77" s="53">
        <f t="shared" si="21"/>
        <v>17200</v>
      </c>
      <c r="V77" s="6">
        <f t="shared" si="22"/>
        <v>53492.391683168309</v>
      </c>
      <c r="W77" s="6">
        <f t="shared" si="20"/>
        <v>311.00227722772274</v>
      </c>
      <c r="X77" s="2"/>
      <c r="Y77" s="2"/>
      <c r="Z77" s="6"/>
      <c r="AA77" s="6"/>
      <c r="AB77" s="2"/>
    </row>
    <row r="78" spans="1:28" ht="12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0"/>
      <c r="O78" s="62"/>
      <c r="P78" s="32"/>
      <c r="Q78" s="33"/>
      <c r="R78" s="22"/>
      <c r="S78" s="2"/>
      <c r="T78" s="2"/>
      <c r="U78" s="53">
        <v>17230</v>
      </c>
      <c r="V78" s="6">
        <f t="shared" si="22"/>
        <v>53588.745999999999</v>
      </c>
      <c r="W78" s="53">
        <v>311.02</v>
      </c>
      <c r="X78" s="2"/>
      <c r="Y78" s="2"/>
      <c r="Z78" s="6"/>
      <c r="AA78" s="6"/>
      <c r="AB78" s="2"/>
    </row>
    <row r="79" spans="1:28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0"/>
      <c r="O79" s="62"/>
      <c r="P79" s="32"/>
      <c r="Q79" s="33"/>
      <c r="R79" s="22"/>
      <c r="S79" s="2"/>
      <c r="T79" s="2"/>
      <c r="U79" s="53">
        <f>U77+100</f>
        <v>17300</v>
      </c>
      <c r="V79" s="6">
        <f t="shared" si="22"/>
        <v>53813.38</v>
      </c>
      <c r="W79" s="53">
        <v>311.06</v>
      </c>
      <c r="X79" s="2"/>
      <c r="Y79" s="2"/>
      <c r="Z79" s="6"/>
      <c r="AA79" s="6"/>
      <c r="AB79" s="2"/>
    </row>
    <row r="80" spans="1:28" ht="12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0"/>
      <c r="O80" s="62"/>
      <c r="P80" s="32"/>
      <c r="Q80" s="33"/>
      <c r="R80" s="2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0"/>
      <c r="O81" s="62"/>
      <c r="P81" s="32"/>
      <c r="Q81" s="33"/>
      <c r="R81" s="2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01"/>
      <c r="P82" s="100"/>
      <c r="Q82" s="103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06"/>
      <c r="Q83" s="108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06"/>
      <c r="P84" s="106"/>
      <c r="Q84" s="108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06"/>
      <c r="P85" s="106"/>
      <c r="Q85" s="108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06"/>
      <c r="P86" s="106"/>
      <c r="Q86" s="108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06"/>
      <c r="P87" s="106"/>
      <c r="Q87" s="108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06"/>
      <c r="P88" s="106"/>
      <c r="Q88" s="108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06"/>
      <c r="P89" s="106"/>
      <c r="Q89" s="108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06"/>
      <c r="P90" s="106"/>
      <c r="Q90" s="108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06"/>
      <c r="P91" s="106"/>
      <c r="Q91" s="108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06"/>
      <c r="P92" s="106"/>
      <c r="Q92" s="108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06"/>
      <c r="P93" s="106"/>
      <c r="Q93" s="108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06"/>
      <c r="P94" s="106"/>
      <c r="Q94" s="108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06"/>
      <c r="P95" s="106"/>
      <c r="Q95" s="108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06"/>
      <c r="P96" s="106"/>
      <c r="Q96" s="108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06"/>
      <c r="P97" s="106"/>
      <c r="Q97" s="108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06"/>
      <c r="P98" s="106"/>
      <c r="Q98" s="108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06"/>
      <c r="P99" s="106"/>
      <c r="Q99" s="108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06"/>
      <c r="P100" s="106"/>
      <c r="Q100" s="108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06"/>
      <c r="P101" s="106"/>
      <c r="Q101" s="108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06"/>
      <c r="P102" s="106"/>
      <c r="Q102" s="108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</sheetData>
  <sheetProtection sheet="1" objects="1" scenarios="1" selectLockedCells="1"/>
  <mergeCells count="1">
    <mergeCell ref="U4:W4"/>
  </mergeCells>
  <pageMargins left="0.75" right="0.75" top="0.25" bottom="0.25" header="0.25" footer="0.25"/>
  <pageSetup orientation="portrait"/>
  <headerFooter>
    <oddFooter>&amp;C&amp;"Helvetica Neue,Regular"&amp;12&amp;K000000&amp;P</oddFooter>
  </headerFooter>
  <ignoredErrors>
    <ignoredError sqref="C3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baseColWidth="10" defaultColWidth="8.83203125" defaultRowHeight="12.75" customHeight="1" x14ac:dyDescent="0.15"/>
  <cols>
    <col min="1" max="5" width="8.83203125" style="127" customWidth="1"/>
    <col min="6" max="256" width="8.83203125" customWidth="1"/>
  </cols>
  <sheetData>
    <row r="1" spans="1:5" ht="17.75" customHeight="1" x14ac:dyDescent="0.2">
      <c r="A1" s="2"/>
      <c r="B1" s="128"/>
      <c r="C1" s="128"/>
      <c r="D1" s="128"/>
      <c r="E1" s="2"/>
    </row>
    <row r="2" spans="1:5" ht="13.75" customHeight="1" x14ac:dyDescent="0.15">
      <c r="A2" s="2"/>
      <c r="B2" s="2"/>
      <c r="C2" s="2"/>
      <c r="D2" s="2"/>
      <c r="E2" s="2"/>
    </row>
    <row r="3" spans="1:5" ht="13.75" customHeight="1" x14ac:dyDescent="0.15">
      <c r="A3" s="2"/>
      <c r="B3" s="2"/>
      <c r="C3" s="2"/>
      <c r="D3" s="2"/>
      <c r="E3" s="2"/>
    </row>
    <row r="4" spans="1:5" ht="13.25" customHeight="1" x14ac:dyDescent="0.15">
      <c r="A4" s="2"/>
      <c r="B4" s="129"/>
      <c r="C4" s="2"/>
      <c r="D4" s="2"/>
      <c r="E4" s="2"/>
    </row>
    <row r="5" spans="1:5" ht="13.75" customHeight="1" x14ac:dyDescent="0.15">
      <c r="A5" s="2"/>
      <c r="B5" s="2"/>
      <c r="C5" s="2"/>
      <c r="D5" s="2"/>
      <c r="E5" s="2"/>
    </row>
    <row r="6" spans="1:5" ht="13.75" customHeight="1" x14ac:dyDescent="0.15">
      <c r="A6" s="2"/>
      <c r="B6" s="2"/>
      <c r="C6" s="2"/>
      <c r="D6" s="2"/>
      <c r="E6" s="2"/>
    </row>
    <row r="7" spans="1:5" ht="13.75" customHeight="1" x14ac:dyDescent="0.15">
      <c r="A7" s="2"/>
      <c r="B7" s="2"/>
      <c r="C7" s="2"/>
      <c r="D7" s="2"/>
      <c r="E7" s="2"/>
    </row>
    <row r="8" spans="1:5" ht="13.75" customHeight="1" x14ac:dyDescent="0.15">
      <c r="A8" s="2"/>
      <c r="B8" s="2"/>
      <c r="C8" s="2"/>
      <c r="D8" s="2"/>
      <c r="E8" s="2"/>
    </row>
    <row r="9" spans="1:5" ht="13.75" customHeight="1" x14ac:dyDescent="0.15">
      <c r="A9" s="2"/>
      <c r="B9" s="2"/>
      <c r="C9" s="2"/>
      <c r="D9" s="2"/>
      <c r="E9" s="2"/>
    </row>
    <row r="10" spans="1:5" ht="13.75" customHeight="1" x14ac:dyDescent="0.15">
      <c r="A10" s="2"/>
      <c r="B10" s="2"/>
      <c r="C10" s="2"/>
      <c r="D10" s="2"/>
      <c r="E10" s="2"/>
    </row>
  </sheetData>
  <pageMargins left="0.75" right="0.75" top="0.25" bottom="0.25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CE525C Wgt &amp; Bal</vt:lpstr>
      <vt:lpstr>CE525 CG Envelope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geoff hatcher</cp:lastModifiedBy>
  <dcterms:created xsi:type="dcterms:W3CDTF">2017-12-11T16:14:57Z</dcterms:created>
  <dcterms:modified xsi:type="dcterms:W3CDTF">2019-10-03T04:56:36Z</dcterms:modified>
</cp:coreProperties>
</file>