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geoffhatcher/Documents/Aviation/CJ 1,2,3,4/CJ2/"/>
    </mc:Choice>
  </mc:AlternateContent>
  <xr:revisionPtr revIDLastSave="0" documentId="8_{7A704D21-1741-BA48-A681-01D9FEAE2600}" xr6:coauthVersionLast="43" xr6:coauthVersionMax="43" xr10:uidLastSave="{00000000-0000-0000-0000-000000000000}"/>
  <workbookProtection workbookAlgorithmName="SHA-512" workbookHashValue="V7fjFUN4LlYuF/aSqev97Cz7GcKlxS2tKu6hjEGm+Nh+poM3Y8OnbTtZiQkgKQPXhMFE0bYNEtsTo9cF8x9G8Q==" workbookSaltValue="RWBjmW5zBZ8/LmR10J29vg==" workbookSpinCount="100000" lockStructure="1"/>
  <bookViews>
    <workbookView xWindow="0" yWindow="0" windowWidth="28800" windowHeight="18000" xr2:uid="{00000000-000D-0000-FFFF-FFFF00000000}"/>
  </bookViews>
  <sheets>
    <sheet name="N757CP" sheetId="4" r:id="rId1"/>
    <sheet name="Sheet2" sheetId="9" state="hidden" r:id="rId2"/>
    <sheet name="CE525 Wgt &amp; Bal" sheetId="1" state="hidden" r:id="rId3"/>
    <sheet name="DATA" sheetId="7" state="hidden" r:id="rId4"/>
  </sheets>
  <definedNames>
    <definedName name="_xlnm.Print_Area" localSheetId="0">N757CP!$B$1:$J$38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6" i="1" l="1"/>
  <c r="B27" i="1"/>
  <c r="C27" i="1" s="1"/>
  <c r="D8" i="1"/>
  <c r="B20" i="1"/>
  <c r="D20" i="1" s="1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D42" i="7"/>
  <c r="A42" i="7"/>
  <c r="D41" i="7"/>
  <c r="A41" i="7"/>
  <c r="D40" i="7"/>
  <c r="A40" i="7"/>
  <c r="D39" i="7"/>
  <c r="A39" i="7"/>
  <c r="D38" i="7"/>
  <c r="A38" i="7"/>
  <c r="D37" i="7"/>
  <c r="A37" i="7"/>
  <c r="D36" i="7"/>
  <c r="A36" i="7"/>
  <c r="D35" i="7"/>
  <c r="A35" i="7"/>
  <c r="D34" i="7"/>
  <c r="A34" i="7"/>
  <c r="D33" i="7"/>
  <c r="A33" i="7"/>
  <c r="D32" i="7"/>
  <c r="A32" i="7"/>
  <c r="D31" i="7"/>
  <c r="A31" i="7"/>
  <c r="D30" i="7"/>
  <c r="A30" i="7"/>
  <c r="D29" i="7"/>
  <c r="A29" i="7"/>
  <c r="D28" i="7"/>
  <c r="A28" i="7"/>
  <c r="D27" i="7"/>
  <c r="A27" i="7"/>
  <c r="D26" i="7"/>
  <c r="A26" i="7"/>
  <c r="D25" i="7"/>
  <c r="A25" i="7"/>
  <c r="D24" i="7"/>
  <c r="A24" i="7"/>
  <c r="D23" i="7"/>
  <c r="A23" i="7"/>
  <c r="D22" i="7"/>
  <c r="A22" i="7"/>
  <c r="D21" i="7"/>
  <c r="A21" i="7"/>
  <c r="D20" i="7"/>
  <c r="A20" i="7"/>
  <c r="D19" i="7"/>
  <c r="A19" i="7"/>
  <c r="D18" i="7"/>
  <c r="A18" i="7"/>
  <c r="D17" i="7"/>
  <c r="A17" i="7"/>
  <c r="D16" i="7"/>
  <c r="A16" i="7"/>
  <c r="D15" i="7"/>
  <c r="A15" i="7"/>
  <c r="D14" i="7"/>
  <c r="A14" i="7"/>
  <c r="D13" i="7"/>
  <c r="A13" i="7"/>
  <c r="D12" i="7"/>
  <c r="A12" i="7"/>
  <c r="D11" i="7"/>
  <c r="A11" i="7"/>
  <c r="D10" i="7"/>
  <c r="A10" i="7"/>
  <c r="D9" i="7"/>
  <c r="A9" i="7"/>
  <c r="D8" i="7"/>
  <c r="A8" i="7"/>
  <c r="D7" i="7"/>
  <c r="A7" i="7"/>
  <c r="D6" i="7"/>
  <c r="A6" i="7"/>
  <c r="D5" i="7"/>
  <c r="A5" i="7"/>
  <c r="D4" i="7"/>
  <c r="A4" i="7"/>
  <c r="D3" i="7"/>
  <c r="A3" i="7"/>
  <c r="B30" i="1" l="1"/>
  <c r="B28" i="1"/>
  <c r="B17" i="1"/>
  <c r="B18" i="1"/>
  <c r="B19" i="1"/>
  <c r="B21" i="1"/>
  <c r="B22" i="1"/>
  <c r="B23" i="1"/>
  <c r="D12" i="1"/>
  <c r="B7" i="1"/>
  <c r="C6" i="1"/>
  <c r="D27" i="1" l="1"/>
  <c r="B29" i="1"/>
  <c r="C29" i="1" s="1"/>
  <c r="B24" i="1"/>
  <c r="C20" i="4" s="1"/>
  <c r="D16" i="1"/>
  <c r="B31" i="1" l="1"/>
  <c r="D29" i="1"/>
  <c r="C25" i="4"/>
  <c r="C27" i="4" l="1"/>
  <c r="C31" i="1"/>
  <c r="D31" i="1" s="1"/>
  <c r="D7" i="1" l="1"/>
  <c r="D9" i="1"/>
  <c r="D10" i="1"/>
  <c r="D18" i="1"/>
  <c r="D19" i="1"/>
  <c r="D21" i="1"/>
  <c r="D17" i="1"/>
  <c r="D22" i="1"/>
  <c r="D23" i="1"/>
  <c r="E6" i="1"/>
  <c r="D14" i="1"/>
  <c r="B15" i="1"/>
  <c r="C11" i="4" s="1"/>
  <c r="D15" i="1" l="1"/>
  <c r="D25" i="1" s="1"/>
  <c r="D38" i="1" s="1"/>
  <c r="B25" i="1"/>
  <c r="B33" i="1" s="1"/>
  <c r="C29" i="4" s="1"/>
  <c r="Q13" i="7" s="1"/>
  <c r="C21" i="4" l="1"/>
  <c r="Q10" i="7" s="1"/>
  <c r="B38" i="1"/>
  <c r="D33" i="1"/>
  <c r="C33" i="1" s="1"/>
  <c r="D35" i="1"/>
  <c r="C25" i="1"/>
  <c r="B35" i="1"/>
  <c r="I2" i="7" s="1"/>
  <c r="B42" i="1" s="1"/>
  <c r="C36" i="4" s="1"/>
  <c r="C43" i="1" l="1"/>
  <c r="D37" i="4" s="1"/>
  <c r="I3" i="7"/>
  <c r="B43" i="1" s="1"/>
  <c r="C37" i="4" s="1"/>
  <c r="B39" i="1"/>
  <c r="D33" i="4" s="1"/>
  <c r="N2" i="7"/>
  <c r="D42" i="1" s="1"/>
  <c r="E36" i="4" s="1"/>
  <c r="C38" i="1"/>
  <c r="C42" i="1"/>
  <c r="B36" i="1"/>
  <c r="D31" i="4" s="1"/>
  <c r="N3" i="7"/>
  <c r="D43" i="1" s="1"/>
  <c r="E37" i="4" s="1"/>
  <c r="C33" i="4"/>
  <c r="Q11" i="7" s="1"/>
  <c r="C35" i="1"/>
  <c r="C31" i="4"/>
  <c r="Q12" i="7" s="1"/>
  <c r="E42" i="1" l="1"/>
  <c r="D36" i="4"/>
  <c r="F36" i="4" s="1"/>
  <c r="F37" i="4"/>
  <c r="E43" i="1"/>
</calcChain>
</file>

<file path=xl/sharedStrings.xml><?xml version="1.0" encoding="utf-8"?>
<sst xmlns="http://schemas.openxmlformats.org/spreadsheetml/2006/main" count="101" uniqueCount="74">
  <si>
    <t>Min.Fwd.C.G. at Takeoff Wgt =</t>
  </si>
  <si>
    <t>Min.Aft.C.G. at Takeoff Wgt =</t>
  </si>
  <si>
    <t>Min.Fwd.C.G. at Landing Wgt =</t>
  </si>
  <si>
    <t>Min.Aft.C.G. at Landing Wgt =</t>
  </si>
  <si>
    <t>Weight</t>
  </si>
  <si>
    <t>Arm</t>
  </si>
  <si>
    <t>Moment</t>
  </si>
  <si>
    <t>CG</t>
  </si>
  <si>
    <t>Moment/100</t>
  </si>
  <si>
    <t>Arm (inches)</t>
  </si>
  <si>
    <t>FWD C.G. LIMITS</t>
  </si>
  <si>
    <t>AFT C.G. LIMITS</t>
  </si>
  <si>
    <t>(lbs)</t>
  </si>
  <si>
    <t>(inches)</t>
  </si>
  <si>
    <t>(in. lbs./100)</t>
  </si>
  <si>
    <t>Mom./100</t>
  </si>
  <si>
    <t>C.G.</t>
  </si>
  <si>
    <r>
      <rPr>
        <sz val="10"/>
        <color indexed="8"/>
        <rFont val="Arial"/>
        <family val="2"/>
      </rPr>
      <t xml:space="preserve">Seats 3 &amp; 4 </t>
    </r>
    <r>
      <rPr>
        <sz val="9"/>
        <color indexed="8"/>
        <rFont val="Arial"/>
        <family val="2"/>
      </rPr>
      <t>(aft facing club seats)</t>
    </r>
  </si>
  <si>
    <r>
      <rPr>
        <sz val="10"/>
        <color indexed="8"/>
        <rFont val="Arial"/>
        <family val="2"/>
      </rPr>
      <t>Seast 5 &amp; 6</t>
    </r>
    <r>
      <rPr>
        <sz val="9"/>
        <color indexed="8"/>
        <rFont val="Arial"/>
        <family val="2"/>
      </rPr>
      <t xml:space="preserve"> (forward facing club seats)</t>
    </r>
  </si>
  <si>
    <t>Nose Compartment Baggage (max = 400 lbs)</t>
  </si>
  <si>
    <t>Aft Tailcone Baggage (max = 600 lbs)</t>
  </si>
  <si>
    <t>________</t>
  </si>
  <si>
    <t>NOTES:</t>
  </si>
  <si>
    <t>CG Limits for this Takeoff Weight   (inches)</t>
  </si>
  <si>
    <t>CG Limits for this Landing Weight   (inches)</t>
  </si>
  <si>
    <t>`</t>
  </si>
  <si>
    <t>toilet seat</t>
  </si>
  <si>
    <t>Operating weight</t>
  </si>
  <si>
    <t>Taxi fuel</t>
  </si>
  <si>
    <t>Take off fuel</t>
  </si>
  <si>
    <t>Fuel Schedule</t>
  </si>
  <si>
    <t>FWD Limit</t>
  </si>
  <si>
    <t>AFT Limit</t>
  </si>
  <si>
    <t>Actual</t>
  </si>
  <si>
    <t>Payload</t>
  </si>
  <si>
    <t>Copilot/ passenger seat</t>
  </si>
  <si>
    <t>Landing Fuel</t>
  </si>
  <si>
    <r>
      <t xml:space="preserve">Toilet Cabinet </t>
    </r>
    <r>
      <rPr>
        <sz val="8"/>
        <color indexed="8"/>
        <rFont val="Arial"/>
        <family val="2"/>
      </rPr>
      <t>(limit to 100 lbs)</t>
    </r>
  </si>
  <si>
    <t>forward side facing seat</t>
  </si>
  <si>
    <t>Flight fuel burn</t>
  </si>
  <si>
    <t>Nose  Bags (mx 400 lbs)</t>
  </si>
  <si>
    <t>Takeoff Weight CG Limits   (inches)</t>
  </si>
  <si>
    <t>CG Envelope</t>
  </si>
  <si>
    <t>max ZFW</t>
  </si>
  <si>
    <t>Max Landing</t>
  </si>
  <si>
    <t>Max Takeoff</t>
  </si>
  <si>
    <t>Max Ramp</t>
  </si>
  <si>
    <t>Pilot 1</t>
  </si>
  <si>
    <r>
      <rPr>
        <sz val="10"/>
        <color indexed="8"/>
        <rFont val="Arial"/>
        <family val="2"/>
      </rPr>
      <t>Seats 5 &amp; 6</t>
    </r>
    <r>
      <rPr>
        <sz val="9"/>
        <color indexed="8"/>
        <rFont val="Arial"/>
        <family val="2"/>
      </rPr>
      <t xml:space="preserve"> (forward facing club seats)</t>
    </r>
  </si>
  <si>
    <t>seats 7 &amp; 8</t>
  </si>
  <si>
    <t>Takeoff Weight(12,375 max)</t>
  </si>
  <si>
    <t>Ramp Weight (12,500 max)</t>
  </si>
  <si>
    <t>Landing Weight (11,500 max)</t>
  </si>
  <si>
    <t xml:space="preserve">Zero Fuel Weight (9300 lb max) </t>
  </si>
  <si>
    <t>Seats 7 &amp; 8</t>
  </si>
  <si>
    <r>
      <t>N757CP</t>
    </r>
    <r>
      <rPr>
        <b/>
        <sz val="8"/>
        <color indexed="8"/>
        <rFont val="Arial"/>
        <family val="2"/>
      </rPr>
      <t xml:space="preserve">  (s/n 525A-0069) </t>
    </r>
    <r>
      <rPr>
        <b/>
        <sz val="10"/>
        <color indexed="8"/>
        <rFont val="Arial"/>
        <family val="2"/>
      </rPr>
      <t>BEW</t>
    </r>
  </si>
  <si>
    <t>Cessna CJ2 N757CP 525A-0069 WEIGHT and BALANCE CALCULATION</t>
  </si>
  <si>
    <t>Ramp Fuel (max 3960lbs 591 gal</t>
  </si>
  <si>
    <t>Landing Weight (11500 max)</t>
  </si>
  <si>
    <t>Ramp Weight (12500 max)</t>
  </si>
  <si>
    <t>Takeoff Weight(12375 max)</t>
  </si>
  <si>
    <t>N757CP CJ2 # 525A-069</t>
  </si>
  <si>
    <t>Pilot</t>
  </si>
  <si>
    <r>
      <t>RH Chart Case</t>
    </r>
    <r>
      <rPr>
        <sz val="8"/>
        <color indexed="8"/>
        <rFont val="Arial"/>
        <family val="2"/>
      </rPr>
      <t xml:space="preserve"> - behind copilot</t>
    </r>
    <r>
      <rPr>
        <sz val="10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(10 lbs max)</t>
    </r>
  </si>
  <si>
    <t>LH chart case (10 lbs max)</t>
  </si>
  <si>
    <t>Refreshment Center (75 Max)</t>
  </si>
  <si>
    <t>Arm Rest Cabinet(13lbs Max)</t>
  </si>
  <si>
    <t>Aft Cabin Comp Toilet (100lbs Max)</t>
  </si>
  <si>
    <r>
      <t xml:space="preserve">LH Storage Cabinet </t>
    </r>
    <r>
      <rPr>
        <sz val="8"/>
        <color indexed="8"/>
        <rFont val="Arial"/>
        <family val="2"/>
      </rPr>
      <t>(15 lbs max)</t>
    </r>
  </si>
  <si>
    <r>
      <t xml:space="preserve">Toilet Drawer Storage </t>
    </r>
    <r>
      <rPr>
        <sz val="8"/>
        <color indexed="8"/>
        <rFont val="Arial"/>
        <family val="2"/>
      </rPr>
      <t>(5 lbs max)</t>
    </r>
  </si>
  <si>
    <r>
      <t xml:space="preserve">LH FWD Storage Cabinet </t>
    </r>
    <r>
      <rPr>
        <sz val="8"/>
        <color indexed="8"/>
        <rFont val="Arial"/>
        <family val="2"/>
      </rPr>
      <t>(15 lbs max)</t>
    </r>
  </si>
  <si>
    <r>
      <rPr>
        <sz val="10"/>
        <color indexed="8"/>
        <rFont val="Arial"/>
        <family val="2"/>
      </rPr>
      <t xml:space="preserve">LH FWD Refreshment Center </t>
    </r>
    <r>
      <rPr>
        <sz val="8"/>
        <color indexed="8"/>
        <rFont val="Arial"/>
        <family val="2"/>
      </rPr>
      <t>(75 lbs max)</t>
    </r>
  </si>
  <si>
    <t>Arm Rest Cabinet(13 lbs Max)</t>
  </si>
  <si>
    <t>Toilet drawer storage (5 lbs Max)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</si>
</sst>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&quot; &quot;"/>
    <numFmt numFmtId="166" formatCode="0.0000"/>
  </numFmts>
  <fonts count="25" x14ac:knownFonts="1">
    <font>
      <sz val="10"/>
      <color indexed="8"/>
      <name val="Arial"/>
    </font>
    <font>
      <b/>
      <u/>
      <sz val="12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u/>
      <sz val="10"/>
      <color indexed="8"/>
      <name val="Arial"/>
      <family val="2"/>
    </font>
    <font>
      <b/>
      <sz val="10"/>
      <color indexed="15"/>
      <name val="Arial"/>
      <family val="2"/>
    </font>
    <font>
      <b/>
      <u/>
      <sz val="10"/>
      <color indexed="15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13"/>
      <name val="Arial"/>
      <family val="2"/>
    </font>
    <font>
      <b/>
      <sz val="10"/>
      <color indexed="15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4"/>
      <color rgb="FF00B050"/>
      <name val="Arial"/>
      <family val="2"/>
    </font>
    <font>
      <sz val="2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77">
    <xf numFmtId="0" fontId="0" fillId="0" borderId="0" xfId="0" applyFont="1" applyAlignment="1"/>
    <xf numFmtId="0" fontId="0" fillId="2" borderId="3" xfId="0" applyNumberFormat="1" applyFont="1" applyFill="1" applyBorder="1" applyAlignment="1" applyProtection="1">
      <protection locked="0"/>
    </xf>
    <xf numFmtId="1" fontId="0" fillId="2" borderId="3" xfId="0" applyNumberFormat="1" applyFont="1" applyFill="1" applyBorder="1" applyAlignment="1" applyProtection="1">
      <protection locked="0"/>
    </xf>
    <xf numFmtId="0" fontId="0" fillId="0" borderId="0" xfId="0" applyFont="1" applyAlignment="1" applyProtection="1"/>
    <xf numFmtId="49" fontId="10" fillId="0" borderId="3" xfId="0" applyNumberFormat="1" applyFont="1" applyFill="1" applyBorder="1" applyAlignment="1" applyProtection="1"/>
    <xf numFmtId="0" fontId="0" fillId="2" borderId="3" xfId="0" applyNumberFormat="1" applyFont="1" applyFill="1" applyBorder="1" applyAlignment="1" applyProtection="1"/>
    <xf numFmtId="2" fontId="0" fillId="0" borderId="3" xfId="0" applyNumberFormat="1" applyFont="1" applyFill="1" applyBorder="1" applyAlignment="1" applyProtection="1">
      <alignment horizontal="center"/>
    </xf>
    <xf numFmtId="2" fontId="0" fillId="0" borderId="3" xfId="0" applyNumberFormat="1" applyFont="1" applyFill="1" applyBorder="1" applyAlignment="1" applyProtection="1"/>
    <xf numFmtId="0" fontId="0" fillId="0" borderId="3" xfId="0" applyFont="1" applyFill="1" applyBorder="1" applyAlignment="1" applyProtection="1"/>
    <xf numFmtId="49" fontId="0" fillId="0" borderId="3" xfId="0" applyNumberFormat="1" applyFont="1" applyFill="1" applyBorder="1" applyAlignment="1" applyProtection="1"/>
    <xf numFmtId="49" fontId="10" fillId="0" borderId="3" xfId="0" applyNumberFormat="1" applyFont="1" applyFill="1" applyBorder="1" applyAlignment="1" applyProtection="1">
      <alignment horizontal="left"/>
    </xf>
    <xf numFmtId="49" fontId="13" fillId="0" borderId="3" xfId="0" applyNumberFormat="1" applyFont="1" applyFill="1" applyBorder="1" applyAlignment="1" applyProtection="1">
      <alignment horizontal="center"/>
    </xf>
    <xf numFmtId="1" fontId="0" fillId="2" borderId="3" xfId="0" applyNumberFormat="1" applyFont="1" applyFill="1" applyBorder="1" applyAlignment="1" applyProtection="1"/>
    <xf numFmtId="49" fontId="0" fillId="0" borderId="3" xfId="0" applyNumberFormat="1" applyFont="1" applyFill="1" applyBorder="1" applyAlignment="1" applyProtection="1">
      <alignment horizontal="left"/>
    </xf>
    <xf numFmtId="1" fontId="0" fillId="0" borderId="3" xfId="0" applyNumberFormat="1" applyFont="1" applyFill="1" applyBorder="1" applyAlignment="1" applyProtection="1"/>
    <xf numFmtId="164" fontId="0" fillId="0" borderId="3" xfId="0" applyNumberFormat="1" applyFont="1" applyFill="1" applyBorder="1" applyAlignment="1" applyProtection="1"/>
    <xf numFmtId="49" fontId="14" fillId="0" borderId="3" xfId="0" applyNumberFormat="1" applyFont="1" applyFill="1" applyBorder="1" applyAlignment="1" applyProtection="1">
      <alignment horizontal="center"/>
    </xf>
    <xf numFmtId="4" fontId="0" fillId="0" borderId="3" xfId="0" applyNumberFormat="1" applyFont="1" applyFill="1" applyBorder="1" applyAlignment="1" applyProtection="1">
      <alignment horizontal="center"/>
    </xf>
    <xf numFmtId="0" fontId="0" fillId="0" borderId="3" xfId="0" applyNumberFormat="1" applyFont="1" applyFill="1" applyBorder="1" applyAlignment="1" applyProtection="1"/>
    <xf numFmtId="0" fontId="11" fillId="0" borderId="3" xfId="0" applyFont="1" applyFill="1" applyBorder="1" applyAlignment="1" applyProtection="1"/>
    <xf numFmtId="2" fontId="9" fillId="0" borderId="3" xfId="0" applyNumberFormat="1" applyFont="1" applyFill="1" applyBorder="1" applyAlignment="1" applyProtection="1">
      <alignment horizontal="right"/>
    </xf>
    <xf numFmtId="0" fontId="6" fillId="0" borderId="3" xfId="0" applyFont="1" applyFill="1" applyBorder="1" applyAlignment="1" applyProtection="1">
      <alignment horizontal="right"/>
    </xf>
    <xf numFmtId="2" fontId="6" fillId="0" borderId="3" xfId="0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center"/>
    </xf>
    <xf numFmtId="49" fontId="12" fillId="0" borderId="3" xfId="0" applyNumberFormat="1" applyFont="1" applyFill="1" applyBorder="1" applyAlignment="1" applyProtection="1">
      <alignment horizontal="right"/>
    </xf>
    <xf numFmtId="49" fontId="6" fillId="0" borderId="3" xfId="0" applyNumberFormat="1" applyFont="1" applyFill="1" applyBorder="1" applyAlignment="1" applyProtection="1">
      <alignment horizontal="right"/>
    </xf>
    <xf numFmtId="49" fontId="7" fillId="0" borderId="3" xfId="0" applyNumberFormat="1" applyFont="1" applyFill="1" applyBorder="1" applyAlignment="1" applyProtection="1">
      <alignment horizontal="right"/>
    </xf>
    <xf numFmtId="49" fontId="8" fillId="0" borderId="3" xfId="0" applyNumberFormat="1" applyFont="1" applyFill="1" applyBorder="1" applyAlignment="1" applyProtection="1">
      <alignment horizontal="center"/>
    </xf>
    <xf numFmtId="165" fontId="3" fillId="0" borderId="3" xfId="0" applyNumberFormat="1" applyFont="1" applyFill="1" applyBorder="1" applyAlignment="1" applyProtection="1">
      <alignment horizontal="right"/>
    </xf>
    <xf numFmtId="49" fontId="2" fillId="0" borderId="3" xfId="0" applyNumberFormat="1" applyFont="1" applyFill="1" applyBorder="1" applyAlignment="1" applyProtection="1"/>
    <xf numFmtId="0" fontId="13" fillId="0" borderId="3" xfId="0" applyNumberFormat="1" applyFont="1" applyFill="1" applyBorder="1" applyAlignment="1" applyProtection="1">
      <alignment horizontal="center"/>
    </xf>
    <xf numFmtId="49" fontId="3" fillId="0" borderId="3" xfId="0" applyNumberFormat="1" applyFont="1" applyFill="1" applyBorder="1" applyAlignment="1" applyProtection="1">
      <alignment horizontal="center"/>
    </xf>
    <xf numFmtId="49" fontId="0" fillId="0" borderId="3" xfId="0" applyNumberFormat="1" applyFont="1" applyFill="1" applyBorder="1" applyAlignment="1" applyProtection="1">
      <alignment horizontal="center"/>
    </xf>
    <xf numFmtId="49" fontId="4" fillId="0" borderId="3" xfId="0" applyNumberFormat="1" applyFont="1" applyFill="1" applyBorder="1" applyAlignment="1" applyProtection="1">
      <alignment horizontal="center"/>
    </xf>
    <xf numFmtId="49" fontId="0" fillId="0" borderId="3" xfId="0" applyNumberFormat="1" applyFont="1" applyFill="1" applyBorder="1" applyAlignment="1" applyProtection="1">
      <alignment horizontal="right"/>
    </xf>
    <xf numFmtId="2" fontId="3" fillId="0" borderId="3" xfId="0" applyNumberFormat="1" applyFont="1" applyFill="1" applyBorder="1" applyAlignment="1" applyProtection="1"/>
    <xf numFmtId="0" fontId="0" fillId="0" borderId="3" xfId="0" applyFont="1" applyFill="1" applyBorder="1" applyAlignment="1" applyProtection="1">
      <alignment horizontal="right"/>
    </xf>
    <xf numFmtId="2" fontId="4" fillId="0" borderId="3" xfId="0" applyNumberFormat="1" applyFont="1" applyFill="1" applyBorder="1" applyAlignment="1" applyProtection="1"/>
    <xf numFmtId="0" fontId="3" fillId="0" borderId="3" xfId="0" applyFont="1" applyFill="1" applyBorder="1" applyAlignment="1" applyProtection="1"/>
    <xf numFmtId="0" fontId="0" fillId="0" borderId="3" xfId="0" applyFont="1" applyFill="1" applyBorder="1" applyAlignment="1" applyProtection="1">
      <alignment horizontal="left"/>
    </xf>
    <xf numFmtId="49" fontId="3" fillId="0" borderId="3" xfId="0" applyNumberFormat="1" applyFont="1" applyFill="1" applyBorder="1" applyAlignment="1" applyProtection="1"/>
    <xf numFmtId="0" fontId="5" fillId="0" borderId="3" xfId="0" applyFont="1" applyFill="1" applyBorder="1" applyAlignment="1" applyProtection="1">
      <alignment horizontal="right"/>
    </xf>
    <xf numFmtId="49" fontId="4" fillId="0" borderId="3" xfId="0" applyNumberFormat="1" applyFont="1" applyFill="1" applyBorder="1" applyAlignment="1" applyProtection="1">
      <alignment horizontal="left"/>
    </xf>
    <xf numFmtId="14" fontId="4" fillId="0" borderId="3" xfId="0" applyNumberFormat="1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center"/>
    </xf>
    <xf numFmtId="0" fontId="0" fillId="0" borderId="3" xfId="0" applyFont="1" applyFill="1" applyBorder="1" applyAlignment="1" applyProtection="1">
      <alignment horizontal="center"/>
    </xf>
    <xf numFmtId="0" fontId="17" fillId="0" borderId="3" xfId="0" applyFont="1" applyFill="1" applyBorder="1" applyAlignment="1" applyProtection="1">
      <alignment horizontal="right"/>
    </xf>
    <xf numFmtId="0" fontId="17" fillId="0" borderId="3" xfId="0" applyNumberFormat="1" applyFont="1" applyFill="1" applyBorder="1" applyAlignment="1" applyProtection="1">
      <alignment horizontal="right"/>
    </xf>
    <xf numFmtId="0" fontId="17" fillId="0" borderId="3" xfId="0" applyNumberFormat="1" applyFont="1" applyFill="1" applyBorder="1" applyAlignment="1" applyProtection="1">
      <alignment horizontal="center"/>
    </xf>
    <xf numFmtId="2" fontId="17" fillId="0" borderId="3" xfId="0" applyNumberFormat="1" applyFont="1" applyFill="1" applyBorder="1" applyAlignment="1" applyProtection="1">
      <alignment horizontal="center"/>
    </xf>
    <xf numFmtId="0" fontId="18" fillId="0" borderId="0" xfId="0" applyFont="1" applyAlignment="1" applyProtection="1"/>
    <xf numFmtId="0" fontId="0" fillId="0" borderId="1" xfId="0" applyBorder="1"/>
    <xf numFmtId="0" fontId="19" fillId="0" borderId="1" xfId="0" applyFont="1" applyBorder="1"/>
    <xf numFmtId="0" fontId="0" fillId="0" borderId="0" xfId="0"/>
    <xf numFmtId="49" fontId="0" fillId="0" borderId="2" xfId="0" applyNumberFormat="1" applyBorder="1" applyAlignment="1">
      <alignment horizontal="right"/>
    </xf>
    <xf numFmtId="49" fontId="13" fillId="0" borderId="2" xfId="0" applyNumberFormat="1" applyFont="1" applyBorder="1" applyAlignment="1">
      <alignment horizontal="right"/>
    </xf>
    <xf numFmtId="49" fontId="15" fillId="0" borderId="2" xfId="0" applyNumberFormat="1" applyFont="1" applyBorder="1" applyAlignment="1">
      <alignment horizontal="right"/>
    </xf>
    <xf numFmtId="49" fontId="0" fillId="0" borderId="1" xfId="0" applyNumberFormat="1" applyBorder="1" applyAlignment="1">
      <alignment horizontal="left"/>
    </xf>
    <xf numFmtId="2" fontId="0" fillId="0" borderId="1" xfId="0" applyNumberFormat="1" applyBorder="1"/>
    <xf numFmtId="0" fontId="0" fillId="0" borderId="2" xfId="0" applyBorder="1"/>
    <xf numFmtId="49" fontId="20" fillId="0" borderId="1" xfId="0" applyNumberFormat="1" applyFont="1" applyBorder="1" applyAlignment="1">
      <alignment horizontal="center"/>
    </xf>
    <xf numFmtId="0" fontId="22" fillId="0" borderId="1" xfId="0" applyFont="1" applyBorder="1"/>
    <xf numFmtId="49" fontId="20" fillId="0" borderId="1" xfId="0" applyNumberFormat="1" applyFont="1" applyBorder="1" applyAlignment="1">
      <alignment horizontal="right"/>
    </xf>
    <xf numFmtId="166" fontId="0" fillId="0" borderId="1" xfId="0" applyNumberFormat="1" applyBorder="1"/>
    <xf numFmtId="1" fontId="0" fillId="0" borderId="4" xfId="0" applyNumberFormat="1" applyBorder="1"/>
    <xf numFmtId="2" fontId="3" fillId="0" borderId="2" xfId="0" applyNumberFormat="1" applyFont="1" applyBorder="1"/>
    <xf numFmtId="2" fontId="4" fillId="0" borderId="2" xfId="0" applyNumberFormat="1" applyFont="1" applyBorder="1"/>
    <xf numFmtId="49" fontId="3" fillId="0" borderId="3" xfId="0" applyNumberFormat="1" applyFont="1" applyFill="1" applyBorder="1" applyAlignment="1" applyProtection="1">
      <alignment horizontal="left"/>
    </xf>
    <xf numFmtId="0" fontId="0" fillId="3" borderId="3" xfId="0" applyNumberFormat="1" applyFont="1" applyFill="1" applyBorder="1" applyAlignment="1" applyProtection="1">
      <protection locked="0"/>
    </xf>
    <xf numFmtId="0" fontId="24" fillId="0" borderId="0" xfId="0" applyFont="1" applyAlignment="1" applyProtection="1"/>
    <xf numFmtId="0" fontId="23" fillId="0" borderId="3" xfId="0" applyFont="1" applyFill="1" applyBorder="1" applyAlignment="1" applyProtection="1">
      <alignment horizontal="left"/>
    </xf>
    <xf numFmtId="49" fontId="23" fillId="0" borderId="3" xfId="0" applyNumberFormat="1" applyFont="1" applyFill="1" applyBorder="1" applyAlignment="1" applyProtection="1">
      <alignment horizontal="left"/>
    </xf>
    <xf numFmtId="0" fontId="23" fillId="0" borderId="3" xfId="0" applyNumberFormat="1" applyFont="1" applyFill="1" applyBorder="1" applyAlignment="1" applyProtection="1">
      <alignment horizontal="left"/>
    </xf>
    <xf numFmtId="49" fontId="2" fillId="0" borderId="3" xfId="0" applyNumberFormat="1" applyFont="1" applyFill="1" applyBorder="1" applyAlignment="1" applyProtection="1">
      <alignment horizontal="center" wrapText="1"/>
    </xf>
    <xf numFmtId="49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ont>
        <b/>
        <i val="0"/>
      </font>
      <fill>
        <patternFill>
          <fgColor rgb="FFFF0000"/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strike val="0"/>
        <u val="none"/>
        <color rgb="FF9C0006"/>
      </font>
      <fill>
        <patternFill patternType="solid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99"/>
      <rgbColor rgb="FFC0C0C0"/>
      <rgbColor rgb="FF800080"/>
      <rgbColor rgb="FF006411"/>
      <rgbColor rgb="FF800000"/>
      <rgbColor rgb="FF0000FF"/>
      <rgbColor rgb="FFFF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44405040972944E-2"/>
          <c:y val="1.5499070573737967E-2"/>
          <c:w val="0.85507397650940631"/>
          <c:h val="0.86409821891066663"/>
        </c:manualLayout>
      </c:layout>
      <c:scatterChart>
        <c:scatterStyle val="lineMarker"/>
        <c:varyColors val="0"/>
        <c:ser>
          <c:idx val="0"/>
          <c:order val="0"/>
          <c:tx>
            <c:v>CG Envelope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DATA!$S$4:$S$9</c:f>
              <c:numCache>
                <c:formatCode>General</c:formatCode>
                <c:ptCount val="6"/>
                <c:pt idx="0">
                  <c:v>283.72000000000003</c:v>
                </c:pt>
                <c:pt idx="1">
                  <c:v>283.72000000000003</c:v>
                </c:pt>
                <c:pt idx="2">
                  <c:v>277.02999999999997</c:v>
                </c:pt>
                <c:pt idx="3">
                  <c:v>273.33</c:v>
                </c:pt>
                <c:pt idx="4">
                  <c:v>273.33</c:v>
                </c:pt>
                <c:pt idx="5">
                  <c:v>277.99</c:v>
                </c:pt>
              </c:numCache>
            </c:numRef>
          </c:xVal>
          <c:yVal>
            <c:numRef>
              <c:f>DATA!$R$4:$R$9</c:f>
              <c:numCache>
                <c:formatCode>General</c:formatCode>
                <c:ptCount val="6"/>
                <c:pt idx="0">
                  <c:v>7500</c:v>
                </c:pt>
                <c:pt idx="1">
                  <c:v>12500</c:v>
                </c:pt>
                <c:pt idx="2">
                  <c:v>12500</c:v>
                </c:pt>
                <c:pt idx="3">
                  <c:v>9200</c:v>
                </c:pt>
                <c:pt idx="4">
                  <c:v>8500</c:v>
                </c:pt>
                <c:pt idx="5">
                  <c:v>7500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1E-934B-9535-4803C5D68E3D}"/>
            </c:ext>
          </c:extLst>
        </c:ser>
        <c:ser>
          <c:idx val="1"/>
          <c:order val="1"/>
          <c:tx>
            <c:v>T/O to Land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70C0"/>
                </a:solidFill>
                <a:ln>
                  <a:solidFill>
                    <a:srgbClr val="FFFF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91E-934B-9535-4803C5D68E3D}"/>
              </c:ext>
            </c:extLst>
          </c:dPt>
          <c:dPt>
            <c:idx val="1"/>
            <c:marker>
              <c:spPr>
                <a:solidFill>
                  <a:srgbClr val="00B050"/>
                </a:solidFill>
                <a:ln>
                  <a:solidFill>
                    <a:srgbClr val="FFFF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91E-934B-9535-4803C5D68E3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Takeoff</a:t>
                    </a:r>
                  </a:p>
                </c:rich>
              </c:tx>
              <c:spPr>
                <a:solidFill>
                  <a:srgbClr val="0070C0"/>
                </a:solidFill>
                <a:scene3d>
                  <a:camera prst="orthographicFront"/>
                  <a:lightRig rig="threePt" dir="t"/>
                </a:scene3d>
                <a:sp3d>
                  <a:bevelT w="12700"/>
                </a:sp3d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1E-934B-9535-4803C5D68E3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Landing</a:t>
                    </a:r>
                  </a:p>
                </c:rich>
              </c:tx>
              <c:spPr>
                <a:solidFill>
                  <a:srgbClr val="00B050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1E-934B-9535-4803C5D68E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('CE525 Wgt &amp; Bal'!$C$35,'CE525 Wgt &amp; Bal'!$C$38)</c:f>
              <c:numCache>
                <c:formatCode>General</c:formatCode>
                <c:ptCount val="2"/>
                <c:pt idx="0">
                  <c:v>281.17331262638226</c:v>
                </c:pt>
                <c:pt idx="1">
                  <c:v>280.46948560246017</c:v>
                </c:pt>
              </c:numCache>
            </c:numRef>
          </c:xVal>
          <c:yVal>
            <c:numRef>
              <c:f>('CE525 Wgt &amp; Bal'!$B$35,'CE525 Wgt &amp; Bal'!$B$38)</c:f>
              <c:numCache>
                <c:formatCode>0.0</c:formatCode>
                <c:ptCount val="2"/>
                <c:pt idx="0">
                  <c:v>9687</c:v>
                </c:pt>
                <c:pt idx="1">
                  <c:v>8687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1E-934B-9535-4803C5D68E3D}"/>
            </c:ext>
          </c:extLst>
        </c:ser>
        <c:ser>
          <c:idx val="2"/>
          <c:order val="2"/>
          <c:tx>
            <c:v>MaxRamp Weight</c:v>
          </c:tx>
          <c:spPr>
            <a:ln w="19050">
              <a:solidFill>
                <a:srgbClr val="FF0000"/>
              </a:solidFill>
            </a:ln>
          </c:spPr>
          <c:marker>
            <c:symbol val="triangle"/>
            <c:size val="4"/>
            <c:spPr>
              <a:solidFill>
                <a:srgbClr val="FF0000"/>
              </a:solidFill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1E-934B-9535-4803C5D68E3D}"/>
                </c:ext>
              </c:extLst>
            </c:dLbl>
            <c:dLbl>
              <c:idx val="1"/>
              <c:layout>
                <c:manualLayout>
                  <c:x val="-0.63554178445323783"/>
                  <c:y val="-1.6255042883735384E-2"/>
                </c:manualLayout>
              </c:layout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MAX Ramp 10800</a:t>
                    </a:r>
                  </a:p>
                </c:rich>
              </c:tx>
              <c:spPr>
                <a:solidFill>
                  <a:srgbClr val="FF0000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67609089135367"/>
                      <c:h val="2.93668553684126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91E-934B-9535-4803C5D68E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(DATA!$T$13,DATA!$U$13)</c:f>
              <c:numCache>
                <c:formatCode>General</c:formatCode>
                <c:ptCount val="2"/>
                <c:pt idx="0">
                  <c:v>244.44</c:v>
                </c:pt>
                <c:pt idx="1">
                  <c:v>248.43</c:v>
                </c:pt>
              </c:numCache>
            </c:numRef>
          </c:xVal>
          <c:yVal>
            <c:numRef>
              <c:f>(DATA!$S$13,DATA!$S$13)</c:f>
              <c:numCache>
                <c:formatCode>General</c:formatCode>
                <c:ptCount val="2"/>
                <c:pt idx="0">
                  <c:v>12500</c:v>
                </c:pt>
                <c:pt idx="1">
                  <c:v>12500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91E-934B-9535-4803C5D68E3D}"/>
            </c:ext>
          </c:extLst>
        </c:ser>
        <c:ser>
          <c:idx val="3"/>
          <c:order val="3"/>
          <c:tx>
            <c:v>MAX Landing weight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3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0.23955428358871389"/>
                  <c:y val="-5.4089323962487343E-3"/>
                </c:manualLayout>
              </c:layout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Max Land 9900</a:t>
                    </a:r>
                  </a:p>
                </c:rich>
              </c:tx>
              <c:spPr>
                <a:solidFill>
                  <a:srgbClr val="FF0000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1E-934B-9535-4803C5D68E3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1E-934B-9535-4803C5D68E3D}"/>
                </c:ext>
              </c:extLst>
            </c:dLbl>
            <c:spPr>
              <a:solidFill>
                <a:srgbClr val="FF0000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(DATA!$T$11,DATA!$U$11)</c:f>
              <c:numCache>
                <c:formatCode>General</c:formatCode>
                <c:ptCount val="2"/>
                <c:pt idx="0">
                  <c:v>243.54</c:v>
                </c:pt>
                <c:pt idx="1">
                  <c:v>248.43</c:v>
                </c:pt>
              </c:numCache>
            </c:numRef>
          </c:xVal>
          <c:yVal>
            <c:numRef>
              <c:f>(DATA!$S$11,DATA!$S$11)</c:f>
              <c:numCache>
                <c:formatCode>General</c:formatCode>
                <c:ptCount val="2"/>
                <c:pt idx="0">
                  <c:v>11500</c:v>
                </c:pt>
                <c:pt idx="1">
                  <c:v>11500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91E-934B-9535-4803C5D68E3D}"/>
            </c:ext>
          </c:extLst>
        </c:ser>
        <c:ser>
          <c:idx val="4"/>
          <c:order val="4"/>
          <c:tx>
            <c:v>Max Zero Fuel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2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0.22157886040221556"/>
                  <c:y val="-3.0754477219377383E-2"/>
                </c:manualLayout>
              </c:layout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Max ZFW 8500</a:t>
                    </a:r>
                  </a:p>
                </c:rich>
              </c:tx>
              <c:spPr>
                <a:solidFill>
                  <a:srgbClr val="FF0000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1E-934B-9535-4803C5D68E3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1E-934B-9535-4803C5D68E3D}"/>
                </c:ext>
              </c:extLst>
            </c:dLbl>
            <c:spPr>
              <a:solidFill>
                <a:srgbClr val="FF0000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(DATA!$T$10,DATA!$U$10)</c:f>
              <c:numCache>
                <c:formatCode>General</c:formatCode>
                <c:ptCount val="2"/>
                <c:pt idx="0">
                  <c:v>241.47</c:v>
                </c:pt>
                <c:pt idx="1">
                  <c:v>248.43</c:v>
                </c:pt>
              </c:numCache>
            </c:numRef>
          </c:xVal>
          <c:yVal>
            <c:numRef>
              <c:f>(DATA!$S$10,DATA!$S$10)</c:f>
              <c:numCache>
                <c:formatCode>General</c:formatCode>
                <c:ptCount val="2"/>
                <c:pt idx="0">
                  <c:v>9300</c:v>
                </c:pt>
                <c:pt idx="1">
                  <c:v>9300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91E-934B-9535-4803C5D68E3D}"/>
            </c:ext>
          </c:extLst>
        </c:ser>
        <c:ser>
          <c:idx val="5"/>
          <c:order val="5"/>
          <c:tx>
            <c:v>ZFW</c:v>
          </c:tx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ZFW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91E-934B-9535-4803C5D68E3D}"/>
                </c:ext>
              </c:extLst>
            </c:dLbl>
            <c:spPr>
              <a:solidFill>
                <a:schemeClr val="bg1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'CE525 Wgt &amp; Bal'!$C$25</c:f>
              <c:numCache>
                <c:formatCode>General</c:formatCode>
                <c:ptCount val="1"/>
                <c:pt idx="0">
                  <c:v>279.39017890890761</c:v>
                </c:pt>
              </c:numCache>
            </c:numRef>
          </c:xVal>
          <c:yVal>
            <c:numRef>
              <c:f>'CE525 Wgt &amp; Bal'!$B$25</c:f>
              <c:numCache>
                <c:formatCode>0.0</c:formatCode>
                <c:ptCount val="1"/>
                <c:pt idx="0">
                  <c:v>7937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291E-934B-9535-4803C5D68E3D}"/>
            </c:ext>
          </c:extLst>
        </c:ser>
        <c:ser>
          <c:idx val="6"/>
          <c:order val="6"/>
          <c:tx>
            <c:v>Ramp Weight</c:v>
          </c:tx>
          <c:marker>
            <c:symbol val="circle"/>
            <c:size val="5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0"/>
                  <c:y val="-1.0818120351588901E-2"/>
                </c:manualLayout>
              </c:layout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Ramp</a:t>
                    </a:r>
                  </a:p>
                </c:rich>
              </c:tx>
              <c:spPr>
                <a:solidFill>
                  <a:srgbClr val="FF0000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91E-934B-9535-4803C5D68E3D}"/>
                </c:ext>
              </c:extLst>
            </c:dLbl>
            <c:spPr>
              <a:solidFill>
                <a:srgbClr val="FF0000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'CE525 Wgt &amp; Bal'!$C$33</c:f>
              <c:numCache>
                <c:formatCode>General</c:formatCode>
                <c:ptCount val="1"/>
                <c:pt idx="0">
                  <c:v>281.22916056446763</c:v>
                </c:pt>
              </c:numCache>
            </c:numRef>
          </c:xVal>
          <c:yVal>
            <c:numRef>
              <c:f>'CE525 Wgt &amp; Bal'!$B$33</c:f>
              <c:numCache>
                <c:formatCode>0.0</c:formatCode>
                <c:ptCount val="1"/>
                <c:pt idx="0">
                  <c:v>9787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291E-934B-9535-4803C5D68E3D}"/>
            </c:ext>
          </c:extLst>
        </c:ser>
        <c:ser>
          <c:idx val="7"/>
          <c:order val="7"/>
          <c:tx>
            <c:v>MAX TOW</c:v>
          </c:tx>
          <c:dLbls>
            <c:dLbl>
              <c:idx val="0"/>
              <c:layout>
                <c:manualLayout>
                  <c:x val="-0.26200955386460761"/>
                  <c:y val="2.284350561833322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MAX TOW</a:t>
                    </a:r>
                    <a:fld id="{5915E8CE-BAF8-0A4B-BF73-3F516A1D962E}" type="YVALUE">
                      <a:rPr lang="en-US"/>
                      <a:pPr>
                        <a:defRPr/>
                      </a:pPr>
                      <a:t>[Y VALUE]</a:t>
                    </a:fld>
                    <a:endParaRPr lang="en-US"/>
                  </a:p>
                </c:rich>
              </c:tx>
              <c:spPr>
                <a:solidFill>
                  <a:srgbClr val="FF0000"/>
                </a:solidFill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291E-934B-9535-4803C5D68E3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91E-934B-9535-4803C5D68E3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(DATA!$T$12,DATA!$U$12)</c:f>
              <c:numCache>
                <c:formatCode>General</c:formatCode>
                <c:ptCount val="2"/>
                <c:pt idx="0">
                  <c:v>244.34</c:v>
                </c:pt>
                <c:pt idx="1">
                  <c:v>248.43</c:v>
                </c:pt>
              </c:numCache>
            </c:numRef>
          </c:xVal>
          <c:yVal>
            <c:numRef>
              <c:f>(DATA!$S$12,DATA!$S$12)</c:f>
              <c:numCache>
                <c:formatCode>General</c:formatCode>
                <c:ptCount val="2"/>
                <c:pt idx="0">
                  <c:v>12375</c:v>
                </c:pt>
                <c:pt idx="1">
                  <c:v>12375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291E-934B-9535-4803C5D68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4386992"/>
        <c:axId val="1"/>
      </c:scatterChart>
      <c:valAx>
        <c:axId val="1614386992"/>
        <c:scaling>
          <c:orientation val="minMax"/>
          <c:max val="284"/>
          <c:min val="273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3200"/>
        <c:crossBetween val="midCat"/>
        <c:majorUnit val="1"/>
        <c:minorUnit val="1"/>
      </c:valAx>
      <c:valAx>
        <c:axId val="1"/>
        <c:scaling>
          <c:orientation val="minMax"/>
          <c:max val="12600"/>
          <c:min val="7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4386992"/>
        <c:crossesAt val="31"/>
        <c:crossBetween val="midCat"/>
        <c:majorUnit val="100"/>
        <c:minorUnit val="8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99" r="0.75000000000001199" t="1" header="0.5" footer="0.5"/>
    <c:pageSetup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342331</xdr:colOff>
      <xdr:row>0</xdr:row>
      <xdr:rowOff>88900</xdr:rowOff>
    </xdr:from>
    <xdr:to>
      <xdr:col>7</xdr:col>
      <xdr:colOff>685800</xdr:colOff>
      <xdr:row>29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DCE8E3B-C8DD-D946-8637-2C5B87E5F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148680</xdr:colOff>
      <xdr:row>1</xdr:row>
      <xdr:rowOff>12700</xdr:rowOff>
    </xdr:from>
    <xdr:to>
      <xdr:col>4</xdr:col>
      <xdr:colOff>233361</xdr:colOff>
      <xdr:row>25</xdr:row>
      <xdr:rowOff>99198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44E1F3-2533-F645-9818-49DF1E5C05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63"/>
        <a:stretch/>
      </xdr:blipFill>
      <xdr:spPr>
        <a:xfrm>
          <a:off x="3666580" y="1117600"/>
          <a:ext cx="833981" cy="4048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636DE-2E81-044E-B10A-A6D1020A3A27}">
  <dimension ref="B1:H38"/>
  <sheetViews>
    <sheetView tabSelected="1" zoomScale="109" zoomScaleNormal="134" zoomScaleSheetLayoutView="100" zoomScalePageLayoutView="65" workbookViewId="0">
      <selection activeCell="C12" sqref="C12"/>
    </sheetView>
  </sheetViews>
  <sheetFormatPr baseColWidth="10" defaultRowHeight="13" x14ac:dyDescent="0.15"/>
  <cols>
    <col min="1" max="1" width="4.33203125" style="3" customWidth="1"/>
    <col min="2" max="2" width="32.5" style="3" customWidth="1"/>
    <col min="3" max="3" width="9.33203125" style="3" customWidth="1"/>
    <col min="4" max="4" width="9.83203125" style="3" customWidth="1"/>
    <col min="5" max="5" width="10.83203125" style="3"/>
    <col min="6" max="6" width="14.1640625" style="3" customWidth="1"/>
    <col min="7" max="8" width="10.83203125" style="3"/>
    <col min="9" max="9" width="10.83203125" style="3" customWidth="1"/>
    <col min="10" max="16384" width="10.83203125" style="3"/>
  </cols>
  <sheetData>
    <row r="1" spans="2:6" ht="38" customHeight="1" x14ac:dyDescent="0.35">
      <c r="B1" s="69" t="s">
        <v>61</v>
      </c>
    </row>
    <row r="3" spans="2:6" x14ac:dyDescent="0.15">
      <c r="B3" s="4" t="s">
        <v>62</v>
      </c>
      <c r="C3" s="1">
        <v>200</v>
      </c>
      <c r="D3" s="6"/>
      <c r="E3" s="7"/>
      <c r="F3" s="8"/>
    </row>
    <row r="4" spans="2:6" x14ac:dyDescent="0.15">
      <c r="B4" s="4" t="s">
        <v>64</v>
      </c>
      <c r="C4" s="1">
        <v>10</v>
      </c>
      <c r="D4" s="6"/>
      <c r="E4" s="7"/>
      <c r="F4" s="8"/>
    </row>
    <row r="5" spans="2:6" x14ac:dyDescent="0.15">
      <c r="B5" s="4" t="s">
        <v>63</v>
      </c>
      <c r="C5" s="1">
        <v>10</v>
      </c>
      <c r="D5" s="6"/>
      <c r="E5" s="7"/>
      <c r="F5" s="8"/>
    </row>
    <row r="6" spans="2:6" x14ac:dyDescent="0.15">
      <c r="B6" s="4" t="s">
        <v>70</v>
      </c>
      <c r="C6" s="1">
        <v>15</v>
      </c>
      <c r="D6" s="6"/>
      <c r="E6" s="7"/>
      <c r="F6" s="8"/>
    </row>
    <row r="7" spans="2:6" x14ac:dyDescent="0.15">
      <c r="B7" s="4" t="s">
        <v>71</v>
      </c>
      <c r="C7" s="1">
        <v>15</v>
      </c>
      <c r="D7" s="6"/>
      <c r="E7" s="7"/>
      <c r="F7" s="8"/>
    </row>
    <row r="8" spans="2:6" x14ac:dyDescent="0.15">
      <c r="B8" s="10" t="s">
        <v>72</v>
      </c>
      <c r="C8" s="1">
        <v>25</v>
      </c>
      <c r="D8" s="6"/>
      <c r="E8" s="7"/>
      <c r="F8" s="8"/>
    </row>
    <row r="9" spans="2:6" x14ac:dyDescent="0.15">
      <c r="B9" s="10" t="s">
        <v>37</v>
      </c>
      <c r="C9" s="1">
        <v>25</v>
      </c>
      <c r="D9" s="6"/>
      <c r="E9" s="7"/>
      <c r="F9" s="8"/>
    </row>
    <row r="10" spans="2:6" x14ac:dyDescent="0.15">
      <c r="B10" s="10" t="s">
        <v>73</v>
      </c>
      <c r="C10" s="1">
        <v>5</v>
      </c>
      <c r="D10" s="6"/>
      <c r="E10" s="7"/>
      <c r="F10" s="8"/>
    </row>
    <row r="11" spans="2:6" x14ac:dyDescent="0.15">
      <c r="B11" s="11" t="s">
        <v>27</v>
      </c>
      <c r="C11" s="7">
        <f>'CE525 Wgt &amp; Bal'!B15</f>
        <v>7937</v>
      </c>
      <c r="D11" s="6"/>
      <c r="E11" s="7"/>
      <c r="F11" s="8"/>
    </row>
    <row r="12" spans="2:6" x14ac:dyDescent="0.15">
      <c r="B12" s="10" t="s">
        <v>35</v>
      </c>
      <c r="C12" s="2"/>
      <c r="D12" s="6"/>
      <c r="E12" s="7"/>
      <c r="F12" s="8"/>
    </row>
    <row r="13" spans="2:6" x14ac:dyDescent="0.15">
      <c r="B13" s="4" t="s">
        <v>38</v>
      </c>
      <c r="C13" s="2"/>
      <c r="D13" s="6"/>
      <c r="E13" s="7"/>
      <c r="F13" s="8"/>
    </row>
    <row r="14" spans="2:6" x14ac:dyDescent="0.15">
      <c r="B14" s="9" t="s">
        <v>17</v>
      </c>
      <c r="C14" s="2"/>
      <c r="D14" s="6"/>
      <c r="E14" s="7"/>
      <c r="F14" s="8"/>
    </row>
    <row r="15" spans="2:6" x14ac:dyDescent="0.15">
      <c r="B15" s="13" t="s">
        <v>18</v>
      </c>
      <c r="C15" s="2"/>
      <c r="D15" s="6"/>
      <c r="E15" s="7"/>
      <c r="F15" s="8"/>
    </row>
    <row r="16" spans="2:6" x14ac:dyDescent="0.15">
      <c r="B16" s="10" t="s">
        <v>54</v>
      </c>
      <c r="C16" s="2"/>
      <c r="D16" s="6"/>
      <c r="E16" s="7"/>
      <c r="F16" s="8"/>
    </row>
    <row r="17" spans="2:7" x14ac:dyDescent="0.15">
      <c r="B17" s="13" t="s">
        <v>26</v>
      </c>
      <c r="C17" s="2"/>
      <c r="D17" s="6"/>
      <c r="E17" s="7"/>
      <c r="F17" s="8"/>
    </row>
    <row r="18" spans="2:7" x14ac:dyDescent="0.15">
      <c r="B18" s="10" t="s">
        <v>40</v>
      </c>
      <c r="C18" s="2"/>
      <c r="D18" s="6"/>
      <c r="E18" s="7"/>
      <c r="F18" s="8"/>
    </row>
    <row r="19" spans="2:7" x14ac:dyDescent="0.15">
      <c r="B19" s="13" t="s">
        <v>20</v>
      </c>
      <c r="C19" s="2"/>
      <c r="D19" s="6"/>
      <c r="E19" s="7"/>
      <c r="F19" s="8"/>
    </row>
    <row r="20" spans="2:7" x14ac:dyDescent="0.15">
      <c r="B20" s="10" t="s">
        <v>34</v>
      </c>
      <c r="C20" s="14">
        <f>'CE525 Wgt &amp; Bal'!B24</f>
        <v>0</v>
      </c>
      <c r="D20" s="6"/>
      <c r="E20" s="7"/>
      <c r="F20" s="8"/>
    </row>
    <row r="21" spans="2:7" x14ac:dyDescent="0.15">
      <c r="B21" s="31" t="s">
        <v>53</v>
      </c>
      <c r="C21" s="15">
        <f>'CE525 Wgt &amp; Bal'!B25</f>
        <v>7937</v>
      </c>
      <c r="D21" s="8"/>
      <c r="E21" s="7"/>
      <c r="F21" s="8"/>
    </row>
    <row r="22" spans="2:7" x14ac:dyDescent="0.15">
      <c r="B22" s="16" t="s">
        <v>30</v>
      </c>
      <c r="C22" s="8"/>
      <c r="D22" s="8"/>
      <c r="E22" s="7"/>
      <c r="F22" s="8"/>
    </row>
    <row r="23" spans="2:7" x14ac:dyDescent="0.15">
      <c r="B23" s="10" t="s">
        <v>57</v>
      </c>
      <c r="C23" s="1">
        <v>1850</v>
      </c>
      <c r="D23" s="17"/>
      <c r="E23" s="7"/>
      <c r="F23" s="8"/>
    </row>
    <row r="24" spans="2:7" x14ac:dyDescent="0.15">
      <c r="B24" s="13" t="s">
        <v>28</v>
      </c>
      <c r="C24" s="68">
        <v>100</v>
      </c>
      <c r="D24" s="17"/>
      <c r="E24" s="7"/>
      <c r="F24" s="8"/>
    </row>
    <row r="25" spans="2:7" x14ac:dyDescent="0.15">
      <c r="B25" s="13" t="s">
        <v>29</v>
      </c>
      <c r="C25" s="18">
        <f>'CE525 Wgt &amp; Bal'!B29</f>
        <v>1750</v>
      </c>
      <c r="D25" s="17"/>
      <c r="E25" s="7"/>
      <c r="F25" s="8"/>
    </row>
    <row r="26" spans="2:7" x14ac:dyDescent="0.15">
      <c r="B26" s="10" t="s">
        <v>39</v>
      </c>
      <c r="C26" s="1">
        <v>1000</v>
      </c>
      <c r="D26" s="17"/>
      <c r="E26" s="7"/>
      <c r="F26" s="8"/>
    </row>
    <row r="27" spans="2:7" x14ac:dyDescent="0.15">
      <c r="B27" s="19" t="s">
        <v>36</v>
      </c>
      <c r="C27" s="20">
        <f>'CE525 Wgt &amp; Bal'!B31</f>
        <v>750</v>
      </c>
      <c r="D27" s="17"/>
      <c r="E27" s="7"/>
      <c r="F27" s="8"/>
    </row>
    <row r="28" spans="2:7" ht="16" x14ac:dyDescent="0.2">
      <c r="B28" s="8"/>
      <c r="C28" s="21"/>
      <c r="D28" s="8"/>
      <c r="E28" s="22"/>
      <c r="F28" s="23"/>
    </row>
    <row r="29" spans="2:7" ht="16" x14ac:dyDescent="0.2">
      <c r="B29" s="31" t="s">
        <v>59</v>
      </c>
      <c r="C29" s="15">
        <f>'CE525 Wgt &amp; Bal'!B33</f>
        <v>9787</v>
      </c>
      <c r="D29" s="8"/>
      <c r="E29" s="7"/>
      <c r="F29" s="23"/>
    </row>
    <row r="30" spans="2:7" x14ac:dyDescent="0.15">
      <c r="B30" s="8"/>
      <c r="C30" s="24"/>
      <c r="D30" s="8"/>
      <c r="E30" s="25"/>
      <c r="F30" s="18"/>
    </row>
    <row r="31" spans="2:7" ht="18" x14ac:dyDescent="0.2">
      <c r="B31" s="31" t="s">
        <v>60</v>
      </c>
      <c r="C31" s="15">
        <f>'CE525 Wgt &amp; Bal'!B35</f>
        <v>9687</v>
      </c>
      <c r="D31" s="70" t="str">
        <f>'CE525 Wgt &amp; Bal'!B36</f>
        <v>T.O.Weight OK</v>
      </c>
      <c r="E31" s="70"/>
      <c r="F31" s="70"/>
      <c r="G31" s="70"/>
    </row>
    <row r="32" spans="2:7" x14ac:dyDescent="0.15">
      <c r="B32" s="8"/>
      <c r="C32" s="26"/>
      <c r="D32" s="8"/>
      <c r="E32" s="22"/>
      <c r="F32" s="27"/>
    </row>
    <row r="33" spans="2:8" ht="18" x14ac:dyDescent="0.2">
      <c r="B33" s="31" t="s">
        <v>58</v>
      </c>
      <c r="C33" s="15">
        <f>'CE525 Wgt &amp; Bal'!B38</f>
        <v>8687</v>
      </c>
      <c r="D33" s="71" t="str">
        <f>'CE525 Wgt &amp; Bal'!B39</f>
        <v>Landing Weight OK</v>
      </c>
      <c r="E33" s="71"/>
      <c r="F33" s="71"/>
      <c r="G33" s="71"/>
    </row>
    <row r="34" spans="2:8" x14ac:dyDescent="0.15">
      <c r="B34" s="8"/>
      <c r="C34" s="8"/>
      <c r="D34" s="8"/>
      <c r="E34" s="8"/>
      <c r="F34" s="28"/>
    </row>
    <row r="35" spans="2:8" x14ac:dyDescent="0.15">
      <c r="B35" s="29" t="s">
        <v>22</v>
      </c>
      <c r="C35" s="16" t="s">
        <v>31</v>
      </c>
      <c r="D35" s="30" t="s">
        <v>33</v>
      </c>
      <c r="E35" s="16" t="s">
        <v>32</v>
      </c>
      <c r="F35" s="28"/>
    </row>
    <row r="36" spans="2:8" ht="18" x14ac:dyDescent="0.2">
      <c r="B36" s="10" t="s">
        <v>41</v>
      </c>
      <c r="C36" s="6">
        <f>'CE525 Wgt &amp; Bal'!B42</f>
        <v>273.77800000000002</v>
      </c>
      <c r="D36" s="49">
        <f>'CE525 Wgt &amp; Bal'!C42</f>
        <v>281.1733126263822</v>
      </c>
      <c r="E36" s="6">
        <f>'CE525 Wgt &amp; Bal'!D42</f>
        <v>283.72000000000003</v>
      </c>
      <c r="F36" s="72" t="str">
        <f>IF(AND(D36&lt;E36,D36&gt;C36),"Takeoff CG is ok","Takeoff CG OUT OF LIMITS")</f>
        <v>Takeoff CG is ok</v>
      </c>
      <c r="G36" s="72"/>
      <c r="H36" s="72"/>
    </row>
    <row r="37" spans="2:8" ht="18" x14ac:dyDescent="0.2">
      <c r="B37" s="13" t="s">
        <v>24</v>
      </c>
      <c r="C37" s="6">
        <f>'CE525 Wgt &amp; Bal'!B43</f>
        <v>273.33</v>
      </c>
      <c r="D37" s="49">
        <f>'CE525 Wgt &amp; Bal'!C43</f>
        <v>280.46948560246017</v>
      </c>
      <c r="E37" s="6">
        <f>'CE525 Wgt &amp; Bal'!D43</f>
        <v>283.72000000000003</v>
      </c>
      <c r="F37" s="72" t="str">
        <f>IF(AND(D37&lt;E37,D37&gt;C37),"Landing CG is ok","Landing CG IS OUT OF LIMITS")</f>
        <v>Landing CG is ok</v>
      </c>
      <c r="G37" s="72"/>
      <c r="H37" s="72"/>
    </row>
    <row r="38" spans="2:8" x14ac:dyDescent="0.15">
      <c r="F38" s="50"/>
    </row>
  </sheetData>
  <sheetProtection algorithmName="SHA-512" hashValue="cMBIzE7Q4iHQnCZ9ckMTr+kUyiXdGKDxTMyDNt9VcU1p5YATbEcG7TwmqKXsZDwBvubroygzR5rQH7XOFXSvVg==" saltValue="jeMu793akBY3/48EbXSmlw==" spinCount="100000" sheet="1" objects="1" scenarios="1" selectLockedCells="1"/>
  <mergeCells count="4">
    <mergeCell ref="D31:G31"/>
    <mergeCell ref="D33:G33"/>
    <mergeCell ref="F36:H36"/>
    <mergeCell ref="F37:H37"/>
  </mergeCells>
  <conditionalFormatting sqref="D31">
    <cfRule type="containsText" dxfId="3" priority="4" operator="containsText" text="OVER">
      <formula>NOT(ISERROR(SEARCH("OVER",D31)))</formula>
    </cfRule>
  </conditionalFormatting>
  <conditionalFormatting sqref="D33">
    <cfRule type="containsText" dxfId="2" priority="3" operator="containsText" text="OVER">
      <formula>NOT(ISERROR(SEARCH("OVER",D33)))</formula>
    </cfRule>
  </conditionalFormatting>
  <conditionalFormatting sqref="F36">
    <cfRule type="containsText" dxfId="1" priority="2" operator="containsText" text="OUT">
      <formula>NOT(ISERROR(SEARCH("OUT",F36)))</formula>
    </cfRule>
  </conditionalFormatting>
  <conditionalFormatting sqref="F37:H37">
    <cfRule type="containsText" dxfId="0" priority="1" operator="containsText" text="out">
      <formula>NOT(ISERROR(SEARCH("out",F37)))</formula>
    </cfRule>
  </conditionalFormatting>
  <pageMargins left="0.7" right="0.7" top="0.75" bottom="0.75" header="0.3" footer="0.3"/>
  <pageSetup scale="67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F6CCA-CAA7-F44C-94C9-AB90E51BFF3E}">
  <dimension ref="A1"/>
  <sheetViews>
    <sheetView workbookViewId="0"/>
  </sheetViews>
  <sheetFormatPr baseColWidth="10" defaultRowHeight="13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4"/>
  <sheetViews>
    <sheetView showGridLines="0" zoomScale="125" zoomScaleNormal="15" workbookViewId="0">
      <selection activeCell="C27" sqref="C27"/>
    </sheetView>
  </sheetViews>
  <sheetFormatPr baseColWidth="10" defaultColWidth="8.83203125" defaultRowHeight="12.75" customHeight="1" x14ac:dyDescent="0.15"/>
  <cols>
    <col min="1" max="1" width="35.83203125" style="18" customWidth="1"/>
    <col min="2" max="4" width="8.83203125" style="18" customWidth="1"/>
    <col min="5" max="5" width="15.6640625" style="18" customWidth="1"/>
    <col min="6" max="7" width="8.83203125" style="18" customWidth="1"/>
    <col min="8" max="8" width="11.6640625" style="18" customWidth="1"/>
    <col min="9" max="9" width="13.1640625" style="18" customWidth="1"/>
    <col min="10" max="10" width="12.33203125" style="18" customWidth="1"/>
    <col min="11" max="13" width="8.83203125" style="18" customWidth="1"/>
    <col min="14" max="14" width="10.1640625" style="18" customWidth="1"/>
    <col min="15" max="16" width="8.83203125" style="18" customWidth="1"/>
    <col min="17" max="17" width="11.83203125" style="18" customWidth="1"/>
    <col min="18" max="18" width="10.83203125" style="18" customWidth="1"/>
    <col min="19" max="20" width="8.83203125" style="18" customWidth="1"/>
    <col min="21" max="248" width="8.83203125" style="8" customWidth="1"/>
    <col min="249" max="16384" width="8.83203125" style="8"/>
  </cols>
  <sheetData>
    <row r="1" spans="1:20" ht="12.7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16" customHeight="1" x14ac:dyDescent="0.15">
      <c r="A2" s="73" t="s">
        <v>56</v>
      </c>
      <c r="B2" s="73"/>
      <c r="C2" s="73"/>
      <c r="D2" s="73"/>
      <c r="E2" s="8"/>
      <c r="F2" s="8"/>
      <c r="G2" s="8"/>
      <c r="H2" s="8"/>
      <c r="I2" s="8"/>
      <c r="J2" s="8"/>
      <c r="K2" s="8"/>
    </row>
    <row r="3" spans="1:20" ht="13.5" customHeight="1" x14ac:dyDescent="0.15">
      <c r="A3" s="31"/>
      <c r="B3" s="8"/>
      <c r="C3" s="8"/>
      <c r="D3" s="8"/>
      <c r="E3" s="8"/>
      <c r="F3" s="8"/>
      <c r="G3" s="8"/>
      <c r="H3" s="29"/>
      <c r="I3" s="8"/>
      <c r="J3" s="8"/>
      <c r="K3" s="8"/>
    </row>
    <row r="4" spans="1:20" ht="15" customHeight="1" x14ac:dyDescent="0.15">
      <c r="A4" s="8"/>
      <c r="B4" s="32" t="s">
        <v>4</v>
      </c>
      <c r="C4" s="32" t="s">
        <v>5</v>
      </c>
      <c r="D4" s="32" t="s">
        <v>6</v>
      </c>
      <c r="E4" s="32" t="s">
        <v>7</v>
      </c>
      <c r="F4" s="8"/>
      <c r="G4" s="8"/>
      <c r="H4" s="8"/>
      <c r="I4" s="8"/>
      <c r="J4" s="8"/>
      <c r="K4" s="8"/>
    </row>
    <row r="5" spans="1:20" ht="13.5" customHeight="1" x14ac:dyDescent="0.15">
      <c r="A5" s="8"/>
      <c r="B5" s="32" t="s">
        <v>12</v>
      </c>
      <c r="C5" s="32" t="s">
        <v>13</v>
      </c>
      <c r="D5" s="33" t="s">
        <v>14</v>
      </c>
      <c r="E5" s="32" t="s">
        <v>13</v>
      </c>
      <c r="F5" s="8"/>
      <c r="G5" s="34"/>
      <c r="K5" s="8"/>
    </row>
    <row r="6" spans="1:20" ht="13.5" customHeight="1" x14ac:dyDescent="0.15">
      <c r="A6" s="67" t="s">
        <v>55</v>
      </c>
      <c r="B6" s="35">
        <v>7632</v>
      </c>
      <c r="C6" s="7">
        <f>D6/B6*100</f>
        <v>285.62604821802933</v>
      </c>
      <c r="D6" s="35">
        <v>21798.98</v>
      </c>
      <c r="E6" s="6">
        <f>D6*100/B6</f>
        <v>285.62604821802933</v>
      </c>
      <c r="F6" s="8"/>
      <c r="G6" s="14"/>
      <c r="K6" s="8"/>
    </row>
    <row r="7" spans="1:20" ht="13.25" customHeight="1" x14ac:dyDescent="0.15">
      <c r="A7" s="4" t="s">
        <v>47</v>
      </c>
      <c r="B7" s="5">
        <f>N757CP!C3</f>
        <v>200</v>
      </c>
      <c r="C7" s="6">
        <v>131</v>
      </c>
      <c r="D7" s="7">
        <f t="shared" ref="D7:D23" si="0">B7*C7/100</f>
        <v>262</v>
      </c>
      <c r="E7" s="8"/>
      <c r="F7" s="8"/>
      <c r="G7" s="14"/>
      <c r="K7" s="8"/>
    </row>
    <row r="8" spans="1:20" ht="13.25" customHeight="1" x14ac:dyDescent="0.15">
      <c r="A8" s="4" t="s">
        <v>64</v>
      </c>
      <c r="B8" s="5">
        <f>N757CP!C4</f>
        <v>10</v>
      </c>
      <c r="C8" s="6">
        <v>151</v>
      </c>
      <c r="D8" s="7">
        <f t="shared" si="0"/>
        <v>15.1</v>
      </c>
      <c r="E8" s="8"/>
      <c r="F8" s="8"/>
      <c r="G8" s="14"/>
      <c r="K8" s="8"/>
    </row>
    <row r="9" spans="1:20" ht="13.25" customHeight="1" x14ac:dyDescent="0.15">
      <c r="A9" s="4" t="s">
        <v>63</v>
      </c>
      <c r="B9" s="5">
        <f>N757CP!C5</f>
        <v>10</v>
      </c>
      <c r="C9" s="6">
        <v>152.25</v>
      </c>
      <c r="D9" s="7">
        <f>B9*C9/100</f>
        <v>15.225</v>
      </c>
      <c r="E9" s="8"/>
      <c r="F9" s="8"/>
      <c r="G9" s="14"/>
      <c r="K9" s="8"/>
    </row>
    <row r="10" spans="1:20" ht="13.25" customHeight="1" x14ac:dyDescent="0.15">
      <c r="A10" s="4" t="s">
        <v>68</v>
      </c>
      <c r="B10" s="5">
        <f>N757CP!C6</f>
        <v>15</v>
      </c>
      <c r="C10" s="6">
        <v>155.88</v>
      </c>
      <c r="D10" s="7">
        <f t="shared" si="0"/>
        <v>23.381999999999998</v>
      </c>
      <c r="E10" s="8"/>
      <c r="F10" s="8"/>
      <c r="G10" s="14"/>
      <c r="K10" s="8"/>
    </row>
    <row r="11" spans="1:20" ht="13.25" customHeight="1" x14ac:dyDescent="0.15">
      <c r="A11" s="4" t="s">
        <v>65</v>
      </c>
      <c r="B11" s="5">
        <f>N757CP!C7</f>
        <v>15</v>
      </c>
      <c r="C11" s="6">
        <v>163</v>
      </c>
      <c r="D11" s="7"/>
      <c r="E11" s="8"/>
      <c r="F11" s="8"/>
      <c r="G11" s="14"/>
      <c r="K11" s="8"/>
    </row>
    <row r="12" spans="1:20" ht="13.25" customHeight="1" x14ac:dyDescent="0.15">
      <c r="A12" s="10" t="s">
        <v>66</v>
      </c>
      <c r="B12" s="5">
        <f>N757CP!C8</f>
        <v>25</v>
      </c>
      <c r="C12" s="6">
        <v>179.13</v>
      </c>
      <c r="D12" s="7">
        <f>B12*C12/100</f>
        <v>44.782499999999999</v>
      </c>
      <c r="E12" s="8"/>
      <c r="F12" s="8"/>
      <c r="G12" s="14"/>
      <c r="K12" s="8"/>
    </row>
    <row r="13" spans="1:20" ht="13.25" customHeight="1" x14ac:dyDescent="0.15">
      <c r="A13" s="10" t="s">
        <v>67</v>
      </c>
      <c r="B13" s="5">
        <f>N757CP!C9</f>
        <v>25</v>
      </c>
      <c r="C13" s="6">
        <v>301.7</v>
      </c>
      <c r="D13" s="7"/>
      <c r="E13" s="8"/>
      <c r="F13" s="8"/>
      <c r="G13" s="14"/>
      <c r="K13" s="8"/>
    </row>
    <row r="14" spans="1:20" ht="13.25" customHeight="1" x14ac:dyDescent="0.15">
      <c r="A14" s="10" t="s">
        <v>69</v>
      </c>
      <c r="B14" s="5">
        <f>N757CP!C10</f>
        <v>5</v>
      </c>
      <c r="C14" s="6">
        <v>314.58</v>
      </c>
      <c r="D14" s="7">
        <f>B14*C14/100</f>
        <v>15.728999999999999</v>
      </c>
      <c r="E14" s="8"/>
      <c r="F14" s="8"/>
      <c r="G14" s="14"/>
      <c r="K14" s="8"/>
    </row>
    <row r="15" spans="1:20" ht="13.25" customHeight="1" x14ac:dyDescent="0.15">
      <c r="A15" s="11" t="s">
        <v>27</v>
      </c>
      <c r="B15" s="7">
        <f>SUM(B6:B14)</f>
        <v>7937</v>
      </c>
      <c r="C15" s="6"/>
      <c r="D15" s="7">
        <f>SUM(D6:D14)</f>
        <v>22175.198499999999</v>
      </c>
      <c r="E15" s="8"/>
      <c r="F15" s="8"/>
      <c r="G15" s="14"/>
      <c r="K15" s="8"/>
    </row>
    <row r="16" spans="1:20" ht="13.25" customHeight="1" x14ac:dyDescent="0.15">
      <c r="A16" s="10" t="s">
        <v>35</v>
      </c>
      <c r="B16" s="12">
        <f>N757CP!C12</f>
        <v>0</v>
      </c>
      <c r="C16" s="6">
        <v>131</v>
      </c>
      <c r="D16" s="7">
        <f t="shared" si="0"/>
        <v>0</v>
      </c>
      <c r="E16" s="8"/>
      <c r="F16" s="8"/>
      <c r="G16" s="14"/>
      <c r="K16" s="8"/>
    </row>
    <row r="17" spans="1:11" ht="13.25" customHeight="1" x14ac:dyDescent="0.15">
      <c r="A17" s="4" t="s">
        <v>38</v>
      </c>
      <c r="B17" s="12">
        <f>N757CP!C13</f>
        <v>0</v>
      </c>
      <c r="C17" s="6">
        <v>164.7</v>
      </c>
      <c r="D17" s="7">
        <f>B17*C17/100</f>
        <v>0</v>
      </c>
      <c r="E17" s="8"/>
      <c r="F17" s="8"/>
      <c r="G17" s="14"/>
      <c r="K17" s="8"/>
    </row>
    <row r="18" spans="1:11" ht="13.25" customHeight="1" x14ac:dyDescent="0.15">
      <c r="A18" s="9" t="s">
        <v>17</v>
      </c>
      <c r="B18" s="12">
        <f>N757CP!C14</f>
        <v>0</v>
      </c>
      <c r="C18" s="6">
        <v>195.75</v>
      </c>
      <c r="D18" s="7">
        <f t="shared" si="0"/>
        <v>0</v>
      </c>
      <c r="E18" s="8"/>
      <c r="F18" s="8"/>
      <c r="G18" s="14"/>
      <c r="K18" s="8"/>
    </row>
    <row r="19" spans="1:11" ht="13.25" customHeight="1" x14ac:dyDescent="0.15">
      <c r="A19" s="10" t="s">
        <v>48</v>
      </c>
      <c r="B19" s="12">
        <f>N757CP!C15</f>
        <v>0</v>
      </c>
      <c r="C19" s="6">
        <v>241.6</v>
      </c>
      <c r="D19" s="7">
        <f t="shared" si="0"/>
        <v>0</v>
      </c>
      <c r="E19" s="8"/>
      <c r="F19" s="8"/>
      <c r="G19" s="14"/>
      <c r="K19" s="8"/>
    </row>
    <row r="20" spans="1:11" ht="13.25" customHeight="1" x14ac:dyDescent="0.15">
      <c r="A20" s="10" t="s">
        <v>49</v>
      </c>
      <c r="B20" s="12">
        <f>N757CP!C16</f>
        <v>0</v>
      </c>
      <c r="C20" s="6">
        <v>275.74</v>
      </c>
      <c r="D20" s="7">
        <f t="shared" si="0"/>
        <v>0</v>
      </c>
      <c r="E20" s="8"/>
      <c r="F20" s="8"/>
      <c r="G20" s="14"/>
      <c r="K20" s="8"/>
    </row>
    <row r="21" spans="1:11" ht="13.25" customHeight="1" x14ac:dyDescent="0.15">
      <c r="A21" s="13" t="s">
        <v>26</v>
      </c>
      <c r="B21" s="12">
        <f>N757CP!C17</f>
        <v>0</v>
      </c>
      <c r="C21" s="6">
        <v>302.45</v>
      </c>
      <c r="D21" s="7">
        <f t="shared" si="0"/>
        <v>0</v>
      </c>
      <c r="E21" s="8"/>
      <c r="F21" s="8"/>
      <c r="G21" s="14"/>
      <c r="K21" s="8"/>
    </row>
    <row r="22" spans="1:11" ht="13.25" customHeight="1" x14ac:dyDescent="0.15">
      <c r="A22" s="13" t="s">
        <v>19</v>
      </c>
      <c r="B22" s="12">
        <f>N757CP!C18</f>
        <v>0</v>
      </c>
      <c r="C22" s="6">
        <v>74</v>
      </c>
      <c r="D22" s="7">
        <f t="shared" si="0"/>
        <v>0</v>
      </c>
      <c r="E22" s="8"/>
      <c r="F22" s="8"/>
      <c r="G22" s="14"/>
      <c r="K22" s="8"/>
    </row>
    <row r="23" spans="1:11" ht="13.25" customHeight="1" x14ac:dyDescent="0.15">
      <c r="A23" s="13" t="s">
        <v>20</v>
      </c>
      <c r="B23" s="12">
        <f>N757CP!C19</f>
        <v>0</v>
      </c>
      <c r="C23" s="6">
        <v>384.59</v>
      </c>
      <c r="D23" s="7">
        <f t="shared" si="0"/>
        <v>0</v>
      </c>
      <c r="E23" s="8"/>
      <c r="F23" s="8"/>
      <c r="G23" s="14"/>
      <c r="K23" s="8"/>
    </row>
    <row r="24" spans="1:11" ht="13.25" customHeight="1" x14ac:dyDescent="0.15">
      <c r="A24" s="10" t="s">
        <v>34</v>
      </c>
      <c r="B24" s="14">
        <f>SUM(B16:B23)</f>
        <v>0</v>
      </c>
      <c r="C24" s="6"/>
      <c r="D24" s="7"/>
      <c r="E24" s="8"/>
      <c r="F24" s="8"/>
      <c r="G24" s="14"/>
      <c r="K24" s="8"/>
    </row>
    <row r="25" spans="1:11" ht="13.25" customHeight="1" x14ac:dyDescent="0.15">
      <c r="A25" s="31" t="s">
        <v>53</v>
      </c>
      <c r="B25" s="15">
        <f>SUM(B15:B23)</f>
        <v>7937</v>
      </c>
      <c r="C25" s="8">
        <f>D25/B25*100</f>
        <v>279.39017890890761</v>
      </c>
      <c r="D25" s="7">
        <f>SUM(D15:D23)</f>
        <v>22175.198499999999</v>
      </c>
      <c r="E25" s="8"/>
      <c r="F25" s="8"/>
      <c r="G25" s="14"/>
      <c r="K25" s="8"/>
    </row>
    <row r="26" spans="1:11" ht="13.5" customHeight="1" x14ac:dyDescent="0.15">
      <c r="A26" s="16" t="s">
        <v>30</v>
      </c>
      <c r="B26" s="8"/>
      <c r="C26" s="8"/>
      <c r="D26" s="7"/>
      <c r="E26" s="8"/>
      <c r="F26" s="8"/>
      <c r="G26" s="14"/>
      <c r="K26" s="8"/>
    </row>
    <row r="27" spans="1:11" ht="13.5" customHeight="1" x14ac:dyDescent="0.15">
      <c r="A27" s="10" t="s">
        <v>57</v>
      </c>
      <c r="B27" s="5">
        <f>N757CP!C23</f>
        <v>1850</v>
      </c>
      <c r="C27" s="17">
        <f>VLOOKUP(B27,DATA!B3:D46,3)</f>
        <v>289.11888888888893</v>
      </c>
      <c r="D27" s="7">
        <f>B27*C27/100</f>
        <v>5348.6994444444454</v>
      </c>
      <c r="E27" s="8"/>
      <c r="F27" s="8"/>
      <c r="G27" s="14"/>
      <c r="K27" s="8"/>
    </row>
    <row r="28" spans="1:11" ht="13.25" customHeight="1" x14ac:dyDescent="0.15">
      <c r="A28" s="13" t="s">
        <v>28</v>
      </c>
      <c r="B28" s="5">
        <f>N757CP!C24</f>
        <v>100</v>
      </c>
      <c r="C28" s="17"/>
      <c r="D28" s="7"/>
      <c r="E28" s="8"/>
      <c r="F28" s="8"/>
      <c r="G28" s="14"/>
      <c r="K28" s="8"/>
    </row>
    <row r="29" spans="1:11" ht="13.5" customHeight="1" x14ac:dyDescent="0.15">
      <c r="A29" s="13" t="s">
        <v>29</v>
      </c>
      <c r="B29" s="18">
        <f>B27-B28</f>
        <v>1750</v>
      </c>
      <c r="C29" s="17">
        <f>VLOOKUP(B29,DATA!B3:D46,3)</f>
        <v>289.26058823529411</v>
      </c>
      <c r="D29" s="7">
        <f>B29*C29/100</f>
        <v>5062.0602941176467</v>
      </c>
      <c r="E29" s="8"/>
      <c r="F29" s="8"/>
      <c r="G29" s="14"/>
      <c r="K29" s="8"/>
    </row>
    <row r="30" spans="1:11" ht="13.25" customHeight="1" x14ac:dyDescent="0.15">
      <c r="A30" s="10" t="s">
        <v>39</v>
      </c>
      <c r="B30" s="5">
        <f>N757CP!C26</f>
        <v>1000</v>
      </c>
      <c r="C30" s="17"/>
      <c r="D30" s="7"/>
      <c r="E30" s="8"/>
      <c r="F30" s="8"/>
      <c r="G30" s="14"/>
      <c r="K30" s="8"/>
    </row>
    <row r="31" spans="1:11" ht="12.75" customHeight="1" x14ac:dyDescent="0.15">
      <c r="A31" s="19" t="s">
        <v>36</v>
      </c>
      <c r="B31" s="20">
        <f>B29-B30</f>
        <v>750</v>
      </c>
      <c r="C31" s="17">
        <f>VLOOKUP(B31,DATA!B3:D46,3)</f>
        <v>291.89142857142855</v>
      </c>
      <c r="D31" s="7">
        <f>B31*C31/100</f>
        <v>2189.1857142857143</v>
      </c>
      <c r="E31" s="8"/>
      <c r="F31" s="8"/>
      <c r="G31" s="14"/>
      <c r="K31" s="8"/>
    </row>
    <row r="32" spans="1:11" ht="12.75" customHeight="1" x14ac:dyDescent="0.2">
      <c r="A32" s="8"/>
      <c r="B32" s="21"/>
      <c r="C32" s="8"/>
      <c r="D32" s="22"/>
      <c r="E32" s="23"/>
      <c r="F32" s="8"/>
      <c r="G32" s="14"/>
      <c r="K32" s="8"/>
    </row>
    <row r="33" spans="1:11" ht="12.75" customHeight="1" x14ac:dyDescent="0.2">
      <c r="A33" s="31" t="s">
        <v>51</v>
      </c>
      <c r="B33" s="15">
        <f>SUM(B25:B27)</f>
        <v>9787</v>
      </c>
      <c r="C33" s="8">
        <f>D33/B33*100</f>
        <v>281.22916056446763</v>
      </c>
      <c r="D33" s="7">
        <f>SUM(D25:D27)</f>
        <v>27523.897944444445</v>
      </c>
      <c r="E33" s="23"/>
      <c r="F33" s="8"/>
      <c r="G33" s="14"/>
      <c r="K33" s="8"/>
    </row>
    <row r="34" spans="1:11" ht="13.25" customHeight="1" x14ac:dyDescent="0.15">
      <c r="A34" s="8"/>
      <c r="B34" s="24"/>
      <c r="C34" s="8"/>
      <c r="D34" s="25" t="s">
        <v>21</v>
      </c>
      <c r="F34" s="8"/>
      <c r="G34" s="14"/>
      <c r="K34" s="8"/>
    </row>
    <row r="35" spans="1:11" ht="13.5" customHeight="1" x14ac:dyDescent="0.15">
      <c r="A35" s="31" t="s">
        <v>50</v>
      </c>
      <c r="B35" s="15">
        <f>B25+B29</f>
        <v>9687</v>
      </c>
      <c r="C35" s="8">
        <f>D35/B35*100</f>
        <v>281.17331262638226</v>
      </c>
      <c r="D35" s="7">
        <f>D25+D29</f>
        <v>27237.258794117646</v>
      </c>
      <c r="F35" s="8"/>
      <c r="G35" s="14"/>
      <c r="K35" s="8"/>
    </row>
    <row r="36" spans="1:11" ht="13.5" customHeight="1" x14ac:dyDescent="0.15">
      <c r="A36" s="8"/>
      <c r="B36" s="46" t="str">
        <f>IF(B35&gt;12375,"OVER MAX T.O.WEIGHT,  MAX = 12375","T.O.Weight OK")</f>
        <v>T.O.Weight OK</v>
      </c>
      <c r="C36" s="8"/>
      <c r="D36" s="7"/>
      <c r="F36" s="8"/>
      <c r="G36" s="14"/>
      <c r="K36" s="8"/>
    </row>
    <row r="37" spans="1:11" ht="13.25" customHeight="1" x14ac:dyDescent="0.15">
      <c r="A37" s="8"/>
      <c r="B37" s="26"/>
      <c r="C37" s="8"/>
      <c r="D37" s="22"/>
      <c r="E37" s="27"/>
      <c r="F37" s="8"/>
      <c r="G37" s="14"/>
      <c r="K37" s="8"/>
    </row>
    <row r="38" spans="1:11" ht="13.25" customHeight="1" x14ac:dyDescent="0.15">
      <c r="A38" s="31" t="s">
        <v>52</v>
      </c>
      <c r="B38" s="15">
        <f>B25+B31</f>
        <v>8687</v>
      </c>
      <c r="C38" s="8">
        <f>D38/B38*100</f>
        <v>280.46948560246017</v>
      </c>
      <c r="D38" s="7">
        <f>D25+D31</f>
        <v>24364.384214285714</v>
      </c>
      <c r="F38" s="8"/>
      <c r="G38" s="14"/>
      <c r="K38" s="8"/>
    </row>
    <row r="39" spans="1:11" ht="12.75" customHeight="1" x14ac:dyDescent="0.15">
      <c r="A39" s="8"/>
      <c r="B39" s="47" t="str">
        <f>IF(B38&gt;11500,"OVER LANDING WEIGHT,  MAX = 11,500","Landing Weight OK")</f>
        <v>Landing Weight OK</v>
      </c>
      <c r="C39" s="8"/>
      <c r="D39" s="8"/>
      <c r="F39" s="8"/>
      <c r="G39" s="14"/>
      <c r="K39" s="8"/>
    </row>
    <row r="40" spans="1:11" ht="13.5" customHeight="1" x14ac:dyDescent="0.15">
      <c r="A40" s="8"/>
      <c r="B40" s="8"/>
      <c r="C40" s="8"/>
      <c r="D40" s="8"/>
      <c r="E40" s="28"/>
      <c r="F40" s="36"/>
      <c r="G40" s="14"/>
      <c r="K40" s="8"/>
    </row>
    <row r="41" spans="1:11" ht="13.25" customHeight="1" x14ac:dyDescent="0.15">
      <c r="A41" s="29" t="s">
        <v>22</v>
      </c>
      <c r="B41" s="16" t="s">
        <v>31</v>
      </c>
      <c r="C41" s="30" t="s">
        <v>33</v>
      </c>
      <c r="D41" s="16" t="s">
        <v>32</v>
      </c>
      <c r="E41" s="28"/>
      <c r="F41" s="8"/>
      <c r="G41" s="14"/>
      <c r="K41" s="8"/>
    </row>
    <row r="42" spans="1:11" ht="13.25" customHeight="1" x14ac:dyDescent="0.15">
      <c r="A42" s="13" t="s">
        <v>23</v>
      </c>
      <c r="B42" s="6">
        <f>DATA!I2</f>
        <v>273.77800000000002</v>
      </c>
      <c r="C42" s="49">
        <f>D35*100/B35</f>
        <v>281.1733126263822</v>
      </c>
      <c r="D42" s="6">
        <f>DATA!N2</f>
        <v>283.72000000000003</v>
      </c>
      <c r="E42" s="48" t="str">
        <f>IF(AND(C42&lt;D42,C42&gt;B42),"Takeoff CG is ok","Takeoff CG out")</f>
        <v>Takeoff CG is ok</v>
      </c>
      <c r="F42" s="8"/>
      <c r="G42" s="14"/>
      <c r="H42" s="8"/>
      <c r="I42" s="35"/>
      <c r="J42" s="37"/>
      <c r="K42" s="8"/>
    </row>
    <row r="43" spans="1:11" ht="13.25" customHeight="1" x14ac:dyDescent="0.15">
      <c r="A43" s="13" t="s">
        <v>24</v>
      </c>
      <c r="B43" s="6">
        <f>DATA!I3</f>
        <v>273.33</v>
      </c>
      <c r="C43" s="49">
        <f>D38*100/B38</f>
        <v>280.46948560246017</v>
      </c>
      <c r="D43" s="6">
        <f>DATA!N3</f>
        <v>283.72000000000003</v>
      </c>
      <c r="E43" s="48" t="str">
        <f>IF(AND(C43&lt;D43,C43&gt;B43),"Landing CG is ok","Landing CG out")</f>
        <v>Landing CG is ok</v>
      </c>
      <c r="F43" s="8"/>
      <c r="G43" s="14"/>
      <c r="H43" s="8"/>
      <c r="I43" s="35"/>
      <c r="J43" s="37"/>
      <c r="K43" s="8"/>
    </row>
    <row r="44" spans="1:11" ht="13.25" customHeight="1" x14ac:dyDescent="0.15">
      <c r="A44" s="8"/>
      <c r="B44" s="8"/>
      <c r="C44" s="8"/>
      <c r="D44" s="9" t="s">
        <v>25</v>
      </c>
      <c r="E44" s="8"/>
      <c r="F44" s="8"/>
      <c r="G44" s="14"/>
      <c r="H44" s="8"/>
      <c r="I44" s="35"/>
      <c r="J44" s="37"/>
      <c r="K44" s="8"/>
    </row>
    <row r="45" spans="1:11" ht="13.25" customHeight="1" x14ac:dyDescent="0.15">
      <c r="A45" s="10"/>
      <c r="B45" s="8"/>
      <c r="C45" s="8"/>
      <c r="D45" s="8"/>
      <c r="E45" s="8"/>
      <c r="F45" s="8"/>
      <c r="G45" s="14"/>
      <c r="H45" s="8"/>
      <c r="I45" s="38"/>
      <c r="J45" s="37"/>
      <c r="K45" s="8"/>
    </row>
    <row r="46" spans="1:11" ht="13.25" customHeight="1" x14ac:dyDescent="0.15">
      <c r="A46" s="39"/>
      <c r="B46" s="8"/>
      <c r="C46" s="36"/>
      <c r="D46" s="8"/>
      <c r="E46" s="8"/>
      <c r="F46" s="8"/>
      <c r="G46" s="14"/>
      <c r="H46" s="8"/>
      <c r="I46" s="38"/>
      <c r="J46" s="37"/>
      <c r="K46" s="8"/>
    </row>
    <row r="47" spans="1:11" ht="13.25" customHeight="1" x14ac:dyDescent="0.15">
      <c r="A47" s="40"/>
      <c r="B47" s="36"/>
      <c r="C47" s="8"/>
      <c r="D47" s="8"/>
      <c r="E47" s="8"/>
      <c r="F47" s="41"/>
      <c r="G47" s="14"/>
      <c r="H47" s="8"/>
      <c r="I47" s="38"/>
      <c r="J47" s="37"/>
      <c r="K47" s="8"/>
    </row>
    <row r="48" spans="1:11" ht="13.25" customHeight="1" x14ac:dyDescent="0.15">
      <c r="A48" s="9"/>
      <c r="B48" s="8"/>
      <c r="C48" s="8"/>
      <c r="D48" s="8"/>
      <c r="E48" s="8"/>
      <c r="F48" s="41"/>
      <c r="G48" s="14"/>
      <c r="H48" s="8"/>
      <c r="I48" s="35"/>
      <c r="J48" s="37"/>
      <c r="K48" s="8"/>
    </row>
    <row r="49" spans="1:20" ht="13.25" customHeight="1" x14ac:dyDescent="0.15">
      <c r="A49" s="8"/>
      <c r="B49" s="8"/>
      <c r="C49" s="36"/>
      <c r="D49" s="8"/>
      <c r="E49" s="8"/>
      <c r="F49" s="8"/>
      <c r="G49" s="8"/>
      <c r="H49" s="8"/>
      <c r="I49" s="38"/>
      <c r="J49" s="37"/>
      <c r="K49" s="8"/>
    </row>
    <row r="50" spans="1:20" ht="13.25" customHeight="1" x14ac:dyDescent="0.15">
      <c r="A50" s="8"/>
      <c r="B50" s="8"/>
      <c r="C50" s="8"/>
      <c r="D50" s="8"/>
      <c r="E50" s="8"/>
      <c r="F50" s="8"/>
      <c r="G50" s="8"/>
      <c r="H50" s="8"/>
      <c r="I50" s="38"/>
      <c r="J50" s="37"/>
      <c r="K50" s="8"/>
    </row>
    <row r="51" spans="1:20" ht="13.25" customHeight="1" x14ac:dyDescent="0.15">
      <c r="A51" s="8"/>
      <c r="B51" s="8"/>
      <c r="C51" s="8"/>
      <c r="D51" s="8"/>
      <c r="E51" s="8"/>
      <c r="F51" s="8"/>
      <c r="G51" s="8"/>
      <c r="H51" s="8"/>
      <c r="I51" s="38"/>
      <c r="J51" s="37"/>
      <c r="K51" s="8"/>
    </row>
    <row r="52" spans="1:20" ht="13.25" customHeight="1" x14ac:dyDescent="0.15">
      <c r="A52" s="8"/>
      <c r="B52" s="8"/>
      <c r="C52" s="8"/>
      <c r="D52" s="8"/>
      <c r="E52" s="8"/>
      <c r="F52" s="8"/>
      <c r="G52" s="8"/>
      <c r="H52" s="8"/>
      <c r="I52" s="38"/>
      <c r="J52" s="37"/>
      <c r="K52" s="8"/>
    </row>
    <row r="53" spans="1:20" ht="13.25" customHeight="1" x14ac:dyDescent="0.15">
      <c r="A53" s="8"/>
      <c r="B53" s="8"/>
      <c r="C53" s="8"/>
      <c r="D53" s="8"/>
      <c r="E53" s="8"/>
      <c r="F53" s="8"/>
      <c r="G53" s="8"/>
      <c r="H53" s="8"/>
      <c r="I53" s="38"/>
      <c r="J53" s="37"/>
      <c r="K53" s="8"/>
      <c r="L53" s="8"/>
      <c r="N53" s="7"/>
      <c r="O53" s="7"/>
      <c r="P53" s="8"/>
      <c r="R53" s="7"/>
      <c r="S53" s="7"/>
      <c r="T53" s="8"/>
    </row>
    <row r="54" spans="1:20" ht="13.25" customHeight="1" x14ac:dyDescent="0.15">
      <c r="A54" s="8"/>
      <c r="B54" s="8"/>
      <c r="C54" s="8"/>
      <c r="D54" s="8"/>
      <c r="E54" s="8"/>
      <c r="F54" s="8"/>
      <c r="G54" s="8"/>
      <c r="H54" s="8"/>
      <c r="I54" s="38"/>
      <c r="J54" s="37"/>
      <c r="K54" s="8"/>
      <c r="L54" s="8"/>
      <c r="N54" s="7"/>
      <c r="O54" s="7"/>
      <c r="P54" s="8"/>
      <c r="R54" s="7"/>
      <c r="S54" s="7"/>
      <c r="T54" s="8"/>
    </row>
    <row r="55" spans="1:20" ht="13.25" customHeight="1" x14ac:dyDescent="0.15">
      <c r="A55" s="8"/>
      <c r="B55" s="8"/>
      <c r="C55" s="8"/>
      <c r="D55" s="8"/>
      <c r="E55" s="8"/>
      <c r="F55" s="8"/>
      <c r="G55" s="8"/>
      <c r="H55" s="8"/>
      <c r="I55" s="38"/>
      <c r="J55" s="37"/>
      <c r="K55" s="8"/>
      <c r="L55" s="8"/>
      <c r="N55" s="7"/>
      <c r="O55" s="7"/>
      <c r="P55" s="8"/>
      <c r="R55" s="7"/>
      <c r="S55" s="7"/>
      <c r="T55" s="8"/>
    </row>
    <row r="56" spans="1:20" ht="13.25" customHeight="1" x14ac:dyDescent="0.15">
      <c r="A56" s="8"/>
      <c r="B56" s="8"/>
      <c r="C56" s="8"/>
      <c r="D56" s="8"/>
      <c r="E56" s="8"/>
      <c r="F56" s="8"/>
      <c r="G56" s="8"/>
      <c r="H56" s="8"/>
      <c r="I56" s="38"/>
      <c r="J56" s="37"/>
      <c r="K56" s="8"/>
      <c r="L56" s="8"/>
      <c r="N56" s="7"/>
      <c r="O56" s="7"/>
      <c r="P56" s="8"/>
      <c r="R56" s="7"/>
      <c r="S56" s="7"/>
      <c r="T56" s="8"/>
    </row>
    <row r="57" spans="1:20" ht="13.25" customHeight="1" x14ac:dyDescent="0.15">
      <c r="A57" s="8"/>
      <c r="B57" s="8"/>
      <c r="C57" s="8"/>
      <c r="D57" s="8"/>
      <c r="E57" s="8"/>
      <c r="F57" s="8"/>
      <c r="G57" s="8"/>
      <c r="H57" s="8"/>
      <c r="I57" s="38"/>
      <c r="J57" s="37"/>
      <c r="K57" s="8"/>
      <c r="L57" s="8"/>
      <c r="N57" s="7"/>
      <c r="O57" s="7"/>
      <c r="P57" s="8"/>
      <c r="R57" s="7"/>
      <c r="S57" s="7"/>
      <c r="T57" s="8"/>
    </row>
    <row r="58" spans="1:20" ht="13.25" customHeight="1" x14ac:dyDescent="0.15">
      <c r="A58" s="42"/>
      <c r="B58" s="8"/>
      <c r="C58" s="8"/>
      <c r="D58" s="8"/>
      <c r="E58" s="8"/>
      <c r="F58" s="8"/>
      <c r="G58" s="8"/>
      <c r="H58" s="8"/>
      <c r="I58" s="38"/>
      <c r="J58" s="37"/>
      <c r="K58" s="8"/>
      <c r="L58" s="8"/>
      <c r="N58" s="7"/>
      <c r="O58" s="7"/>
      <c r="P58" s="8"/>
      <c r="R58" s="7"/>
      <c r="S58" s="7"/>
      <c r="T58" s="8"/>
    </row>
    <row r="59" spans="1:20" ht="13.25" customHeight="1" x14ac:dyDescent="0.15">
      <c r="A59" s="8"/>
      <c r="B59" s="8"/>
      <c r="C59" s="8"/>
      <c r="D59" s="8"/>
      <c r="E59" s="8"/>
      <c r="F59" s="8"/>
      <c r="G59" s="8"/>
      <c r="H59" s="8"/>
      <c r="I59" s="38"/>
      <c r="J59" s="37"/>
      <c r="K59" s="8"/>
      <c r="L59" s="8"/>
      <c r="N59" s="7"/>
      <c r="O59" s="7"/>
      <c r="P59" s="8"/>
      <c r="R59" s="7"/>
      <c r="S59" s="7"/>
      <c r="T59" s="8"/>
    </row>
    <row r="60" spans="1:20" ht="13.25" customHeight="1" x14ac:dyDescent="0.15">
      <c r="A60" s="8"/>
      <c r="B60" s="8"/>
      <c r="C60" s="8"/>
      <c r="D60" s="8"/>
      <c r="E60" s="8"/>
      <c r="F60" s="8"/>
      <c r="G60" s="8"/>
      <c r="H60" s="8"/>
      <c r="I60" s="38"/>
      <c r="J60" s="37"/>
      <c r="K60" s="8"/>
      <c r="L60" s="8"/>
      <c r="N60" s="7"/>
      <c r="O60" s="7"/>
      <c r="P60" s="8"/>
      <c r="R60" s="7"/>
      <c r="S60" s="7"/>
      <c r="T60" s="8"/>
    </row>
    <row r="61" spans="1:20" ht="13.25" customHeight="1" x14ac:dyDescent="0.15">
      <c r="A61" s="8"/>
      <c r="B61" s="8"/>
      <c r="C61" s="8"/>
      <c r="D61" s="8"/>
      <c r="E61" s="8"/>
      <c r="F61" s="8"/>
      <c r="G61" s="8"/>
      <c r="H61" s="8"/>
      <c r="I61" s="38"/>
      <c r="J61" s="37"/>
      <c r="K61" s="8"/>
      <c r="L61" s="8"/>
      <c r="N61" s="7"/>
      <c r="O61" s="7"/>
      <c r="P61" s="8"/>
      <c r="R61" s="7"/>
      <c r="S61" s="7"/>
      <c r="T61" s="8"/>
    </row>
    <row r="62" spans="1:20" ht="13.25" customHeight="1" x14ac:dyDescent="0.15">
      <c r="A62" s="43"/>
      <c r="B62" s="8"/>
      <c r="C62" s="8"/>
      <c r="D62" s="8"/>
      <c r="E62" s="8"/>
      <c r="F62" s="8"/>
      <c r="G62" s="8"/>
      <c r="H62" s="8"/>
      <c r="I62" s="38"/>
      <c r="J62" s="37"/>
      <c r="K62" s="8"/>
      <c r="L62" s="8"/>
      <c r="N62" s="7"/>
      <c r="O62" s="7"/>
      <c r="P62" s="8"/>
      <c r="R62" s="7"/>
      <c r="S62" s="7"/>
      <c r="T62" s="8"/>
    </row>
    <row r="63" spans="1:20" ht="13.25" customHeight="1" x14ac:dyDescent="0.15">
      <c r="A63" s="8"/>
      <c r="B63" s="8"/>
      <c r="C63" s="8"/>
      <c r="D63" s="8"/>
      <c r="E63" s="8"/>
      <c r="F63" s="8"/>
      <c r="G63" s="8"/>
      <c r="H63" s="14"/>
      <c r="I63" s="38"/>
      <c r="J63" s="37"/>
      <c r="K63" s="8"/>
      <c r="L63" s="8"/>
      <c r="N63" s="7"/>
      <c r="O63" s="7"/>
      <c r="P63" s="8"/>
      <c r="R63" s="7"/>
      <c r="S63" s="7"/>
      <c r="T63" s="8"/>
    </row>
    <row r="64" spans="1:20" ht="13.25" customHeight="1" x14ac:dyDescent="0.1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N64" s="7"/>
      <c r="O64" s="7"/>
      <c r="P64" s="8"/>
      <c r="R64" s="7"/>
      <c r="S64" s="7"/>
      <c r="T64" s="8"/>
    </row>
    <row r="65" spans="1:20" ht="12.75" customHeight="1" x14ac:dyDescent="0.15">
      <c r="A65" s="8"/>
      <c r="B65" s="44"/>
      <c r="C65" s="44"/>
      <c r="D65" s="8"/>
      <c r="E65" s="8"/>
      <c r="F65" s="8"/>
      <c r="G65" s="8"/>
      <c r="H65" s="8"/>
      <c r="I65" s="8"/>
      <c r="J65" s="8"/>
      <c r="K65" s="8"/>
      <c r="L65" s="8"/>
      <c r="N65" s="7"/>
      <c r="O65" s="7"/>
      <c r="P65" s="8"/>
      <c r="R65" s="7"/>
      <c r="S65" s="7"/>
      <c r="T65" s="8"/>
    </row>
    <row r="66" spans="1:20" ht="13.25" customHeight="1" x14ac:dyDescent="0.15">
      <c r="A66" s="39"/>
      <c r="B66" s="45"/>
      <c r="C66" s="45"/>
      <c r="D66" s="8"/>
      <c r="E66" s="8"/>
      <c r="F66" s="8"/>
      <c r="G66" s="8"/>
      <c r="H66" s="8"/>
      <c r="I66" s="8"/>
      <c r="J66" s="8"/>
      <c r="K66" s="8"/>
      <c r="L66" s="8"/>
      <c r="N66" s="7"/>
      <c r="O66" s="7"/>
      <c r="P66" s="8"/>
      <c r="R66" s="7"/>
      <c r="S66" s="7"/>
      <c r="T66" s="8"/>
    </row>
    <row r="67" spans="1:20" ht="12.75" customHeight="1" x14ac:dyDescent="0.15">
      <c r="A67" s="39"/>
      <c r="B67" s="45"/>
      <c r="C67" s="45"/>
      <c r="D67" s="8"/>
      <c r="E67" s="8"/>
      <c r="F67" s="8"/>
      <c r="G67" s="8"/>
      <c r="H67" s="8"/>
      <c r="I67" s="8"/>
      <c r="J67" s="8"/>
      <c r="K67" s="8"/>
      <c r="L67" s="8"/>
      <c r="N67" s="7"/>
      <c r="O67" s="7"/>
      <c r="P67" s="8"/>
      <c r="R67" s="7"/>
      <c r="S67" s="7"/>
      <c r="T67" s="8"/>
    </row>
    <row r="68" spans="1:20" ht="12.75" customHeight="1" x14ac:dyDescent="0.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N68" s="7"/>
      <c r="O68" s="7"/>
      <c r="P68" s="8"/>
      <c r="R68" s="7"/>
      <c r="S68" s="7"/>
      <c r="T68" s="8"/>
    </row>
    <row r="69" spans="1:20" ht="12.75" customHeight="1" x14ac:dyDescent="0.1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N69" s="7"/>
      <c r="O69" s="7"/>
      <c r="P69" s="8"/>
      <c r="R69" s="7"/>
      <c r="S69" s="7"/>
      <c r="T69" s="8"/>
    </row>
    <row r="70" spans="1:20" ht="12.75" customHeight="1" x14ac:dyDescent="0.1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N70" s="7"/>
      <c r="O70" s="7"/>
      <c r="P70" s="8"/>
      <c r="R70" s="7"/>
      <c r="S70" s="7"/>
      <c r="T70" s="8"/>
    </row>
    <row r="71" spans="1:20" ht="12.75" customHeight="1" x14ac:dyDescent="0.1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N71" s="7"/>
      <c r="O71" s="7"/>
      <c r="P71" s="8"/>
      <c r="R71" s="7"/>
      <c r="S71" s="7"/>
      <c r="T71" s="8"/>
    </row>
    <row r="72" spans="1:20" ht="13.25" customHeight="1" x14ac:dyDescent="0.1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N72" s="7"/>
      <c r="O72" s="7"/>
      <c r="P72" s="8"/>
      <c r="R72" s="7"/>
      <c r="S72" s="7"/>
      <c r="T72" s="8"/>
    </row>
    <row r="73" spans="1:20" ht="12.75" customHeight="1" x14ac:dyDescent="0.1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N73" s="7"/>
      <c r="O73" s="7"/>
      <c r="P73" s="8"/>
      <c r="R73" s="7"/>
      <c r="S73" s="7"/>
      <c r="T73" s="8"/>
    </row>
    <row r="74" spans="1:20" ht="12.75" customHeight="1" x14ac:dyDescent="0.1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N74" s="7"/>
      <c r="O74" s="7"/>
      <c r="P74" s="8"/>
      <c r="R74" s="7"/>
      <c r="S74" s="7"/>
      <c r="T74" s="8"/>
    </row>
    <row r="75" spans="1:20" ht="12.75" customHeight="1" x14ac:dyDescent="0.1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N75" s="7"/>
      <c r="O75" s="7"/>
      <c r="P75" s="8"/>
      <c r="R75" s="7"/>
      <c r="S75" s="7"/>
      <c r="T75" s="8"/>
    </row>
    <row r="76" spans="1:20" ht="12.75" customHeight="1" x14ac:dyDescent="0.1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N76" s="7"/>
      <c r="O76" s="7"/>
      <c r="P76" s="8"/>
      <c r="R76" s="7"/>
      <c r="S76" s="7"/>
      <c r="T76" s="8"/>
    </row>
    <row r="77" spans="1:20" ht="12.75" customHeight="1" x14ac:dyDescent="0.1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N77" s="7"/>
      <c r="O77" s="7"/>
      <c r="P77" s="8"/>
      <c r="R77" s="7"/>
      <c r="S77" s="7"/>
      <c r="T77" s="8"/>
    </row>
    <row r="78" spans="1:20" ht="12.75" customHeight="1" x14ac:dyDescent="0.1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N78" s="7"/>
      <c r="O78" s="7"/>
      <c r="P78" s="8"/>
      <c r="R78" s="7"/>
      <c r="S78" s="7"/>
      <c r="T78" s="8"/>
    </row>
    <row r="79" spans="1:20" ht="12.75" customHeight="1" x14ac:dyDescent="0.1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N79" s="7"/>
      <c r="O79" s="7"/>
      <c r="P79" s="8"/>
      <c r="Q79" s="8"/>
      <c r="R79" s="7"/>
      <c r="S79" s="7"/>
      <c r="T79" s="8"/>
    </row>
    <row r="80" spans="1:20" ht="12.75" customHeight="1" x14ac:dyDescent="0.1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N80" s="7"/>
      <c r="P80" s="8"/>
      <c r="Q80" s="8"/>
      <c r="R80" s="7"/>
      <c r="S80" s="7"/>
      <c r="T80" s="8"/>
    </row>
    <row r="81" spans="1:20" ht="12.75" customHeight="1" x14ac:dyDescent="0.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N81" s="7"/>
      <c r="P81" s="8"/>
      <c r="Q81" s="8"/>
      <c r="R81" s="7"/>
      <c r="S81" s="7"/>
      <c r="T81" s="8"/>
    </row>
    <row r="82" spans="1:20" ht="12.75" customHeight="1" x14ac:dyDescent="0.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12.75" customHeight="1" x14ac:dyDescent="0.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12.75" customHeight="1" x14ac:dyDescent="0.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12.75" customHeight="1" x14ac:dyDescent="0.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12.75" customHeight="1" x14ac:dyDescent="0.1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12.75" customHeight="1" x14ac:dyDescent="0.1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12.75" customHeight="1" x14ac:dyDescent="0.1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12.75" customHeight="1" x14ac:dyDescent="0.1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12.75" customHeight="1" x14ac:dyDescent="0.1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12.75" customHeight="1" x14ac:dyDescent="0.1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12.75" customHeight="1" x14ac:dyDescent="0.1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12.75" customHeight="1" x14ac:dyDescent="0.1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12.75" customHeight="1" x14ac:dyDescent="0.1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12.75" customHeight="1" x14ac:dyDescent="0.1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12.75" customHeight="1" x14ac:dyDescent="0.1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12.75" customHeight="1" x14ac:dyDescent="0.1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12.75" customHeight="1" x14ac:dyDescent="0.1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12.75" customHeight="1" x14ac:dyDescent="0.1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12.75" customHeight="1" x14ac:dyDescent="0.1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12.75" customHeight="1" x14ac:dyDescent="0.1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12.75" customHeight="1" x14ac:dyDescent="0.1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12.75" customHeight="1" x14ac:dyDescent="0.1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12.75" customHeight="1" x14ac:dyDescent="0.15"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</sheetData>
  <sheetProtection algorithmName="SHA-512" hashValue="MimhXmnMCr6ZW/CCgkcBQ4TDIaIVg7sRCCPagdMV/uLKM86Jeor1L4HkCqMsUFuGV+3aw3sxBVAnktRTxclHeQ==" saltValue="27ATTPZVdWWCcpwIzB2xjg==" spinCount="100000" sheet="1" objects="1" scenarios="1" selectLockedCells="1"/>
  <mergeCells count="1">
    <mergeCell ref="A2:D2"/>
  </mergeCells>
  <pageMargins left="0.75" right="0.75" top="0.25" bottom="0.25" header="0.25" footer="0.25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69713-6CB3-9348-862A-5EEE6B5D40DF}">
  <dimension ref="A1:U58"/>
  <sheetViews>
    <sheetView workbookViewId="0">
      <selection activeCell="I3" sqref="I3"/>
    </sheetView>
  </sheetViews>
  <sheetFormatPr baseColWidth="10" defaultColWidth="8.83203125" defaultRowHeight="13" x14ac:dyDescent="0.15"/>
  <cols>
    <col min="1" max="2" width="8.83203125" style="53"/>
    <col min="3" max="3" width="12.33203125" style="53" customWidth="1"/>
    <col min="4" max="16384" width="8.83203125" style="53"/>
  </cols>
  <sheetData>
    <row r="1" spans="1:21" ht="18" x14ac:dyDescent="0.2">
      <c r="A1" s="51"/>
      <c r="B1" s="52"/>
      <c r="C1" s="52"/>
      <c r="D1" s="52"/>
      <c r="E1" s="51"/>
    </row>
    <row r="2" spans="1:21" ht="13.75" customHeight="1" x14ac:dyDescent="0.15">
      <c r="A2" s="51"/>
      <c r="B2" s="54" t="s">
        <v>4</v>
      </c>
      <c r="C2" s="55" t="s">
        <v>8</v>
      </c>
      <c r="D2" s="56" t="s">
        <v>9</v>
      </c>
      <c r="E2" s="51"/>
      <c r="F2" s="57" t="s">
        <v>0</v>
      </c>
      <c r="G2" s="51"/>
      <c r="H2" s="51"/>
      <c r="I2" s="58">
        <f>VLOOKUP('CE525 Wgt &amp; Bal'!B35,G8:I50,3)</f>
        <v>273.77800000000002</v>
      </c>
      <c r="J2" s="51"/>
      <c r="K2" s="57" t="s">
        <v>1</v>
      </c>
      <c r="L2" s="51"/>
      <c r="M2" s="51"/>
      <c r="N2" s="58">
        <f>VLOOKUP('CE525 Wgt &amp; Bal'!B35,K8:M50,3)</f>
        <v>283.72000000000003</v>
      </c>
    </row>
    <row r="3" spans="1:21" ht="13.75" customHeight="1" x14ac:dyDescent="0.15">
      <c r="A3" s="64">
        <f>B3/6.7</f>
        <v>14.925373134328359</v>
      </c>
      <c r="B3" s="59">
        <v>100</v>
      </c>
      <c r="C3" s="65">
        <v>295.82</v>
      </c>
      <c r="D3" s="66">
        <f t="shared" ref="D3:D42" si="0">C3*100/B3</f>
        <v>295.82</v>
      </c>
      <c r="E3" s="51"/>
      <c r="F3" s="57" t="s">
        <v>2</v>
      </c>
      <c r="G3" s="51"/>
      <c r="H3" s="51"/>
      <c r="I3" s="58">
        <f>VLOOKUP('CE525 Wgt &amp; Bal'!B38,G8:I50,3)</f>
        <v>273.33</v>
      </c>
      <c r="J3" s="51"/>
      <c r="K3" s="57" t="s">
        <v>3</v>
      </c>
      <c r="L3" s="51"/>
      <c r="M3" s="51"/>
      <c r="N3" s="58">
        <f>VLOOKUP('CE525 Wgt &amp; Bal'!B38,K8:M50,3)</f>
        <v>283.72000000000003</v>
      </c>
      <c r="R3" s="53" t="s">
        <v>42</v>
      </c>
    </row>
    <row r="4" spans="1:21" ht="16" x14ac:dyDescent="0.2">
      <c r="A4" s="64">
        <f t="shared" ref="A4:A42" si="1">B4/6.7</f>
        <v>29.850746268656717</v>
      </c>
      <c r="B4" s="59">
        <v>200</v>
      </c>
      <c r="C4" s="65">
        <v>589.83000000000004</v>
      </c>
      <c r="D4" s="66">
        <f t="shared" si="0"/>
        <v>294.91500000000002</v>
      </c>
      <c r="E4" s="51"/>
      <c r="F4" s="51"/>
      <c r="G4" s="74" t="s">
        <v>10</v>
      </c>
      <c r="H4" s="75"/>
      <c r="I4" s="76"/>
      <c r="J4" s="51"/>
      <c r="K4" s="51"/>
      <c r="L4" s="60" t="s">
        <v>11</v>
      </c>
      <c r="M4" s="51"/>
      <c r="N4" s="51"/>
      <c r="R4" s="53">
        <v>7500</v>
      </c>
      <c r="S4" s="53">
        <v>283.72000000000003</v>
      </c>
    </row>
    <row r="5" spans="1:21" ht="13.75" customHeight="1" x14ac:dyDescent="0.15">
      <c r="A5" s="64">
        <f t="shared" si="1"/>
        <v>44.776119402985074</v>
      </c>
      <c r="B5" s="59">
        <v>300</v>
      </c>
      <c r="C5" s="65">
        <v>882.51</v>
      </c>
      <c r="D5" s="66">
        <f t="shared" si="0"/>
        <v>294.17</v>
      </c>
      <c r="E5" s="51"/>
      <c r="F5" s="51"/>
      <c r="G5" s="61"/>
      <c r="H5" s="61"/>
      <c r="I5" s="61"/>
      <c r="J5" s="51"/>
      <c r="K5" s="51"/>
      <c r="L5" s="51"/>
      <c r="M5" s="51"/>
      <c r="N5" s="51"/>
      <c r="R5" s="53">
        <v>12500</v>
      </c>
      <c r="S5" s="53">
        <v>283.72000000000003</v>
      </c>
    </row>
    <row r="6" spans="1:21" ht="16" x14ac:dyDescent="0.2">
      <c r="A6" s="64">
        <f t="shared" si="1"/>
        <v>59.701492537313435</v>
      </c>
      <c r="B6" s="59">
        <v>400</v>
      </c>
      <c r="C6" s="65">
        <v>1173.95</v>
      </c>
      <c r="D6" s="66">
        <f t="shared" si="0"/>
        <v>293.48750000000001</v>
      </c>
      <c r="E6" s="51"/>
      <c r="F6" s="51"/>
      <c r="G6" s="62" t="s">
        <v>4</v>
      </c>
      <c r="H6" s="62" t="s">
        <v>15</v>
      </c>
      <c r="I6" s="60" t="s">
        <v>16</v>
      </c>
      <c r="J6" s="51"/>
      <c r="K6" s="60" t="s">
        <v>4</v>
      </c>
      <c r="L6" s="60" t="s">
        <v>15</v>
      </c>
      <c r="M6" s="60" t="s">
        <v>16</v>
      </c>
      <c r="N6" s="51"/>
      <c r="R6" s="53">
        <v>12500</v>
      </c>
      <c r="S6" s="53">
        <v>277.02999999999997</v>
      </c>
    </row>
    <row r="7" spans="1:21" ht="13.75" customHeight="1" x14ac:dyDescent="0.15">
      <c r="A7" s="64">
        <f t="shared" si="1"/>
        <v>74.626865671641795</v>
      </c>
      <c r="B7" s="59">
        <v>500</v>
      </c>
      <c r="C7" s="65">
        <v>1464.57</v>
      </c>
      <c r="D7" s="66">
        <f t="shared" si="0"/>
        <v>292.91399999999999</v>
      </c>
      <c r="E7" s="51"/>
      <c r="F7" s="51"/>
      <c r="G7" s="51"/>
      <c r="H7" s="51"/>
      <c r="I7" s="51"/>
      <c r="J7" s="51"/>
      <c r="K7" s="51"/>
      <c r="L7" s="51"/>
      <c r="M7" s="51"/>
      <c r="N7" s="51"/>
      <c r="R7" s="53">
        <v>9200</v>
      </c>
      <c r="S7" s="53">
        <v>273.33</v>
      </c>
    </row>
    <row r="8" spans="1:21" ht="13.75" customHeight="1" x14ac:dyDescent="0.15">
      <c r="A8" s="64">
        <f t="shared" si="1"/>
        <v>89.552238805970148</v>
      </c>
      <c r="B8" s="59">
        <v>600</v>
      </c>
      <c r="C8" s="65">
        <v>1754.31</v>
      </c>
      <c r="D8" s="66">
        <f t="shared" si="0"/>
        <v>292.38499999999999</v>
      </c>
      <c r="E8" s="51"/>
      <c r="F8" s="51"/>
      <c r="G8" s="51">
        <v>7500</v>
      </c>
      <c r="H8" s="58">
        <f t="shared" ref="H8:H58" si="2">(G8*I8)/100</f>
        <v>20849.25</v>
      </c>
      <c r="I8" s="58">
        <v>277.99</v>
      </c>
      <c r="J8" s="51"/>
      <c r="K8" s="51">
        <v>7500</v>
      </c>
      <c r="L8" s="58">
        <f t="shared" ref="L8:L58" si="3">(K8*M8)/100</f>
        <v>21279</v>
      </c>
      <c r="M8" s="58">
        <v>283.72000000000003</v>
      </c>
      <c r="N8" s="51"/>
      <c r="R8" s="53">
        <v>8500</v>
      </c>
      <c r="S8" s="53">
        <v>273.33</v>
      </c>
    </row>
    <row r="9" spans="1:21" ht="13.75" customHeight="1" x14ac:dyDescent="0.15">
      <c r="A9" s="64">
        <f t="shared" si="1"/>
        <v>104.4776119402985</v>
      </c>
      <c r="B9" s="59">
        <v>700</v>
      </c>
      <c r="C9" s="65">
        <v>2043.24</v>
      </c>
      <c r="D9" s="66">
        <f t="shared" si="0"/>
        <v>291.89142857142855</v>
      </c>
      <c r="E9" s="51"/>
      <c r="F9" s="51"/>
      <c r="G9" s="51">
        <v>7600</v>
      </c>
      <c r="H9" s="58">
        <f t="shared" si="2"/>
        <v>21089.24</v>
      </c>
      <c r="I9" s="58">
        <v>277.49</v>
      </c>
      <c r="J9" s="51"/>
      <c r="K9" s="51">
        <v>7600</v>
      </c>
      <c r="L9" s="58">
        <f t="shared" si="3"/>
        <v>21562.720000000001</v>
      </c>
      <c r="M9" s="58">
        <v>283.72000000000003</v>
      </c>
      <c r="N9" s="51"/>
      <c r="R9" s="53">
        <v>7500</v>
      </c>
      <c r="S9" s="53">
        <v>277.99</v>
      </c>
    </row>
    <row r="10" spans="1:21" ht="13.75" customHeight="1" x14ac:dyDescent="0.15">
      <c r="A10" s="64">
        <f t="shared" si="1"/>
        <v>119.40298507462687</v>
      </c>
      <c r="B10" s="59">
        <v>800</v>
      </c>
      <c r="C10" s="65">
        <v>2331.69</v>
      </c>
      <c r="D10" s="66">
        <f t="shared" si="0"/>
        <v>291.46125000000001</v>
      </c>
      <c r="E10" s="51"/>
      <c r="F10" s="51"/>
      <c r="G10" s="51">
        <v>7700</v>
      </c>
      <c r="H10" s="58">
        <f t="shared" si="2"/>
        <v>21328.23</v>
      </c>
      <c r="I10" s="58">
        <v>276.99</v>
      </c>
      <c r="J10" s="51"/>
      <c r="K10" s="51">
        <v>7700</v>
      </c>
      <c r="L10" s="58">
        <f t="shared" si="3"/>
        <v>21846.44</v>
      </c>
      <c r="M10" s="58">
        <v>283.72000000000003</v>
      </c>
      <c r="N10" s="51"/>
      <c r="Q10" s="53">
        <f>N757CP!C21</f>
        <v>7937</v>
      </c>
      <c r="R10" s="53" t="s">
        <v>43</v>
      </c>
      <c r="S10" s="53">
        <v>9300</v>
      </c>
      <c r="T10" s="53">
        <v>241.47</v>
      </c>
      <c r="U10" s="53">
        <v>248.43</v>
      </c>
    </row>
    <row r="11" spans="1:21" ht="12.75" customHeight="1" x14ac:dyDescent="0.15">
      <c r="A11" s="64">
        <f t="shared" si="1"/>
        <v>134.32835820895522</v>
      </c>
      <c r="B11" s="59">
        <v>900</v>
      </c>
      <c r="C11" s="65">
        <v>2619.66</v>
      </c>
      <c r="D11" s="66">
        <f t="shared" si="0"/>
        <v>291.07333333333332</v>
      </c>
      <c r="F11" s="51"/>
      <c r="G11" s="51">
        <v>7800</v>
      </c>
      <c r="H11" s="58">
        <f t="shared" si="2"/>
        <v>21566.22</v>
      </c>
      <c r="I11" s="58">
        <v>276.49</v>
      </c>
      <c r="J11" s="51"/>
      <c r="K11" s="51">
        <v>7800</v>
      </c>
      <c r="L11" s="58">
        <f t="shared" si="3"/>
        <v>22130.16</v>
      </c>
      <c r="M11" s="58">
        <v>283.72000000000003</v>
      </c>
      <c r="N11" s="51"/>
      <c r="Q11" s="53">
        <f>N757CP!C33</f>
        <v>8687</v>
      </c>
      <c r="R11" s="53" t="s">
        <v>44</v>
      </c>
      <c r="S11" s="53">
        <v>11500</v>
      </c>
      <c r="T11" s="53">
        <v>243.54</v>
      </c>
      <c r="U11" s="53">
        <v>248.43</v>
      </c>
    </row>
    <row r="12" spans="1:21" ht="12.75" customHeight="1" x14ac:dyDescent="0.15">
      <c r="A12" s="64">
        <f t="shared" si="1"/>
        <v>149.25373134328359</v>
      </c>
      <c r="B12" s="59">
        <v>1000</v>
      </c>
      <c r="C12" s="65">
        <v>2907.02</v>
      </c>
      <c r="D12" s="66">
        <f t="shared" si="0"/>
        <v>290.702</v>
      </c>
      <c r="F12" s="51"/>
      <c r="G12" s="51">
        <v>7900</v>
      </c>
      <c r="H12" s="58">
        <f t="shared" si="2"/>
        <v>21803.21</v>
      </c>
      <c r="I12" s="58">
        <v>275.99</v>
      </c>
      <c r="J12" s="51"/>
      <c r="K12" s="51">
        <v>7900</v>
      </c>
      <c r="L12" s="58">
        <f t="shared" si="3"/>
        <v>22413.88</v>
      </c>
      <c r="M12" s="58">
        <v>283.72000000000003</v>
      </c>
      <c r="N12" s="51"/>
      <c r="Q12" s="53">
        <f>N757CP!C31</f>
        <v>9687</v>
      </c>
      <c r="R12" s="53" t="s">
        <v>45</v>
      </c>
      <c r="S12" s="53">
        <v>12375</v>
      </c>
      <c r="T12" s="53">
        <v>244.34</v>
      </c>
      <c r="U12" s="53">
        <v>248.43</v>
      </c>
    </row>
    <row r="13" spans="1:21" ht="12.75" customHeight="1" x14ac:dyDescent="0.15">
      <c r="A13" s="64">
        <f t="shared" si="1"/>
        <v>164.17910447761193</v>
      </c>
      <c r="B13" s="59">
        <v>1100</v>
      </c>
      <c r="C13" s="65">
        <v>3194.61</v>
      </c>
      <c r="D13" s="66">
        <f t="shared" si="0"/>
        <v>290.41909090909093</v>
      </c>
      <c r="F13" s="51"/>
      <c r="G13" s="51">
        <v>8000</v>
      </c>
      <c r="H13" s="58">
        <f t="shared" si="2"/>
        <v>22039.200000000001</v>
      </c>
      <c r="I13" s="58">
        <v>275.49</v>
      </c>
      <c r="J13" s="51"/>
      <c r="K13" s="51">
        <v>8000</v>
      </c>
      <c r="L13" s="58">
        <f t="shared" si="3"/>
        <v>22697.599999999999</v>
      </c>
      <c r="M13" s="58">
        <v>283.72000000000003</v>
      </c>
      <c r="N13" s="51"/>
      <c r="Q13" s="53">
        <f>N757CP!C29</f>
        <v>9787</v>
      </c>
      <c r="R13" s="53" t="s">
        <v>46</v>
      </c>
      <c r="S13" s="53">
        <v>12500</v>
      </c>
      <c r="T13" s="53">
        <v>244.44</v>
      </c>
      <c r="U13" s="53">
        <v>248.43</v>
      </c>
    </row>
    <row r="14" spans="1:21" ht="12.75" customHeight="1" x14ac:dyDescent="0.15">
      <c r="A14" s="64">
        <f t="shared" si="1"/>
        <v>179.1044776119403</v>
      </c>
      <c r="B14" s="59">
        <v>1200</v>
      </c>
      <c r="C14" s="65">
        <v>3481.85</v>
      </c>
      <c r="D14" s="66">
        <f t="shared" si="0"/>
        <v>290.15416666666664</v>
      </c>
      <c r="F14" s="51"/>
      <c r="G14" s="51">
        <v>8100</v>
      </c>
      <c r="H14" s="58">
        <f t="shared" si="2"/>
        <v>22274.19</v>
      </c>
      <c r="I14" s="58">
        <v>274.99</v>
      </c>
      <c r="J14" s="51"/>
      <c r="K14" s="51">
        <v>8100</v>
      </c>
      <c r="L14" s="58">
        <f t="shared" si="3"/>
        <v>22981.32</v>
      </c>
      <c r="M14" s="58">
        <v>283.72000000000003</v>
      </c>
      <c r="N14" s="51"/>
    </row>
    <row r="15" spans="1:21" ht="12.75" customHeight="1" x14ac:dyDescent="0.15">
      <c r="A15" s="64">
        <f t="shared" si="1"/>
        <v>194.02985074626866</v>
      </c>
      <c r="B15" s="59">
        <v>1300</v>
      </c>
      <c r="C15" s="65">
        <v>3769.19</v>
      </c>
      <c r="D15" s="66">
        <f t="shared" si="0"/>
        <v>289.93769230769232</v>
      </c>
      <c r="F15" s="51"/>
      <c r="G15" s="51">
        <v>8200</v>
      </c>
      <c r="H15" s="58">
        <f t="shared" si="2"/>
        <v>22508.18</v>
      </c>
      <c r="I15" s="58">
        <v>274.49</v>
      </c>
      <c r="J15" s="51"/>
      <c r="K15" s="51">
        <v>8200</v>
      </c>
      <c r="L15" s="58">
        <f t="shared" si="3"/>
        <v>23265.040000000001</v>
      </c>
      <c r="M15" s="58">
        <v>283.72000000000003</v>
      </c>
      <c r="N15" s="51"/>
    </row>
    <row r="16" spans="1:21" ht="12.75" customHeight="1" x14ac:dyDescent="0.15">
      <c r="A16" s="64">
        <f t="shared" si="1"/>
        <v>208.955223880597</v>
      </c>
      <c r="B16" s="59">
        <v>1400</v>
      </c>
      <c r="C16" s="65">
        <v>4056.38</v>
      </c>
      <c r="D16" s="66">
        <f t="shared" si="0"/>
        <v>289.74142857142857</v>
      </c>
      <c r="F16" s="51"/>
      <c r="G16" s="51">
        <v>8300</v>
      </c>
      <c r="H16" s="58">
        <f t="shared" si="2"/>
        <v>22741.17</v>
      </c>
      <c r="I16" s="58">
        <v>273.99</v>
      </c>
      <c r="J16" s="51"/>
      <c r="K16" s="51">
        <v>8300</v>
      </c>
      <c r="L16" s="58">
        <f t="shared" si="3"/>
        <v>23548.76</v>
      </c>
      <c r="M16" s="58">
        <v>283.72000000000003</v>
      </c>
      <c r="N16" s="51"/>
    </row>
    <row r="17" spans="1:14" ht="12.75" customHeight="1" x14ac:dyDescent="0.15">
      <c r="A17" s="64">
        <f t="shared" si="1"/>
        <v>223.88059701492537</v>
      </c>
      <c r="B17" s="59">
        <v>1500</v>
      </c>
      <c r="C17" s="65">
        <v>4343.4799999999996</v>
      </c>
      <c r="D17" s="66">
        <f t="shared" si="0"/>
        <v>289.56533333333329</v>
      </c>
      <c r="F17" s="51"/>
      <c r="G17" s="51">
        <v>8400</v>
      </c>
      <c r="H17" s="58">
        <f t="shared" si="2"/>
        <v>22973.16</v>
      </c>
      <c r="I17" s="58">
        <v>273.49</v>
      </c>
      <c r="J17" s="51"/>
      <c r="K17" s="51">
        <v>8400</v>
      </c>
      <c r="L17" s="58">
        <f t="shared" si="3"/>
        <v>23832.48</v>
      </c>
      <c r="M17" s="58">
        <v>283.72000000000003</v>
      </c>
      <c r="N17" s="51"/>
    </row>
    <row r="18" spans="1:14" ht="12.75" customHeight="1" x14ac:dyDescent="0.15">
      <c r="A18" s="64">
        <f t="shared" si="1"/>
        <v>238.80597014925374</v>
      </c>
      <c r="B18" s="59">
        <v>1600</v>
      </c>
      <c r="C18" s="65">
        <v>4630.51</v>
      </c>
      <c r="D18" s="66">
        <f t="shared" si="0"/>
        <v>289.40687500000001</v>
      </c>
      <c r="F18" s="51"/>
      <c r="G18" s="51">
        <v>8500</v>
      </c>
      <c r="H18" s="58">
        <f t="shared" si="2"/>
        <v>23233.05</v>
      </c>
      <c r="I18" s="58">
        <v>273.33</v>
      </c>
      <c r="J18" s="51"/>
      <c r="K18" s="51">
        <v>8500</v>
      </c>
      <c r="L18" s="58">
        <f t="shared" si="3"/>
        <v>24116.2</v>
      </c>
      <c r="M18" s="58">
        <v>283.72000000000003</v>
      </c>
      <c r="N18" s="51"/>
    </row>
    <row r="19" spans="1:14" ht="12.75" customHeight="1" x14ac:dyDescent="0.15">
      <c r="A19" s="64">
        <f t="shared" si="1"/>
        <v>253.73134328358208</v>
      </c>
      <c r="B19" s="59">
        <v>1700</v>
      </c>
      <c r="C19" s="65">
        <v>4917.43</v>
      </c>
      <c r="D19" s="66">
        <f t="shared" si="0"/>
        <v>289.26058823529411</v>
      </c>
      <c r="F19" s="51"/>
      <c r="G19" s="51">
        <v>8600</v>
      </c>
      <c r="H19" s="58">
        <f t="shared" si="2"/>
        <v>23506.38</v>
      </c>
      <c r="I19" s="58">
        <v>273.33</v>
      </c>
      <c r="J19" s="51"/>
      <c r="K19" s="51">
        <v>8600</v>
      </c>
      <c r="L19" s="58">
        <f t="shared" si="3"/>
        <v>24399.920000000006</v>
      </c>
      <c r="M19" s="58">
        <v>283.72000000000003</v>
      </c>
      <c r="N19" s="51"/>
    </row>
    <row r="20" spans="1:14" ht="12.75" customHeight="1" x14ac:dyDescent="0.15">
      <c r="A20" s="64">
        <f t="shared" si="1"/>
        <v>268.65671641791045</v>
      </c>
      <c r="B20" s="59">
        <v>1800</v>
      </c>
      <c r="C20" s="65">
        <v>5204.1400000000003</v>
      </c>
      <c r="D20" s="66">
        <f t="shared" si="0"/>
        <v>289.11888888888893</v>
      </c>
      <c r="F20" s="51"/>
      <c r="G20" s="51">
        <v>8700</v>
      </c>
      <c r="H20" s="58">
        <f t="shared" si="2"/>
        <v>23779.71</v>
      </c>
      <c r="I20" s="58">
        <v>273.33</v>
      </c>
      <c r="J20" s="58"/>
      <c r="K20" s="51">
        <v>8700</v>
      </c>
      <c r="L20" s="58">
        <f t="shared" si="3"/>
        <v>24683.640000000003</v>
      </c>
      <c r="M20" s="58">
        <v>283.72000000000003</v>
      </c>
      <c r="N20" s="51"/>
    </row>
    <row r="21" spans="1:14" ht="12.75" customHeight="1" x14ac:dyDescent="0.15">
      <c r="A21" s="64">
        <f t="shared" si="1"/>
        <v>283.58208955223881</v>
      </c>
      <c r="B21" s="59">
        <v>1900</v>
      </c>
      <c r="C21" s="65">
        <v>5490.64</v>
      </c>
      <c r="D21" s="66">
        <f t="shared" si="0"/>
        <v>288.98105263157896</v>
      </c>
      <c r="F21" s="51"/>
      <c r="G21" s="51">
        <v>8800</v>
      </c>
      <c r="H21" s="58">
        <f t="shared" si="2"/>
        <v>24053.040000000001</v>
      </c>
      <c r="I21" s="58">
        <v>273.33</v>
      </c>
      <c r="J21" s="58"/>
      <c r="K21" s="51">
        <v>8800</v>
      </c>
      <c r="L21" s="58">
        <f t="shared" si="3"/>
        <v>24967.360000000004</v>
      </c>
      <c r="M21" s="58">
        <v>283.72000000000003</v>
      </c>
      <c r="N21" s="51"/>
    </row>
    <row r="22" spans="1:14" ht="12.75" customHeight="1" x14ac:dyDescent="0.15">
      <c r="A22" s="64">
        <f t="shared" si="1"/>
        <v>298.50746268656718</v>
      </c>
      <c r="B22" s="59">
        <v>2000</v>
      </c>
      <c r="C22" s="65">
        <v>5776.99</v>
      </c>
      <c r="D22" s="66">
        <f t="shared" si="0"/>
        <v>288.84949999999998</v>
      </c>
      <c r="F22" s="51"/>
      <c r="G22" s="51">
        <v>8900</v>
      </c>
      <c r="H22" s="58">
        <f t="shared" si="2"/>
        <v>24326.37</v>
      </c>
      <c r="I22" s="58">
        <v>273.33</v>
      </c>
      <c r="J22" s="63"/>
      <c r="K22" s="51">
        <v>8900</v>
      </c>
      <c r="L22" s="58">
        <f t="shared" si="3"/>
        <v>25251.080000000005</v>
      </c>
      <c r="M22" s="58">
        <v>283.72000000000003</v>
      </c>
      <c r="N22" s="51"/>
    </row>
    <row r="23" spans="1:14" ht="12.75" customHeight="1" x14ac:dyDescent="0.15">
      <c r="A23" s="64">
        <f t="shared" si="1"/>
        <v>313.43283582089549</v>
      </c>
      <c r="B23" s="59">
        <v>2100</v>
      </c>
      <c r="C23" s="65">
        <v>6063.22</v>
      </c>
      <c r="D23" s="66">
        <f t="shared" si="0"/>
        <v>288.72476190476192</v>
      </c>
      <c r="F23" s="51"/>
      <c r="G23" s="51">
        <v>9000</v>
      </c>
      <c r="H23" s="58">
        <f t="shared" si="2"/>
        <v>24599.7</v>
      </c>
      <c r="I23" s="58">
        <v>273.33</v>
      </c>
      <c r="J23" s="63"/>
      <c r="K23" s="51">
        <v>9000</v>
      </c>
      <c r="L23" s="58">
        <f t="shared" si="3"/>
        <v>25534.800000000003</v>
      </c>
      <c r="M23" s="58">
        <v>283.72000000000003</v>
      </c>
      <c r="N23" s="51"/>
    </row>
    <row r="24" spans="1:14" ht="12.75" customHeight="1" x14ac:dyDescent="0.15">
      <c r="A24" s="64">
        <f t="shared" si="1"/>
        <v>328.35820895522386</v>
      </c>
      <c r="B24" s="59">
        <v>2200</v>
      </c>
      <c r="C24" s="65">
        <v>6349.57</v>
      </c>
      <c r="D24" s="66">
        <f t="shared" si="0"/>
        <v>288.61681818181819</v>
      </c>
      <c r="F24" s="51"/>
      <c r="G24" s="51">
        <v>9100</v>
      </c>
      <c r="H24" s="58">
        <f t="shared" si="2"/>
        <v>24873.03</v>
      </c>
      <c r="I24" s="58">
        <v>273.33</v>
      </c>
      <c r="J24" s="58"/>
      <c r="K24" s="51">
        <v>9100</v>
      </c>
      <c r="L24" s="58">
        <f t="shared" si="3"/>
        <v>25818.520000000004</v>
      </c>
      <c r="M24" s="58">
        <v>283.72000000000003</v>
      </c>
      <c r="N24" s="51"/>
    </row>
    <row r="25" spans="1:14" ht="12.75" customHeight="1" x14ac:dyDescent="0.15">
      <c r="A25" s="64">
        <f t="shared" si="1"/>
        <v>343.28358208955223</v>
      </c>
      <c r="B25" s="59">
        <v>2300</v>
      </c>
      <c r="C25" s="65">
        <v>6636.05</v>
      </c>
      <c r="D25" s="66">
        <f t="shared" si="0"/>
        <v>288.52391304347827</v>
      </c>
      <c r="F25" s="51"/>
      <c r="G25" s="51">
        <v>9200</v>
      </c>
      <c r="H25" s="58">
        <f t="shared" si="2"/>
        <v>25146.36</v>
      </c>
      <c r="I25" s="58">
        <v>273.33</v>
      </c>
      <c r="J25" s="58"/>
      <c r="K25" s="51">
        <v>9200</v>
      </c>
      <c r="L25" s="58">
        <f t="shared" si="3"/>
        <v>26102.240000000005</v>
      </c>
      <c r="M25" s="58">
        <v>283.72000000000003</v>
      </c>
      <c r="N25" s="51"/>
    </row>
    <row r="26" spans="1:14" ht="12.75" customHeight="1" x14ac:dyDescent="0.15">
      <c r="A26" s="64">
        <f t="shared" si="1"/>
        <v>358.20895522388059</v>
      </c>
      <c r="B26" s="59">
        <v>2400</v>
      </c>
      <c r="C26" s="65">
        <v>6923.07</v>
      </c>
      <c r="D26" s="66">
        <f t="shared" si="0"/>
        <v>288.46125000000001</v>
      </c>
      <c r="F26" s="51"/>
      <c r="G26" s="51">
        <v>9300</v>
      </c>
      <c r="H26" s="58">
        <f t="shared" si="2"/>
        <v>25430.106</v>
      </c>
      <c r="I26" s="51">
        <v>273.44200000000001</v>
      </c>
      <c r="J26" s="58"/>
      <c r="K26" s="51">
        <v>9300</v>
      </c>
      <c r="L26" s="58">
        <f t="shared" si="3"/>
        <v>26385.960000000006</v>
      </c>
      <c r="M26" s="58">
        <v>283.72000000000003</v>
      </c>
      <c r="N26" s="51"/>
    </row>
    <row r="27" spans="1:14" ht="12.75" customHeight="1" x14ac:dyDescent="0.15">
      <c r="A27" s="64">
        <f t="shared" si="1"/>
        <v>373.13432835820896</v>
      </c>
      <c r="B27" s="59">
        <v>2500</v>
      </c>
      <c r="C27" s="65">
        <v>7210.15</v>
      </c>
      <c r="D27" s="66">
        <f t="shared" si="0"/>
        <v>288.40600000000001</v>
      </c>
      <c r="F27" s="51"/>
      <c r="G27" s="51">
        <v>9400</v>
      </c>
      <c r="H27" s="58">
        <f t="shared" si="2"/>
        <v>25714.075999999997</v>
      </c>
      <c r="I27" s="51">
        <v>273.55399999999997</v>
      </c>
      <c r="J27" s="58"/>
      <c r="K27" s="51">
        <v>9400</v>
      </c>
      <c r="L27" s="58">
        <f t="shared" si="3"/>
        <v>26669.680000000004</v>
      </c>
      <c r="M27" s="58">
        <v>283.72000000000003</v>
      </c>
      <c r="N27" s="51"/>
    </row>
    <row r="28" spans="1:14" ht="12.75" customHeight="1" x14ac:dyDescent="0.15">
      <c r="A28" s="64">
        <f t="shared" si="1"/>
        <v>388.05970149253733</v>
      </c>
      <c r="B28" s="59">
        <v>2600</v>
      </c>
      <c r="C28" s="65">
        <v>7498.48</v>
      </c>
      <c r="D28" s="66">
        <f t="shared" si="0"/>
        <v>288.40307692307692</v>
      </c>
      <c r="F28" s="51"/>
      <c r="G28" s="51">
        <v>9500</v>
      </c>
      <c r="H28" s="58">
        <f t="shared" si="2"/>
        <v>25998.27</v>
      </c>
      <c r="I28" s="51">
        <v>273.666</v>
      </c>
      <c r="J28" s="58"/>
      <c r="K28" s="51">
        <v>9500</v>
      </c>
      <c r="L28" s="58">
        <f t="shared" si="3"/>
        <v>26953.400000000005</v>
      </c>
      <c r="M28" s="58">
        <v>283.72000000000003</v>
      </c>
      <c r="N28" s="51"/>
    </row>
    <row r="29" spans="1:14" ht="12.75" customHeight="1" x14ac:dyDescent="0.15">
      <c r="A29" s="64">
        <f t="shared" si="1"/>
        <v>402.98507462686564</v>
      </c>
      <c r="B29" s="59">
        <v>2700</v>
      </c>
      <c r="C29" s="65">
        <v>7786.75</v>
      </c>
      <c r="D29" s="66">
        <f t="shared" si="0"/>
        <v>288.39814814814815</v>
      </c>
      <c r="F29" s="51"/>
      <c r="G29" s="51">
        <v>9600</v>
      </c>
      <c r="H29" s="58">
        <f t="shared" si="2"/>
        <v>26282.688000000002</v>
      </c>
      <c r="I29" s="51">
        <v>273.77800000000002</v>
      </c>
      <c r="J29" s="58"/>
      <c r="K29" s="51">
        <v>9600</v>
      </c>
      <c r="L29" s="58">
        <f t="shared" si="3"/>
        <v>27237.120000000006</v>
      </c>
      <c r="M29" s="58">
        <v>283.72000000000003</v>
      </c>
      <c r="N29" s="51"/>
    </row>
    <row r="30" spans="1:14" ht="12.75" customHeight="1" x14ac:dyDescent="0.15">
      <c r="A30" s="64">
        <f t="shared" si="1"/>
        <v>417.91044776119401</v>
      </c>
      <c r="B30" s="59">
        <v>2800</v>
      </c>
      <c r="C30" s="65">
        <v>8075.63</v>
      </c>
      <c r="D30" s="66">
        <f t="shared" si="0"/>
        <v>288.41535714285715</v>
      </c>
      <c r="F30" s="51"/>
      <c r="G30" s="51">
        <v>9700</v>
      </c>
      <c r="H30" s="58">
        <f t="shared" si="2"/>
        <v>26567.33</v>
      </c>
      <c r="I30" s="51">
        <v>273.89</v>
      </c>
      <c r="J30" s="51"/>
      <c r="K30" s="51">
        <v>9700</v>
      </c>
      <c r="L30" s="58">
        <f t="shared" si="3"/>
        <v>27520.840000000004</v>
      </c>
      <c r="M30" s="58">
        <v>283.72000000000003</v>
      </c>
      <c r="N30" s="51"/>
    </row>
    <row r="31" spans="1:14" ht="12.75" customHeight="1" x14ac:dyDescent="0.15">
      <c r="A31" s="64">
        <f t="shared" si="1"/>
        <v>432.83582089552237</v>
      </c>
      <c r="B31" s="59">
        <v>2900</v>
      </c>
      <c r="C31" s="65">
        <v>8364.5300000000007</v>
      </c>
      <c r="D31" s="66">
        <f t="shared" si="0"/>
        <v>288.43206896551726</v>
      </c>
      <c r="F31" s="51"/>
      <c r="G31" s="51">
        <v>9800</v>
      </c>
      <c r="H31" s="58">
        <f t="shared" si="2"/>
        <v>26852.196</v>
      </c>
      <c r="I31" s="51">
        <v>274.00200000000001</v>
      </c>
      <c r="J31" s="51"/>
      <c r="K31" s="51">
        <v>9800</v>
      </c>
      <c r="L31" s="58">
        <f t="shared" si="3"/>
        <v>27804.560000000005</v>
      </c>
      <c r="M31" s="58">
        <v>283.72000000000003</v>
      </c>
      <c r="N31" s="51"/>
    </row>
    <row r="32" spans="1:14" ht="12.75" customHeight="1" x14ac:dyDescent="0.15">
      <c r="A32" s="64">
        <f t="shared" si="1"/>
        <v>447.76119402985074</v>
      </c>
      <c r="B32" s="59">
        <v>3000</v>
      </c>
      <c r="C32" s="65">
        <v>8653.61</v>
      </c>
      <c r="D32" s="66">
        <f t="shared" si="0"/>
        <v>288.45366666666666</v>
      </c>
      <c r="F32" s="51"/>
      <c r="G32" s="51">
        <v>9900</v>
      </c>
      <c r="H32" s="58">
        <f t="shared" si="2"/>
        <v>27137.285999999996</v>
      </c>
      <c r="I32" s="51">
        <v>274.11399999999998</v>
      </c>
      <c r="J32" s="51"/>
      <c r="K32" s="51">
        <v>9900</v>
      </c>
      <c r="L32" s="58">
        <f t="shared" si="3"/>
        <v>28088.280000000006</v>
      </c>
      <c r="M32" s="58">
        <v>283.72000000000003</v>
      </c>
      <c r="N32" s="51"/>
    </row>
    <row r="33" spans="1:14" ht="12.75" customHeight="1" x14ac:dyDescent="0.15">
      <c r="A33" s="64">
        <f t="shared" si="1"/>
        <v>462.68656716417911</v>
      </c>
      <c r="B33" s="59">
        <v>3100</v>
      </c>
      <c r="C33" s="65">
        <v>8942.67</v>
      </c>
      <c r="D33" s="66">
        <f t="shared" si="0"/>
        <v>288.47322580645164</v>
      </c>
      <c r="F33" s="51"/>
      <c r="G33" s="51">
        <v>10000</v>
      </c>
      <c r="H33" s="58">
        <f t="shared" si="2"/>
        <v>27422.6</v>
      </c>
      <c r="I33" s="51">
        <v>274.226</v>
      </c>
      <c r="J33" s="51"/>
      <c r="K33" s="51">
        <v>10000</v>
      </c>
      <c r="L33" s="58">
        <f t="shared" si="3"/>
        <v>28372.000000000004</v>
      </c>
      <c r="M33" s="58">
        <v>283.72000000000003</v>
      </c>
      <c r="N33" s="51"/>
    </row>
    <row r="34" spans="1:14" ht="12.75" customHeight="1" x14ac:dyDescent="0.15">
      <c r="A34" s="64">
        <f t="shared" si="1"/>
        <v>477.61194029850748</v>
      </c>
      <c r="B34" s="59">
        <v>3200</v>
      </c>
      <c r="C34" s="65">
        <v>9231.6299999999992</v>
      </c>
      <c r="D34" s="66">
        <f t="shared" si="0"/>
        <v>288.48843749999997</v>
      </c>
      <c r="F34" s="51"/>
      <c r="G34" s="51">
        <v>10100</v>
      </c>
      <c r="H34" s="58">
        <f t="shared" si="2"/>
        <v>27708.138000000003</v>
      </c>
      <c r="I34" s="51">
        <v>274.33800000000002</v>
      </c>
      <c r="J34" s="51"/>
      <c r="K34" s="51">
        <v>10100</v>
      </c>
      <c r="L34" s="58">
        <f t="shared" si="3"/>
        <v>28655.720000000005</v>
      </c>
      <c r="M34" s="58">
        <v>283.72000000000003</v>
      </c>
      <c r="N34" s="51"/>
    </row>
    <row r="35" spans="1:14" ht="12.75" customHeight="1" x14ac:dyDescent="0.15">
      <c r="A35" s="64">
        <f t="shared" si="1"/>
        <v>492.53731343283579</v>
      </c>
      <c r="B35" s="59">
        <v>3300</v>
      </c>
      <c r="C35" s="65">
        <v>9520.49</v>
      </c>
      <c r="D35" s="66">
        <f t="shared" si="0"/>
        <v>288.49969696969697</v>
      </c>
      <c r="F35" s="51"/>
      <c r="G35" s="51">
        <v>10200</v>
      </c>
      <c r="H35" s="58">
        <f t="shared" si="2"/>
        <v>27993.9</v>
      </c>
      <c r="I35" s="51">
        <v>274.45</v>
      </c>
      <c r="J35" s="51"/>
      <c r="K35" s="51">
        <v>10200</v>
      </c>
      <c r="L35" s="58">
        <f t="shared" si="3"/>
        <v>28939.440000000006</v>
      </c>
      <c r="M35" s="58">
        <v>283.72000000000003</v>
      </c>
      <c r="N35" s="51"/>
    </row>
    <row r="36" spans="1:14" ht="12.75" customHeight="1" x14ac:dyDescent="0.15">
      <c r="A36" s="64">
        <f t="shared" si="1"/>
        <v>507.46268656716416</v>
      </c>
      <c r="B36" s="59">
        <v>3400</v>
      </c>
      <c r="C36" s="65">
        <v>9809.23</v>
      </c>
      <c r="D36" s="66">
        <f t="shared" si="0"/>
        <v>288.50676470588235</v>
      </c>
      <c r="F36" s="51"/>
      <c r="G36" s="51">
        <v>10300</v>
      </c>
      <c r="H36" s="58">
        <f t="shared" si="2"/>
        <v>28279.886000000002</v>
      </c>
      <c r="I36" s="51">
        <v>274.56200000000001</v>
      </c>
      <c r="J36" s="51"/>
      <c r="K36" s="51">
        <v>10300</v>
      </c>
      <c r="L36" s="58">
        <f t="shared" si="3"/>
        <v>29223.160000000003</v>
      </c>
      <c r="M36" s="58">
        <v>283.72000000000003</v>
      </c>
      <c r="N36" s="51"/>
    </row>
    <row r="37" spans="1:14" ht="12.75" customHeight="1" x14ac:dyDescent="0.15">
      <c r="A37" s="64">
        <f t="shared" si="1"/>
        <v>522.38805970149258</v>
      </c>
      <c r="B37" s="59">
        <v>3500</v>
      </c>
      <c r="C37" s="65">
        <v>10097.73</v>
      </c>
      <c r="D37" s="66">
        <f t="shared" si="0"/>
        <v>288.50657142857142</v>
      </c>
      <c r="F37" s="51"/>
      <c r="G37" s="51">
        <v>10400</v>
      </c>
      <c r="H37" s="58">
        <f t="shared" si="2"/>
        <v>28566.095999999998</v>
      </c>
      <c r="I37" s="51">
        <v>274.67399999999998</v>
      </c>
      <c r="J37" s="51"/>
      <c r="K37" s="51">
        <v>10400</v>
      </c>
      <c r="L37" s="58">
        <f t="shared" si="3"/>
        <v>29506.880000000005</v>
      </c>
      <c r="M37" s="58">
        <v>283.72000000000003</v>
      </c>
      <c r="N37" s="51"/>
    </row>
    <row r="38" spans="1:14" ht="12.75" customHeight="1" x14ac:dyDescent="0.15">
      <c r="A38" s="64">
        <f t="shared" si="1"/>
        <v>537.31343283582089</v>
      </c>
      <c r="B38" s="59">
        <v>3600</v>
      </c>
      <c r="C38" s="65">
        <v>10386.200000000001</v>
      </c>
      <c r="D38" s="66">
        <f t="shared" si="0"/>
        <v>288.50555555555559</v>
      </c>
      <c r="F38" s="51"/>
      <c r="G38" s="51">
        <v>10500</v>
      </c>
      <c r="H38" s="58">
        <f t="shared" si="2"/>
        <v>28852.53</v>
      </c>
      <c r="I38" s="51">
        <v>274.786</v>
      </c>
      <c r="J38" s="51"/>
      <c r="K38" s="51">
        <v>10500</v>
      </c>
      <c r="L38" s="58">
        <f t="shared" si="3"/>
        <v>29790.600000000006</v>
      </c>
      <c r="M38" s="58">
        <v>283.72000000000003</v>
      </c>
      <c r="N38" s="51"/>
    </row>
    <row r="39" spans="1:14" ht="12.75" customHeight="1" x14ac:dyDescent="0.15">
      <c r="A39" s="64">
        <f t="shared" si="1"/>
        <v>552.2388059701492</v>
      </c>
      <c r="B39" s="59">
        <v>3700</v>
      </c>
      <c r="C39" s="65">
        <v>10674.61</v>
      </c>
      <c r="D39" s="66">
        <f t="shared" si="0"/>
        <v>288.502972972973</v>
      </c>
      <c r="F39" s="51"/>
      <c r="G39" s="51">
        <v>10600</v>
      </c>
      <c r="H39" s="58">
        <f t="shared" si="2"/>
        <v>29139.188000000002</v>
      </c>
      <c r="I39" s="51">
        <v>274.89800000000002</v>
      </c>
      <c r="J39" s="63"/>
      <c r="K39" s="51">
        <v>10600</v>
      </c>
      <c r="L39" s="58">
        <f t="shared" si="3"/>
        <v>30074.320000000003</v>
      </c>
      <c r="M39" s="58">
        <v>283.72000000000003</v>
      </c>
      <c r="N39" s="51"/>
    </row>
    <row r="40" spans="1:14" ht="12.75" customHeight="1" x14ac:dyDescent="0.15">
      <c r="A40" s="64">
        <f t="shared" si="1"/>
        <v>567.16417910447763</v>
      </c>
      <c r="B40" s="59">
        <v>3800</v>
      </c>
      <c r="C40" s="65">
        <v>10962.96</v>
      </c>
      <c r="D40" s="66">
        <f t="shared" si="0"/>
        <v>288.49894736842106</v>
      </c>
      <c r="F40" s="51"/>
      <c r="G40" s="51">
        <v>10700</v>
      </c>
      <c r="H40" s="58">
        <f t="shared" si="2"/>
        <v>29426.07</v>
      </c>
      <c r="I40" s="51">
        <v>275.01</v>
      </c>
      <c r="J40" s="51"/>
      <c r="K40" s="51">
        <v>10700</v>
      </c>
      <c r="L40" s="58">
        <f t="shared" si="3"/>
        <v>30358.040000000005</v>
      </c>
      <c r="M40" s="58">
        <v>283.72000000000003</v>
      </c>
      <c r="N40" s="51"/>
    </row>
    <row r="41" spans="1:14" ht="12.75" customHeight="1" x14ac:dyDescent="0.15">
      <c r="A41" s="64">
        <f t="shared" si="1"/>
        <v>582.08955223880594</v>
      </c>
      <c r="B41" s="59">
        <v>3900</v>
      </c>
      <c r="C41" s="65">
        <v>11250.92</v>
      </c>
      <c r="D41" s="66">
        <f t="shared" si="0"/>
        <v>288.48512820512821</v>
      </c>
      <c r="F41" s="51"/>
      <c r="G41" s="51">
        <v>10800</v>
      </c>
      <c r="H41" s="58">
        <f t="shared" si="2"/>
        <v>29713.175999999999</v>
      </c>
      <c r="I41" s="51">
        <v>275.12200000000001</v>
      </c>
      <c r="J41" s="51"/>
      <c r="K41" s="51">
        <v>10800</v>
      </c>
      <c r="L41" s="58">
        <f t="shared" si="3"/>
        <v>30641.760000000006</v>
      </c>
      <c r="M41" s="58">
        <v>283.72000000000003</v>
      </c>
      <c r="N41" s="51"/>
    </row>
    <row r="42" spans="1:14" ht="12.75" customHeight="1" x14ac:dyDescent="0.15">
      <c r="A42" s="64">
        <f t="shared" si="1"/>
        <v>591.04477611940297</v>
      </c>
      <c r="B42" s="59">
        <v>3960</v>
      </c>
      <c r="C42" s="65">
        <v>11424.77</v>
      </c>
      <c r="D42" s="66">
        <f t="shared" si="0"/>
        <v>288.50429292929294</v>
      </c>
      <c r="F42" s="51"/>
      <c r="G42" s="51">
        <v>10900</v>
      </c>
      <c r="H42" s="58">
        <f t="shared" si="2"/>
        <v>30000.505999999998</v>
      </c>
      <c r="I42" s="51">
        <v>275.23399999999998</v>
      </c>
      <c r="J42" s="51"/>
      <c r="K42" s="51">
        <v>10900</v>
      </c>
      <c r="L42" s="58">
        <f t="shared" si="3"/>
        <v>30925.480000000003</v>
      </c>
      <c r="M42" s="58">
        <v>283.72000000000003</v>
      </c>
      <c r="N42" s="51"/>
    </row>
    <row r="43" spans="1:14" ht="12.75" customHeight="1" x14ac:dyDescent="0.15">
      <c r="F43" s="51"/>
      <c r="G43" s="51">
        <v>11000</v>
      </c>
      <c r="H43" s="58">
        <f t="shared" si="2"/>
        <v>30288.06</v>
      </c>
      <c r="I43" s="51">
        <v>275.346</v>
      </c>
      <c r="J43" s="51"/>
      <c r="K43" s="51">
        <v>11000</v>
      </c>
      <c r="L43" s="58">
        <f t="shared" si="3"/>
        <v>31209.200000000004</v>
      </c>
      <c r="M43" s="58">
        <v>283.72000000000003</v>
      </c>
      <c r="N43" s="51"/>
    </row>
    <row r="44" spans="1:14" ht="12.75" customHeight="1" x14ac:dyDescent="0.15">
      <c r="F44" s="51"/>
      <c r="G44" s="51">
        <v>11100</v>
      </c>
      <c r="H44" s="58">
        <f t="shared" si="2"/>
        <v>30575.838000000003</v>
      </c>
      <c r="I44" s="51">
        <v>275.45800000000003</v>
      </c>
      <c r="J44" s="58"/>
      <c r="K44" s="51">
        <v>11100</v>
      </c>
      <c r="L44" s="58">
        <f t="shared" si="3"/>
        <v>31492.920000000006</v>
      </c>
      <c r="M44" s="58">
        <v>283.72000000000003</v>
      </c>
      <c r="N44" s="51"/>
    </row>
    <row r="45" spans="1:14" ht="12.75" customHeight="1" x14ac:dyDescent="0.15">
      <c r="F45" s="51"/>
      <c r="G45" s="51">
        <v>11200</v>
      </c>
      <c r="H45" s="58">
        <f t="shared" si="2"/>
        <v>30863.84</v>
      </c>
      <c r="I45" s="51">
        <v>275.57</v>
      </c>
      <c r="J45" s="51"/>
      <c r="K45" s="51">
        <v>11200</v>
      </c>
      <c r="L45" s="58">
        <f t="shared" si="3"/>
        <v>31776.640000000003</v>
      </c>
      <c r="M45" s="58">
        <v>283.72000000000003</v>
      </c>
      <c r="N45" s="51"/>
    </row>
    <row r="46" spans="1:14" ht="12.75" customHeight="1" x14ac:dyDescent="0.15">
      <c r="F46" s="51"/>
      <c r="G46" s="51">
        <v>11300</v>
      </c>
      <c r="H46" s="58">
        <f t="shared" si="2"/>
        <v>31152.066000000003</v>
      </c>
      <c r="I46" s="51">
        <v>275.68200000000002</v>
      </c>
      <c r="J46" s="51"/>
      <c r="K46" s="51">
        <v>11300</v>
      </c>
      <c r="L46" s="58">
        <f t="shared" si="3"/>
        <v>32060.360000000004</v>
      </c>
      <c r="M46" s="58">
        <v>283.72000000000003</v>
      </c>
      <c r="N46" s="51"/>
    </row>
    <row r="47" spans="1:14" ht="12.75" customHeight="1" x14ac:dyDescent="0.15">
      <c r="F47" s="51"/>
      <c r="G47" s="51">
        <v>11400</v>
      </c>
      <c r="H47" s="58">
        <f t="shared" si="2"/>
        <v>31440.515999999996</v>
      </c>
      <c r="I47" s="51">
        <v>275.79399999999998</v>
      </c>
      <c r="J47" s="51"/>
      <c r="K47" s="51">
        <v>11400</v>
      </c>
      <c r="L47" s="58">
        <f t="shared" si="3"/>
        <v>32344.080000000005</v>
      </c>
      <c r="M47" s="58">
        <v>283.72000000000003</v>
      </c>
      <c r="N47" s="51"/>
    </row>
    <row r="48" spans="1:14" ht="12.75" customHeight="1" x14ac:dyDescent="0.15">
      <c r="F48" s="51"/>
      <c r="G48" s="51">
        <v>11500</v>
      </c>
      <c r="H48" s="58">
        <f t="shared" si="2"/>
        <v>31729.190000000111</v>
      </c>
      <c r="I48" s="51">
        <v>275.90600000000097</v>
      </c>
      <c r="J48" s="51"/>
      <c r="K48" s="51">
        <v>11500</v>
      </c>
      <c r="L48" s="58">
        <f t="shared" si="3"/>
        <v>32627.800000000003</v>
      </c>
      <c r="M48" s="58">
        <v>283.72000000000003</v>
      </c>
      <c r="N48" s="51"/>
    </row>
    <row r="49" spans="6:14" ht="12.75" customHeight="1" x14ac:dyDescent="0.15">
      <c r="F49" s="51"/>
      <c r="G49" s="51">
        <v>11600</v>
      </c>
      <c r="H49" s="58">
        <f t="shared" si="2"/>
        <v>32018.088000000116</v>
      </c>
      <c r="I49" s="51">
        <v>276.018000000001</v>
      </c>
      <c r="J49" s="51"/>
      <c r="K49" s="51">
        <v>11600</v>
      </c>
      <c r="L49" s="58">
        <f t="shared" si="3"/>
        <v>32911.520000000004</v>
      </c>
      <c r="M49" s="58">
        <v>283.72000000000003</v>
      </c>
      <c r="N49" s="51"/>
    </row>
    <row r="50" spans="6:14" ht="12.75" customHeight="1" x14ac:dyDescent="0.15">
      <c r="F50" s="51"/>
      <c r="G50" s="51">
        <v>11700</v>
      </c>
      <c r="H50" s="58">
        <f t="shared" si="2"/>
        <v>32307.210000000123</v>
      </c>
      <c r="I50" s="51">
        <v>276.13000000000102</v>
      </c>
      <c r="J50" s="51"/>
      <c r="K50" s="51">
        <v>11700</v>
      </c>
      <c r="L50" s="58">
        <f t="shared" si="3"/>
        <v>33195.240000000005</v>
      </c>
      <c r="M50" s="58">
        <v>283.72000000000003</v>
      </c>
      <c r="N50" s="51"/>
    </row>
    <row r="51" spans="6:14" x14ac:dyDescent="0.15">
      <c r="G51" s="51">
        <v>11800</v>
      </c>
      <c r="H51" s="58">
        <f t="shared" si="2"/>
        <v>32596.556000000117</v>
      </c>
      <c r="I51" s="51">
        <v>276.24200000000098</v>
      </c>
      <c r="K51" s="51">
        <v>11800</v>
      </c>
      <c r="L51" s="58">
        <f t="shared" si="3"/>
        <v>33478.960000000006</v>
      </c>
      <c r="M51" s="58">
        <v>283.72000000000003</v>
      </c>
    </row>
    <row r="52" spans="6:14" x14ac:dyDescent="0.15">
      <c r="G52" s="51">
        <v>11900</v>
      </c>
      <c r="H52" s="58">
        <f t="shared" si="2"/>
        <v>32886.12600000012</v>
      </c>
      <c r="I52" s="51">
        <v>276.35400000000101</v>
      </c>
      <c r="K52" s="51">
        <v>11900</v>
      </c>
      <c r="L52" s="58">
        <f t="shared" si="3"/>
        <v>33762.680000000008</v>
      </c>
      <c r="M52" s="58">
        <v>283.72000000000003</v>
      </c>
    </row>
    <row r="53" spans="6:14" x14ac:dyDescent="0.15">
      <c r="G53" s="51">
        <v>12000</v>
      </c>
      <c r="H53" s="58">
        <f t="shared" si="2"/>
        <v>33175.920000000115</v>
      </c>
      <c r="I53" s="51">
        <v>276.46600000000097</v>
      </c>
      <c r="K53" s="51">
        <v>12000</v>
      </c>
      <c r="L53" s="58">
        <f t="shared" si="3"/>
        <v>34046.400000000001</v>
      </c>
      <c r="M53" s="58">
        <v>283.72000000000003</v>
      </c>
    </row>
    <row r="54" spans="6:14" x14ac:dyDescent="0.15">
      <c r="G54" s="51">
        <v>12100</v>
      </c>
      <c r="H54" s="58">
        <f t="shared" si="2"/>
        <v>33465.938000000118</v>
      </c>
      <c r="I54" s="51">
        <v>276.578000000001</v>
      </c>
      <c r="K54" s="51">
        <v>12100</v>
      </c>
      <c r="L54" s="58">
        <f t="shared" si="3"/>
        <v>34330.120000000003</v>
      </c>
      <c r="M54" s="58">
        <v>283.72000000000003</v>
      </c>
    </row>
    <row r="55" spans="6:14" x14ac:dyDescent="0.15">
      <c r="G55" s="51">
        <v>12200</v>
      </c>
      <c r="H55" s="58">
        <f t="shared" si="2"/>
        <v>33756.180000000124</v>
      </c>
      <c r="I55" s="51">
        <v>276.69000000000102</v>
      </c>
      <c r="K55" s="51">
        <v>12200</v>
      </c>
      <c r="L55" s="58">
        <f t="shared" si="3"/>
        <v>34613.840000000004</v>
      </c>
      <c r="M55" s="58">
        <v>283.72000000000003</v>
      </c>
    </row>
    <row r="56" spans="6:14" x14ac:dyDescent="0.15">
      <c r="G56" s="51">
        <v>12300</v>
      </c>
      <c r="H56" s="58">
        <f t="shared" si="2"/>
        <v>34046.646000000124</v>
      </c>
      <c r="I56" s="51">
        <v>276.80200000000099</v>
      </c>
      <c r="K56" s="51">
        <v>12300</v>
      </c>
      <c r="L56" s="58">
        <f t="shared" si="3"/>
        <v>34897.560000000005</v>
      </c>
      <c r="M56" s="58">
        <v>283.72000000000003</v>
      </c>
    </row>
    <row r="57" spans="6:14" x14ac:dyDescent="0.15">
      <c r="G57" s="51">
        <v>12400</v>
      </c>
      <c r="H57" s="58">
        <f t="shared" si="2"/>
        <v>34337.336000000127</v>
      </c>
      <c r="I57" s="51">
        <v>276.91400000000101</v>
      </c>
      <c r="K57" s="51">
        <v>12400</v>
      </c>
      <c r="L57" s="58">
        <f t="shared" si="3"/>
        <v>35181.280000000006</v>
      </c>
      <c r="M57" s="58">
        <v>283.72000000000003</v>
      </c>
    </row>
    <row r="58" spans="6:14" x14ac:dyDescent="0.15">
      <c r="G58" s="51">
        <v>12500</v>
      </c>
      <c r="H58" s="58">
        <f t="shared" si="2"/>
        <v>34628.749999999993</v>
      </c>
      <c r="I58" s="58">
        <v>277.02999999999997</v>
      </c>
      <c r="K58" s="51">
        <v>12500</v>
      </c>
      <c r="L58" s="58">
        <f t="shared" si="3"/>
        <v>35465.000000000007</v>
      </c>
      <c r="M58" s="58">
        <v>283.72000000000003</v>
      </c>
    </row>
  </sheetData>
  <sheetProtection algorithmName="SHA-512" hashValue="tgZ6hFEXaWNZgcJFukoFwC6HbSYpaJe3oZWCueXYWlIlLaOoylWzvWOCwIfonkKUO4AALuJGPGBP/cDx+o6O4Q==" saltValue="KgEspIwnAvx5VSo8IbXaMw==" spinCount="100000" sheet="1" objects="1" scenarios="1" selectLockedCells="1"/>
  <mergeCells count="1">
    <mergeCell ref="G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N757CP</vt:lpstr>
      <vt:lpstr>Sheet2</vt:lpstr>
      <vt:lpstr>CE525 Wgt &amp; Bal</vt:lpstr>
      <vt:lpstr>DATA</vt:lpstr>
      <vt:lpstr>N757CP!Print_Area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geoff hatcher</cp:lastModifiedBy>
  <dcterms:created xsi:type="dcterms:W3CDTF">2017-12-11T16:14:57Z</dcterms:created>
  <dcterms:modified xsi:type="dcterms:W3CDTF">2021-02-26T03:16:31Z</dcterms:modified>
</cp:coreProperties>
</file>