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eoffhatcher/Documents/Aviation/chris airplane/"/>
    </mc:Choice>
  </mc:AlternateContent>
  <xr:revisionPtr revIDLastSave="0" documentId="13_ncr:1_{4437AE9B-D3C1-2843-A6C8-28EF421A99CD}" xr6:coauthVersionLast="43" xr6:coauthVersionMax="43" xr10:uidLastSave="{00000000-0000-0000-0000-000000000000}"/>
  <bookViews>
    <workbookView xWindow="0" yWindow="460" windowWidth="17700" windowHeight="16420" xr2:uid="{00000000-000D-0000-FFFF-FFFF00000000}"/>
  </bookViews>
  <sheets>
    <sheet name="Weight &amp; Balance  Graph" sheetId="1" r:id="rId1"/>
    <sheet name="4140G DATA" sheetId="3" state="hidden" r:id="rId2"/>
  </sheets>
  <definedNames>
    <definedName name="_xlnm.Print_Area" localSheetId="0">'Weight &amp; Balance  Graph'!$A$1:$L$71</definedName>
    <definedName name="Z_A9ADE7CD_656A_4962_80CE_2797A9477632_.wvu.PrintArea" localSheetId="0" hidden="1">'Weight &amp; Balance  Graph'!$A$1:$M$82</definedName>
  </definedNames>
  <calcPr calcId="191029"/>
  <customWorkbookViews>
    <customWorkbookView name="Geoff - Personal View" guid="{A9ADE7CD-656A-4962-80CE-2797A9477632}" mergeInterval="0" personalView="1" maximized="1" windowWidth="1276" windowHeight="65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" i="1" l="1"/>
  <c r="E28" i="3"/>
  <c r="B36" i="1"/>
  <c r="B21" i="3" s="1"/>
  <c r="B38" i="1"/>
  <c r="D38" i="1" s="1"/>
  <c r="B39" i="1"/>
  <c r="D39" i="1" s="1"/>
  <c r="E27" i="3"/>
  <c r="F27" i="3"/>
  <c r="G4" i="3"/>
  <c r="B37" i="1"/>
  <c r="D37" i="1" s="1"/>
  <c r="B15" i="1"/>
  <c r="B17" i="1" s="1"/>
  <c r="C17" i="1" s="1"/>
  <c r="B43" i="1"/>
  <c r="D43" i="1" s="1"/>
  <c r="B41" i="1"/>
  <c r="D29" i="1"/>
  <c r="D26" i="1"/>
  <c r="D27" i="1"/>
  <c r="D28" i="1"/>
  <c r="D22" i="1"/>
  <c r="D23" i="1"/>
  <c r="D24" i="1"/>
  <c r="D25" i="1"/>
  <c r="D30" i="1"/>
  <c r="D31" i="1"/>
  <c r="D32" i="1"/>
  <c r="D33" i="1"/>
  <c r="D34" i="1"/>
  <c r="C7" i="1"/>
  <c r="B8" i="1"/>
  <c r="D41" i="1"/>
  <c r="B10" i="1"/>
  <c r="B5" i="1"/>
  <c r="C15" i="1" l="1"/>
  <c r="I51" i="1"/>
  <c r="D36" i="1"/>
  <c r="B40" i="1"/>
  <c r="D40" i="1"/>
  <c r="B16" i="1"/>
  <c r="F15" i="1"/>
  <c r="C10" i="3" l="1"/>
  <c r="B10" i="3" s="1"/>
  <c r="C36" i="1" s="1"/>
  <c r="D42" i="1"/>
  <c r="D44" i="1" s="1"/>
  <c r="C21" i="3"/>
  <c r="B22" i="3"/>
  <c r="C40" i="1"/>
  <c r="B42" i="1"/>
  <c r="C22" i="3" l="1"/>
  <c r="C12" i="1"/>
  <c r="L9" i="1"/>
  <c r="K9" i="1"/>
  <c r="B47" i="1"/>
  <c r="C23" i="3" s="1"/>
  <c r="B6" i="3"/>
  <c r="B44" i="1"/>
  <c r="C42" i="1"/>
  <c r="A47" i="1"/>
  <c r="A52" i="1" s="1"/>
  <c r="L10" i="1" l="1"/>
  <c r="K10" i="1"/>
  <c r="C44" i="1"/>
  <c r="B7" i="3"/>
  <c r="A48" i="1"/>
  <c r="A53" i="1" s="1"/>
  <c r="B23" i="3"/>
  <c r="B52" i="1" s="1"/>
  <c r="D6" i="3"/>
  <c r="C6" i="3"/>
  <c r="B48" i="1"/>
  <c r="C24" i="3" l="1"/>
  <c r="D47" i="1"/>
  <c r="C47" i="1"/>
  <c r="D7" i="3"/>
  <c r="C7" i="3"/>
  <c r="B24" i="3"/>
  <c r="C48" i="1" l="1"/>
  <c r="D48" i="1"/>
  <c r="B53" i="1"/>
</calcChain>
</file>

<file path=xl/sharedStrings.xml><?xml version="1.0" encoding="utf-8"?>
<sst xmlns="http://schemas.openxmlformats.org/spreadsheetml/2006/main" count="96" uniqueCount="90">
  <si>
    <t>Max ramp:</t>
  </si>
  <si>
    <t>Max t/o:</t>
  </si>
  <si>
    <t>Fuel flow (gal/hr):</t>
  </si>
  <si>
    <t>Weight</t>
  </si>
  <si>
    <t>Arm</t>
  </si>
  <si>
    <t>Taxy fuel:</t>
  </si>
  <si>
    <t>Trip fuel:</t>
  </si>
  <si>
    <t>CoG Envelope</t>
  </si>
  <si>
    <t>Fwd limit</t>
  </si>
  <si>
    <t>Aft limit</t>
  </si>
  <si>
    <t>Take-off:</t>
  </si>
  <si>
    <t>Landing:</t>
  </si>
  <si>
    <t>For Graph</t>
  </si>
  <si>
    <t>Fuel Burn gal.</t>
  </si>
  <si>
    <t>Fuel + reserve req</t>
  </si>
  <si>
    <t xml:space="preserve">Landing </t>
  </si>
  <si>
    <t>Take off</t>
  </si>
  <si>
    <t>Landing</t>
  </si>
  <si>
    <t>Range (w/ reserve) NMiles:</t>
  </si>
  <si>
    <t>Ground speed:</t>
  </si>
  <si>
    <t>Pilot</t>
  </si>
  <si>
    <t>Center of Gravity</t>
  </si>
  <si>
    <t>(Pass &amp; Bags) Pay load</t>
  </si>
  <si>
    <t>total fuel</t>
  </si>
  <si>
    <t>max landing</t>
  </si>
  <si>
    <t>Zero fuel weight</t>
  </si>
  <si>
    <t>Time</t>
  </si>
  <si>
    <t>Date</t>
  </si>
  <si>
    <t>Next</t>
  </si>
  <si>
    <t>Oil Change</t>
  </si>
  <si>
    <t>100/annual</t>
  </si>
  <si>
    <t>Moment/1000</t>
  </si>
  <si>
    <t>Miscellaneous loading</t>
  </si>
  <si>
    <t>fuel reserve in min</t>
  </si>
  <si>
    <t>CG Limits</t>
  </si>
  <si>
    <t>Trip Distance:</t>
  </si>
  <si>
    <t>ETE (hrs:minutes):</t>
  </si>
  <si>
    <t>Endurance w/Reserve:hrs:min</t>
  </si>
  <si>
    <t>#3 Middle pax:</t>
  </si>
  <si>
    <t>#5 Rear pax:</t>
  </si>
  <si>
    <t>#4 Middle pax:</t>
  </si>
  <si>
    <t>#6 Rear pax:</t>
  </si>
  <si>
    <t>#2 Front passenger:</t>
  </si>
  <si>
    <t>Station</t>
  </si>
  <si>
    <t xml:space="preserve">Loading        </t>
  </si>
  <si>
    <t>AircraftEmpty weight:</t>
  </si>
  <si>
    <t>Flt Plan.com</t>
  </si>
  <si>
    <t>aviationweather.gov</t>
  </si>
  <si>
    <t>Notes</t>
  </si>
  <si>
    <t>Aircraft Inspection due</t>
  </si>
  <si>
    <r>
      <t xml:space="preserve">Block </t>
    </r>
    <r>
      <rPr>
        <sz val="7.5"/>
        <color indexed="8"/>
        <rFont val="Arial"/>
        <family val="2"/>
      </rPr>
      <t>Time:</t>
    </r>
  </si>
  <si>
    <r>
      <t xml:space="preserve">Flight </t>
    </r>
    <r>
      <rPr>
        <sz val="7.5"/>
        <color indexed="8"/>
        <rFont val="Arial"/>
        <family val="2"/>
      </rPr>
      <t>Time:</t>
    </r>
  </si>
  <si>
    <t>Rem:</t>
  </si>
  <si>
    <r>
      <t xml:space="preserve">Fuel </t>
    </r>
    <r>
      <rPr>
        <sz val="7.5"/>
        <color indexed="8"/>
        <rFont val="Arial"/>
        <family val="2"/>
      </rPr>
      <t>Used:</t>
    </r>
  </si>
  <si>
    <t>Hobbs</t>
  </si>
  <si>
    <t>Radar</t>
  </si>
  <si>
    <t>total load</t>
  </si>
  <si>
    <t>gal</t>
  </si>
  <si>
    <t>Airnav</t>
  </si>
  <si>
    <t>Max trip fuel</t>
  </si>
  <si>
    <t>LBS/HR</t>
  </si>
  <si>
    <t>Start:</t>
  </si>
  <si>
    <t>Take off:</t>
  </si>
  <si>
    <t> Shutdown</t>
  </si>
  <si>
    <t> Landing</t>
  </si>
  <si>
    <t> Start</t>
  </si>
  <si>
    <t>1.3 Vso</t>
  </si>
  <si>
    <t>1.4Vso</t>
  </si>
  <si>
    <t>Approach speeds</t>
  </si>
  <si>
    <t>Main tanks (100 Max)</t>
  </si>
  <si>
    <t>Aux Tanks (63 max)</t>
  </si>
  <si>
    <t xml:space="preserve"> 163 gal capacity</t>
  </si>
  <si>
    <t>CG</t>
  </si>
  <si>
    <t>Aft Bagage</t>
  </si>
  <si>
    <t>ZFW</t>
  </si>
  <si>
    <t>ZFW max</t>
  </si>
  <si>
    <t>Ramp Weight</t>
  </si>
  <si>
    <t>(295)335 Nose Bagage</t>
  </si>
  <si>
    <t>C-340 w/ Ram IV 325hp</t>
  </si>
  <si>
    <t>Zero fuel weight (5630Max) :</t>
  </si>
  <si>
    <t>wing locker tanks (40max)</t>
  </si>
  <si>
    <t>Wing Locker bags (40/side max)</t>
  </si>
  <si>
    <t>hs fuel</t>
  </si>
  <si>
    <t>Ramp weight(6430 max):</t>
  </si>
  <si>
    <t>Take-off weight(6390 max):</t>
  </si>
  <si>
    <t>Landing weight(6075 max):</t>
  </si>
  <si>
    <t>8857K</t>
  </si>
  <si>
    <t>Main Tip Tanks Fuel:50+50</t>
  </si>
  <si>
    <t>Auxiliary Tanks 31.5 +31.5</t>
  </si>
  <si>
    <t xml:space="preserve">locker tanks 20+20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</si>
</sst>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[Red]\(#,##0.0\)"/>
    <numFmt numFmtId="165" formatCode="0.0"/>
  </numFmts>
  <fonts count="26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color indexed="11"/>
      <name val="Arial"/>
      <family val="2"/>
    </font>
    <font>
      <b/>
      <u/>
      <sz val="14"/>
      <color indexed="11"/>
      <name val="Arial"/>
      <family val="2"/>
    </font>
    <font>
      <b/>
      <u/>
      <sz val="26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u/>
      <sz val="20"/>
      <color indexed="12"/>
      <name val="Arial"/>
      <family val="2"/>
    </font>
    <font>
      <b/>
      <sz val="26"/>
      <name val="Arial"/>
      <family val="2"/>
    </font>
    <font>
      <sz val="7.5"/>
      <color indexed="8"/>
      <name val="Arial"/>
      <family val="2"/>
    </font>
    <font>
      <b/>
      <sz val="7.5"/>
      <color indexed="8"/>
      <name val="Arial"/>
      <family val="2"/>
    </font>
    <font>
      <b/>
      <sz val="10"/>
      <color indexed="8"/>
      <name val="Arial"/>
      <family val="2"/>
    </font>
    <font>
      <b/>
      <u/>
      <sz val="22"/>
      <color indexed="12"/>
      <name val="Arial"/>
      <family val="2"/>
    </font>
    <font>
      <b/>
      <sz val="9"/>
      <name val="Arial"/>
      <family val="2"/>
    </font>
    <font>
      <b/>
      <sz val="36"/>
      <name val="Arial"/>
      <family val="2"/>
    </font>
    <font>
      <b/>
      <u/>
      <sz val="9"/>
      <color indexed="12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>
      <alignment textRotation="180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Fill="0" applyBorder="0" applyAlignment="0" applyProtection="0">
      <alignment textRotation="180"/>
    </xf>
    <xf numFmtId="0" fontId="4" fillId="0" borderId="0" applyNumberFormat="0" applyFont="0" applyFill="0" applyBorder="0" applyAlignment="0" applyProtection="0">
      <alignment textRotation="180"/>
    </xf>
  </cellStyleXfs>
  <cellXfs count="163">
    <xf numFmtId="0" fontId="0" fillId="0" borderId="0" xfId="0" applyAlignment="1">
      <alignment vertical="top"/>
    </xf>
    <xf numFmtId="0" fontId="1" fillId="0" borderId="1" xfId="0" applyNumberFormat="1" applyFont="1" applyBorder="1" applyAlignment="1">
      <alignment horizontal="right" vertical="top"/>
    </xf>
    <xf numFmtId="0" fontId="2" fillId="0" borderId="0" xfId="0" applyNumberFormat="1" applyFont="1" applyAlignment="1">
      <alignment vertical="center"/>
    </xf>
    <xf numFmtId="0" fontId="4" fillId="0" borderId="0" xfId="0" applyFont="1" applyAlignment="1">
      <alignment vertical="top"/>
    </xf>
    <xf numFmtId="0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right" vertical="top"/>
    </xf>
    <xf numFmtId="0" fontId="5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right" vertical="top"/>
    </xf>
    <xf numFmtId="0" fontId="4" fillId="2" borderId="2" xfId="0" applyNumberFormat="1" applyFont="1" applyFill="1" applyBorder="1" applyAlignment="1">
      <alignment horizontal="center" vertical="top"/>
    </xf>
    <xf numFmtId="0" fontId="4" fillId="0" borderId="1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164" fontId="4" fillId="0" borderId="3" xfId="0" applyNumberFormat="1" applyFont="1" applyBorder="1" applyAlignment="1">
      <alignment horizontal="right" vertical="top"/>
    </xf>
    <xf numFmtId="3" fontId="4" fillId="2" borderId="4" xfId="0" applyNumberFormat="1" applyFont="1" applyFill="1" applyBorder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NumberFormat="1" applyFont="1" applyAlignment="1">
      <alignment horizontal="left" vertical="top"/>
    </xf>
    <xf numFmtId="3" fontId="4" fillId="0" borderId="0" xfId="0" applyNumberFormat="1" applyFont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4" fillId="0" borderId="3" xfId="0" applyNumberFormat="1" applyFont="1" applyBorder="1" applyAlignment="1">
      <alignment horizontal="right" vertical="top"/>
    </xf>
    <xf numFmtId="1" fontId="4" fillId="0" borderId="5" xfId="0" applyNumberFormat="1" applyFont="1" applyBorder="1" applyAlignment="1">
      <alignment horizontal="left" vertical="top"/>
    </xf>
    <xf numFmtId="0" fontId="4" fillId="0" borderId="6" xfId="0" applyNumberFormat="1" applyFont="1" applyBorder="1" applyAlignment="1">
      <alignment horizontal="left" vertical="top"/>
    </xf>
    <xf numFmtId="164" fontId="4" fillId="0" borderId="6" xfId="0" applyNumberFormat="1" applyFont="1" applyBorder="1" applyAlignment="1">
      <alignment horizontal="left" vertical="top"/>
    </xf>
    <xf numFmtId="164" fontId="4" fillId="0" borderId="7" xfId="0" applyNumberFormat="1" applyFont="1" applyBorder="1" applyAlignment="1">
      <alignment horizontal="center" vertical="top"/>
    </xf>
    <xf numFmtId="165" fontId="4" fillId="4" borderId="0" xfId="0" applyNumberFormat="1" applyFont="1" applyFill="1" applyBorder="1" applyAlignment="1">
      <alignment horizontal="right" vertical="top"/>
    </xf>
    <xf numFmtId="1" fontId="4" fillId="0" borderId="2" xfId="0" applyNumberFormat="1" applyFont="1" applyBorder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5" fontId="4" fillId="4" borderId="8" xfId="0" applyNumberFormat="1" applyFont="1" applyFill="1" applyBorder="1" applyAlignment="1">
      <alignment horizontal="right" vertical="top"/>
    </xf>
    <xf numFmtId="1" fontId="4" fillId="0" borderId="4" xfId="0" applyNumberFormat="1" applyFont="1" applyBorder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4" fillId="0" borderId="5" xfId="0" applyNumberFormat="1" applyFont="1" applyBorder="1" applyAlignment="1">
      <alignment horizontal="left" vertical="top"/>
    </xf>
    <xf numFmtId="0" fontId="4" fillId="0" borderId="6" xfId="0" applyNumberFormat="1" applyFont="1" applyBorder="1" applyAlignment="1">
      <alignment horizontal="center" vertical="top"/>
    </xf>
    <xf numFmtId="164" fontId="4" fillId="0" borderId="6" xfId="0" applyNumberFormat="1" applyFont="1" applyBorder="1" applyAlignment="1">
      <alignment horizontal="center" vertical="top"/>
    </xf>
    <xf numFmtId="0" fontId="4" fillId="0" borderId="0" xfId="0" applyNumberFormat="1" applyFont="1" applyBorder="1" applyAlignment="1">
      <alignment vertical="top"/>
    </xf>
    <xf numFmtId="0" fontId="4" fillId="0" borderId="0" xfId="0" applyNumberFormat="1" applyFont="1" applyAlignment="1">
      <alignment vertical="top"/>
    </xf>
    <xf numFmtId="0" fontId="4" fillId="0" borderId="9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top"/>
    </xf>
    <xf numFmtId="1" fontId="4" fillId="2" borderId="2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vertical="center"/>
    </xf>
    <xf numFmtId="38" fontId="9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1" fontId="9" fillId="2" borderId="0" xfId="0" applyNumberFormat="1" applyFont="1" applyFill="1" applyAlignment="1">
      <alignment horizontal="center" vertical="top"/>
    </xf>
    <xf numFmtId="3" fontId="4" fillId="2" borderId="0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NumberFormat="1" applyFont="1" applyAlignment="1">
      <alignment horizontal="right" vertical="top"/>
    </xf>
    <xf numFmtId="0" fontId="4" fillId="0" borderId="0" xfId="0" applyFont="1" applyBorder="1" applyAlignment="1">
      <alignment vertical="top"/>
    </xf>
    <xf numFmtId="0" fontId="4" fillId="3" borderId="1" xfId="0" applyNumberFormat="1" applyFont="1" applyFill="1" applyBorder="1" applyAlignment="1">
      <alignment horizontal="right" vertical="center"/>
    </xf>
    <xf numFmtId="1" fontId="4" fillId="3" borderId="2" xfId="0" applyNumberFormat="1" applyFont="1" applyFill="1" applyBorder="1" applyAlignment="1">
      <alignment horizontal="center" vertical="top"/>
    </xf>
    <xf numFmtId="0" fontId="7" fillId="0" borderId="0" xfId="0" applyNumberFormat="1" applyFont="1" applyAlignment="1">
      <alignment vertical="center"/>
    </xf>
    <xf numFmtId="3" fontId="4" fillId="3" borderId="8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4" fillId="3" borderId="4" xfId="0" applyNumberFormat="1" applyFont="1" applyFill="1" applyBorder="1" applyAlignment="1">
      <alignment horizontal="right" vertical="top"/>
    </xf>
    <xf numFmtId="164" fontId="1" fillId="0" borderId="6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right" vertical="top"/>
    </xf>
    <xf numFmtId="3" fontId="4" fillId="5" borderId="0" xfId="0" applyNumberFormat="1" applyFont="1" applyFill="1" applyAlignment="1">
      <alignment horizontal="right" vertical="top"/>
    </xf>
    <xf numFmtId="164" fontId="4" fillId="6" borderId="0" xfId="0" applyNumberFormat="1" applyFont="1" applyFill="1" applyBorder="1" applyAlignment="1">
      <alignment horizontal="left" vertical="top"/>
    </xf>
    <xf numFmtId="164" fontId="4" fillId="6" borderId="8" xfId="0" applyNumberFormat="1" applyFont="1" applyFill="1" applyBorder="1" applyAlignment="1">
      <alignment horizontal="left" vertical="top"/>
    </xf>
    <xf numFmtId="3" fontId="4" fillId="2" borderId="2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0" fontId="14" fillId="0" borderId="0" xfId="1" applyNumberFormat="1" applyFont="1" applyFill="1" applyAlignment="1" applyProtection="1">
      <alignment horizontal="center" vertical="center"/>
    </xf>
    <xf numFmtId="0" fontId="4" fillId="6" borderId="1" xfId="0" applyFont="1" applyFill="1" applyBorder="1" applyAlignment="1">
      <alignment vertical="top"/>
    </xf>
    <xf numFmtId="0" fontId="15" fillId="0" borderId="0" xfId="0" applyNumberFormat="1" applyFont="1" applyAlignment="1">
      <alignment vertical="center"/>
    </xf>
    <xf numFmtId="0" fontId="11" fillId="0" borderId="0" xfId="0" applyFont="1" applyBorder="1" applyAlignment="1">
      <alignment vertical="top"/>
    </xf>
    <xf numFmtId="0" fontId="16" fillId="7" borderId="10" xfId="0" applyFont="1" applyFill="1" applyBorder="1" applyAlignment="1">
      <alignment vertical="top" wrapText="1"/>
    </xf>
    <xf numFmtId="0" fontId="17" fillId="8" borderId="10" xfId="0" applyFont="1" applyFill="1" applyBorder="1" applyAlignment="1">
      <alignment horizontal="right" vertical="top" wrapText="1"/>
    </xf>
    <xf numFmtId="0" fontId="16" fillId="8" borderId="10" xfId="0" applyFont="1" applyFill="1" applyBorder="1" applyAlignment="1">
      <alignment vertical="top" wrapText="1"/>
    </xf>
    <xf numFmtId="0" fontId="17" fillId="9" borderId="10" xfId="0" applyFont="1" applyFill="1" applyBorder="1" applyAlignment="1">
      <alignment horizontal="right" vertical="top" wrapText="1"/>
    </xf>
    <xf numFmtId="0" fontId="16" fillId="9" borderId="10" xfId="0" applyFont="1" applyFill="1" applyBorder="1" applyAlignment="1">
      <alignment vertical="top" wrapText="1"/>
    </xf>
    <xf numFmtId="0" fontId="16" fillId="10" borderId="10" xfId="0" applyFont="1" applyFill="1" applyBorder="1" applyAlignment="1">
      <alignment vertical="top" wrapText="1"/>
    </xf>
    <xf numFmtId="0" fontId="17" fillId="7" borderId="11" xfId="0" applyFont="1" applyFill="1" applyBorder="1" applyAlignment="1">
      <alignment horizontal="right" vertical="top" wrapText="1"/>
    </xf>
    <xf numFmtId="3" fontId="4" fillId="0" borderId="0" xfId="0" applyNumberFormat="1" applyFont="1" applyAlignment="1">
      <alignment horizontal="left" vertical="top"/>
    </xf>
    <xf numFmtId="0" fontId="4" fillId="2" borderId="0" xfId="0" applyFont="1" applyFill="1" applyBorder="1" applyAlignment="1">
      <alignment vertical="top"/>
    </xf>
    <xf numFmtId="0" fontId="23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2" fillId="0" borderId="0" xfId="1" applyNumberFormat="1" applyFont="1" applyFill="1" applyAlignment="1" applyProtection="1">
      <alignment vertical="center"/>
    </xf>
    <xf numFmtId="0" fontId="19" fillId="0" borderId="0" xfId="1" applyNumberFormat="1" applyFont="1" applyFill="1" applyAlignment="1" applyProtection="1">
      <alignment horizontal="center" vertical="center"/>
    </xf>
    <xf numFmtId="0" fontId="22" fillId="0" borderId="0" xfId="1" applyNumberFormat="1" applyFont="1" applyFill="1" applyAlignment="1" applyProtection="1">
      <alignment horizontal="left" vertical="center"/>
    </xf>
    <xf numFmtId="0" fontId="4" fillId="11" borderId="7" xfId="0" applyNumberFormat="1" applyFont="1" applyFill="1" applyBorder="1" applyAlignment="1" applyProtection="1">
      <alignment horizontal="center" vertical="center"/>
      <protection locked="0"/>
    </xf>
    <xf numFmtId="0" fontId="4" fillId="11" borderId="2" xfId="0" applyNumberFormat="1" applyFont="1" applyFill="1" applyBorder="1" applyAlignment="1" applyProtection="1">
      <alignment horizontal="center" vertical="center"/>
      <protection locked="0"/>
    </xf>
    <xf numFmtId="1" fontId="4" fillId="11" borderId="2" xfId="0" applyNumberFormat="1" applyFont="1" applyFill="1" applyBorder="1" applyAlignment="1" applyProtection="1">
      <alignment horizontal="center" vertical="center"/>
      <protection locked="0"/>
    </xf>
    <xf numFmtId="3" fontId="4" fillId="11" borderId="0" xfId="0" applyNumberFormat="1" applyFont="1" applyFill="1" applyBorder="1" applyAlignment="1" applyProtection="1">
      <alignment horizontal="right" vertical="top"/>
      <protection locked="0"/>
    </xf>
    <xf numFmtId="0" fontId="4" fillId="11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NumberFormat="1" applyFont="1" applyAlignment="1">
      <alignment vertical="center"/>
    </xf>
    <xf numFmtId="0" fontId="1" fillId="0" borderId="3" xfId="0" applyNumberFormat="1" applyFont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164" fontId="4" fillId="12" borderId="0" xfId="0" applyNumberFormat="1" applyFont="1" applyFill="1" applyBorder="1" applyAlignment="1">
      <alignment vertical="top"/>
    </xf>
    <xf numFmtId="0" fontId="19" fillId="0" borderId="0" xfId="1" applyNumberFormat="1" applyFont="1" applyFill="1" applyAlignment="1" applyProtection="1">
      <alignment vertical="center"/>
    </xf>
    <xf numFmtId="0" fontId="17" fillId="7" borderId="11" xfId="0" applyFont="1" applyFill="1" applyBorder="1" applyAlignment="1">
      <alignment horizontal="right" vertical="center" wrapText="1"/>
    </xf>
    <xf numFmtId="0" fontId="17" fillId="8" borderId="10" xfId="0" applyFont="1" applyFill="1" applyBorder="1" applyAlignment="1">
      <alignment horizontal="right" vertical="center" wrapText="1"/>
    </xf>
    <xf numFmtId="0" fontId="17" fillId="9" borderId="10" xfId="0" applyFont="1" applyFill="1" applyBorder="1" applyAlignment="1">
      <alignment horizontal="right" vertical="center" wrapText="1"/>
    </xf>
    <xf numFmtId="0" fontId="17" fillId="7" borderId="10" xfId="0" applyFont="1" applyFill="1" applyBorder="1" applyAlignment="1">
      <alignment vertical="center" wrapText="1"/>
    </xf>
    <xf numFmtId="0" fontId="17" fillId="8" borderId="10" xfId="0" applyFont="1" applyFill="1" applyBorder="1" applyAlignment="1">
      <alignment vertical="center" wrapText="1"/>
    </xf>
    <xf numFmtId="0" fontId="17" fillId="9" borderId="10" xfId="0" applyFont="1" applyFill="1" applyBorder="1" applyAlignment="1">
      <alignment vertical="center" wrapText="1"/>
    </xf>
    <xf numFmtId="0" fontId="17" fillId="10" borderId="10" xfId="0" applyFont="1" applyFill="1" applyBorder="1" applyAlignment="1">
      <alignment vertical="center" wrapText="1"/>
    </xf>
    <xf numFmtId="0" fontId="17" fillId="7" borderId="11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top"/>
    </xf>
    <xf numFmtId="0" fontId="4" fillId="13" borderId="2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0" fontId="25" fillId="0" borderId="1" xfId="0" applyNumberFormat="1" applyFont="1" applyBorder="1" applyAlignment="1">
      <alignment horizontal="left" vertical="top"/>
    </xf>
    <xf numFmtId="0" fontId="25" fillId="0" borderId="0" xfId="0" applyNumberFormat="1" applyFont="1" applyBorder="1" applyAlignment="1">
      <alignment horizontal="right" vertical="top"/>
    </xf>
    <xf numFmtId="164" fontId="25" fillId="0" borderId="0" xfId="0" applyNumberFormat="1" applyFont="1" applyBorder="1" applyAlignment="1">
      <alignment horizontal="right" vertical="top"/>
    </xf>
    <xf numFmtId="164" fontId="25" fillId="0" borderId="2" xfId="0" applyNumberFormat="1" applyFont="1" applyBorder="1" applyAlignment="1">
      <alignment horizontal="right" vertical="top"/>
    </xf>
    <xf numFmtId="0" fontId="25" fillId="0" borderId="1" xfId="0" applyNumberFormat="1" applyFont="1" applyBorder="1" applyAlignment="1">
      <alignment horizontal="right" vertical="top"/>
    </xf>
    <xf numFmtId="3" fontId="25" fillId="0" borderId="0" xfId="0" applyNumberFormat="1" applyFont="1" applyBorder="1" applyAlignment="1">
      <alignment horizontal="right" vertical="top"/>
    </xf>
    <xf numFmtId="164" fontId="25" fillId="0" borderId="12" xfId="0" applyNumberFormat="1" applyFont="1" applyBorder="1" applyAlignment="1">
      <alignment horizontal="right" vertical="top"/>
    </xf>
    <xf numFmtId="0" fontId="25" fillId="0" borderId="3" xfId="0" applyNumberFormat="1" applyFont="1" applyBorder="1" applyAlignment="1">
      <alignment horizontal="right" vertical="top"/>
    </xf>
    <xf numFmtId="3" fontId="25" fillId="0" borderId="8" xfId="0" applyNumberFormat="1" applyFont="1" applyBorder="1" applyAlignment="1">
      <alignment horizontal="right" vertical="top"/>
    </xf>
    <xf numFmtId="164" fontId="25" fillId="0" borderId="8" xfId="0" applyNumberFormat="1" applyFont="1" applyBorder="1" applyAlignment="1">
      <alignment horizontal="right" vertical="top"/>
    </xf>
    <xf numFmtId="0" fontId="25" fillId="0" borderId="5" xfId="0" applyNumberFormat="1" applyFont="1" applyBorder="1" applyAlignment="1">
      <alignment horizontal="left" vertical="top"/>
    </xf>
    <xf numFmtId="0" fontId="25" fillId="0" borderId="6" xfId="0" applyNumberFormat="1" applyFont="1" applyBorder="1" applyAlignment="1">
      <alignment horizontal="center" vertical="top"/>
    </xf>
    <xf numFmtId="164" fontId="25" fillId="0" borderId="7" xfId="0" applyNumberFormat="1" applyFont="1" applyBorder="1" applyAlignment="1">
      <alignment horizontal="center" vertical="top"/>
    </xf>
    <xf numFmtId="0" fontId="25" fillId="0" borderId="0" xfId="0" applyNumberFormat="1" applyFont="1" applyBorder="1" applyAlignment="1">
      <alignment vertical="top"/>
    </xf>
    <xf numFmtId="164" fontId="25" fillId="0" borderId="2" xfId="0" applyNumberFormat="1" applyFont="1" applyBorder="1" applyAlignment="1">
      <alignment vertical="top"/>
    </xf>
    <xf numFmtId="164" fontId="25" fillId="0" borderId="2" xfId="0" applyNumberFormat="1" applyFont="1" applyBorder="1" applyAlignment="1">
      <alignment horizontal="left" vertical="top"/>
    </xf>
    <xf numFmtId="165" fontId="25" fillId="0" borderId="2" xfId="0" applyNumberFormat="1" applyFont="1" applyBorder="1" applyAlignment="1">
      <alignment vertical="top"/>
    </xf>
    <xf numFmtId="1" fontId="25" fillId="0" borderId="8" xfId="0" applyNumberFormat="1" applyFont="1" applyBorder="1" applyAlignment="1">
      <alignment vertical="top"/>
    </xf>
    <xf numFmtId="165" fontId="25" fillId="0" borderId="4" xfId="0" applyNumberFormat="1" applyFont="1" applyBorder="1" applyAlignment="1">
      <alignment vertical="top"/>
    </xf>
    <xf numFmtId="3" fontId="25" fillId="0" borderId="0" xfId="0" applyNumberFormat="1" applyFont="1" applyBorder="1" applyAlignment="1">
      <alignment vertical="top"/>
    </xf>
    <xf numFmtId="1" fontId="9" fillId="0" borderId="0" xfId="0" applyNumberFormat="1" applyFont="1" applyFill="1" applyAlignment="1">
      <alignment horizontal="center" vertical="top"/>
    </xf>
    <xf numFmtId="1" fontId="4" fillId="12" borderId="2" xfId="0" applyNumberFormat="1" applyFont="1" applyFill="1" applyBorder="1" applyAlignment="1" applyProtection="1">
      <alignment horizontal="center" vertical="top"/>
    </xf>
    <xf numFmtId="1" fontId="4" fillId="13" borderId="2" xfId="0" applyNumberFormat="1" applyFont="1" applyFill="1" applyBorder="1" applyAlignment="1" applyProtection="1">
      <alignment horizontal="center" vertical="top"/>
      <protection locked="0"/>
    </xf>
    <xf numFmtId="1" fontId="25" fillId="0" borderId="0" xfId="0" applyNumberFormat="1" applyFont="1" applyBorder="1" applyAlignment="1">
      <alignment vertical="top"/>
    </xf>
    <xf numFmtId="165" fontId="25" fillId="0" borderId="0" xfId="0" applyNumberFormat="1" applyFont="1" applyBorder="1" applyAlignment="1">
      <alignment vertical="top"/>
    </xf>
    <xf numFmtId="0" fontId="0" fillId="0" borderId="0" xfId="0" applyNumberFormat="1" applyBorder="1" applyAlignment="1">
      <alignment horizontal="right" vertical="top"/>
    </xf>
    <xf numFmtId="1" fontId="4" fillId="0" borderId="0" xfId="0" applyNumberFormat="1" applyFont="1" applyBorder="1" applyAlignment="1">
      <alignment horizontal="left" vertical="top"/>
    </xf>
    <xf numFmtId="0" fontId="0" fillId="0" borderId="1" xfId="0" applyNumberFormat="1" applyBorder="1" applyAlignment="1">
      <alignment horizontal="left" vertical="top"/>
    </xf>
    <xf numFmtId="3" fontId="25" fillId="0" borderId="0" xfId="0" applyNumberFormat="1" applyFont="1" applyBorder="1" applyAlignment="1">
      <alignment horizontal="left" vertical="top"/>
    </xf>
    <xf numFmtId="165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left" vertical="top"/>
    </xf>
    <xf numFmtId="0" fontId="4" fillId="14" borderId="0" xfId="0" applyFont="1" applyFill="1" applyAlignment="1">
      <alignment vertical="top"/>
    </xf>
    <xf numFmtId="0" fontId="24" fillId="0" borderId="0" xfId="0" applyNumberFormat="1" applyFont="1" applyAlignment="1">
      <alignment horizontal="left" vertical="center"/>
    </xf>
    <xf numFmtId="0" fontId="4" fillId="12" borderId="0" xfId="0" applyFont="1" applyFill="1" applyAlignment="1">
      <alignment horizontal="center" vertical="top"/>
    </xf>
    <xf numFmtId="0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4" fillId="12" borderId="0" xfId="0" applyFont="1" applyFill="1" applyAlignment="1">
      <alignment horizontal="center" vertical="top"/>
    </xf>
    <xf numFmtId="164" fontId="4" fillId="6" borderId="13" xfId="0" applyNumberFormat="1" applyFont="1" applyFill="1" applyBorder="1" applyAlignment="1">
      <alignment horizontal="center" vertical="top"/>
    </xf>
    <xf numFmtId="164" fontId="4" fillId="6" borderId="14" xfId="0" applyNumberFormat="1" applyFont="1" applyFill="1" applyBorder="1" applyAlignment="1">
      <alignment horizontal="center" vertical="top"/>
    </xf>
    <xf numFmtId="0" fontId="4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165" fontId="4" fillId="2" borderId="0" xfId="0" applyNumberFormat="1" applyFont="1" applyFill="1" applyAlignment="1">
      <alignment horizontal="center" vertical="top"/>
    </xf>
    <xf numFmtId="0" fontId="12" fillId="0" borderId="0" xfId="0" applyNumberFormat="1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0" fontId="18" fillId="0" borderId="9" xfId="0" applyFont="1" applyBorder="1" applyAlignment="1" applyProtection="1">
      <alignment horizontal="center" vertical="top"/>
      <protection locked="0"/>
    </xf>
    <xf numFmtId="0" fontId="18" fillId="0" borderId="6" xfId="0" applyFont="1" applyBorder="1" applyAlignment="1" applyProtection="1">
      <alignment horizontal="center" vertical="top"/>
      <protection locked="0"/>
    </xf>
    <xf numFmtId="0" fontId="18" fillId="0" borderId="7" xfId="0" applyFont="1" applyBorder="1" applyAlignment="1" applyProtection="1">
      <alignment horizontal="center" vertical="top"/>
      <protection locked="0"/>
    </xf>
    <xf numFmtId="0" fontId="18" fillId="0" borderId="1" xfId="0" applyFont="1" applyBorder="1" applyAlignment="1" applyProtection="1">
      <alignment horizontal="center" vertical="top"/>
      <protection locked="0"/>
    </xf>
    <xf numFmtId="0" fontId="18" fillId="0" borderId="0" xfId="0" applyFont="1" applyBorder="1" applyAlignment="1" applyProtection="1">
      <alignment horizontal="center" vertical="top"/>
      <protection locked="0"/>
    </xf>
    <xf numFmtId="0" fontId="18" fillId="0" borderId="2" xfId="0" applyFont="1" applyBorder="1" applyAlignment="1" applyProtection="1">
      <alignment horizontal="center" vertical="top"/>
      <protection locked="0"/>
    </xf>
    <xf numFmtId="0" fontId="18" fillId="0" borderId="3" xfId="0" applyFont="1" applyBorder="1" applyAlignment="1" applyProtection="1">
      <alignment horizontal="center" vertical="top"/>
      <protection locked="0"/>
    </xf>
    <xf numFmtId="0" fontId="18" fillId="0" borderId="8" xfId="0" applyFont="1" applyBorder="1" applyAlignment="1" applyProtection="1">
      <alignment horizontal="center" vertical="top"/>
      <protection locked="0"/>
    </xf>
    <xf numFmtId="0" fontId="18" fillId="0" borderId="4" xfId="0" applyFont="1" applyBorder="1" applyAlignment="1" applyProtection="1">
      <alignment horizontal="center" vertical="top"/>
      <protection locked="0"/>
    </xf>
    <xf numFmtId="0" fontId="4" fillId="0" borderId="0" xfId="0" applyNumberFormat="1" applyFont="1" applyAlignment="1">
      <alignment horizontal="right" vertical="top"/>
    </xf>
    <xf numFmtId="0" fontId="11" fillId="0" borderId="0" xfId="0" applyNumberFormat="1" applyFont="1" applyBorder="1" applyAlignment="1">
      <alignment horizontal="right" vertical="top"/>
    </xf>
    <xf numFmtId="0" fontId="11" fillId="0" borderId="0" xfId="0" applyFont="1" applyAlignment="1">
      <alignment horizontal="right" vertical="top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N8857K</a:t>
            </a:r>
          </a:p>
        </c:rich>
      </c:tx>
      <c:layout>
        <c:manualLayout>
          <c:xMode val="edge"/>
          <c:yMode val="edge"/>
          <c:x val="0.69744966442953216"/>
          <c:y val="3.85395537525354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637857432237728E-2"/>
          <c:y val="5.2738388947599434E-2"/>
          <c:w val="0.78646838625972759"/>
          <c:h val="0.85598462463997493"/>
        </c:manualLayout>
      </c:layout>
      <c:scatterChart>
        <c:scatterStyle val="lineMarker"/>
        <c:varyColors val="0"/>
        <c:ser>
          <c:idx val="0"/>
          <c:order val="0"/>
          <c:tx>
            <c:v>CG Envelope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69-5F4A-98AB-0E3D02A010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69-5F4A-98AB-0E3D02A010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69-5F4A-98AB-0E3D02A010C0}"/>
                </c:ext>
              </c:extLst>
            </c:dLbl>
            <c:dLbl>
              <c:idx val="4"/>
              <c:layout>
                <c:manualLayout>
                  <c:x val="-0.47129019272025052"/>
                  <c:y val="-0.3353617308992580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Max Takeoff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69-5F4A-98AB-0E3D02A010C0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'4140G DATA'!$C$15:$C$20</c:f>
              <c:numCache>
                <c:formatCode>#,##0.0_);[Red]\(#,##0.0\)</c:formatCode>
                <c:ptCount val="6"/>
                <c:pt idx="0">
                  <c:v>146.09</c:v>
                </c:pt>
                <c:pt idx="1">
                  <c:v>146.1</c:v>
                </c:pt>
                <c:pt idx="2">
                  <c:v>152.29</c:v>
                </c:pt>
                <c:pt idx="3">
                  <c:v>155.22</c:v>
                </c:pt>
                <c:pt idx="4">
                  <c:v>155.96</c:v>
                </c:pt>
                <c:pt idx="5">
                  <c:v>155.96</c:v>
                </c:pt>
              </c:numCache>
            </c:numRef>
          </c:xVal>
          <c:yVal>
            <c:numRef>
              <c:f>'4140G DATA'!$B$15:$B$20</c:f>
              <c:numCache>
                <c:formatCode>General</c:formatCode>
                <c:ptCount val="6"/>
                <c:pt idx="0">
                  <c:v>4600</c:v>
                </c:pt>
                <c:pt idx="1">
                  <c:v>5075</c:v>
                </c:pt>
                <c:pt idx="2">
                  <c:v>6390</c:v>
                </c:pt>
                <c:pt idx="3">
                  <c:v>6390</c:v>
                </c:pt>
                <c:pt idx="4">
                  <c:v>5590</c:v>
                </c:pt>
                <c:pt idx="5">
                  <c:v>4600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69-5F4A-98AB-0E3D02A010C0}"/>
            </c:ext>
          </c:extLst>
        </c:ser>
        <c:ser>
          <c:idx val="1"/>
          <c:order val="1"/>
          <c:tx>
            <c:v>Ramp to T/O to Land</c:v>
          </c:tx>
          <c:spPr>
            <a:ln w="31750">
              <a:solidFill>
                <a:srgbClr val="00B0F0"/>
              </a:solidFill>
            </a:ln>
          </c:spPr>
          <c:marker>
            <c:symbol val="square"/>
            <c:size val="4"/>
            <c:spPr>
              <a:solidFill>
                <a:schemeClr val="tx1"/>
              </a:solidFill>
            </c:spPr>
          </c:marker>
          <c:dPt>
            <c:idx val="2"/>
            <c:marker>
              <c:spPr>
                <a:solidFill>
                  <a:schemeClr val="tx1"/>
                </a:solidFill>
                <a:ln w="9525"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469-5F4A-98AB-0E3D02A010C0}"/>
              </c:ext>
            </c:extLst>
          </c:dPt>
          <c:dLbls>
            <c:dLbl>
              <c:idx val="0"/>
              <c:layout>
                <c:manualLayout>
                  <c:x val="0.2058166031499829"/>
                  <c:y val="-2.43407707910750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Ramp weight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69-5F4A-98AB-0E3D02A010C0}"/>
                </c:ext>
              </c:extLst>
            </c:dLbl>
            <c:dLbl>
              <c:idx val="1"/>
              <c:layout>
                <c:manualLayout>
                  <c:x val="0.14019391808766946"/>
                  <c:y val="2.704530087897244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Takeoff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69-5F4A-98AB-0E3D02A010C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landing</a:t>
                    </a:r>
                  </a:p>
                </c:rich>
              </c:tx>
              <c:spPr/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69-5F4A-98AB-0E3D02A010C0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('4140G DATA'!$C$22,'4140G DATA'!$C$23:$C$24)</c:f>
              <c:numCache>
                <c:formatCode>0.0</c:formatCode>
                <c:ptCount val="3"/>
                <c:pt idx="0" formatCode="#,##0.0_);[Red]\(#,##0.0\)">
                  <c:v>152.60779563182524</c:v>
                </c:pt>
                <c:pt idx="1">
                  <c:v>152.62252431753998</c:v>
                </c:pt>
                <c:pt idx="2">
                  <c:v>152.38107016414546</c:v>
                </c:pt>
              </c:numCache>
            </c:numRef>
          </c:xVal>
          <c:yVal>
            <c:numRef>
              <c:f>('4140G DATA'!$B$22,'4140G DATA'!$B$23:$B$24)</c:f>
              <c:numCache>
                <c:formatCode>#,##0</c:formatCode>
                <c:ptCount val="3"/>
                <c:pt idx="0">
                  <c:v>6410</c:v>
                </c:pt>
                <c:pt idx="1">
                  <c:v>6374</c:v>
                </c:pt>
                <c:pt idx="2" formatCode="0">
                  <c:v>6214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69-5F4A-98AB-0E3D02A010C0}"/>
            </c:ext>
          </c:extLst>
        </c:ser>
        <c:ser>
          <c:idx val="2"/>
          <c:order val="2"/>
          <c:tx>
            <c:v>Zero Fuel Weight Max</c:v>
          </c:tx>
          <c:spPr>
            <a:ln w="22225">
              <a:solidFill>
                <a:srgbClr val="FF0000"/>
              </a:solidFill>
            </a:ln>
          </c:spPr>
          <c:marker>
            <c:symbol val="circle"/>
            <c:size val="2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0.62043265877096088"/>
                  <c:y val="9.195402298850574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ZFW MAX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69-5F4A-98AB-0E3D02A010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69-5F4A-98AB-0E3D02A010C0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('4140G DATA'!$C$9,'4140G DATA'!$C$11)</c:f>
              <c:numCache>
                <c:formatCode>0.0</c:formatCode>
                <c:ptCount val="2"/>
                <c:pt idx="0" formatCode="General">
                  <c:v>156</c:v>
                </c:pt>
                <c:pt idx="1">
                  <c:v>148.69999999999999</c:v>
                </c:pt>
              </c:numCache>
            </c:numRef>
          </c:xVal>
          <c:yVal>
            <c:numRef>
              <c:f>('4140G DATA'!$B$9,'4140G DATA'!$B$11)</c:f>
              <c:numCache>
                <c:formatCode>0</c:formatCode>
                <c:ptCount val="2"/>
                <c:pt idx="0" formatCode="General">
                  <c:v>5630</c:v>
                </c:pt>
                <c:pt idx="1">
                  <c:v>5630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469-5F4A-98AB-0E3D02A010C0}"/>
            </c:ext>
          </c:extLst>
        </c:ser>
        <c:ser>
          <c:idx val="3"/>
          <c:order val="3"/>
          <c:tx>
            <c:v>ZFW</c:v>
          </c:tx>
          <c:marker>
            <c:symbol val="circle"/>
            <c:size val="6"/>
            <c:spPr>
              <a:solidFill>
                <a:srgbClr val="FF0000"/>
              </a:solidFill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ZFW</a:t>
                    </a:r>
                  </a:p>
                </c:rich>
              </c:tx>
              <c:spPr/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69-5F4A-98AB-0E3D02A010C0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'4140G DATA'!$C$21</c:f>
              <c:numCache>
                <c:formatCode>#,##0.0_);[Red]\(#,##0.0\)</c:formatCode>
                <c:ptCount val="1"/>
                <c:pt idx="0">
                  <c:v>151.69876155624036</c:v>
                </c:pt>
              </c:numCache>
            </c:numRef>
          </c:xVal>
          <c:yVal>
            <c:numRef>
              <c:f>'4140G DATA'!$B$21</c:f>
              <c:numCache>
                <c:formatCode>#,##0</c:formatCode>
                <c:ptCount val="1"/>
                <c:pt idx="0">
                  <c:v>5192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3469-5F4A-98AB-0E3D02A010C0}"/>
            </c:ext>
          </c:extLst>
        </c:ser>
        <c:ser>
          <c:idx val="4"/>
          <c:order val="4"/>
          <c:tx>
            <c:v>Max Ramp Weight</c:v>
          </c:tx>
          <c:spPr>
            <a:ln w="25400">
              <a:solidFill>
                <a:srgbClr val="00B050"/>
              </a:solidFill>
            </a:ln>
          </c:spPr>
          <c:marker>
            <c:symbol val="star"/>
            <c:size val="2"/>
            <c:spPr>
              <a:solidFill>
                <a:srgbClr val="00B050"/>
              </a:solidFill>
            </c:spPr>
          </c:marker>
          <c:dLbls>
            <c:dLbl>
              <c:idx val="1"/>
              <c:layout>
                <c:manualLayout>
                  <c:x val="-0.41461605562097992"/>
                  <c:y val="-2.43407707910750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Ramp weight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69-5F4A-98AB-0E3D02A010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('4140G DATA'!$C$2,'4140G DATA'!$D$2)</c:f>
              <c:numCache>
                <c:formatCode>#,##0.0_);[Red]\(#,##0.0\)</c:formatCode>
                <c:ptCount val="2"/>
                <c:pt idx="0">
                  <c:v>150.4</c:v>
                </c:pt>
                <c:pt idx="1">
                  <c:v>155.6</c:v>
                </c:pt>
              </c:numCache>
            </c:numRef>
          </c:xVal>
          <c:yVal>
            <c:numRef>
              <c:f>('4140G DATA'!$D$25,'4140G DATA'!$D$25)</c:f>
              <c:numCache>
                <c:formatCode>General</c:formatCode>
                <c:ptCount val="2"/>
                <c:pt idx="0">
                  <c:v>6430</c:v>
                </c:pt>
                <c:pt idx="1">
                  <c:v>6430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469-5F4A-98AB-0E3D02A010C0}"/>
            </c:ext>
          </c:extLst>
        </c:ser>
        <c:ser>
          <c:idx val="5"/>
          <c:order val="5"/>
          <c:tx>
            <c:v>landing weight</c:v>
          </c:tx>
          <c:spPr>
            <a:ln w="19050">
              <a:solidFill>
                <a:srgbClr val="00B0F0"/>
              </a:solidFill>
            </a:ln>
          </c:spPr>
          <c:marker>
            <c:symbol val="circle"/>
            <c:size val="4"/>
            <c:spPr>
              <a:solidFill>
                <a:srgbClr val="00B0F0"/>
              </a:solidFill>
            </c:spPr>
          </c:marker>
          <c:dLbls>
            <c:dLbl>
              <c:idx val="0"/>
              <c:layout>
                <c:manualLayout>
                  <c:x val="-0.21476538598305131"/>
                  <c:y val="-2.704530087897246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MaxLanding</a:t>
                    </a:r>
                    <a:r>
                      <a:rPr lang="en-US" baseline="0"/>
                      <a:t> </a:t>
                    </a:r>
                    <a:r>
                      <a:rPr lang="en-US"/>
                      <a:t>weight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469-5F4A-98AB-0E3D02A010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469-5F4A-98AB-0E3D02A010C0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('4140G DATA'!$E$27,'4140G DATA'!$F$27)</c:f>
              <c:numCache>
                <c:formatCode>General</c:formatCode>
                <c:ptCount val="2"/>
                <c:pt idx="0">
                  <c:v>149.63214285714287</c:v>
                </c:pt>
                <c:pt idx="1">
                  <c:v>155.72285714285715</c:v>
                </c:pt>
              </c:numCache>
            </c:numRef>
          </c:xVal>
          <c:yVal>
            <c:numRef>
              <c:f>('4140G DATA'!$D$27,'4140G DATA'!$D$27)</c:f>
              <c:numCache>
                <c:formatCode>General</c:formatCode>
                <c:ptCount val="2"/>
                <c:pt idx="0">
                  <c:v>6075</c:v>
                </c:pt>
                <c:pt idx="1">
                  <c:v>6075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3469-5F4A-98AB-0E3D02A01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79552"/>
        <c:axId val="66681472"/>
      </c:scatterChart>
      <c:valAx>
        <c:axId val="66679552"/>
        <c:scaling>
          <c:orientation val="minMax"/>
          <c:max val="157"/>
          <c:min val="145"/>
        </c:scaling>
        <c:delete val="0"/>
        <c:axPos val="b"/>
        <c:majorGridlines/>
        <c:minorGridlines/>
        <c:title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681472"/>
        <c:crossesAt val="3200"/>
        <c:crossBetween val="midCat"/>
        <c:majorUnit val="1"/>
        <c:minorUnit val="1"/>
      </c:valAx>
      <c:valAx>
        <c:axId val="66681472"/>
        <c:scaling>
          <c:orientation val="minMax"/>
          <c:max val="6500"/>
          <c:min val="47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6679552"/>
        <c:crossesAt val="31"/>
        <c:crossBetween val="midCat"/>
        <c:majorUnit val="100"/>
        <c:minorUnit val="8"/>
      </c:valAx>
    </c:plotArea>
    <c:legend>
      <c:legendPos val="t"/>
      <c:layout>
        <c:manualLayout>
          <c:xMode val="edge"/>
          <c:yMode val="edge"/>
          <c:x val="0.11082762305718499"/>
          <c:y val="0.64946585530764023"/>
          <c:w val="0.39949315060449681"/>
          <c:h val="0.2481372282825702"/>
        </c:manualLayout>
      </c:layout>
      <c:overlay val="0"/>
    </c:legend>
    <c:plotVisOnly val="0"/>
    <c:dispBlanksAs val="gap"/>
    <c:showDLblsOverMax val="0"/>
  </c:chart>
  <c:printSettings>
    <c:headerFooter alignWithMargins="0"/>
    <c:pageMargins b="1" l="0.75000000000000477" r="0.75000000000000477" t="1" header="0.5" footer="0.5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19</xdr:row>
      <xdr:rowOff>152400</xdr:rowOff>
    </xdr:from>
    <xdr:to>
      <xdr:col>11</xdr:col>
      <xdr:colOff>590550</xdr:colOff>
      <xdr:row>49</xdr:row>
      <xdr:rowOff>142875</xdr:rowOff>
    </xdr:to>
    <xdr:graphicFrame macro="">
      <xdr:nvGraphicFramePr>
        <xdr:cNvPr id="2063" name="Chart 1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87408</xdr:colOff>
      <xdr:row>10</xdr:row>
      <xdr:rowOff>132521</xdr:rowOff>
    </xdr:from>
    <xdr:to>
      <xdr:col>11</xdr:col>
      <xdr:colOff>32285</xdr:colOff>
      <xdr:row>19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A28310-634C-2045-8457-44DA08FC8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7147" y="1789043"/>
          <a:ext cx="2374442" cy="1336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ntellicast.com/National/Radar/Current.aspx?enlarge=true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fltplan.com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www.airnav.com/" TargetMode="External"/><Relationship Id="rId5" Type="http://schemas.openxmlformats.org/officeDocument/2006/relationships/hyperlink" Target="http://adds.aviationweather.gov/" TargetMode="External"/><Relationship Id="rId4" Type="http://schemas.openxmlformats.org/officeDocument/2006/relationships/hyperlink" Target="../Documents%20and%20Settings/smaunder/Local%20Settings/Temporary%20Internet%20Files/Content.Outlook/0KZR6HOA/Aviation/414%20cessna/414%20Weight%20and%20balance/www.adds.aviationweather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1"/>
  <sheetViews>
    <sheetView tabSelected="1" view="pageBreakPreview" topLeftCell="A14" zoomScale="110" zoomScaleNormal="100" zoomScaleSheetLayoutView="100" workbookViewId="0">
      <pane activePane="bottomRight" state="frozen"/>
      <selection activeCell="B13" sqref="B13"/>
    </sheetView>
  </sheetViews>
  <sheetFormatPr baseColWidth="10" defaultColWidth="8" defaultRowHeight="13" x14ac:dyDescent="0.15"/>
  <cols>
    <col min="1" max="1" width="27" style="3" customWidth="1"/>
    <col min="2" max="2" width="7.33203125" style="3" customWidth="1"/>
    <col min="3" max="3" width="6.6640625" style="3" customWidth="1"/>
    <col min="4" max="4" width="14" style="3" customWidth="1"/>
    <col min="5" max="5" width="8.5" style="3" customWidth="1"/>
    <col min="6" max="6" width="7.5" style="3" customWidth="1"/>
    <col min="7" max="11" width="8" style="3" customWidth="1"/>
    <col min="12" max="12" width="8.5" style="3" customWidth="1"/>
    <col min="13" max="13" width="11.5" style="3" customWidth="1"/>
    <col min="14" max="16384" width="8" style="3"/>
  </cols>
  <sheetData>
    <row r="1" spans="1:16" ht="14.25" customHeight="1" x14ac:dyDescent="0.15">
      <c r="A1" s="67"/>
      <c r="B1" s="94"/>
      <c r="C1" s="94"/>
      <c r="D1" s="94"/>
      <c r="E1" s="94"/>
      <c r="F1" s="53"/>
      <c r="H1" s="84" t="s">
        <v>46</v>
      </c>
      <c r="I1" s="69"/>
      <c r="J1" s="69"/>
      <c r="K1" s="69"/>
      <c r="L1" s="69"/>
      <c r="N1" s="80"/>
      <c r="O1" s="81"/>
      <c r="P1" s="81"/>
    </row>
    <row r="2" spans="1:16" ht="12.75" customHeight="1" thickBot="1" x14ac:dyDescent="0.2">
      <c r="A2" s="83"/>
      <c r="B2" s="94"/>
      <c r="C2" s="146" t="s">
        <v>86</v>
      </c>
      <c r="D2" s="146"/>
      <c r="E2" s="146"/>
      <c r="F2" s="146"/>
      <c r="G2" s="146"/>
      <c r="H2" s="84" t="s">
        <v>55</v>
      </c>
      <c r="I2" s="69"/>
      <c r="J2" s="69"/>
      <c r="K2" s="69"/>
      <c r="L2" s="69"/>
      <c r="N2" s="80"/>
      <c r="O2" s="81"/>
      <c r="P2" s="81"/>
    </row>
    <row r="3" spans="1:16" ht="13" customHeight="1" x14ac:dyDescent="0.15">
      <c r="A3" s="35" t="s">
        <v>35</v>
      </c>
      <c r="B3" s="85">
        <v>100</v>
      </c>
      <c r="C3" s="146"/>
      <c r="D3" s="146"/>
      <c r="E3" s="146"/>
      <c r="F3" s="146"/>
      <c r="G3" s="146"/>
      <c r="H3" s="82" t="s">
        <v>47</v>
      </c>
      <c r="I3" s="69"/>
      <c r="J3" s="69"/>
      <c r="K3" s="69"/>
      <c r="L3" s="69"/>
      <c r="N3" s="82"/>
      <c r="O3" s="82"/>
      <c r="P3" s="82"/>
    </row>
    <row r="4" spans="1:16" ht="13" customHeight="1" x14ac:dyDescent="0.15">
      <c r="A4" s="36" t="s">
        <v>19</v>
      </c>
      <c r="B4" s="86">
        <v>150</v>
      </c>
      <c r="C4" s="146"/>
      <c r="D4" s="146"/>
      <c r="E4" s="146"/>
      <c r="F4" s="146"/>
      <c r="G4" s="146"/>
      <c r="H4" s="82" t="s">
        <v>58</v>
      </c>
      <c r="I4" s="69"/>
      <c r="K4" s="4"/>
      <c r="L4" s="4"/>
      <c r="N4" s="82"/>
      <c r="O4" s="82"/>
      <c r="P4" s="82"/>
    </row>
    <row r="5" spans="1:16" ht="13" customHeight="1" x14ac:dyDescent="0.15">
      <c r="A5" s="36" t="s">
        <v>36</v>
      </c>
      <c r="B5" s="39" t="str">
        <f>FIXED(INT(B3/B4),0)&amp;":"&amp;FIXED(((B3/B4)-INT(B3/B4))*60,0)</f>
        <v>0:40</v>
      </c>
      <c r="C5" s="5"/>
      <c r="D5" s="147" t="s">
        <v>78</v>
      </c>
      <c r="E5" s="147"/>
      <c r="F5" s="147"/>
      <c r="G5" s="90"/>
      <c r="H5" s="4"/>
      <c r="I5" s="90"/>
      <c r="J5" s="90"/>
      <c r="K5" s="4"/>
      <c r="L5" s="4"/>
      <c r="N5" s="2"/>
    </row>
    <row r="6" spans="1:16" ht="13" customHeight="1" x14ac:dyDescent="0.15">
      <c r="A6" s="36" t="s">
        <v>33</v>
      </c>
      <c r="B6" s="87">
        <v>45</v>
      </c>
      <c r="C6" s="5"/>
      <c r="D6" s="90"/>
      <c r="E6" s="90"/>
      <c r="F6" s="90"/>
      <c r="G6" s="90"/>
      <c r="H6" s="90"/>
      <c r="I6" s="90"/>
      <c r="J6" s="90"/>
      <c r="K6" s="4"/>
      <c r="L6" s="4"/>
      <c r="M6" s="4"/>
      <c r="N6" s="2"/>
    </row>
    <row r="7" spans="1:16" ht="13" customHeight="1" x14ac:dyDescent="0.15">
      <c r="A7" s="9" t="s">
        <v>2</v>
      </c>
      <c r="B7" s="104">
        <v>40</v>
      </c>
      <c r="C7" s="61">
        <f>PRODUCT(B7,6)</f>
        <v>240</v>
      </c>
      <c r="D7" s="138" t="s">
        <v>60</v>
      </c>
      <c r="E7" s="6"/>
      <c r="F7" s="6"/>
      <c r="G7" s="6"/>
      <c r="H7" s="6"/>
      <c r="I7" s="6"/>
      <c r="J7" s="6"/>
      <c r="K7" s="4"/>
      <c r="L7" s="4"/>
      <c r="M7" s="4"/>
      <c r="N7" s="2"/>
    </row>
    <row r="8" spans="1:16" ht="13" customHeight="1" x14ac:dyDescent="0.15">
      <c r="A8" s="51" t="s">
        <v>14</v>
      </c>
      <c r="B8" s="64">
        <f>((B6/60)*B7)+((B3/B4)*B7)+2</f>
        <v>58.666666666666664</v>
      </c>
      <c r="C8" s="5"/>
      <c r="D8" s="4"/>
      <c r="E8" s="2"/>
      <c r="F8" s="2"/>
      <c r="G8" s="2"/>
      <c r="H8" s="2" t="s">
        <v>68</v>
      </c>
      <c r="I8" s="2"/>
      <c r="J8" s="4"/>
      <c r="K8" s="4" t="s">
        <v>66</v>
      </c>
      <c r="L8" s="4" t="s">
        <v>67</v>
      </c>
      <c r="M8" s="4"/>
      <c r="N8" s="2"/>
    </row>
    <row r="9" spans="1:16" ht="13" customHeight="1" x14ac:dyDescent="0.15">
      <c r="A9" s="37"/>
      <c r="B9" s="38"/>
      <c r="C9" s="5"/>
      <c r="D9" s="4" t="s">
        <v>82</v>
      </c>
      <c r="E9" s="2"/>
      <c r="F9" s="2"/>
      <c r="G9" s="2"/>
      <c r="H9" s="42" t="s">
        <v>16</v>
      </c>
      <c r="I9" s="40"/>
      <c r="J9" s="41"/>
      <c r="K9" s="43">
        <f>(SQRT(B42/6305))*92.3</f>
        <v>92.803677273392111</v>
      </c>
      <c r="L9" s="43">
        <f>(SQRT(B42/6305))*99.4</f>
        <v>99.942421679037679</v>
      </c>
      <c r="M9" s="4"/>
      <c r="N9" s="2"/>
    </row>
    <row r="10" spans="1:16" x14ac:dyDescent="0.15">
      <c r="A10" s="51" t="s">
        <v>13</v>
      </c>
      <c r="B10" s="52">
        <f>(B3/B4)*B7</f>
        <v>26.666666666666664</v>
      </c>
      <c r="H10" s="44" t="s">
        <v>15</v>
      </c>
      <c r="I10" s="45"/>
      <c r="J10" s="45"/>
      <c r="K10" s="46">
        <f>(SQRT(B44/6305))*92.3</f>
        <v>91.631496633295981</v>
      </c>
      <c r="L10" s="46">
        <f>(SQRT(B44/6305))*99.4</f>
        <v>98.68007329739568</v>
      </c>
    </row>
    <row r="11" spans="1:16" x14ac:dyDescent="0.15">
      <c r="A11" s="37"/>
      <c r="B11" s="103"/>
      <c r="H11" s="44"/>
      <c r="I11" s="45"/>
      <c r="J11" s="45"/>
      <c r="K11" s="126"/>
      <c r="L11" s="126"/>
    </row>
    <row r="12" spans="1:16" x14ac:dyDescent="0.15">
      <c r="A12" s="37" t="s">
        <v>69</v>
      </c>
      <c r="B12" s="128">
        <v>100</v>
      </c>
      <c r="C12" s="137" t="str">
        <f>IF(B42&gt;5990,"100 minimum","OK")</f>
        <v>100 minimum</v>
      </c>
      <c r="D12" s="137"/>
      <c r="H12" s="44"/>
      <c r="I12" s="45"/>
      <c r="J12" s="45"/>
      <c r="K12" s="126"/>
      <c r="L12" s="126"/>
    </row>
    <row r="13" spans="1:16" x14ac:dyDescent="0.15">
      <c r="A13" s="36" t="s">
        <v>70</v>
      </c>
      <c r="B13" s="128">
        <v>63</v>
      </c>
      <c r="F13" s="142" t="s">
        <v>59</v>
      </c>
      <c r="G13" s="142"/>
    </row>
    <row r="14" spans="1:16" x14ac:dyDescent="0.15">
      <c r="A14" s="36" t="s">
        <v>80</v>
      </c>
      <c r="B14" s="128">
        <v>40</v>
      </c>
      <c r="F14" s="139"/>
      <c r="G14" s="139"/>
    </row>
    <row r="15" spans="1:16" ht="13" customHeight="1" x14ac:dyDescent="0.15">
      <c r="A15" s="9" t="s">
        <v>23</v>
      </c>
      <c r="B15" s="127">
        <f>SUM(B12:B13)</f>
        <v>163</v>
      </c>
      <c r="C15" s="68" t="str">
        <f>IF(B8&gt;B15,"Add Fuel","OK")</f>
        <v>OK</v>
      </c>
      <c r="D15" s="93" t="s">
        <v>71</v>
      </c>
      <c r="E15" s="93"/>
      <c r="F15" s="47" t="str">
        <f>IF(('4140G DATA'!D25-B35-B22)/6&gt;163,"163",(('4140G DATA'!D25-B35-B22)/6)-1)</f>
        <v>163</v>
      </c>
      <c r="G15" s="79" t="s">
        <v>57</v>
      </c>
    </row>
    <row r="16" spans="1:16" ht="12.75" customHeight="1" thickBot="1" x14ac:dyDescent="0.2">
      <c r="A16" s="7" t="s">
        <v>37</v>
      </c>
      <c r="B16" s="8" t="str">
        <f>FIXED(INT(((B15-6)/B7)-(B6/60)),0)&amp;":"&amp;FIXED(((((B15-6)/B7)-(B6/60))-INT(((B15-6)/B7)-(B6/60)))*60,0)</f>
        <v>3:11</v>
      </c>
    </row>
    <row r="17" spans="1:255" ht="12.75" customHeight="1" thickBot="1" x14ac:dyDescent="0.2">
      <c r="A17" s="11" t="s">
        <v>18</v>
      </c>
      <c r="B17" s="12">
        <f>(((B15-2)/B7)-(B6/60))*B4</f>
        <v>491.25000000000006</v>
      </c>
      <c r="C17" s="143" t="str">
        <f>IF(B3&gt;B17,"Reduce Trip Distance","OK")</f>
        <v>OK</v>
      </c>
      <c r="D17" s="14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  <row r="18" spans="1:255" ht="13" customHeight="1" x14ac:dyDescent="0.15">
      <c r="A18" s="15"/>
      <c r="B18" s="16"/>
    </row>
    <row r="19" spans="1:255" ht="13" customHeight="1" x14ac:dyDescent="0.15">
      <c r="A19" s="15"/>
      <c r="B19" s="16"/>
      <c r="D19" s="13"/>
    </row>
    <row r="20" spans="1:255" ht="13" customHeight="1" thickBot="1" x14ac:dyDescent="0.2">
      <c r="A20" s="14"/>
      <c r="B20" s="14"/>
    </row>
    <row r="21" spans="1:255" ht="13" customHeight="1" thickBot="1" x14ac:dyDescent="0.2">
      <c r="A21" s="60" t="s">
        <v>44</v>
      </c>
      <c r="B21" s="59" t="s">
        <v>3</v>
      </c>
      <c r="C21" s="57" t="s">
        <v>43</v>
      </c>
      <c r="D21" s="58" t="s">
        <v>31</v>
      </c>
      <c r="E21" s="14"/>
      <c r="F21" s="14"/>
    </row>
    <row r="22" spans="1:255" ht="13" customHeight="1" x14ac:dyDescent="0.15">
      <c r="A22" s="9" t="s">
        <v>45</v>
      </c>
      <c r="B22" s="65">
        <v>4487</v>
      </c>
      <c r="C22" s="66">
        <v>152.31</v>
      </c>
      <c r="D22" s="10">
        <f>C22*B22/1000</f>
        <v>683.41496999999993</v>
      </c>
      <c r="E22" s="14"/>
      <c r="F22" s="14"/>
    </row>
    <row r="23" spans="1:255" ht="13" customHeight="1" x14ac:dyDescent="0.15">
      <c r="A23" s="9" t="s">
        <v>77</v>
      </c>
      <c r="B23" s="88">
        <v>25</v>
      </c>
      <c r="C23" s="15">
        <v>77</v>
      </c>
      <c r="D23" s="10">
        <f t="shared" ref="D23:D34" si="0">C23*B23/1000</f>
        <v>1.925</v>
      </c>
      <c r="E23" s="14"/>
      <c r="F23" s="14"/>
    </row>
    <row r="24" spans="1:255" ht="13" customHeight="1" x14ac:dyDescent="0.15">
      <c r="A24" s="9" t="s">
        <v>20</v>
      </c>
      <c r="B24" s="88">
        <v>220</v>
      </c>
      <c r="C24" s="15">
        <v>137</v>
      </c>
      <c r="D24" s="10">
        <f t="shared" si="0"/>
        <v>30.14</v>
      </c>
      <c r="E24" s="14"/>
      <c r="F24" s="14"/>
    </row>
    <row r="25" spans="1:255" ht="13" customHeight="1" x14ac:dyDescent="0.15">
      <c r="A25" s="9" t="s">
        <v>42</v>
      </c>
      <c r="B25" s="88">
        <v>220</v>
      </c>
      <c r="C25" s="15">
        <v>137</v>
      </c>
      <c r="D25" s="10">
        <f t="shared" si="0"/>
        <v>30.14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1:255" ht="13" customHeight="1" x14ac:dyDescent="0.15">
      <c r="A26" s="9" t="s">
        <v>38</v>
      </c>
      <c r="B26" s="88">
        <v>130</v>
      </c>
      <c r="C26" s="15">
        <v>175</v>
      </c>
      <c r="D26" s="10">
        <f t="shared" si="0"/>
        <v>22.75</v>
      </c>
      <c r="E26" s="14"/>
      <c r="F26" s="14"/>
      <c r="G26" s="14"/>
      <c r="H26" s="14"/>
      <c r="I26" s="14"/>
      <c r="J26" s="14"/>
      <c r="K26" s="14"/>
      <c r="L26" s="14"/>
      <c r="M26" s="14"/>
    </row>
    <row r="27" spans="1:255" ht="13" customHeight="1" x14ac:dyDescent="0.15">
      <c r="A27" s="9" t="s">
        <v>40</v>
      </c>
      <c r="B27" s="88">
        <v>110</v>
      </c>
      <c r="C27" s="15">
        <v>175</v>
      </c>
      <c r="D27" s="10">
        <f t="shared" si="0"/>
        <v>19.25</v>
      </c>
      <c r="E27" s="14"/>
      <c r="F27" s="14"/>
      <c r="G27" s="14"/>
      <c r="H27" s="14"/>
      <c r="I27" s="14"/>
      <c r="J27" s="14"/>
      <c r="K27" s="14"/>
      <c r="L27" s="14"/>
      <c r="M27" s="14"/>
    </row>
    <row r="28" spans="1:255" ht="13" customHeight="1" x14ac:dyDescent="0.15">
      <c r="A28" s="9" t="s">
        <v>39</v>
      </c>
      <c r="B28" s="88"/>
      <c r="C28" s="15">
        <v>204</v>
      </c>
      <c r="D28" s="10">
        <f t="shared" si="0"/>
        <v>0</v>
      </c>
      <c r="E28" s="14"/>
      <c r="F28" s="14"/>
      <c r="G28" s="14"/>
      <c r="H28" s="14"/>
      <c r="I28" s="14"/>
      <c r="J28" s="14"/>
      <c r="K28" s="14"/>
      <c r="L28" s="14"/>
      <c r="M28" s="14"/>
    </row>
    <row r="29" spans="1:255" ht="13" customHeight="1" x14ac:dyDescent="0.15">
      <c r="A29" s="9" t="s">
        <v>41</v>
      </c>
      <c r="B29" s="88">
        <v>0</v>
      </c>
      <c r="C29" s="15">
        <v>204</v>
      </c>
      <c r="D29" s="10">
        <f t="shared" si="0"/>
        <v>0</v>
      </c>
      <c r="E29" s="14"/>
      <c r="F29" s="14"/>
      <c r="G29" s="14"/>
      <c r="H29" s="14"/>
      <c r="I29" s="14"/>
      <c r="J29" s="14"/>
      <c r="K29" s="14"/>
      <c r="L29" s="14"/>
      <c r="M29" s="14"/>
    </row>
    <row r="30" spans="1:255" ht="13" customHeight="1" x14ac:dyDescent="0.15">
      <c r="A30" s="9" t="s">
        <v>73</v>
      </c>
      <c r="B30" s="89">
        <v>0</v>
      </c>
      <c r="C30" s="15">
        <v>242</v>
      </c>
      <c r="D30" s="10">
        <f t="shared" si="0"/>
        <v>0</v>
      </c>
      <c r="E30" s="14"/>
      <c r="F30" s="14"/>
      <c r="G30" s="14"/>
      <c r="H30" s="14"/>
      <c r="I30" s="14"/>
      <c r="J30" s="14"/>
      <c r="K30" s="14"/>
      <c r="L30" s="14"/>
      <c r="M30" s="14"/>
    </row>
    <row r="31" spans="1:255" ht="13" customHeight="1" x14ac:dyDescent="0.15">
      <c r="A31" s="9" t="s">
        <v>81</v>
      </c>
      <c r="B31" s="89">
        <v>0</v>
      </c>
      <c r="C31" s="15">
        <v>186</v>
      </c>
      <c r="D31" s="10">
        <f t="shared" si="0"/>
        <v>0</v>
      </c>
      <c r="E31" s="14"/>
      <c r="F31" s="14"/>
      <c r="G31" s="14"/>
      <c r="H31" s="14"/>
      <c r="I31" s="14"/>
      <c r="J31" s="14"/>
      <c r="K31" s="14"/>
      <c r="L31" s="14"/>
      <c r="M31" s="14"/>
    </row>
    <row r="32" spans="1:255" ht="13" customHeight="1" x14ac:dyDescent="0.15">
      <c r="A32" s="9"/>
      <c r="B32" s="89">
        <v>0</v>
      </c>
      <c r="C32" s="15">
        <v>266</v>
      </c>
      <c r="D32" s="10">
        <f t="shared" si="0"/>
        <v>0</v>
      </c>
      <c r="E32" s="14"/>
      <c r="F32" s="14"/>
      <c r="G32" s="14"/>
      <c r="H32" s="14"/>
      <c r="I32" s="14"/>
      <c r="J32" s="14"/>
      <c r="K32" s="14"/>
      <c r="L32" s="14"/>
      <c r="M32" s="14"/>
    </row>
    <row r="33" spans="1:255" ht="13" customHeight="1" x14ac:dyDescent="0.15">
      <c r="A33" s="9"/>
      <c r="B33" s="88">
        <v>0</v>
      </c>
      <c r="C33" s="15">
        <v>282</v>
      </c>
      <c r="D33" s="10">
        <f t="shared" si="0"/>
        <v>0</v>
      </c>
      <c r="E33" s="14"/>
      <c r="F33" s="14"/>
      <c r="G33" s="14"/>
      <c r="H33" s="14"/>
      <c r="I33" s="14"/>
      <c r="J33" s="14"/>
      <c r="K33" s="14"/>
      <c r="L33" s="14"/>
      <c r="M33" s="14"/>
    </row>
    <row r="34" spans="1:255" ht="13" customHeight="1" x14ac:dyDescent="0.15">
      <c r="A34" s="9" t="s">
        <v>32</v>
      </c>
      <c r="B34" s="88">
        <v>0</v>
      </c>
      <c r="C34" s="15">
        <v>200</v>
      </c>
      <c r="D34" s="10">
        <f t="shared" si="0"/>
        <v>0</v>
      </c>
      <c r="E34" s="14"/>
      <c r="F34" s="14"/>
      <c r="G34" s="14"/>
      <c r="H34" s="14"/>
      <c r="I34" s="14"/>
      <c r="J34" s="14"/>
      <c r="K34" s="14"/>
      <c r="L34" s="14"/>
      <c r="M34" s="14"/>
    </row>
    <row r="35" spans="1:255" ht="13" customHeight="1" x14ac:dyDescent="0.15">
      <c r="A35" s="9" t="s">
        <v>22</v>
      </c>
      <c r="B35" s="47">
        <f>SUM(B23:B34)</f>
        <v>705</v>
      </c>
      <c r="C35" s="15"/>
      <c r="D35" s="10"/>
      <c r="E35" s="14"/>
      <c r="F35" s="14"/>
      <c r="G35" s="14"/>
      <c r="H35" s="14"/>
      <c r="I35" s="14"/>
      <c r="J35" s="14"/>
      <c r="K35" s="14"/>
      <c r="L35" s="14"/>
      <c r="M35" s="14"/>
    </row>
    <row r="36" spans="1:255" ht="13" customHeight="1" x14ac:dyDescent="0.15">
      <c r="A36" s="92" t="s">
        <v>79</v>
      </c>
      <c r="B36" s="18">
        <f>SUM(B22:B30,B32:B34)</f>
        <v>5192</v>
      </c>
      <c r="C36" s="62" t="str">
        <f>IF(B36&gt;'4140G DATA'!B10,"Over ","OK")</f>
        <v>OK</v>
      </c>
      <c r="D36" s="10">
        <f>SUM(D22:D30,D32:D34)</f>
        <v>787.61996999999985</v>
      </c>
    </row>
    <row r="37" spans="1:255" ht="13" customHeight="1" x14ac:dyDescent="0.15">
      <c r="A37" s="9" t="s">
        <v>87</v>
      </c>
      <c r="B37" s="47">
        <f>B12*6</f>
        <v>600</v>
      </c>
      <c r="C37" s="15">
        <v>150</v>
      </c>
      <c r="D37" s="10">
        <f>C37*B37/1000</f>
        <v>90</v>
      </c>
      <c r="E37" s="14"/>
      <c r="F37" s="14"/>
      <c r="G37" s="14"/>
      <c r="H37" s="14"/>
      <c r="I37" s="14"/>
      <c r="J37" s="14"/>
      <c r="K37" s="14"/>
      <c r="L37" s="14"/>
      <c r="M37" s="14"/>
    </row>
    <row r="38" spans="1:255" ht="13" customHeight="1" x14ac:dyDescent="0.15">
      <c r="A38" s="9" t="s">
        <v>88</v>
      </c>
      <c r="B38" s="47">
        <f>B13*6</f>
        <v>378</v>
      </c>
      <c r="C38" s="15">
        <v>162</v>
      </c>
      <c r="D38" s="10">
        <f>C38*B38/1000</f>
        <v>61.235999999999997</v>
      </c>
      <c r="E38" s="14"/>
      <c r="F38" s="14"/>
      <c r="G38" s="14"/>
      <c r="H38" s="14"/>
      <c r="I38" s="14"/>
      <c r="J38" s="14"/>
      <c r="K38" s="14"/>
      <c r="L38" s="14"/>
      <c r="M38" s="14"/>
    </row>
    <row r="39" spans="1:255" ht="13" customHeight="1" x14ac:dyDescent="0.15">
      <c r="A39" s="9" t="s">
        <v>89</v>
      </c>
      <c r="B39" s="47">
        <f>B14*6</f>
        <v>240</v>
      </c>
      <c r="C39" s="15">
        <v>164</v>
      </c>
      <c r="D39" s="10">
        <f>C39*B39/1000</f>
        <v>39.36</v>
      </c>
      <c r="E39" s="14"/>
      <c r="F39" s="14"/>
      <c r="G39" s="14"/>
      <c r="H39" s="14"/>
      <c r="I39" s="14"/>
      <c r="J39" s="14"/>
      <c r="K39" s="14"/>
      <c r="L39" s="14"/>
      <c r="M39" s="14"/>
    </row>
    <row r="40" spans="1:255" ht="13" customHeight="1" x14ac:dyDescent="0.15">
      <c r="A40" s="1" t="s">
        <v>83</v>
      </c>
      <c r="B40" s="18">
        <f>SUM(B22:B34,B37:B39)</f>
        <v>6410</v>
      </c>
      <c r="C40" s="62" t="str">
        <f>IF(B40&gt;'4140G DATA'!D25,"Over 6340","OK")</f>
        <v>OK</v>
      </c>
      <c r="D40" s="10">
        <f>SUM(D22:D34,D37:D39)</f>
        <v>978.21596999999986</v>
      </c>
      <c r="E40" s="14"/>
      <c r="F40" s="14"/>
      <c r="G40" s="14"/>
      <c r="H40" s="14"/>
      <c r="I40" s="14"/>
      <c r="J40" s="14"/>
      <c r="K40" s="14"/>
      <c r="L40" s="14"/>
      <c r="M40" s="14"/>
    </row>
    <row r="41" spans="1:255" ht="13" customHeight="1" x14ac:dyDescent="0.15">
      <c r="A41" s="9" t="s">
        <v>5</v>
      </c>
      <c r="B41" s="17">
        <f>-(6*6)</f>
        <v>-36</v>
      </c>
      <c r="C41" s="15">
        <v>150</v>
      </c>
      <c r="D41" s="10">
        <f>B41*C41/1000</f>
        <v>-5.4</v>
      </c>
      <c r="E41" s="14"/>
    </row>
    <row r="42" spans="1:255" ht="13" customHeight="1" x14ac:dyDescent="0.15">
      <c r="A42" s="1" t="s">
        <v>84</v>
      </c>
      <c r="B42" s="18">
        <f>B40+B41</f>
        <v>6374</v>
      </c>
      <c r="C42" s="62" t="str">
        <f>IF(B42&gt;'4140G DATA'!D26,"Over 6305","OK")</f>
        <v>OK</v>
      </c>
      <c r="D42" s="55">
        <f>D40+D41</f>
        <v>972.81596999999988</v>
      </c>
      <c r="E42" s="14"/>
    </row>
    <row r="43" spans="1:255" ht="13" customHeight="1" x14ac:dyDescent="0.15">
      <c r="A43" s="7" t="s">
        <v>6</v>
      </c>
      <c r="B43" s="47">
        <f>((B3/B4)*B7)*-6</f>
        <v>-160</v>
      </c>
      <c r="C43" s="15">
        <v>162</v>
      </c>
      <c r="D43" s="10">
        <f>B43*C43/1000</f>
        <v>-25.92</v>
      </c>
      <c r="E43" s="14"/>
      <c r="F43" s="14"/>
      <c r="G43" s="14"/>
      <c r="H43" s="14"/>
      <c r="I43" s="14"/>
      <c r="J43" s="14"/>
      <c r="K43" s="14"/>
      <c r="L43" s="14"/>
      <c r="M43" s="14"/>
    </row>
    <row r="44" spans="1:255" ht="13" customHeight="1" thickBot="1" x14ac:dyDescent="0.2">
      <c r="A44" s="91" t="s">
        <v>85</v>
      </c>
      <c r="B44" s="54">
        <f>B42+B43</f>
        <v>6214</v>
      </c>
      <c r="C44" s="62" t="str">
        <f>IF(B44&gt;'4140G DATA'!D27,"Over 5990","OK")</f>
        <v>Over 5990</v>
      </c>
      <c r="D44" s="56">
        <f>D42+D43</f>
        <v>946.89596999999992</v>
      </c>
      <c r="E44" s="14"/>
    </row>
    <row r="45" spans="1:255" ht="14" thickBot="1" x14ac:dyDescent="0.2"/>
    <row r="46" spans="1:255" ht="13" customHeight="1" thickBot="1" x14ac:dyDescent="0.2">
      <c r="A46" s="20" t="s">
        <v>21</v>
      </c>
      <c r="B46" s="21" t="s">
        <v>72</v>
      </c>
      <c r="C46" s="22"/>
      <c r="D46" s="23" t="s">
        <v>34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</row>
    <row r="47" spans="1:255" ht="13" customHeight="1" x14ac:dyDescent="0.15">
      <c r="A47" s="9" t="str">
        <f>"Take-off ("&amp;FIXED(B42,0)&amp;"):"</f>
        <v>Take-off (6,374):</v>
      </c>
      <c r="B47" s="24">
        <f>D42/B42*1000</f>
        <v>152.62252431753998</v>
      </c>
      <c r="C47" s="62" t="str">
        <f>IF(OR(B47&lt;'4140G DATA'!C6,B47&gt;'4140G DATA'!D6),"Over","OK")</f>
        <v>OK</v>
      </c>
      <c r="D47" s="25" t="str">
        <f>FIXED('4140G DATA'!C6,1)&amp;" =&gt; "&amp;FIXED('4140G DATA'!D6,1)</f>
        <v>150.7 =&gt; 155.6</v>
      </c>
      <c r="E47" s="26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</row>
    <row r="48" spans="1:255" ht="13" customHeight="1" thickBot="1" x14ac:dyDescent="0.2">
      <c r="A48" s="19" t="str">
        <f>"Landing ("&amp;FIXED(B44,0)&amp;"):"</f>
        <v>Landing (6,214):</v>
      </c>
      <c r="B48" s="27">
        <f>D44/B44*1000</f>
        <v>152.38107016414546</v>
      </c>
      <c r="C48" s="63" t="str">
        <f>IF(OR(B48&lt;'4140G DATA'!C7,B48&gt;'4140G DATA'!D7),"Over","OK")</f>
        <v>OK</v>
      </c>
      <c r="D48" s="28" t="str">
        <f>FIXED('4140G DATA'!C7,1)&amp;" =&gt; "&amp;FIXED('4140G DATA'!D7,1)</f>
        <v>150.1 =&gt; 155.6</v>
      </c>
      <c r="E48" s="26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</row>
    <row r="49" spans="1:255" ht="13" customHeight="1" x14ac:dyDescent="0.15">
      <c r="A49" s="17"/>
      <c r="B49" s="135"/>
      <c r="C49" s="136"/>
      <c r="D49" s="132"/>
      <c r="E49" s="26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</row>
    <row r="50" spans="1:255" ht="13" customHeight="1" x14ac:dyDescent="0.15">
      <c r="A50" s="14"/>
      <c r="B50" s="14"/>
      <c r="C50" s="29"/>
      <c r="D50" s="29"/>
      <c r="E50" s="26"/>
      <c r="F50" s="14"/>
      <c r="G50" s="14"/>
      <c r="H50" s="14"/>
      <c r="I50" s="14"/>
      <c r="J50" s="14"/>
      <c r="K50" s="14"/>
      <c r="L50" s="14"/>
      <c r="M50" s="14"/>
    </row>
    <row r="51" spans="1:255" ht="13" customHeight="1" x14ac:dyDescent="0.15">
      <c r="B51" s="142" t="s">
        <v>31</v>
      </c>
      <c r="C51" s="142"/>
      <c r="E51" s="14"/>
      <c r="F51" s="14"/>
      <c r="G51" s="14"/>
      <c r="H51" s="14" t="s">
        <v>56</v>
      </c>
      <c r="I51" s="78">
        <f>SUM(B37,B38,B35)</f>
        <v>1683</v>
      </c>
      <c r="J51" s="14"/>
      <c r="K51" s="14"/>
      <c r="L51" s="14"/>
      <c r="M51" s="14"/>
    </row>
    <row r="52" spans="1:255" ht="13" customHeight="1" x14ac:dyDescent="0.15">
      <c r="A52" s="48" t="str">
        <f>A47</f>
        <v>Take-off (6,374):</v>
      </c>
      <c r="B52" s="148">
        <f>PRODUCT('4140G DATA'!B23,'4140G DATA'!C23)/1000</f>
        <v>972.81596999999988</v>
      </c>
      <c r="C52" s="148"/>
      <c r="E52" s="14"/>
      <c r="F52" s="14"/>
      <c r="G52" s="14"/>
      <c r="H52" s="14"/>
      <c r="I52" s="14"/>
      <c r="J52" s="14"/>
      <c r="K52" s="14"/>
      <c r="L52" s="14"/>
      <c r="M52" s="14"/>
    </row>
    <row r="53" spans="1:255" s="48" customFormat="1" ht="13" customHeight="1" x14ac:dyDescent="0.15">
      <c r="A53" s="48" t="str">
        <f>A48</f>
        <v>Landing (6,214):</v>
      </c>
      <c r="B53" s="148">
        <f>PRODUCT('4140G DATA'!B24,'4140G DATA'!C24)/1000</f>
        <v>946.89596999999981</v>
      </c>
      <c r="C53" s="148"/>
      <c r="E53" s="49"/>
      <c r="F53" s="49"/>
      <c r="G53" s="49"/>
      <c r="H53" s="49"/>
      <c r="I53" s="49"/>
      <c r="J53" s="49"/>
      <c r="K53" s="49"/>
      <c r="L53" s="49"/>
      <c r="M53" s="49"/>
    </row>
    <row r="54" spans="1:255" ht="13" customHeight="1" x14ac:dyDescent="0.15">
      <c r="E54" s="14"/>
      <c r="F54" s="14"/>
      <c r="G54" s="14"/>
      <c r="H54" s="14"/>
      <c r="I54" s="14"/>
      <c r="J54" s="14"/>
      <c r="K54" s="14"/>
      <c r="L54" s="14"/>
      <c r="M54" s="14"/>
    </row>
    <row r="55" spans="1:255" ht="13" customHeight="1" thickBot="1" x14ac:dyDescent="0.2">
      <c r="A55" s="70" t="s">
        <v>48</v>
      </c>
      <c r="B55" s="50"/>
      <c r="C55" s="50"/>
      <c r="D55" s="50"/>
      <c r="E55" s="14"/>
      <c r="F55" s="14"/>
      <c r="G55" s="14"/>
      <c r="H55" s="14"/>
      <c r="I55" s="14"/>
      <c r="J55" s="14"/>
      <c r="K55" s="14"/>
      <c r="L55" s="14"/>
    </row>
    <row r="56" spans="1:255" ht="13" customHeight="1" x14ac:dyDescent="0.15">
      <c r="A56" s="151">
        <v>1903</v>
      </c>
      <c r="B56" s="152"/>
      <c r="C56" s="152"/>
      <c r="D56" s="153"/>
      <c r="E56" s="149" t="s">
        <v>49</v>
      </c>
      <c r="F56" s="150"/>
      <c r="G56" s="150"/>
      <c r="H56" s="150"/>
      <c r="I56" s="145" t="s">
        <v>26</v>
      </c>
      <c r="J56" s="145"/>
      <c r="K56" s="145" t="s">
        <v>27</v>
      </c>
      <c r="L56" s="145"/>
    </row>
    <row r="57" spans="1:255" ht="13" customHeight="1" x14ac:dyDescent="0.15">
      <c r="A57" s="154"/>
      <c r="B57" s="155"/>
      <c r="C57" s="155"/>
      <c r="D57" s="156"/>
      <c r="E57" s="149"/>
      <c r="F57" s="150"/>
      <c r="G57" s="150"/>
      <c r="H57" s="150"/>
      <c r="I57" s="145"/>
      <c r="J57" s="145"/>
      <c r="K57" s="145"/>
      <c r="L57" s="145"/>
    </row>
    <row r="58" spans="1:255" ht="13" customHeight="1" x14ac:dyDescent="0.15">
      <c r="A58" s="154"/>
      <c r="B58" s="155"/>
      <c r="C58" s="155"/>
      <c r="D58" s="156"/>
      <c r="E58" s="141" t="s">
        <v>29</v>
      </c>
      <c r="F58" s="141"/>
      <c r="G58" s="141"/>
      <c r="H58" s="141"/>
      <c r="I58" s="140"/>
      <c r="J58" s="140"/>
      <c r="K58" s="140"/>
      <c r="L58" s="140"/>
    </row>
    <row r="59" spans="1:255" ht="13" customHeight="1" x14ac:dyDescent="0.15">
      <c r="A59" s="154"/>
      <c r="B59" s="155"/>
      <c r="C59" s="155"/>
      <c r="D59" s="156"/>
      <c r="E59" s="141" t="s">
        <v>30</v>
      </c>
      <c r="F59" s="141"/>
      <c r="G59" s="141"/>
      <c r="H59" s="141"/>
      <c r="I59" s="140"/>
      <c r="J59" s="140"/>
      <c r="K59" s="140"/>
      <c r="L59" s="140"/>
    </row>
    <row r="60" spans="1:255" ht="13" customHeight="1" x14ac:dyDescent="0.15">
      <c r="A60" s="154"/>
      <c r="B60" s="155"/>
      <c r="C60" s="155"/>
      <c r="D60" s="156"/>
      <c r="E60" s="160" t="s">
        <v>28</v>
      </c>
      <c r="F60" s="160"/>
      <c r="G60" s="160"/>
      <c r="H60" s="160"/>
      <c r="I60" s="140"/>
      <c r="J60" s="140"/>
      <c r="K60" s="140"/>
      <c r="L60" s="140"/>
    </row>
    <row r="61" spans="1:255" ht="13" customHeight="1" x14ac:dyDescent="0.15">
      <c r="A61" s="154"/>
      <c r="B61" s="155"/>
      <c r="C61" s="155"/>
      <c r="D61" s="156"/>
      <c r="E61" s="160" t="s">
        <v>54</v>
      </c>
      <c r="F61" s="160"/>
      <c r="G61" s="160"/>
      <c r="H61" s="160"/>
      <c r="I61" s="140"/>
      <c r="J61" s="140"/>
      <c r="K61" s="140"/>
      <c r="L61" s="140"/>
    </row>
    <row r="62" spans="1:255" ht="12.75" customHeight="1" x14ac:dyDescent="0.15">
      <c r="A62" s="154"/>
      <c r="B62" s="155"/>
      <c r="C62" s="155"/>
      <c r="D62" s="156"/>
      <c r="E62" s="102" t="s">
        <v>63</v>
      </c>
      <c r="F62" s="98"/>
      <c r="G62" s="96" t="s">
        <v>64</v>
      </c>
      <c r="H62" s="99"/>
      <c r="I62" s="97" t="s">
        <v>65</v>
      </c>
      <c r="J62" s="100"/>
      <c r="K62" s="101"/>
      <c r="L62" s="14"/>
    </row>
    <row r="63" spans="1:255" ht="13" customHeight="1" x14ac:dyDescent="0.15">
      <c r="A63" s="154"/>
      <c r="B63" s="155"/>
      <c r="C63" s="155"/>
      <c r="D63" s="156"/>
      <c r="E63" s="95" t="s">
        <v>61</v>
      </c>
      <c r="F63" s="98"/>
      <c r="G63" s="96" t="s">
        <v>62</v>
      </c>
      <c r="H63" s="99"/>
      <c r="I63" s="97" t="s">
        <v>52</v>
      </c>
      <c r="J63" s="100"/>
      <c r="K63" s="101"/>
    </row>
    <row r="64" spans="1:255" ht="20.25" customHeight="1" x14ac:dyDescent="0.15">
      <c r="A64" s="154"/>
      <c r="B64" s="155"/>
      <c r="C64" s="155"/>
      <c r="D64" s="156"/>
      <c r="E64" s="77" t="s">
        <v>50</v>
      </c>
      <c r="F64" s="71"/>
      <c r="G64" s="72" t="s">
        <v>51</v>
      </c>
      <c r="H64" s="73"/>
      <c r="I64" s="74" t="s">
        <v>53</v>
      </c>
      <c r="J64" s="75"/>
      <c r="K64" s="76"/>
    </row>
    <row r="65" spans="1:14" ht="13" customHeight="1" x14ac:dyDescent="0.15">
      <c r="A65" s="154"/>
      <c r="B65" s="155"/>
      <c r="C65" s="155"/>
      <c r="D65" s="156"/>
    </row>
    <row r="66" spans="1:14" ht="13" customHeight="1" x14ac:dyDescent="0.15">
      <c r="A66" s="154"/>
      <c r="B66" s="155"/>
      <c r="C66" s="155"/>
      <c r="D66" s="156"/>
    </row>
    <row r="67" spans="1:14" ht="13" customHeight="1" x14ac:dyDescent="0.15">
      <c r="A67" s="154"/>
      <c r="B67" s="155"/>
      <c r="C67" s="155"/>
      <c r="D67" s="156"/>
    </row>
    <row r="68" spans="1:14" ht="13" customHeight="1" x14ac:dyDescent="0.15">
      <c r="A68" s="154"/>
      <c r="B68" s="155"/>
      <c r="C68" s="155"/>
      <c r="D68" s="156"/>
      <c r="N68" s="34"/>
    </row>
    <row r="69" spans="1:14" ht="13" customHeight="1" x14ac:dyDescent="0.15">
      <c r="A69" s="154"/>
      <c r="B69" s="155"/>
      <c r="C69" s="155"/>
      <c r="D69" s="156"/>
      <c r="L69" s="14"/>
    </row>
    <row r="70" spans="1:14" ht="13" customHeight="1" x14ac:dyDescent="0.15">
      <c r="A70" s="154"/>
      <c r="B70" s="155"/>
      <c r="C70" s="155"/>
      <c r="D70" s="156"/>
      <c r="L70" s="34"/>
      <c r="M70" s="34"/>
    </row>
    <row r="71" spans="1:14" ht="19.5" customHeight="1" thickBot="1" x14ac:dyDescent="0.2">
      <c r="A71" s="157"/>
      <c r="B71" s="158"/>
      <c r="C71" s="158"/>
      <c r="D71" s="159"/>
      <c r="L71" s="34"/>
      <c r="M71" s="34"/>
    </row>
    <row r="72" spans="1:14" ht="12.75" customHeight="1" x14ac:dyDescent="0.15">
      <c r="A72" s="33"/>
      <c r="B72" s="33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</row>
    <row r="73" spans="1:14" ht="13" customHeight="1" x14ac:dyDescent="0.15">
      <c r="A73" s="33"/>
      <c r="B73" s="33"/>
      <c r="C73" s="34"/>
      <c r="D73" s="34"/>
      <c r="E73" s="34"/>
      <c r="F73" s="34"/>
      <c r="H73" s="34"/>
      <c r="I73" s="34"/>
      <c r="J73" s="34"/>
      <c r="K73" s="34"/>
      <c r="L73" s="34"/>
      <c r="M73" s="34"/>
    </row>
    <row r="74" spans="1:14" ht="13" customHeight="1" x14ac:dyDescent="0.15">
      <c r="A74" s="33"/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</row>
    <row r="75" spans="1:14" ht="13" customHeight="1" x14ac:dyDescent="0.15">
      <c r="A75" s="14"/>
      <c r="B75" s="14"/>
      <c r="C75" s="29"/>
    </row>
    <row r="76" spans="1:14" ht="13" customHeight="1" x14ac:dyDescent="0.15">
      <c r="A76" s="14"/>
      <c r="B76" s="14"/>
      <c r="C76" s="29"/>
    </row>
    <row r="77" spans="1:14" ht="13" customHeight="1" x14ac:dyDescent="0.15">
      <c r="A77" s="14"/>
      <c r="B77" s="14"/>
      <c r="C77" s="29"/>
    </row>
    <row r="78" spans="1:14" ht="13" customHeight="1" x14ac:dyDescent="0.15">
      <c r="A78" s="14"/>
      <c r="B78" s="14"/>
      <c r="C78" s="29"/>
    </row>
    <row r="79" spans="1:14" ht="13" customHeight="1" x14ac:dyDescent="0.15">
      <c r="A79" s="14"/>
      <c r="B79" s="14"/>
      <c r="C79" s="29"/>
    </row>
    <row r="80" spans="1:14" ht="13" customHeight="1" x14ac:dyDescent="0.15">
      <c r="A80" s="14"/>
      <c r="B80" s="14"/>
      <c r="C80" s="29"/>
    </row>
    <row r="81" spans="1:3" ht="13" customHeight="1" x14ac:dyDescent="0.15">
      <c r="A81" s="14"/>
      <c r="B81" s="14"/>
      <c r="C81" s="29"/>
    </row>
    <row r="82" spans="1:3" ht="13" customHeight="1" x14ac:dyDescent="0.15">
      <c r="A82" s="14"/>
      <c r="B82" s="14"/>
      <c r="C82" s="29"/>
    </row>
    <row r="83" spans="1:3" ht="13" customHeight="1" x14ac:dyDescent="0.15">
      <c r="A83" s="14"/>
      <c r="B83" s="14"/>
      <c r="C83" s="29"/>
    </row>
    <row r="84" spans="1:3" ht="13" customHeight="1" x14ac:dyDescent="0.15">
      <c r="B84" s="14"/>
      <c r="C84" s="29"/>
    </row>
    <row r="85" spans="1:3" ht="13" customHeight="1" x14ac:dyDescent="0.15">
      <c r="B85" s="14"/>
      <c r="C85" s="29"/>
    </row>
    <row r="86" spans="1:3" ht="13" customHeight="1" x14ac:dyDescent="0.15">
      <c r="B86" s="14"/>
      <c r="C86" s="29"/>
    </row>
    <row r="87" spans="1:3" ht="13" customHeight="1" x14ac:dyDescent="0.15">
      <c r="B87" s="14"/>
      <c r="C87" s="29"/>
    </row>
    <row r="88" spans="1:3" ht="13" customHeight="1" x14ac:dyDescent="0.15">
      <c r="B88" s="14"/>
      <c r="C88" s="29"/>
    </row>
    <row r="89" spans="1:3" ht="13" customHeight="1" x14ac:dyDescent="0.15">
      <c r="B89" s="14"/>
      <c r="C89" s="29"/>
    </row>
    <row r="90" spans="1:3" ht="13" customHeight="1" x14ac:dyDescent="0.15">
      <c r="B90" s="14"/>
      <c r="C90" s="29"/>
    </row>
    <row r="91" spans="1:3" ht="13" customHeight="1" x14ac:dyDescent="0.15">
      <c r="B91" s="14"/>
      <c r="C91" s="29"/>
    </row>
  </sheetData>
  <sheetProtection algorithmName="SHA-512" hashValue="p9bAD/a14SrtCyJDBnBi43xNYkBlVSBCgVeERkh/FYm9NATOnLXe5+BwyTgfouXzUJpfaQxuXisv+imJr/CIgg==" saltValue="B+RsQOM9ozTqMSF3JhKRSw==" spinCount="100000" sheet="1" selectLockedCells="1"/>
  <protectedRanges>
    <protectedRange sqref="B34:B35" name="Range10"/>
    <protectedRange sqref="B33" name="Range9"/>
    <protectedRange sqref="B31:B32" name="Range8"/>
    <protectedRange sqref="B15" name="Range5"/>
    <protectedRange sqref="D7" name="Range4"/>
    <protectedRange sqref="B6" name="Range3"/>
    <protectedRange sqref="B4" name="Range2"/>
    <protectedRange sqref="B3" name="Range1"/>
  </protectedRanges>
  <customSheetViews>
    <customSheetView guid="{A9ADE7CD-656A-4962-80CE-2797A9477632}" scale="75" showPageBreaks="1" printArea="1" view="pageBreakPreview" showRuler="0">
      <selection sqref="A1:IV65536"/>
      <pageMargins left="0.55000000000000004" right="0.57999999999999996" top="1" bottom="1" header="0.5" footer="0.5"/>
      <pageSetup scale="78" orientation="portrait" horizontalDpi="4294967293" verticalDpi="0" r:id="rId1"/>
      <headerFooter alignWithMargins="0"/>
    </customSheetView>
  </customSheetViews>
  <mergeCells count="23">
    <mergeCell ref="F13:G13"/>
    <mergeCell ref="C17:D17"/>
    <mergeCell ref="K56:L57"/>
    <mergeCell ref="C2:G4"/>
    <mergeCell ref="D5:F5"/>
    <mergeCell ref="B51:C51"/>
    <mergeCell ref="B52:C52"/>
    <mergeCell ref="B53:C53"/>
    <mergeCell ref="I56:J57"/>
    <mergeCell ref="E56:H57"/>
    <mergeCell ref="A56:D71"/>
    <mergeCell ref="K61:L61"/>
    <mergeCell ref="E60:H60"/>
    <mergeCell ref="E61:H61"/>
    <mergeCell ref="I60:J60"/>
    <mergeCell ref="I61:J61"/>
    <mergeCell ref="K60:L60"/>
    <mergeCell ref="K58:L58"/>
    <mergeCell ref="E58:H58"/>
    <mergeCell ref="I58:J58"/>
    <mergeCell ref="K59:L59"/>
    <mergeCell ref="E59:H59"/>
    <mergeCell ref="I59:J59"/>
  </mergeCells>
  <phoneticPr fontId="3" type="noConversion"/>
  <hyperlinks>
    <hyperlink ref="H1" r:id="rId2" xr:uid="{00000000-0004-0000-0000-000000000000}"/>
    <hyperlink ref="H2" r:id="rId3" xr:uid="{00000000-0004-0000-0000-000001000000}"/>
    <hyperlink ref="H3:O3" r:id="rId4" display="aviationweather.gov" xr:uid="{00000000-0004-0000-0000-000002000000}"/>
    <hyperlink ref="H3:P3" r:id="rId5" display="aviationweather.gov" xr:uid="{00000000-0004-0000-0000-000003000000}"/>
    <hyperlink ref="H4:P4" r:id="rId6" display="Airnav" xr:uid="{00000000-0004-0000-0000-000004000000}"/>
  </hyperlinks>
  <pageMargins left="0.7" right="0.7" top="0.75" bottom="0.75" header="0.3" footer="0.3"/>
  <pageSetup scale="71" orientation="portrait" horizontalDpi="4294967293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workbookViewId="0">
      <selection activeCell="J17" sqref="J17"/>
    </sheetView>
  </sheetViews>
  <sheetFormatPr baseColWidth="10" defaultColWidth="8.83203125" defaultRowHeight="13" x14ac:dyDescent="0.15"/>
  <cols>
    <col min="1" max="1" width="18.5" customWidth="1"/>
    <col min="2" max="2" width="10.83203125" customWidth="1"/>
    <col min="3" max="3" width="11.1640625" customWidth="1"/>
    <col min="4" max="4" width="13.33203125" customWidth="1"/>
  </cols>
  <sheetData>
    <row r="1" spans="1:7" ht="14" thickBot="1" x14ac:dyDescent="0.2">
      <c r="A1" s="30" t="s">
        <v>7</v>
      </c>
      <c r="B1" s="31" t="s">
        <v>3</v>
      </c>
      <c r="C1" s="32" t="s">
        <v>8</v>
      </c>
      <c r="D1" s="23" t="s">
        <v>9</v>
      </c>
    </row>
    <row r="2" spans="1:7" x14ac:dyDescent="0.15">
      <c r="A2" s="106"/>
      <c r="B2" s="107">
        <v>6290</v>
      </c>
      <c r="C2" s="108">
        <v>150.4</v>
      </c>
      <c r="D2" s="109">
        <v>155.6</v>
      </c>
    </row>
    <row r="3" spans="1:7" x14ac:dyDescent="0.15">
      <c r="A3" s="110"/>
      <c r="B3" s="107">
        <v>5590</v>
      </c>
      <c r="C3" s="108">
        <v>147.9</v>
      </c>
      <c r="D3" s="109">
        <v>156</v>
      </c>
    </row>
    <row r="4" spans="1:7" x14ac:dyDescent="0.15">
      <c r="A4" s="106"/>
      <c r="B4" s="107">
        <v>5075</v>
      </c>
      <c r="C4" s="108">
        <v>146.1</v>
      </c>
      <c r="D4" s="109">
        <v>156</v>
      </c>
      <c r="G4">
        <f>(B3-B4)/(B2-B4)*(C2-C4)+C4</f>
        <v>147.92263374485597</v>
      </c>
    </row>
    <row r="5" spans="1:7" x14ac:dyDescent="0.15">
      <c r="A5" s="106"/>
      <c r="B5" s="107">
        <v>4700</v>
      </c>
      <c r="C5" s="108">
        <v>146.1</v>
      </c>
      <c r="D5" s="109">
        <v>155.96</v>
      </c>
    </row>
    <row r="6" spans="1:7" x14ac:dyDescent="0.15">
      <c r="A6" s="110" t="s">
        <v>10</v>
      </c>
      <c r="B6" s="111">
        <f>'Weight &amp; Balance  Graph'!$B$42</f>
        <v>6374</v>
      </c>
      <c r="C6" s="108">
        <f>IF($B$6&lt;$B$4,$C$5,($C$4+($B$6-$B$4)*($C$2-$C$4)/($B$2-$B$4)))</f>
        <v>150.6972839506173</v>
      </c>
      <c r="D6" s="112">
        <f>IF($B$6&lt;$B$3,$D$5,($D$3+($B$6-$B$3)*($D$2-$D$3)/($B$2-$B$3)))</f>
        <v>155.55199999999999</v>
      </c>
    </row>
    <row r="7" spans="1:7" ht="14" thickBot="1" x14ac:dyDescent="0.2">
      <c r="A7" s="113" t="s">
        <v>11</v>
      </c>
      <c r="B7" s="114">
        <f>'Weight &amp; Balance  Graph'!$B$44</f>
        <v>6214</v>
      </c>
      <c r="C7" s="115">
        <f>IF($B$7&lt;$B$4,$C$5,($C$4+($B$7-$B$4)*($C$2-$C$4)/($B$2-$B$4)))</f>
        <v>150.13102880658437</v>
      </c>
      <c r="D7" s="112">
        <f>IF($B$7&lt;$B$3,$D$5,($D$3+($B$7-$B$3)*($D$2-$D$3)/($B$2-$B$3)))</f>
        <v>155.64342857142856</v>
      </c>
    </row>
    <row r="8" spans="1:7" x14ac:dyDescent="0.15">
      <c r="A8" s="107"/>
      <c r="B8" s="111"/>
      <c r="C8" s="108"/>
      <c r="D8" s="108"/>
    </row>
    <row r="9" spans="1:7" x14ac:dyDescent="0.15">
      <c r="A9" s="131" t="s">
        <v>75</v>
      </c>
      <c r="B9">
        <v>5630</v>
      </c>
      <c r="C9">
        <v>156</v>
      </c>
    </row>
    <row r="10" spans="1:7" x14ac:dyDescent="0.15">
      <c r="A10" s="131" t="s">
        <v>74</v>
      </c>
      <c r="B10" s="129">
        <f>B9-((C9-C10)/(C9-C11)*(B9-B11))</f>
        <v>5630</v>
      </c>
      <c r="C10" s="130">
        <f>('Weight &amp; Balance  Graph'!$D$36*1000)/'Weight &amp; Balance  Graph'!$B$36</f>
        <v>151.69876155624036</v>
      </c>
    </row>
    <row r="11" spans="1:7" x14ac:dyDescent="0.15">
      <c r="A11" s="131" t="s">
        <v>75</v>
      </c>
      <c r="B11" s="129">
        <v>5630</v>
      </c>
      <c r="C11" s="130">
        <v>148.69999999999999</v>
      </c>
    </row>
    <row r="12" spans="1:7" x14ac:dyDescent="0.15">
      <c r="A12" s="107"/>
      <c r="B12" s="111"/>
      <c r="C12" s="108"/>
      <c r="D12" s="108"/>
    </row>
    <row r="13" spans="1:7" ht="14" thickBot="1" x14ac:dyDescent="0.2">
      <c r="A13" s="14"/>
      <c r="B13" s="14"/>
      <c r="C13" s="29"/>
      <c r="D13" s="3"/>
    </row>
    <row r="14" spans="1:7" ht="14" thickBot="1" x14ac:dyDescent="0.2">
      <c r="A14" s="116" t="s">
        <v>12</v>
      </c>
      <c r="B14" s="117" t="s">
        <v>3</v>
      </c>
      <c r="C14" s="118" t="s">
        <v>4</v>
      </c>
      <c r="D14" s="3"/>
    </row>
    <row r="15" spans="1:7" x14ac:dyDescent="0.15">
      <c r="A15" s="106"/>
      <c r="B15" s="119">
        <v>4600</v>
      </c>
      <c r="C15" s="120">
        <v>146.09</v>
      </c>
      <c r="D15" s="3"/>
    </row>
    <row r="16" spans="1:7" x14ac:dyDescent="0.15">
      <c r="A16" s="106"/>
      <c r="B16" s="119">
        <v>5075</v>
      </c>
      <c r="C16" s="120">
        <v>146.1</v>
      </c>
      <c r="D16" s="3"/>
    </row>
    <row r="17" spans="1:6" x14ac:dyDescent="0.15">
      <c r="A17" s="106"/>
      <c r="B17" s="119">
        <v>6390</v>
      </c>
      <c r="C17" s="120">
        <v>152.29</v>
      </c>
      <c r="D17" s="3"/>
    </row>
    <row r="18" spans="1:6" x14ac:dyDescent="0.15">
      <c r="A18" s="106"/>
      <c r="B18" s="119">
        <v>6390</v>
      </c>
      <c r="C18" s="120">
        <v>155.22</v>
      </c>
      <c r="D18" s="3"/>
    </row>
    <row r="19" spans="1:6" x14ac:dyDescent="0.15">
      <c r="A19" s="106"/>
      <c r="B19" s="119">
        <v>5590</v>
      </c>
      <c r="C19" s="120">
        <v>155.96</v>
      </c>
      <c r="D19" s="3"/>
    </row>
    <row r="20" spans="1:6" x14ac:dyDescent="0.15">
      <c r="A20" s="106"/>
      <c r="B20" s="119">
        <v>4600</v>
      </c>
      <c r="C20" s="120">
        <v>155.96</v>
      </c>
      <c r="D20" s="3"/>
    </row>
    <row r="21" spans="1:6" x14ac:dyDescent="0.15">
      <c r="A21" s="133" t="s">
        <v>74</v>
      </c>
      <c r="B21" s="134">
        <f>'Weight &amp; Balance  Graph'!$B$36</f>
        <v>5192</v>
      </c>
      <c r="C21" s="121">
        <f>('Weight &amp; Balance  Graph'!$D$36*1000)/'Weight &amp; Balance  Graph'!$B$36</f>
        <v>151.69876155624036</v>
      </c>
    </row>
    <row r="22" spans="1:6" x14ac:dyDescent="0.15">
      <c r="A22" s="133" t="s">
        <v>76</v>
      </c>
      <c r="B22" s="134">
        <f>'Weight &amp; Balance  Graph'!$B$40</f>
        <v>6410</v>
      </c>
      <c r="C22" s="121">
        <f>('Weight &amp; Balance  Graph'!$D$40*1000)/'Weight &amp; Balance  Graph'!$B$40</f>
        <v>152.60779563182524</v>
      </c>
    </row>
    <row r="23" spans="1:6" x14ac:dyDescent="0.15">
      <c r="A23" s="110" t="s">
        <v>16</v>
      </c>
      <c r="B23" s="125">
        <f>B6</f>
        <v>6374</v>
      </c>
      <c r="C23" s="122">
        <f>'Weight &amp; Balance  Graph'!$B$47</f>
        <v>152.62252431753998</v>
      </c>
    </row>
    <row r="24" spans="1:6" ht="14" thickBot="1" x14ac:dyDescent="0.2">
      <c r="A24" s="113" t="s">
        <v>17</v>
      </c>
      <c r="B24" s="123">
        <f>B7</f>
        <v>6214</v>
      </c>
      <c r="C24" s="124">
        <f>'Weight &amp; Balance  Graph'!$B$48</f>
        <v>152.38107016414546</v>
      </c>
    </row>
    <row r="25" spans="1:6" x14ac:dyDescent="0.15">
      <c r="A25" s="161" t="s">
        <v>0</v>
      </c>
      <c r="B25" s="161"/>
      <c r="C25" s="161"/>
      <c r="D25" s="105">
        <v>6430</v>
      </c>
    </row>
    <row r="26" spans="1:6" x14ac:dyDescent="0.15">
      <c r="A26" s="161" t="s">
        <v>1</v>
      </c>
      <c r="B26" s="161"/>
      <c r="C26" s="161"/>
      <c r="D26" s="105">
        <v>6390</v>
      </c>
    </row>
    <row r="27" spans="1:6" x14ac:dyDescent="0.15">
      <c r="A27" s="161" t="s">
        <v>24</v>
      </c>
      <c r="B27" s="161"/>
      <c r="C27" s="161"/>
      <c r="D27" s="105">
        <v>6075</v>
      </c>
      <c r="E27">
        <f>C2-(B2-D27)/(B2-B3)*(C2-C3)</f>
        <v>149.63214285714287</v>
      </c>
      <c r="F27">
        <f>D2-(B2-D27)/(B2-B3)*(D2-D3)</f>
        <v>155.72285714285715</v>
      </c>
    </row>
    <row r="28" spans="1:6" x14ac:dyDescent="0.15">
      <c r="A28" s="162" t="s">
        <v>25</v>
      </c>
      <c r="B28" s="162"/>
      <c r="C28" s="162"/>
      <c r="D28" s="105">
        <v>5630</v>
      </c>
      <c r="E28">
        <f>C2-(B2-D28)/(B2-B3)*(C2-C3)</f>
        <v>148.04285714285714</v>
      </c>
    </row>
  </sheetData>
  <sheetProtection selectLockedCells="1"/>
  <mergeCells count="4">
    <mergeCell ref="A25:C25"/>
    <mergeCell ref="A27:C27"/>
    <mergeCell ref="A26:C26"/>
    <mergeCell ref="A28:C28"/>
  </mergeCells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Weight &amp; Balance  Graph</vt:lpstr>
      <vt:lpstr>4140G DATA</vt:lpstr>
      <vt:lpstr>'Weight &amp; Balance  Graph'!Print_Area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hatcher</cp:lastModifiedBy>
  <cp:lastPrinted>2009-01-20T01:14:12Z</cp:lastPrinted>
  <dcterms:created xsi:type="dcterms:W3CDTF">2006-02-06T17:14:09Z</dcterms:created>
  <dcterms:modified xsi:type="dcterms:W3CDTF">2021-08-25T01:28:55Z</dcterms:modified>
</cp:coreProperties>
</file>