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geoffhatcher/Documents/Aviation/Falcon 50/987F Weight and Balance/"/>
    </mc:Choice>
  </mc:AlternateContent>
  <xr:revisionPtr revIDLastSave="0" documentId="8_{55C4FF8E-3F09-B746-902A-8DFD1EF3FA6F}" xr6:coauthVersionLast="47" xr6:coauthVersionMax="47" xr10:uidLastSave="{00000000-0000-0000-0000-000000000000}"/>
  <bookViews>
    <workbookView xWindow="0" yWindow="760" windowWidth="34560" windowHeight="20260" xr2:uid="{341337DC-5983-6349-ADB7-C2744D10EA08}"/>
  </bookViews>
  <sheets>
    <sheet name="diagram" sheetId="1" r:id="rId1"/>
    <sheet name="Fuel" sheetId="3" state="hidden" r:id="rId2"/>
    <sheet name="computations" sheetId="2" state="hidden" r:id="rId3"/>
    <sheet name="MAC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G45" i="3"/>
  <c r="J24" i="4"/>
  <c r="E32" i="4"/>
  <c r="E25" i="4"/>
  <c r="C25" i="4"/>
  <c r="G25" i="4"/>
  <c r="H26" i="4" s="1"/>
  <c r="B29" i="4" s="1"/>
  <c r="F25" i="4"/>
  <c r="G26" i="4" s="1"/>
  <c r="D25" i="4"/>
  <c r="F26" i="4" s="1"/>
  <c r="H27" i="4"/>
  <c r="G27" i="4"/>
  <c r="F27" i="4"/>
  <c r="B27" i="4"/>
  <c r="C13" i="2"/>
  <c r="E13" i="2" s="1"/>
  <c r="C27" i="2"/>
  <c r="E27" i="2" s="1"/>
  <c r="C25" i="2"/>
  <c r="E25" i="2" s="1"/>
  <c r="C24" i="2"/>
  <c r="E24" i="2" s="1"/>
  <c r="E23" i="2"/>
  <c r="C10" i="2"/>
  <c r="E10" i="2" s="1"/>
  <c r="C9" i="2"/>
  <c r="E9" i="2" s="1"/>
  <c r="C8" i="2"/>
  <c r="E8" i="2"/>
  <c r="C16" i="2"/>
  <c r="E16" i="2" s="1"/>
  <c r="C15" i="2"/>
  <c r="E15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4" i="2"/>
  <c r="E14" i="2" s="1"/>
  <c r="C12" i="2"/>
  <c r="E12" i="2" s="1"/>
  <c r="C11" i="2"/>
  <c r="E11" i="2" s="1"/>
  <c r="C7" i="2"/>
  <c r="E7" i="2" s="1"/>
  <c r="C6" i="2"/>
  <c r="E6" i="2" s="1"/>
  <c r="C5" i="2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2" i="3"/>
  <c r="E26" i="4" l="1"/>
  <c r="B26" i="4"/>
  <c r="C26" i="4" s="1"/>
  <c r="D29" i="4"/>
  <c r="C26" i="2"/>
  <c r="C28" i="2" s="1"/>
  <c r="E5" i="2"/>
  <c r="E26" i="2" s="1"/>
  <c r="E28" i="2" s="1"/>
  <c r="G29" i="2" l="1"/>
  <c r="F30" i="1" s="1"/>
  <c r="F29" i="2"/>
  <c r="F28" i="1" s="1"/>
  <c r="F26" i="1"/>
  <c r="C31" i="2"/>
  <c r="F24" i="1" s="1"/>
  <c r="D26" i="2"/>
  <c r="F21" i="1"/>
  <c r="F22" i="1"/>
  <c r="D28" i="2" l="1"/>
  <c r="D29" i="2" s="1"/>
  <c r="F29" i="1" s="1"/>
  <c r="D31" i="4" l="1"/>
  <c r="E31" i="4" s="1"/>
  <c r="F31" i="4" s="1"/>
</calcChain>
</file>

<file path=xl/sharedStrings.xml><?xml version="1.0" encoding="utf-8"?>
<sst xmlns="http://schemas.openxmlformats.org/spreadsheetml/2006/main" count="79" uniqueCount="70">
  <si>
    <t>BEW</t>
  </si>
  <si>
    <t>pilot</t>
  </si>
  <si>
    <t>copilot</t>
  </si>
  <si>
    <t>jump</t>
  </si>
  <si>
    <t>coat rack</t>
  </si>
  <si>
    <t>coat room</t>
  </si>
  <si>
    <t>galley</t>
  </si>
  <si>
    <t>pax 1</t>
  </si>
  <si>
    <t>pax2</t>
  </si>
  <si>
    <t>pax3</t>
  </si>
  <si>
    <t>pax4</t>
  </si>
  <si>
    <t>rh compartment</t>
  </si>
  <si>
    <t>pax5</t>
  </si>
  <si>
    <t>pax6</t>
  </si>
  <si>
    <t>pax7</t>
  </si>
  <si>
    <t>pax8</t>
  </si>
  <si>
    <t>pax9</t>
  </si>
  <si>
    <t>lav water</t>
  </si>
  <si>
    <t>bag 1</t>
  </si>
  <si>
    <t>bag 2</t>
  </si>
  <si>
    <t>bag3</t>
  </si>
  <si>
    <t>weight</t>
  </si>
  <si>
    <t>mom</t>
  </si>
  <si>
    <t>%mac</t>
  </si>
  <si>
    <t>lh comp</t>
  </si>
  <si>
    <t>station</t>
  </si>
  <si>
    <t>arm</t>
  </si>
  <si>
    <t>rack</t>
  </si>
  <si>
    <t>fuel</t>
  </si>
  <si>
    <t>Take off weight</t>
  </si>
  <si>
    <t>FUEL</t>
  </si>
  <si>
    <t>TOW</t>
  </si>
  <si>
    <t>fuel burn</t>
  </si>
  <si>
    <t>landing weight</t>
  </si>
  <si>
    <t>Jump</t>
  </si>
  <si>
    <t>ZFW</t>
  </si>
  <si>
    <t>N987F</t>
  </si>
  <si>
    <t>CG</t>
  </si>
  <si>
    <t>mom/1000</t>
  </si>
  <si>
    <t> Datum is 25% of Mean Aerodynamic Chord (MAC), which is marked on</t>
  </si>
  <si>
    <t>aircraft and coincides with Fuselage Station (FS) 382.83 inches</t>
  </si>
  <si>
    <t>(382.83 cm); FS + 0 is the forward end of the aircraft nose cone.</t>
  </si>
  <si>
    <t> Mean Aerodynamic Chord (MAC):</t>
  </si>
  <si>
    <t>–– Length 111.77 inches (283.8 cm).</t>
  </si>
  <si>
    <t>–– Leading Edge of MAC (Zero Percent) at FS 354.89 Inches</t>
  </si>
  <si>
    <t>(901.4 cm)</t>
  </si>
  <si>
    <t>datum</t>
  </si>
  <si>
    <t>w&amp;B chart</t>
  </si>
  <si>
    <t>%</t>
  </si>
  <si>
    <t>inches</t>
  </si>
  <si>
    <t>nose of plane</t>
  </si>
  <si>
    <t>%MAC</t>
  </si>
  <si>
    <t>Falcon 50 N987F</t>
  </si>
  <si>
    <t>FRW</t>
  </si>
  <si>
    <t>Baggage</t>
  </si>
  <si>
    <t>Takeoff Weight</t>
  </si>
  <si>
    <t>Takeoff CG</t>
  </si>
  <si>
    <t>Forward Cg Limit</t>
  </si>
  <si>
    <t>Max TOW</t>
  </si>
  <si>
    <t>Takeoff WT</t>
  </si>
  <si>
    <t>Aft Cg Limit</t>
  </si>
  <si>
    <t>TO MAC</t>
  </si>
  <si>
    <t>Fuel Burn</t>
  </si>
  <si>
    <t>Landing weight</t>
  </si>
  <si>
    <t>Right Cabinet</t>
  </si>
  <si>
    <t>Left Cabinet</t>
  </si>
  <si>
    <t>For lmt</t>
  </si>
  <si>
    <t>Aft lmt</t>
  </si>
  <si>
    <t>(CG+27.9425)/111.77</t>
  </si>
  <si>
    <t>%MAC=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</si>
</sst>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"/>
  </numFmts>
  <fonts count="8" x14ac:knownFonts="1"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4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4" xfId="0" applyFill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9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6" xfId="0" applyBorder="1"/>
    <xf numFmtId="10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0" fontId="6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left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9" fontId="6" fillId="0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9" fontId="6" fillId="3" borderId="0" xfId="0" applyNumberFormat="1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74446</xdr:rowOff>
    </xdr:from>
    <xdr:to>
      <xdr:col>10</xdr:col>
      <xdr:colOff>439707</xdr:colOff>
      <xdr:row>64</xdr:row>
      <xdr:rowOff>66344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9EE16C-FB00-8B83-2376-A5D17798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690160"/>
          <a:ext cx="7774296" cy="8700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DB48-9FBC-2441-9576-A064EB52E641}">
  <dimension ref="A1:P64"/>
  <sheetViews>
    <sheetView tabSelected="1" zoomScale="86" zoomScaleNormal="56" workbookViewId="0">
      <selection activeCell="D17" sqref="D17"/>
    </sheetView>
  </sheetViews>
  <sheetFormatPr baseColWidth="10" defaultColWidth="10.83203125" defaultRowHeight="22" x14ac:dyDescent="0.2"/>
  <cols>
    <col min="3" max="3" width="6" customWidth="1"/>
    <col min="4" max="4" width="10.33203125" style="5" customWidth="1"/>
    <col min="5" max="5" width="4.83203125" customWidth="1"/>
    <col min="6" max="6" width="11" style="5" customWidth="1"/>
    <col min="7" max="7" width="9.83203125" customWidth="1"/>
    <col min="8" max="8" width="10.33203125" customWidth="1"/>
    <col min="14" max="14" width="10.83203125" style="25"/>
  </cols>
  <sheetData>
    <row r="1" spans="1:8" ht="51" customHeight="1" thickBot="1" x14ac:dyDescent="0.25">
      <c r="B1" s="26" t="s">
        <v>52</v>
      </c>
    </row>
    <row r="2" spans="1:8" ht="33" customHeight="1" thickBot="1" x14ac:dyDescent="0.25">
      <c r="D2" s="7">
        <v>250</v>
      </c>
      <c r="F2" s="7">
        <v>235</v>
      </c>
    </row>
    <row r="3" spans="1:8" ht="21" customHeight="1" thickBot="1" x14ac:dyDescent="0.25">
      <c r="F3" s="7">
        <v>20</v>
      </c>
      <c r="G3" s="38" t="s">
        <v>27</v>
      </c>
    </row>
    <row r="4" spans="1:8" ht="21" customHeight="1" thickBot="1" x14ac:dyDescent="0.25">
      <c r="F4" s="7">
        <v>100</v>
      </c>
      <c r="G4" s="38" t="s">
        <v>5</v>
      </c>
    </row>
    <row r="5" spans="1:8" ht="21" customHeight="1" thickBot="1" x14ac:dyDescent="0.25">
      <c r="F5" s="23">
        <v>20</v>
      </c>
      <c r="G5" s="38" t="s">
        <v>6</v>
      </c>
    </row>
    <row r="6" spans="1:8" ht="27" customHeight="1" thickBot="1" x14ac:dyDescent="0.25">
      <c r="F6" s="7">
        <v>0</v>
      </c>
      <c r="G6" s="37" t="s">
        <v>34</v>
      </c>
    </row>
    <row r="7" spans="1:8" ht="23" thickBot="1" x14ac:dyDescent="0.25"/>
    <row r="8" spans="1:8" ht="33" customHeight="1" thickBot="1" x14ac:dyDescent="0.25">
      <c r="C8" s="4">
        <v>1</v>
      </c>
      <c r="D8" s="7"/>
      <c r="F8" s="7"/>
      <c r="G8" s="4">
        <v>2</v>
      </c>
    </row>
    <row r="9" spans="1:8" ht="23" thickBot="1" x14ac:dyDescent="0.25"/>
    <row r="10" spans="1:8" ht="29" customHeight="1" thickBot="1" x14ac:dyDescent="0.25">
      <c r="C10" s="4">
        <v>3</v>
      </c>
      <c r="D10" s="7">
        <v>165</v>
      </c>
      <c r="F10" s="7">
        <v>165</v>
      </c>
      <c r="G10" s="4">
        <v>4</v>
      </c>
    </row>
    <row r="11" spans="1:8" ht="28" customHeight="1" thickBot="1" x14ac:dyDescent="0.25">
      <c r="B11" s="35" t="s">
        <v>65</v>
      </c>
      <c r="C11" s="36"/>
      <c r="D11" s="7">
        <v>30</v>
      </c>
      <c r="F11" s="7">
        <v>30</v>
      </c>
      <c r="G11" s="34" t="s">
        <v>64</v>
      </c>
      <c r="H11" s="35"/>
    </row>
    <row r="12" spans="1:8" ht="23" thickBot="1" x14ac:dyDescent="0.25"/>
    <row r="13" spans="1:8" ht="31" customHeight="1" thickBot="1" x14ac:dyDescent="0.25">
      <c r="C13" s="4">
        <v>5</v>
      </c>
      <c r="D13" s="7"/>
      <c r="F13" s="7"/>
      <c r="G13" s="4">
        <v>6</v>
      </c>
    </row>
    <row r="14" spans="1:8" ht="34" customHeight="1" thickBot="1" x14ac:dyDescent="0.25">
      <c r="B14" s="22"/>
      <c r="F14" s="7"/>
      <c r="G14" s="4">
        <v>7</v>
      </c>
    </row>
    <row r="15" spans="1:8" ht="35" customHeight="1" thickBot="1" x14ac:dyDescent="0.25">
      <c r="C15" s="4">
        <v>9</v>
      </c>
      <c r="D15" s="7"/>
      <c r="F15" s="7"/>
      <c r="G15" s="4">
        <v>8</v>
      </c>
    </row>
    <row r="16" spans="1:8" ht="26" customHeight="1" thickBot="1" x14ac:dyDescent="0.25">
      <c r="A16" s="22" t="s">
        <v>30</v>
      </c>
      <c r="B16" s="8">
        <v>7000</v>
      </c>
      <c r="D16" s="28" t="s">
        <v>17</v>
      </c>
      <c r="E16" s="8">
        <v>40</v>
      </c>
    </row>
    <row r="17" spans="4:9" ht="28" customHeight="1" thickBot="1" x14ac:dyDescent="0.25">
      <c r="D17" s="9">
        <v>100</v>
      </c>
      <c r="E17" s="6"/>
      <c r="F17" s="29" t="s">
        <v>54</v>
      </c>
    </row>
    <row r="18" spans="4:9" ht="29" customHeight="1" thickBot="1" x14ac:dyDescent="0.25">
      <c r="D18" s="9">
        <v>25</v>
      </c>
      <c r="E18" s="6"/>
      <c r="F18" s="29" t="s">
        <v>54</v>
      </c>
    </row>
    <row r="19" spans="4:9" ht="29" customHeight="1" thickBot="1" x14ac:dyDescent="0.25">
      <c r="D19" s="9">
        <v>25</v>
      </c>
      <c r="E19" s="6"/>
      <c r="F19" s="29" t="s">
        <v>54</v>
      </c>
    </row>
    <row r="20" spans="4:9" ht="24" x14ac:dyDescent="0.3">
      <c r="G20" s="14"/>
      <c r="H20" s="14"/>
    </row>
    <row r="21" spans="4:9" ht="27" x14ac:dyDescent="0.35">
      <c r="E21" s="30" t="s">
        <v>35</v>
      </c>
      <c r="F21" s="18">
        <f>computations!$C$26</f>
        <v>23145</v>
      </c>
      <c r="G21" s="19"/>
      <c r="H21" s="19"/>
    </row>
    <row r="22" spans="4:9" ht="27" x14ac:dyDescent="0.35">
      <c r="E22" s="30" t="s">
        <v>55</v>
      </c>
      <c r="F22" s="18">
        <f>computations!C28</f>
        <v>30145</v>
      </c>
      <c r="G22" s="20"/>
      <c r="H22" s="31"/>
      <c r="I22" s="17"/>
    </row>
    <row r="23" spans="4:9" ht="27" x14ac:dyDescent="0.35">
      <c r="E23" s="30" t="s">
        <v>32</v>
      </c>
      <c r="F23" s="21">
        <v>3000</v>
      </c>
      <c r="G23" s="19"/>
      <c r="H23" s="19"/>
    </row>
    <row r="24" spans="4:9" ht="27" x14ac:dyDescent="0.35">
      <c r="E24" s="30" t="s">
        <v>33</v>
      </c>
      <c r="F24" s="18">
        <f>computations!C31</f>
        <v>27145</v>
      </c>
      <c r="G24" s="19"/>
      <c r="H24" s="19"/>
    </row>
    <row r="25" spans="4:9" ht="27" x14ac:dyDescent="0.35">
      <c r="E25" s="30"/>
      <c r="F25" s="18"/>
      <c r="G25" s="19"/>
      <c r="H25" s="19"/>
    </row>
    <row r="26" spans="4:9" ht="27" x14ac:dyDescent="0.35">
      <c r="E26" s="30" t="s">
        <v>59</v>
      </c>
      <c r="F26" s="32">
        <f>computations!C28</f>
        <v>30145</v>
      </c>
      <c r="G26" s="19"/>
      <c r="H26" s="19"/>
    </row>
    <row r="27" spans="4:9" ht="27" x14ac:dyDescent="0.35">
      <c r="E27" s="30" t="s">
        <v>58</v>
      </c>
      <c r="F27" s="32">
        <v>40780</v>
      </c>
      <c r="G27" s="19"/>
      <c r="H27" s="19"/>
    </row>
    <row r="28" spans="4:9" ht="27" x14ac:dyDescent="0.35">
      <c r="E28" s="30" t="s">
        <v>57</v>
      </c>
      <c r="F28" s="33">
        <f>computations!F29</f>
        <v>0.14000000000000001</v>
      </c>
      <c r="G28" s="19"/>
      <c r="H28" s="19"/>
    </row>
    <row r="29" spans="4:9" ht="27" x14ac:dyDescent="0.35">
      <c r="E29" s="30" t="s">
        <v>56</v>
      </c>
      <c r="F29" s="33">
        <f>computations!D29</f>
        <v>0.21589396713103179</v>
      </c>
      <c r="G29" s="19"/>
      <c r="H29" s="19"/>
    </row>
    <row r="30" spans="4:9" ht="27" x14ac:dyDescent="0.35">
      <c r="E30" s="30" t="s">
        <v>60</v>
      </c>
      <c r="F30" s="33">
        <f>computations!G29</f>
        <v>0.32</v>
      </c>
      <c r="G30" s="19"/>
      <c r="H30" s="19"/>
    </row>
    <row r="31" spans="4:9" ht="27" x14ac:dyDescent="0.35">
      <c r="E31" s="30"/>
      <c r="F31" s="18"/>
      <c r="G31" s="19"/>
      <c r="H31" s="19"/>
    </row>
    <row r="32" spans="4:9" ht="27" x14ac:dyDescent="0.35">
      <c r="D32" s="18"/>
      <c r="E32" s="19"/>
      <c r="F32" s="18"/>
      <c r="G32" s="19"/>
      <c r="H32" s="19"/>
    </row>
    <row r="48" spans="16:16" x14ac:dyDescent="0.2">
      <c r="P48" s="24"/>
    </row>
    <row r="64" spans="7:7" x14ac:dyDescent="0.2">
      <c r="G64" s="5"/>
    </row>
  </sheetData>
  <sheetProtection algorithmName="SHA-512" hashValue="n9zrxOd9oxTIRpAvRWXfbU38mzW3Fwvkb3iyIOM3CBpB4c2DqFzLs7AMLME2yXO3FMJZfXSUE/YDgW6PHPsHkA==" saltValue="SqmwbTC+fKvnecvybagMxQ==" spinCount="100000" sheet="1" objects="1" scenarios="1" selectLockedCells="1"/>
  <mergeCells count="2">
    <mergeCell ref="B11:C11"/>
    <mergeCell ref="G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27AB-1DAB-304A-A7D8-D40610E96CC7}">
  <dimension ref="A1:G46"/>
  <sheetViews>
    <sheetView topLeftCell="A12" zoomScale="134" workbookViewId="0">
      <selection activeCell="J18" sqref="J18"/>
    </sheetView>
  </sheetViews>
  <sheetFormatPr baseColWidth="10" defaultColWidth="10.83203125" defaultRowHeight="16" x14ac:dyDescent="0.2"/>
  <cols>
    <col min="1" max="1" width="6.33203125" customWidth="1"/>
    <col min="2" max="2" width="4.5" customWidth="1"/>
    <col min="3" max="3" width="5.6640625" customWidth="1"/>
    <col min="4" max="4" width="11.33203125" customWidth="1"/>
    <col min="5" max="5" width="8.1640625" customWidth="1"/>
    <col min="6" max="6" width="6.1640625" style="25" customWidth="1"/>
  </cols>
  <sheetData>
    <row r="1" spans="1:7" s="2" customFormat="1" x14ac:dyDescent="0.2">
      <c r="A1" s="2" t="s">
        <v>21</v>
      </c>
      <c r="B1" s="2" t="s">
        <v>22</v>
      </c>
      <c r="C1" s="2" t="s">
        <v>26</v>
      </c>
      <c r="E1" s="2" t="s">
        <v>31</v>
      </c>
      <c r="F1" s="27" t="s">
        <v>53</v>
      </c>
    </row>
    <row r="2" spans="1:7" x14ac:dyDescent="0.2">
      <c r="A2">
        <v>500</v>
      </c>
      <c r="B2" s="3">
        <v>24</v>
      </c>
      <c r="C2" s="1">
        <f>B2*1000/A2</f>
        <v>48</v>
      </c>
      <c r="D2" s="1"/>
      <c r="E2">
        <v>19000</v>
      </c>
      <c r="F2" s="25">
        <v>14</v>
      </c>
      <c r="G2">
        <v>32</v>
      </c>
    </row>
    <row r="3" spans="1:7" x14ac:dyDescent="0.2">
      <c r="A3">
        <v>1000</v>
      </c>
      <c r="B3" s="3">
        <v>49</v>
      </c>
      <c r="C3" s="1">
        <f t="shared" ref="C3:C32" si="0">B3*1000/A3</f>
        <v>49</v>
      </c>
      <c r="D3" s="1"/>
      <c r="E3">
        <v>19500</v>
      </c>
      <c r="F3" s="25">
        <v>14</v>
      </c>
      <c r="G3">
        <v>32</v>
      </c>
    </row>
    <row r="4" spans="1:7" x14ac:dyDescent="0.2">
      <c r="A4">
        <v>1500</v>
      </c>
      <c r="B4" s="3">
        <v>77</v>
      </c>
      <c r="C4" s="1">
        <f t="shared" si="0"/>
        <v>51.333333333333336</v>
      </c>
      <c r="D4" s="1"/>
      <c r="E4">
        <v>20000</v>
      </c>
      <c r="F4" s="25">
        <v>14</v>
      </c>
      <c r="G4">
        <v>32</v>
      </c>
    </row>
    <row r="5" spans="1:7" x14ac:dyDescent="0.2">
      <c r="A5">
        <v>2000</v>
      </c>
      <c r="B5" s="3">
        <v>87</v>
      </c>
      <c r="C5" s="1">
        <f t="shared" si="0"/>
        <v>43.5</v>
      </c>
      <c r="D5" s="1"/>
      <c r="E5">
        <v>20500</v>
      </c>
      <c r="F5" s="25">
        <v>14</v>
      </c>
      <c r="G5">
        <v>32</v>
      </c>
    </row>
    <row r="6" spans="1:7" x14ac:dyDescent="0.2">
      <c r="A6">
        <v>2500</v>
      </c>
      <c r="B6" s="3">
        <v>73</v>
      </c>
      <c r="C6" s="1">
        <f t="shared" si="0"/>
        <v>29.2</v>
      </c>
      <c r="D6" s="1"/>
      <c r="E6">
        <v>21000</v>
      </c>
      <c r="F6" s="25">
        <v>14</v>
      </c>
      <c r="G6">
        <v>32</v>
      </c>
    </row>
    <row r="7" spans="1:7" x14ac:dyDescent="0.2">
      <c r="A7">
        <v>3000</v>
      </c>
      <c r="B7" s="3">
        <v>62</v>
      </c>
      <c r="C7" s="1">
        <f t="shared" si="0"/>
        <v>20.666666666666668</v>
      </c>
      <c r="D7" s="1"/>
      <c r="E7">
        <v>21500</v>
      </c>
      <c r="F7" s="25">
        <v>14</v>
      </c>
      <c r="G7">
        <v>32</v>
      </c>
    </row>
    <row r="8" spans="1:7" x14ac:dyDescent="0.2">
      <c r="A8">
        <v>3500</v>
      </c>
      <c r="B8" s="3">
        <v>53</v>
      </c>
      <c r="C8" s="1">
        <f t="shared" si="0"/>
        <v>15.142857142857142</v>
      </c>
      <c r="D8" s="1"/>
      <c r="E8">
        <v>22000</v>
      </c>
      <c r="F8" s="25">
        <v>14</v>
      </c>
      <c r="G8">
        <v>32</v>
      </c>
    </row>
    <row r="9" spans="1:7" x14ac:dyDescent="0.2">
      <c r="A9">
        <v>4000</v>
      </c>
      <c r="B9" s="3">
        <v>46</v>
      </c>
      <c r="C9" s="1">
        <f t="shared" si="0"/>
        <v>11.5</v>
      </c>
      <c r="D9" s="1"/>
      <c r="E9">
        <v>22500</v>
      </c>
      <c r="F9" s="25">
        <v>14</v>
      </c>
      <c r="G9">
        <v>32</v>
      </c>
    </row>
    <row r="10" spans="1:7" x14ac:dyDescent="0.2">
      <c r="A10">
        <v>4500</v>
      </c>
      <c r="B10" s="3">
        <v>41</v>
      </c>
      <c r="C10" s="1">
        <f t="shared" si="0"/>
        <v>9.1111111111111107</v>
      </c>
      <c r="D10" s="1"/>
      <c r="E10">
        <v>23000</v>
      </c>
      <c r="F10" s="25">
        <v>14</v>
      </c>
      <c r="G10">
        <v>32</v>
      </c>
    </row>
    <row r="11" spans="1:7" x14ac:dyDescent="0.2">
      <c r="A11">
        <v>5000</v>
      </c>
      <c r="B11" s="3">
        <v>29</v>
      </c>
      <c r="C11" s="1">
        <f t="shared" si="0"/>
        <v>5.8</v>
      </c>
      <c r="D11" s="1"/>
      <c r="E11">
        <v>23500</v>
      </c>
      <c r="F11" s="25">
        <v>14</v>
      </c>
      <c r="G11">
        <v>32</v>
      </c>
    </row>
    <row r="12" spans="1:7" x14ac:dyDescent="0.2">
      <c r="A12">
        <v>5500</v>
      </c>
      <c r="B12" s="3">
        <v>12</v>
      </c>
      <c r="C12" s="1">
        <f t="shared" si="0"/>
        <v>2.1818181818181817</v>
      </c>
      <c r="D12" s="1"/>
      <c r="E12">
        <v>24000</v>
      </c>
      <c r="F12" s="25">
        <v>14</v>
      </c>
      <c r="G12">
        <v>32</v>
      </c>
    </row>
    <row r="13" spans="1:7" x14ac:dyDescent="0.2">
      <c r="A13">
        <v>6000</v>
      </c>
      <c r="B13" s="3">
        <v>-52</v>
      </c>
      <c r="C13" s="1">
        <f t="shared" si="0"/>
        <v>-8.6666666666666661</v>
      </c>
      <c r="D13" s="1"/>
      <c r="E13">
        <v>24500</v>
      </c>
      <c r="F13" s="25">
        <v>14</v>
      </c>
      <c r="G13">
        <v>32</v>
      </c>
    </row>
    <row r="14" spans="1:7" x14ac:dyDescent="0.2">
      <c r="A14">
        <v>6500</v>
      </c>
      <c r="B14" s="3">
        <v>-22</v>
      </c>
      <c r="C14" s="1">
        <f t="shared" si="0"/>
        <v>-3.3846153846153846</v>
      </c>
      <c r="D14" s="1"/>
      <c r="E14">
        <v>25000</v>
      </c>
      <c r="F14" s="25">
        <v>14</v>
      </c>
      <c r="G14">
        <v>32</v>
      </c>
    </row>
    <row r="15" spans="1:7" x14ac:dyDescent="0.2">
      <c r="A15">
        <v>7000</v>
      </c>
      <c r="B15" s="3">
        <v>-40</v>
      </c>
      <c r="C15" s="1">
        <f t="shared" si="0"/>
        <v>-5.7142857142857144</v>
      </c>
      <c r="D15" s="1"/>
      <c r="E15">
        <v>25500</v>
      </c>
      <c r="F15" s="25">
        <v>14</v>
      </c>
      <c r="G15">
        <v>32</v>
      </c>
    </row>
    <row r="16" spans="1:7" x14ac:dyDescent="0.2">
      <c r="A16">
        <v>7500</v>
      </c>
      <c r="B16" s="3">
        <v>-58</v>
      </c>
      <c r="C16" s="1">
        <f t="shared" si="0"/>
        <v>-7.7333333333333334</v>
      </c>
      <c r="D16" s="1"/>
      <c r="E16">
        <v>26000</v>
      </c>
      <c r="F16" s="25">
        <v>14</v>
      </c>
      <c r="G16">
        <v>32</v>
      </c>
    </row>
    <row r="17" spans="1:7" x14ac:dyDescent="0.2">
      <c r="A17">
        <v>8000</v>
      </c>
      <c r="B17" s="3">
        <v>-56</v>
      </c>
      <c r="C17" s="1">
        <f t="shared" si="0"/>
        <v>-7</v>
      </c>
      <c r="D17" s="1"/>
      <c r="E17">
        <v>26500</v>
      </c>
      <c r="F17" s="25">
        <v>14</v>
      </c>
      <c r="G17">
        <v>32</v>
      </c>
    </row>
    <row r="18" spans="1:7" x14ac:dyDescent="0.2">
      <c r="A18">
        <v>8500</v>
      </c>
      <c r="B18" s="3">
        <v>-55</v>
      </c>
      <c r="C18" s="1">
        <f t="shared" si="0"/>
        <v>-6.4705882352941178</v>
      </c>
      <c r="D18" s="1"/>
      <c r="E18">
        <v>27000</v>
      </c>
      <c r="F18" s="25">
        <v>14</v>
      </c>
      <c r="G18">
        <v>32</v>
      </c>
    </row>
    <row r="19" spans="1:7" x14ac:dyDescent="0.2">
      <c r="A19">
        <v>9000</v>
      </c>
      <c r="B19" s="3">
        <v>-51</v>
      </c>
      <c r="C19" s="1">
        <f t="shared" si="0"/>
        <v>-5.666666666666667</v>
      </c>
      <c r="D19" s="1"/>
      <c r="E19">
        <v>27500</v>
      </c>
      <c r="F19" s="25">
        <v>14</v>
      </c>
      <c r="G19">
        <v>32</v>
      </c>
    </row>
    <row r="20" spans="1:7" x14ac:dyDescent="0.2">
      <c r="A20">
        <v>9500</v>
      </c>
      <c r="B20" s="3">
        <v>-49</v>
      </c>
      <c r="C20" s="1">
        <f t="shared" si="0"/>
        <v>-5.1578947368421053</v>
      </c>
      <c r="D20" s="1"/>
      <c r="E20">
        <v>28000</v>
      </c>
      <c r="F20" s="25">
        <v>14</v>
      </c>
      <c r="G20">
        <v>32</v>
      </c>
    </row>
    <row r="21" spans="1:7" x14ac:dyDescent="0.2">
      <c r="A21">
        <v>10000</v>
      </c>
      <c r="B21" s="3">
        <v>-44</v>
      </c>
      <c r="C21" s="1">
        <f t="shared" si="0"/>
        <v>-4.4000000000000004</v>
      </c>
      <c r="D21" s="1"/>
      <c r="E21">
        <v>28500</v>
      </c>
      <c r="F21" s="25">
        <v>14</v>
      </c>
      <c r="G21">
        <v>32</v>
      </c>
    </row>
    <row r="22" spans="1:7" x14ac:dyDescent="0.2">
      <c r="A22">
        <v>10500</v>
      </c>
      <c r="B22" s="3">
        <v>-23</v>
      </c>
      <c r="C22" s="1">
        <f t="shared" si="0"/>
        <v>-2.1904761904761907</v>
      </c>
      <c r="D22" s="1"/>
      <c r="E22">
        <v>29000</v>
      </c>
      <c r="F22" s="25">
        <v>14</v>
      </c>
      <c r="G22">
        <v>32</v>
      </c>
    </row>
    <row r="23" spans="1:7" x14ac:dyDescent="0.2">
      <c r="A23">
        <v>11000</v>
      </c>
      <c r="B23" s="3">
        <v>-3</v>
      </c>
      <c r="C23" s="1">
        <f t="shared" si="0"/>
        <v>-0.27272727272727271</v>
      </c>
      <c r="D23" s="1"/>
      <c r="E23">
        <v>29500</v>
      </c>
      <c r="F23" s="25">
        <v>14</v>
      </c>
      <c r="G23">
        <v>32</v>
      </c>
    </row>
    <row r="24" spans="1:7" x14ac:dyDescent="0.2">
      <c r="A24">
        <v>11500</v>
      </c>
      <c r="B24" s="3">
        <v>12</v>
      </c>
      <c r="C24" s="1">
        <f t="shared" si="0"/>
        <v>1.0434782608695652</v>
      </c>
      <c r="D24" s="1"/>
      <c r="E24">
        <v>30000</v>
      </c>
      <c r="F24" s="25">
        <v>14</v>
      </c>
      <c r="G24">
        <v>32</v>
      </c>
    </row>
    <row r="25" spans="1:7" x14ac:dyDescent="0.2">
      <c r="A25">
        <v>12000</v>
      </c>
      <c r="B25" s="3">
        <v>30</v>
      </c>
      <c r="C25" s="1">
        <f t="shared" si="0"/>
        <v>2.5</v>
      </c>
      <c r="D25" s="1"/>
      <c r="E25">
        <v>30500</v>
      </c>
      <c r="F25" s="25">
        <v>14</v>
      </c>
      <c r="G25">
        <v>32</v>
      </c>
    </row>
    <row r="26" spans="1:7" x14ac:dyDescent="0.2">
      <c r="A26">
        <v>12500</v>
      </c>
      <c r="B26" s="3">
        <v>42</v>
      </c>
      <c r="C26" s="1">
        <f t="shared" si="0"/>
        <v>3.36</v>
      </c>
      <c r="D26" s="1"/>
      <c r="E26">
        <v>31000</v>
      </c>
      <c r="F26" s="25">
        <v>14.5</v>
      </c>
      <c r="G26">
        <v>32</v>
      </c>
    </row>
    <row r="27" spans="1:7" x14ac:dyDescent="0.2">
      <c r="A27">
        <v>13000</v>
      </c>
      <c r="B27" s="3">
        <v>48</v>
      </c>
      <c r="C27" s="1">
        <f t="shared" si="0"/>
        <v>3.6923076923076925</v>
      </c>
      <c r="D27" s="1"/>
      <c r="E27">
        <v>31500</v>
      </c>
      <c r="F27" s="25">
        <v>14.904762</v>
      </c>
      <c r="G27">
        <v>32</v>
      </c>
    </row>
    <row r="28" spans="1:7" x14ac:dyDescent="0.2">
      <c r="A28">
        <v>13500</v>
      </c>
      <c r="B28" s="3">
        <v>70</v>
      </c>
      <c r="C28" s="1">
        <f t="shared" si="0"/>
        <v>5.1851851851851851</v>
      </c>
      <c r="D28" s="1"/>
      <c r="E28">
        <v>32000</v>
      </c>
      <c r="F28" s="25">
        <v>15.357143000000001</v>
      </c>
      <c r="G28">
        <v>32</v>
      </c>
    </row>
    <row r="29" spans="1:7" x14ac:dyDescent="0.2">
      <c r="A29">
        <v>14000</v>
      </c>
      <c r="B29" s="3">
        <v>94</v>
      </c>
      <c r="C29" s="1">
        <f t="shared" si="0"/>
        <v>6.7142857142857144</v>
      </c>
      <c r="D29" s="1"/>
      <c r="E29">
        <v>32500</v>
      </c>
      <c r="F29" s="25">
        <v>15.809524</v>
      </c>
      <c r="G29">
        <v>32</v>
      </c>
    </row>
    <row r="30" spans="1:7" x14ac:dyDescent="0.2">
      <c r="A30">
        <v>14500</v>
      </c>
      <c r="B30" s="3">
        <v>118</v>
      </c>
      <c r="C30" s="1">
        <f t="shared" si="0"/>
        <v>8.137931034482758</v>
      </c>
      <c r="D30" s="1"/>
      <c r="E30">
        <v>33000</v>
      </c>
      <c r="F30" s="25">
        <v>16.261904999999999</v>
      </c>
      <c r="G30">
        <v>32</v>
      </c>
    </row>
    <row r="31" spans="1:7" x14ac:dyDescent="0.2">
      <c r="A31">
        <v>15000</v>
      </c>
      <c r="B31" s="3">
        <v>146</v>
      </c>
      <c r="C31" s="1">
        <f t="shared" si="0"/>
        <v>9.7333333333333325</v>
      </c>
      <c r="D31" s="1"/>
      <c r="E31">
        <v>33500</v>
      </c>
      <c r="F31" s="25">
        <v>16.714286000000001</v>
      </c>
      <c r="G31">
        <v>32</v>
      </c>
    </row>
    <row r="32" spans="1:7" x14ac:dyDescent="0.2">
      <c r="A32">
        <v>15514</v>
      </c>
      <c r="B32" s="3">
        <v>172</v>
      </c>
      <c r="C32" s="1">
        <f t="shared" si="0"/>
        <v>11.086760345494392</v>
      </c>
      <c r="D32" s="1"/>
      <c r="E32">
        <v>34000</v>
      </c>
      <c r="F32" s="25">
        <v>17.166667</v>
      </c>
      <c r="G32">
        <v>32</v>
      </c>
    </row>
    <row r="33" spans="5:7" x14ac:dyDescent="0.2">
      <c r="E33">
        <v>34500</v>
      </c>
      <c r="F33" s="25">
        <v>17.619047999999999</v>
      </c>
      <c r="G33">
        <v>32</v>
      </c>
    </row>
    <row r="34" spans="5:7" x14ac:dyDescent="0.2">
      <c r="E34">
        <v>35000</v>
      </c>
      <c r="F34" s="25">
        <v>18.071428999999998</v>
      </c>
      <c r="G34">
        <v>32</v>
      </c>
    </row>
    <row r="35" spans="5:7" x14ac:dyDescent="0.2">
      <c r="E35">
        <v>35500</v>
      </c>
      <c r="F35" s="25">
        <v>18.523810000000001</v>
      </c>
      <c r="G35">
        <v>32</v>
      </c>
    </row>
    <row r="36" spans="5:7" x14ac:dyDescent="0.2">
      <c r="E36">
        <v>36000</v>
      </c>
      <c r="F36" s="25">
        <v>18.976191</v>
      </c>
      <c r="G36">
        <v>32</v>
      </c>
    </row>
    <row r="37" spans="5:7" x14ac:dyDescent="0.2">
      <c r="E37">
        <v>36500</v>
      </c>
      <c r="F37" s="25">
        <v>19.428571999999999</v>
      </c>
      <c r="G37">
        <v>32</v>
      </c>
    </row>
    <row r="38" spans="5:7" x14ac:dyDescent="0.2">
      <c r="E38">
        <v>37000</v>
      </c>
      <c r="F38" s="25">
        <v>19.880953000000002</v>
      </c>
      <c r="G38">
        <v>32</v>
      </c>
    </row>
    <row r="39" spans="5:7" x14ac:dyDescent="0.2">
      <c r="E39">
        <v>37500</v>
      </c>
      <c r="F39" s="25">
        <v>20.333334000000001</v>
      </c>
      <c r="G39">
        <v>32</v>
      </c>
    </row>
    <row r="40" spans="5:7" x14ac:dyDescent="0.2">
      <c r="E40">
        <v>38000</v>
      </c>
      <c r="F40" s="25">
        <v>20.785715</v>
      </c>
      <c r="G40">
        <v>32</v>
      </c>
    </row>
    <row r="41" spans="5:7" x14ac:dyDescent="0.2">
      <c r="E41">
        <v>38500</v>
      </c>
      <c r="F41" s="25">
        <v>21.238095999999999</v>
      </c>
      <c r="G41">
        <v>32</v>
      </c>
    </row>
    <row r="42" spans="5:7" x14ac:dyDescent="0.2">
      <c r="E42">
        <v>39000</v>
      </c>
      <c r="F42" s="25">
        <v>21.690477000000001</v>
      </c>
      <c r="G42">
        <v>32</v>
      </c>
    </row>
    <row r="43" spans="5:7" x14ac:dyDescent="0.2">
      <c r="E43">
        <v>39500</v>
      </c>
      <c r="F43" s="25">
        <v>22.142858</v>
      </c>
      <c r="G43">
        <v>32</v>
      </c>
    </row>
    <row r="44" spans="5:7" x14ac:dyDescent="0.2">
      <c r="E44">
        <v>40000</v>
      </c>
      <c r="F44" s="25">
        <v>22.595238999999999</v>
      </c>
      <c r="G44">
        <v>32</v>
      </c>
    </row>
    <row r="45" spans="5:7" x14ac:dyDescent="0.2">
      <c r="E45">
        <v>40500</v>
      </c>
      <c r="F45" s="25">
        <v>23.047619999999998</v>
      </c>
      <c r="G45">
        <f>0.5*(G44-G46)+G46</f>
        <v>30.75</v>
      </c>
    </row>
    <row r="46" spans="5:7" x14ac:dyDescent="0.2">
      <c r="E46">
        <v>40780</v>
      </c>
      <c r="F46" s="25">
        <v>23.500001000000001</v>
      </c>
      <c r="G46">
        <v>29.5</v>
      </c>
    </row>
  </sheetData>
  <sheetProtection algorithmName="SHA-512" hashValue="Meu3ht7aP/07FdMNZ4GJq3x0DPEqoguympITHDuqpgmxcdMgWqSA/udABjtidjNjLPg+M0fDsQ84MgSLgmIWcw==" saltValue="qEJMgdPc19V6kz61tVwAow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B2D7-1888-1B48-A013-A96D73094A93}">
  <dimension ref="B1:I31"/>
  <sheetViews>
    <sheetView topLeftCell="B22" zoomScale="250" workbookViewId="0">
      <selection activeCell="B22" sqref="B22"/>
    </sheetView>
  </sheetViews>
  <sheetFormatPr baseColWidth="10" defaultColWidth="10.83203125" defaultRowHeight="16" x14ac:dyDescent="0.2"/>
  <cols>
    <col min="1" max="1" width="5" customWidth="1"/>
    <col min="2" max="2" width="13.83203125" customWidth="1"/>
    <col min="3" max="3" width="6.83203125" customWidth="1"/>
    <col min="4" max="4" width="8.1640625" customWidth="1"/>
    <col min="5" max="5" width="6.1640625" customWidth="1"/>
    <col min="6" max="6" width="7.5" customWidth="1"/>
    <col min="7" max="7" width="9.5" customWidth="1"/>
  </cols>
  <sheetData>
    <row r="1" spans="2:9" ht="68" customHeight="1" x14ac:dyDescent="0.75">
      <c r="B1" s="10" t="s">
        <v>36</v>
      </c>
    </row>
    <row r="3" spans="2:9" x14ac:dyDescent="0.2">
      <c r="C3" t="s">
        <v>21</v>
      </c>
      <c r="D3" t="s">
        <v>25</v>
      </c>
      <c r="E3" t="s">
        <v>38</v>
      </c>
      <c r="G3" t="s">
        <v>23</v>
      </c>
    </row>
    <row r="4" spans="2:9" x14ac:dyDescent="0.2">
      <c r="B4" t="s">
        <v>0</v>
      </c>
      <c r="C4">
        <v>21883</v>
      </c>
      <c r="D4" s="1">
        <v>5.1272677420828998</v>
      </c>
      <c r="E4">
        <v>112.2</v>
      </c>
    </row>
    <row r="5" spans="2:9" x14ac:dyDescent="0.2">
      <c r="B5" t="s">
        <v>1</v>
      </c>
      <c r="C5">
        <f>diagram!D2</f>
        <v>250</v>
      </c>
      <c r="D5" s="1">
        <v>-275.88235294117646</v>
      </c>
      <c r="E5">
        <f t="shared" ref="E5:E22" si="0">C5*D5/1000</f>
        <v>-68.970588235294116</v>
      </c>
      <c r="F5" s="1"/>
      <c r="I5" s="1"/>
    </row>
    <row r="6" spans="2:9" x14ac:dyDescent="0.2">
      <c r="B6" t="s">
        <v>2</v>
      </c>
      <c r="C6">
        <f>diagram!F2</f>
        <v>235</v>
      </c>
      <c r="D6" s="1">
        <v>-275.88235294117646</v>
      </c>
      <c r="E6">
        <f t="shared" si="0"/>
        <v>-64.832352941176467</v>
      </c>
      <c r="F6" s="1"/>
      <c r="I6" s="1"/>
    </row>
    <row r="7" spans="2:9" x14ac:dyDescent="0.2">
      <c r="B7" t="s">
        <v>3</v>
      </c>
      <c r="C7">
        <f>diagram!F6</f>
        <v>0</v>
      </c>
      <c r="D7" s="1">
        <v>-250.58823529411765</v>
      </c>
      <c r="E7">
        <f t="shared" si="0"/>
        <v>0</v>
      </c>
      <c r="F7" s="1"/>
      <c r="I7" s="1"/>
    </row>
    <row r="8" spans="2:9" x14ac:dyDescent="0.2">
      <c r="B8" t="s">
        <v>4</v>
      </c>
      <c r="C8">
        <f>diagram!F3</f>
        <v>20</v>
      </c>
      <c r="D8" s="1">
        <v>-225</v>
      </c>
      <c r="E8">
        <f t="shared" si="0"/>
        <v>-4.5</v>
      </c>
      <c r="F8" s="1"/>
      <c r="I8" s="1"/>
    </row>
    <row r="9" spans="2:9" x14ac:dyDescent="0.2">
      <c r="B9" t="s">
        <v>5</v>
      </c>
      <c r="C9">
        <f>diagram!F4</f>
        <v>100</v>
      </c>
      <c r="D9" s="1">
        <v>-200</v>
      </c>
      <c r="E9">
        <f t="shared" si="0"/>
        <v>-20</v>
      </c>
      <c r="F9" s="1"/>
      <c r="I9" s="1"/>
    </row>
    <row r="10" spans="2:9" x14ac:dyDescent="0.2">
      <c r="B10" t="s">
        <v>6</v>
      </c>
      <c r="C10">
        <f>diagram!F5</f>
        <v>20</v>
      </c>
      <c r="D10" s="1">
        <v>-197.22222222222223</v>
      </c>
      <c r="E10">
        <f t="shared" si="0"/>
        <v>-3.9444444444444442</v>
      </c>
      <c r="F10" s="1"/>
      <c r="I10" s="1"/>
    </row>
    <row r="11" spans="2:9" x14ac:dyDescent="0.2">
      <c r="B11" t="s">
        <v>7</v>
      </c>
      <c r="C11">
        <f>diagram!D8</f>
        <v>0</v>
      </c>
      <c r="D11" s="1">
        <v>-173.93939393939394</v>
      </c>
      <c r="E11">
        <f t="shared" si="0"/>
        <v>0</v>
      </c>
      <c r="F11" s="1"/>
      <c r="I11" s="1"/>
    </row>
    <row r="12" spans="2:9" x14ac:dyDescent="0.2">
      <c r="B12" t="s">
        <v>8</v>
      </c>
      <c r="C12">
        <f>diagram!F8</f>
        <v>0</v>
      </c>
      <c r="D12" s="1">
        <v>-173.93939393939394</v>
      </c>
      <c r="E12">
        <f t="shared" si="0"/>
        <v>0</v>
      </c>
      <c r="F12" s="1"/>
      <c r="I12" s="1"/>
    </row>
    <row r="13" spans="2:9" x14ac:dyDescent="0.2">
      <c r="B13" t="s">
        <v>9</v>
      </c>
      <c r="C13">
        <f>diagram!D10</f>
        <v>165</v>
      </c>
      <c r="D13" s="1">
        <v>-114.54545454545455</v>
      </c>
      <c r="E13">
        <f t="shared" si="0"/>
        <v>-18.899999999999999</v>
      </c>
      <c r="F13" s="1"/>
      <c r="I13" s="1"/>
    </row>
    <row r="14" spans="2:9" x14ac:dyDescent="0.2">
      <c r="B14" t="s">
        <v>10</v>
      </c>
      <c r="C14">
        <f>diagram!F10</f>
        <v>165</v>
      </c>
      <c r="D14" s="1">
        <v>-114.54545454545455</v>
      </c>
      <c r="E14">
        <f t="shared" si="0"/>
        <v>-18.899999999999999</v>
      </c>
      <c r="F14" s="1"/>
      <c r="I14" s="1"/>
    </row>
    <row r="15" spans="2:9" x14ac:dyDescent="0.2">
      <c r="B15" t="s">
        <v>11</v>
      </c>
      <c r="C15">
        <f>diagram!F11</f>
        <v>30</v>
      </c>
      <c r="D15" s="1">
        <v>-95</v>
      </c>
      <c r="E15">
        <f t="shared" si="0"/>
        <v>-2.85</v>
      </c>
      <c r="F15" s="1"/>
      <c r="I15" s="1"/>
    </row>
    <row r="16" spans="2:9" x14ac:dyDescent="0.2">
      <c r="B16" t="s">
        <v>24</v>
      </c>
      <c r="C16">
        <f>diagram!D11</f>
        <v>30</v>
      </c>
      <c r="D16" s="1">
        <v>-94.444444444444443</v>
      </c>
      <c r="E16">
        <f t="shared" si="0"/>
        <v>-2.8333333333333335</v>
      </c>
      <c r="F16" s="1"/>
      <c r="I16" s="1"/>
    </row>
    <row r="17" spans="2:9" x14ac:dyDescent="0.2">
      <c r="B17" t="s">
        <v>12</v>
      </c>
      <c r="C17">
        <f>diagram!D13</f>
        <v>0</v>
      </c>
      <c r="D17" s="1">
        <v>-83.63636363636364</v>
      </c>
      <c r="E17">
        <f t="shared" si="0"/>
        <v>0</v>
      </c>
      <c r="F17" s="1"/>
      <c r="I17" s="1"/>
    </row>
    <row r="18" spans="2:9" x14ac:dyDescent="0.2">
      <c r="B18" t="s">
        <v>13</v>
      </c>
      <c r="C18">
        <f>diagram!F13</f>
        <v>0</v>
      </c>
      <c r="D18" s="1">
        <v>-78.787878787878782</v>
      </c>
      <c r="E18">
        <f t="shared" si="0"/>
        <v>0</v>
      </c>
      <c r="F18" s="1"/>
      <c r="I18" s="1"/>
    </row>
    <row r="19" spans="2:9" x14ac:dyDescent="0.2">
      <c r="B19" t="s">
        <v>14</v>
      </c>
      <c r="C19">
        <f>diagram!F14</f>
        <v>0</v>
      </c>
      <c r="D19" s="1">
        <v>-52.727272727272727</v>
      </c>
      <c r="E19">
        <f t="shared" si="0"/>
        <v>0</v>
      </c>
      <c r="F19" s="1"/>
      <c r="I19" s="1"/>
    </row>
    <row r="20" spans="2:9" x14ac:dyDescent="0.2">
      <c r="B20" t="s">
        <v>15</v>
      </c>
      <c r="C20">
        <f>diagram!F15</f>
        <v>0</v>
      </c>
      <c r="D20" s="1">
        <v>-24.848484848484848</v>
      </c>
      <c r="E20">
        <f t="shared" si="0"/>
        <v>0</v>
      </c>
      <c r="F20" s="1"/>
      <c r="I20" s="1"/>
    </row>
    <row r="21" spans="2:9" x14ac:dyDescent="0.2">
      <c r="B21" t="s">
        <v>16</v>
      </c>
      <c r="C21">
        <f>diagram!D15</f>
        <v>0</v>
      </c>
      <c r="D21" s="1">
        <v>-20</v>
      </c>
      <c r="E21">
        <f t="shared" si="0"/>
        <v>0</v>
      </c>
      <c r="F21" s="1"/>
      <c r="I21" s="1"/>
    </row>
    <row r="22" spans="2:9" x14ac:dyDescent="0.2">
      <c r="B22" t="s">
        <v>17</v>
      </c>
      <c r="C22">
        <f>diagram!E16</f>
        <v>40</v>
      </c>
      <c r="D22" s="1">
        <v>0</v>
      </c>
      <c r="E22">
        <f t="shared" si="0"/>
        <v>0</v>
      </c>
    </row>
    <row r="23" spans="2:9" x14ac:dyDescent="0.2">
      <c r="B23" t="s">
        <v>18</v>
      </c>
      <c r="C23">
        <v>157</v>
      </c>
      <c r="D23" s="1">
        <v>82.647058823529406</v>
      </c>
      <c r="E23" s="1">
        <f>D23*C23/1000</f>
        <v>12.975588235294117</v>
      </c>
      <c r="F23" s="1"/>
    </row>
    <row r="24" spans="2:9" x14ac:dyDescent="0.2">
      <c r="B24" t="s">
        <v>19</v>
      </c>
      <c r="C24">
        <f>diagram!D18</f>
        <v>25</v>
      </c>
      <c r="D24" s="1">
        <v>101.71052631578948</v>
      </c>
      <c r="E24" s="1">
        <f>D24*C24/1000</f>
        <v>2.5427631578947372</v>
      </c>
      <c r="F24" s="1"/>
    </row>
    <row r="25" spans="2:9" x14ac:dyDescent="0.2">
      <c r="B25" t="s">
        <v>20</v>
      </c>
      <c r="C25">
        <f>diagram!D19</f>
        <v>25</v>
      </c>
      <c r="D25" s="1">
        <v>123.94736842105263</v>
      </c>
      <c r="E25" s="1">
        <f>D25*C25/1000</f>
        <v>3.0986842105263159</v>
      </c>
      <c r="F25" s="1"/>
    </row>
    <row r="26" spans="2:9" x14ac:dyDescent="0.2">
      <c r="B26" t="s">
        <v>35</v>
      </c>
      <c r="C26">
        <f>SUM(C4:C25)</f>
        <v>23145</v>
      </c>
      <c r="D26" s="1">
        <f>E26*1000/C26</f>
        <v>-3.2367113134816665</v>
      </c>
      <c r="E26">
        <f>SUM(E4:E25)</f>
        <v>-74.913683350533177</v>
      </c>
      <c r="F26" s="1"/>
    </row>
    <row r="27" spans="2:9" x14ac:dyDescent="0.2">
      <c r="B27" t="s">
        <v>28</v>
      </c>
      <c r="C27">
        <f>diagram!B16</f>
        <v>7000</v>
      </c>
      <c r="E27">
        <f>LOOKUP(computations!C27,Fuel!A2:B32)</f>
        <v>-40</v>
      </c>
    </row>
    <row r="28" spans="2:9" x14ac:dyDescent="0.2">
      <c r="B28" t="s">
        <v>29</v>
      </c>
      <c r="C28">
        <f>SUM(C26:C27)</f>
        <v>30145</v>
      </c>
      <c r="D28" s="1">
        <f>E28*1000/C28</f>
        <v>-3.8120312937645768</v>
      </c>
      <c r="E28">
        <f>SUM(E26:E27)</f>
        <v>-114.91368335053318</v>
      </c>
      <c r="F28" s="12" t="s">
        <v>66</v>
      </c>
      <c r="G28" s="12" t="s">
        <v>67</v>
      </c>
    </row>
    <row r="29" spans="2:9" x14ac:dyDescent="0.2">
      <c r="B29" t="s">
        <v>61</v>
      </c>
      <c r="D29" s="11">
        <f>(D28+27.9425)/111.77</f>
        <v>0.21589396713103179</v>
      </c>
      <c r="F29" s="39">
        <f>LOOKUP(computations!C28,Fuel!E2:F46)/100</f>
        <v>0.14000000000000001</v>
      </c>
      <c r="G29" s="39">
        <f>LOOKUP(computations!C28,Fuel!E2:E46,Fuel!G2:G46)/100</f>
        <v>0.32</v>
      </c>
    </row>
    <row r="30" spans="2:9" x14ac:dyDescent="0.2">
      <c r="B30" t="s">
        <v>62</v>
      </c>
      <c r="C30">
        <f>diagram!F23</f>
        <v>3000</v>
      </c>
      <c r="D30" s="11"/>
      <c r="E30" s="40"/>
      <c r="F30" s="40"/>
    </row>
    <row r="31" spans="2:9" x14ac:dyDescent="0.2">
      <c r="B31" t="s">
        <v>63</v>
      </c>
      <c r="C31">
        <f>C28-C30</f>
        <v>27145</v>
      </c>
    </row>
  </sheetData>
  <sheetProtection algorithmName="SHA-512" hashValue="PjkWt2QkMg3/IXAAGzpTiHpHCF2vOSWDtzkU/GbIprp2Wi8k/dbjbh+fBWZ7/XyyQdPp8yUC7auhaOwtbocO0g==" saltValue="TyScvQpzzg9H3pozvKup0Q==" spinCount="100000" sheet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8088-2340-3845-9D6E-D955F92C8F87}">
  <dimension ref="A11:J32"/>
  <sheetViews>
    <sheetView topLeftCell="A8" zoomScale="150" workbookViewId="0">
      <selection activeCell="H17" sqref="H17"/>
    </sheetView>
  </sheetViews>
  <sheetFormatPr baseColWidth="10" defaultRowHeight="16" x14ac:dyDescent="0.2"/>
  <sheetData>
    <row r="11" spans="1:2" x14ac:dyDescent="0.2">
      <c r="A11" t="s">
        <v>69</v>
      </c>
      <c r="B11" s="11" t="s">
        <v>68</v>
      </c>
    </row>
    <row r="15" spans="1:2" x14ac:dyDescent="0.2">
      <c r="A15" t="s">
        <v>39</v>
      </c>
    </row>
    <row r="16" spans="1:2" x14ac:dyDescent="0.2">
      <c r="A16" t="s">
        <v>40</v>
      </c>
    </row>
    <row r="17" spans="1:10" x14ac:dyDescent="0.2">
      <c r="A17" t="s">
        <v>41</v>
      </c>
    </row>
    <row r="18" spans="1:10" x14ac:dyDescent="0.2">
      <c r="A18" t="s">
        <v>42</v>
      </c>
    </row>
    <row r="19" spans="1:10" x14ac:dyDescent="0.2">
      <c r="A19" t="s">
        <v>43</v>
      </c>
    </row>
    <row r="20" spans="1:10" x14ac:dyDescent="0.2">
      <c r="A20" t="s">
        <v>44</v>
      </c>
    </row>
    <row r="21" spans="1:10" x14ac:dyDescent="0.2">
      <c r="A21" t="s">
        <v>45</v>
      </c>
      <c r="C21" t="s">
        <v>46</v>
      </c>
    </row>
    <row r="24" spans="1:10" x14ac:dyDescent="0.2">
      <c r="A24" t="s">
        <v>48</v>
      </c>
      <c r="B24">
        <v>0</v>
      </c>
      <c r="C24">
        <v>14</v>
      </c>
      <c r="D24" s="13">
        <v>25</v>
      </c>
      <c r="E24" s="13">
        <v>32</v>
      </c>
      <c r="F24">
        <v>50</v>
      </c>
      <c r="G24">
        <v>75</v>
      </c>
      <c r="H24">
        <v>100</v>
      </c>
      <c r="I24" t="s">
        <v>48</v>
      </c>
      <c r="J24">
        <f>0.25*111.77</f>
        <v>27.942499999999999</v>
      </c>
    </row>
    <row r="25" spans="1:10" x14ac:dyDescent="0.2">
      <c r="B25">
        <v>0</v>
      </c>
      <c r="C25">
        <f>C24*H25/H24</f>
        <v>15.6478</v>
      </c>
      <c r="D25">
        <f>0.25*H25</f>
        <v>27.942499999999999</v>
      </c>
      <c r="E25">
        <f>E24*H25/H24</f>
        <v>35.766399999999997</v>
      </c>
      <c r="F25">
        <f>0.5*H25</f>
        <v>55.884999999999998</v>
      </c>
      <c r="G25">
        <f>0.75*H25</f>
        <v>83.827500000000001</v>
      </c>
      <c r="H25">
        <v>111.77</v>
      </c>
      <c r="I25" t="s">
        <v>49</v>
      </c>
    </row>
    <row r="26" spans="1:10" x14ac:dyDescent="0.2">
      <c r="A26" t="s">
        <v>47</v>
      </c>
      <c r="B26">
        <f>D26-D25</f>
        <v>-27.942499999999999</v>
      </c>
      <c r="C26">
        <f>B26+C25</f>
        <v>-12.294699999999999</v>
      </c>
      <c r="D26" s="12">
        <v>0</v>
      </c>
      <c r="E26" s="12">
        <f>E25*H26/H25</f>
        <v>26.8248</v>
      </c>
      <c r="F26">
        <f>D26+D25</f>
        <v>27.942499999999999</v>
      </c>
      <c r="G26">
        <f>F25</f>
        <v>55.884999999999998</v>
      </c>
      <c r="H26">
        <f>G25</f>
        <v>83.827500000000001</v>
      </c>
    </row>
    <row r="27" spans="1:10" x14ac:dyDescent="0.2">
      <c r="A27" t="s">
        <v>50</v>
      </c>
      <c r="B27">
        <f>382.83-(0.25*111.77)</f>
        <v>354.88749999999999</v>
      </c>
      <c r="D27" s="12">
        <v>382.83</v>
      </c>
      <c r="E27" s="12"/>
      <c r="F27">
        <f>D27+(0.25*111.77)</f>
        <v>410.77249999999998</v>
      </c>
      <c r="G27">
        <f>D27+(0.5*111.77)</f>
        <v>438.71499999999997</v>
      </c>
      <c r="H27">
        <f>D27+(0.75*111.77)</f>
        <v>466.65749999999997</v>
      </c>
    </row>
    <row r="29" spans="1:10" x14ac:dyDescent="0.2">
      <c r="B29">
        <f>H26-H25</f>
        <v>-27.942499999999995</v>
      </c>
      <c r="D29">
        <f>H27-B27</f>
        <v>111.76999999999998</v>
      </c>
    </row>
    <row r="31" spans="1:10" x14ac:dyDescent="0.2">
      <c r="B31" t="s">
        <v>48</v>
      </c>
      <c r="C31" s="15" t="s">
        <v>37</v>
      </c>
      <c r="D31" s="1">
        <f>computations!D28</f>
        <v>-3.8120312937645768</v>
      </c>
      <c r="E31" s="1">
        <f>D31+27.9425</f>
        <v>24.130468706235423</v>
      </c>
      <c r="F31" s="16">
        <f>E31/E32</f>
        <v>0.21589396713103179</v>
      </c>
      <c r="G31" t="s">
        <v>51</v>
      </c>
    </row>
    <row r="32" spans="1:10" x14ac:dyDescent="0.2">
      <c r="E32">
        <f>H25</f>
        <v>111.77</v>
      </c>
    </row>
  </sheetData>
  <sheetProtection algorithmName="SHA-512" hashValue="DKqMVkWi028kdlVWXSr7Fh8Uxm26bTlm23oxcL0oTzvLi+5Jx8q2l3Ww3gnEJV2NpZq5EKz3vIN8p9H/UKeP3w==" saltValue="dq4F9hRxaJs+P602qsYH3w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diagram</vt:lpstr>
      <vt:lpstr>Fuel</vt:lpstr>
      <vt:lpstr>computations</vt:lpstr>
      <vt:lpstr>MAC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Hatcher</dc:creator>
  <cp:lastModifiedBy>Geoff Hatcher</cp:lastModifiedBy>
  <dcterms:created xsi:type="dcterms:W3CDTF">2025-11-07T03:11:00Z</dcterms:created>
  <dcterms:modified xsi:type="dcterms:W3CDTF">2025-11-10T01:04:37Z</dcterms:modified>
</cp:coreProperties>
</file>