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5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mod272903-my.sharepoint.com/personal/mauriciogrille_fccsa_com_br/Documents/Área de Trabalho/"/>
    </mc:Choice>
  </mc:AlternateContent>
  <xr:revisionPtr revIDLastSave="18" documentId="13_ncr:1_{F5F5FC54-89B1-4CF9-85BA-7036C4BE05C9}" xr6:coauthVersionLast="47" xr6:coauthVersionMax="47" xr10:uidLastSave="{17611990-D86B-4707-892C-E0CB800BF95A}"/>
  <bookViews>
    <workbookView xWindow="-110" yWindow="-110" windowWidth="19420" windowHeight="10420" xr2:uid="{00000000-000D-0000-FFFF-FFFF00000000}"/>
  </bookViews>
  <sheets>
    <sheet name="0.Notas de Revisão" sheetId="21" r:id="rId1"/>
    <sheet name="1.Estudo Maltes" sheetId="17" r:id="rId2"/>
    <sheet name="2.Estudo Lupulos" sheetId="16" r:id="rId3"/>
    <sheet name="3.Calculos" sheetId="6" r:id="rId4"/>
    <sheet name="4.Dosagem de água" sheetId="10" r:id="rId5"/>
    <sheet name="5.Ajustes Agua" sheetId="11" r:id="rId6"/>
    <sheet name="6.Receita" sheetId="14" r:id="rId7"/>
    <sheet name="7.Acomp. Brassagem" sheetId="13" r:id="rId8"/>
    <sheet name="8.Acomp. Fermentação" sheetId="12" r:id="rId9"/>
    <sheet name="9.Ferramentas" sheetId="3" r:id="rId10"/>
    <sheet name="10.Rodas Maltes" sheetId="18" r:id="rId11"/>
    <sheet name="11.Tabela Goldiner" sheetId="19" r:id="rId12"/>
    <sheet name="12.Tabelas IBU" sheetId="20" r:id="rId13"/>
  </sheets>
  <definedNames>
    <definedName name="_xlnm.Print_Area" localSheetId="0">'0.Notas de Revisão'!$A$1:$C$31</definedName>
    <definedName name="_xlnm.Print_Area" localSheetId="3">'3.Calculos'!$A$1:$E$109</definedName>
    <definedName name="_xlnm.Print_Area" localSheetId="4">'4.Dosagem de água'!$A$1:$B$40</definedName>
    <definedName name="_xlnm.Print_Area" localSheetId="5">'5.Ajustes Agua'!$A$1:$K$31</definedName>
    <definedName name="_xlnm.Print_Area" localSheetId="6">'6.Receita'!$A$1:$E$108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4" roundtripDataSignature="AMtx7mhY1GG7RjbeudgKPFOOaj8MWkdnNA=="/>
    </ext>
  </extLst>
</workbook>
</file>

<file path=xl/calcChain.xml><?xml version="1.0" encoding="utf-8"?>
<calcChain xmlns="http://schemas.openxmlformats.org/spreadsheetml/2006/main">
  <c r="E91" i="6" l="1"/>
  <c r="E4" i="3"/>
  <c r="Q26" i="20" l="1"/>
  <c r="B5" i="20"/>
  <c r="E5" i="20" s="1"/>
  <c r="B7" i="6"/>
  <c r="B66" i="6"/>
  <c r="C66" i="6"/>
  <c r="E44" i="6"/>
  <c r="B44" i="6"/>
  <c r="B54" i="6" s="1"/>
  <c r="A33" i="6"/>
  <c r="A44" i="6" s="1"/>
  <c r="A66" i="6" s="1"/>
  <c r="B33" i="6"/>
  <c r="C33" i="6"/>
  <c r="C21" i="14"/>
  <c r="C20" i="14"/>
  <c r="C19" i="14"/>
  <c r="B96" i="14"/>
  <c r="B94" i="14"/>
  <c r="B92" i="14"/>
  <c r="B90" i="14"/>
  <c r="B84" i="14"/>
  <c r="B88" i="14"/>
  <c r="B86" i="14"/>
  <c r="C82" i="14"/>
  <c r="A46" i="14"/>
  <c r="A47" i="14"/>
  <c r="A48" i="14"/>
  <c r="A44" i="14"/>
  <c r="A45" i="14"/>
  <c r="E107" i="6"/>
  <c r="E100" i="6"/>
  <c r="E101" i="6" s="1"/>
  <c r="D66" i="6" l="1"/>
  <c r="A38" i="14"/>
  <c r="A54" i="6"/>
  <c r="C5" i="20"/>
  <c r="G5" i="20"/>
  <c r="H5" i="20"/>
  <c r="I5" i="20"/>
  <c r="J5" i="20"/>
  <c r="F5" i="20"/>
  <c r="D5" i="20"/>
  <c r="E106" i="6"/>
  <c r="E109" i="6" s="1"/>
  <c r="E105" i="6"/>
  <c r="E108" i="6" s="1"/>
  <c r="E102" i="6"/>
  <c r="E104" i="6" s="1"/>
  <c r="E103" i="6"/>
  <c r="C15" i="11" l="1"/>
  <c r="B68" i="6"/>
  <c r="C68" i="6"/>
  <c r="B69" i="6"/>
  <c r="C69" i="6"/>
  <c r="B88" i="6"/>
  <c r="B89" i="6"/>
  <c r="B90" i="6"/>
  <c r="B91" i="6"/>
  <c r="B63" i="6"/>
  <c r="B64" i="6"/>
  <c r="B65" i="6"/>
  <c r="B67" i="6"/>
  <c r="B62" i="6"/>
  <c r="C67" i="6"/>
  <c r="E45" i="6"/>
  <c r="B45" i="6"/>
  <c r="B55" i="6" s="1"/>
  <c r="C85" i="14" l="1"/>
  <c r="C83" i="14"/>
  <c r="C89" i="14"/>
  <c r="C87" i="14"/>
  <c r="D68" i="6"/>
  <c r="D69" i="6"/>
  <c r="D67" i="6"/>
  <c r="A34" i="6"/>
  <c r="A55" i="6" s="1"/>
  <c r="B34" i="6"/>
  <c r="C34" i="6"/>
  <c r="B40" i="10"/>
  <c r="C104" i="14" s="1"/>
  <c r="B16" i="10"/>
  <c r="B15" i="10"/>
  <c r="B14" i="10"/>
  <c r="B21" i="10"/>
  <c r="B29" i="10"/>
  <c r="B107" i="6"/>
  <c r="B86" i="6"/>
  <c r="C90" i="6" s="1"/>
  <c r="C17" i="14"/>
  <c r="H25" i="11"/>
  <c r="B25" i="11"/>
  <c r="A25" i="11"/>
  <c r="K15" i="11"/>
  <c r="K17" i="11" s="1"/>
  <c r="K11" i="11"/>
  <c r="K12" i="11" s="1"/>
  <c r="G15" i="11"/>
  <c r="G17" i="11" s="1"/>
  <c r="F25" i="11" s="1"/>
  <c r="G11" i="11"/>
  <c r="G12" i="11" s="1"/>
  <c r="C17" i="11"/>
  <c r="E25" i="11" s="1"/>
  <c r="C11" i="11"/>
  <c r="C12" i="11" s="1"/>
  <c r="C88" i="6" l="1"/>
  <c r="C89" i="6"/>
  <c r="C91" i="6"/>
  <c r="I25" i="11"/>
  <c r="A45" i="6"/>
  <c r="J25" i="11"/>
  <c r="G16" i="11"/>
  <c r="K16" i="11"/>
  <c r="C16" i="11"/>
  <c r="A67" i="6" l="1"/>
  <c r="A39" i="14"/>
  <c r="B46" i="6"/>
  <c r="B47" i="6"/>
  <c r="C35" i="6"/>
  <c r="C36" i="6"/>
  <c r="B35" i="6"/>
  <c r="B36" i="6"/>
  <c r="A47" i="6"/>
  <c r="E41" i="6"/>
  <c r="E42" i="6"/>
  <c r="E43" i="6"/>
  <c r="E46" i="6"/>
  <c r="E47" i="6"/>
  <c r="E40" i="6"/>
  <c r="A46" i="6"/>
  <c r="A36" i="6"/>
  <c r="A35" i="6"/>
  <c r="B92" i="6"/>
  <c r="B93" i="6"/>
  <c r="B94" i="6"/>
  <c r="A75" i="6"/>
  <c r="B75" i="6" s="1"/>
  <c r="C81" i="6" l="1"/>
  <c r="C90" i="14" s="1"/>
  <c r="C83" i="6"/>
  <c r="C82" i="6"/>
  <c r="C80" i="6"/>
  <c r="E90" i="6" s="1"/>
  <c r="C88" i="14" s="1"/>
  <c r="C84" i="6"/>
  <c r="C79" i="6"/>
  <c r="C78" i="6"/>
  <c r="C95" i="14"/>
  <c r="C94" i="6"/>
  <c r="C93" i="14"/>
  <c r="C93" i="6"/>
  <c r="C91" i="14"/>
  <c r="C92" i="6"/>
  <c r="A68" i="6"/>
  <c r="A40" i="14"/>
  <c r="A69" i="6"/>
  <c r="A41" i="14"/>
  <c r="A43" i="14"/>
  <c r="A42" i="14"/>
  <c r="C13" i="14"/>
  <c r="C10" i="14"/>
  <c r="C9" i="14"/>
  <c r="A32" i="6"/>
  <c r="A43" i="6" s="1"/>
  <c r="A31" i="6"/>
  <c r="A30" i="6"/>
  <c r="A29" i="6"/>
  <c r="B19" i="10"/>
  <c r="B100" i="6"/>
  <c r="E94" i="6" l="1"/>
  <c r="C48" i="14" s="1"/>
  <c r="E93" i="6"/>
  <c r="C94" i="14" s="1"/>
  <c r="C44" i="14"/>
  <c r="E92" i="6"/>
  <c r="C46" i="14" s="1"/>
  <c r="C45" i="14"/>
  <c r="A37" i="14"/>
  <c r="A53" i="6"/>
  <c r="A42" i="6"/>
  <c r="A64" i="6" s="1"/>
  <c r="A52" i="6"/>
  <c r="A41" i="6"/>
  <c r="A35" i="14" s="1"/>
  <c r="A51" i="6"/>
  <c r="A40" i="6"/>
  <c r="A62" i="6" s="1"/>
  <c r="A50" i="6"/>
  <c r="B105" i="6"/>
  <c r="B108" i="6" s="1"/>
  <c r="C29" i="14" s="1"/>
  <c r="B106" i="6"/>
  <c r="B109" i="6" s="1"/>
  <c r="B17" i="10"/>
  <c r="B20" i="10" s="1"/>
  <c r="B24" i="10" s="1"/>
  <c r="C14" i="14"/>
  <c r="B101" i="6"/>
  <c r="B102" i="6"/>
  <c r="B39" i="10"/>
  <c r="E89" i="6"/>
  <c r="E88" i="6"/>
  <c r="C84" i="14" s="1"/>
  <c r="B32" i="6"/>
  <c r="B31" i="6"/>
  <c r="B30" i="6"/>
  <c r="B29" i="6"/>
  <c r="B37" i="10"/>
  <c r="C96" i="14" l="1"/>
  <c r="C47" i="14"/>
  <c r="C92" i="14"/>
  <c r="B104" i="6"/>
  <c r="C16" i="14" s="1"/>
  <c r="C11" i="14"/>
  <c r="B103" i="6"/>
  <c r="C15" i="14" s="1"/>
  <c r="C12" i="14"/>
  <c r="C43" i="14"/>
  <c r="C86" i="14"/>
  <c r="C28" i="14"/>
  <c r="C42" i="14"/>
  <c r="A34" i="14"/>
  <c r="A65" i="6"/>
  <c r="A36" i="14"/>
  <c r="A63" i="6"/>
  <c r="B38" i="10"/>
  <c r="B22" i="10"/>
  <c r="B35" i="10" s="1"/>
  <c r="B36" i="10" s="1"/>
  <c r="C80" i="14" s="1"/>
  <c r="B34" i="10"/>
  <c r="C79" i="14" s="1"/>
  <c r="C63" i="6"/>
  <c r="C64" i="6"/>
  <c r="C65" i="6"/>
  <c r="C62" i="6"/>
  <c r="B41" i="6"/>
  <c r="B42" i="6"/>
  <c r="B43" i="6"/>
  <c r="B40" i="6"/>
  <c r="B50" i="6" s="1"/>
  <c r="C32" i="6"/>
  <c r="C30" i="6"/>
  <c r="C31" i="6"/>
  <c r="C29" i="6"/>
  <c r="B12" i="3"/>
  <c r="B7" i="3"/>
  <c r="B4" i="3"/>
  <c r="B53" i="6" l="1"/>
  <c r="D29" i="6"/>
  <c r="E29" i="6"/>
  <c r="B37" i="6" s="1"/>
  <c r="C40" i="6" s="1"/>
  <c r="D44" i="6" s="1"/>
  <c r="C8" i="14"/>
  <c r="C103" i="14"/>
  <c r="D62" i="6"/>
  <c r="B51" i="6"/>
  <c r="B52" i="6"/>
  <c r="D65" i="6"/>
  <c r="D64" i="6"/>
  <c r="D63" i="6"/>
  <c r="D70" i="6" l="1"/>
  <c r="B71" i="6" s="1"/>
  <c r="C18" i="14" s="1"/>
  <c r="D54" i="6"/>
  <c r="E54" i="6" s="1"/>
  <c r="C38" i="14"/>
  <c r="D43" i="6"/>
  <c r="D53" i="6" s="1"/>
  <c r="E53" i="6" s="1"/>
  <c r="D45" i="6"/>
  <c r="D55" i="6" s="1"/>
  <c r="E55" i="6" s="1"/>
  <c r="B58" i="6"/>
  <c r="B10" i="10" l="1"/>
  <c r="C39" i="14"/>
  <c r="D47" i="6"/>
  <c r="C41" i="14" s="1"/>
  <c r="D46" i="6"/>
  <c r="C40" i="14" s="1"/>
  <c r="D40" i="6"/>
  <c r="D42" i="6"/>
  <c r="D52" i="6" s="1"/>
  <c r="E52" i="6" s="1"/>
  <c r="D41" i="6"/>
  <c r="D51" i="6" s="1"/>
  <c r="E51" i="6" s="1"/>
  <c r="C26" i="14" l="1"/>
  <c r="B9" i="10"/>
  <c r="B25" i="10" s="1"/>
  <c r="C27" i="14"/>
  <c r="C50" i="6"/>
  <c r="A8" i="10" s="1"/>
  <c r="B8" i="10" s="1"/>
  <c r="B11" i="10" s="1"/>
  <c r="D50" i="6"/>
  <c r="E50" i="6" s="1"/>
  <c r="C36" i="14"/>
  <c r="C37" i="14"/>
  <c r="C35" i="14"/>
  <c r="C34" i="14"/>
  <c r="E56" i="6" l="1"/>
  <c r="B30" i="10"/>
  <c r="B12" i="10" l="1"/>
  <c r="B31" i="10" s="1"/>
  <c r="C32" i="14"/>
  <c r="C53" i="14" s="1"/>
  <c r="B26" i="10"/>
  <c r="B32" i="10" s="1"/>
  <c r="B33" i="10" l="1"/>
  <c r="K18" i="11" s="1"/>
  <c r="C33" i="14"/>
  <c r="C68" i="14" s="1"/>
  <c r="C18" i="11" l="1"/>
  <c r="C20" i="11" s="1"/>
  <c r="C19" i="11" s="1"/>
  <c r="C54" i="14" s="1"/>
  <c r="G18" i="11"/>
  <c r="G20" i="11" s="1"/>
  <c r="G19" i="11" s="1"/>
  <c r="C55" i="14" s="1"/>
  <c r="K20" i="11"/>
  <c r="C25" i="14"/>
  <c r="K19" i="11" l="1"/>
  <c r="C100" i="14"/>
  <c r="C69" i="14"/>
  <c r="C70" i="14"/>
</calcChain>
</file>

<file path=xl/sharedStrings.xml><?xml version="1.0" encoding="utf-8"?>
<sst xmlns="http://schemas.openxmlformats.org/spreadsheetml/2006/main" count="708" uniqueCount="503">
  <si>
    <t>IBU</t>
  </si>
  <si>
    <t>SRM &gt; EBC</t>
  </si>
  <si>
    <t>Cor SRM</t>
  </si>
  <si>
    <t>Cor EBC</t>
  </si>
  <si>
    <t>EBC &gt; SRM</t>
  </si>
  <si>
    <t>°Brix &gt; °Plato</t>
  </si>
  <si>
    <t>°Brix</t>
  </si>
  <si>
    <t>°Plato</t>
  </si>
  <si>
    <t xml:space="preserve">DESCRIÇÃO </t>
  </si>
  <si>
    <t>TOTAL DA MASSA</t>
  </si>
  <si>
    <t>%</t>
  </si>
  <si>
    <t>Ecr Moagem Fina</t>
  </si>
  <si>
    <t>% MASSAS</t>
  </si>
  <si>
    <t>% MASSA MOSTURAÇÃO</t>
  </si>
  <si>
    <t>Ecr% Médio Ponderado</t>
  </si>
  <si>
    <t>Massa Total MP</t>
  </si>
  <si>
    <t>EBC</t>
  </si>
  <si>
    <t>ETAPA</t>
  </si>
  <si>
    <t>Mostura</t>
  </si>
  <si>
    <t>Ecr Moagem Fina
%</t>
  </si>
  <si>
    <t>Cor do Mosto
EBC</t>
  </si>
  <si>
    <t>%  DA MASSA</t>
  </si>
  <si>
    <t>PARÂMETRO</t>
  </si>
  <si>
    <t>Valor</t>
  </si>
  <si>
    <t>Extrato Inicial</t>
  </si>
  <si>
    <t>Unidade</t>
  </si>
  <si>
    <t>Atributo</t>
  </si>
  <si>
    <t>°P</t>
  </si>
  <si>
    <t>Cerveja</t>
  </si>
  <si>
    <t>Extrato aparente</t>
  </si>
  <si>
    <t>Cor</t>
  </si>
  <si>
    <t>Amargor</t>
  </si>
  <si>
    <t>Volume de Apronte</t>
  </si>
  <si>
    <t>Cervejaria</t>
  </si>
  <si>
    <t>Diâmetro Lauter</t>
  </si>
  <si>
    <t>m</t>
  </si>
  <si>
    <t>Tempo de Fervura</t>
  </si>
  <si>
    <t>min</t>
  </si>
  <si>
    <t>Taxa de Exaporação</t>
  </si>
  <si>
    <t>%/h</t>
  </si>
  <si>
    <t>g/100mL</t>
  </si>
  <si>
    <t>hL</t>
  </si>
  <si>
    <t>MASSA TOTAL DE MP
kg</t>
  </si>
  <si>
    <t>MASSA DE MATÉRIAS PRIMAS
KG</t>
  </si>
  <si>
    <t>%DE MATÉRIAS PRIMAS</t>
  </si>
  <si>
    <t>MASSA TOTAL NA MOSTURA
kg</t>
  </si>
  <si>
    <t>MASSA DE MATÉRIAS PRIMAS
kg</t>
  </si>
  <si>
    <t>MASSA ESPECÍFICA RECEITA
KG</t>
  </si>
  <si>
    <t>Massa Específica no Lauter</t>
  </si>
  <si>
    <t>Rendimento da Fabricação
%R</t>
  </si>
  <si>
    <t>RESULTADOS</t>
  </si>
  <si>
    <t>COR DO MOSTO TOTAL @ 8,6°P</t>
  </si>
  <si>
    <t>Amargor Total
IBU</t>
  </si>
  <si>
    <t>Concentração na dosagem
mg/L</t>
  </si>
  <si>
    <t>Tempo na Fervura
min</t>
  </si>
  <si>
    <t>Lupulo</t>
  </si>
  <si>
    <t>%AA</t>
  </si>
  <si>
    <t>Utilização
%</t>
  </si>
  <si>
    <t>Espessura da mostura</t>
  </si>
  <si>
    <t>Média-espessa</t>
  </si>
  <si>
    <t>Realção água/matérias primas</t>
  </si>
  <si>
    <t>Água Primária - A1
L</t>
  </si>
  <si>
    <t>Massa de Materias Primas com casca
kg</t>
  </si>
  <si>
    <t>Massa de Adjuntos sem casca
kg</t>
  </si>
  <si>
    <t>Água Primária
L</t>
  </si>
  <si>
    <t>Volume Total da Mostura - VM
L</t>
  </si>
  <si>
    <t>Taxa de Evaporação da cozinha
%/h</t>
  </si>
  <si>
    <t>Tempo de fervura da receita
min</t>
  </si>
  <si>
    <t>Volume de Apronte
L</t>
  </si>
  <si>
    <t>Volume de Caldeira Cheia
L</t>
  </si>
  <si>
    <t>Extrato do mosto de apronte
g/100mL</t>
  </si>
  <si>
    <t>Extrato do mosto de caldeira cheia
g/100mL</t>
  </si>
  <si>
    <t>Água evaporada sem ferver
L</t>
  </si>
  <si>
    <t>Volume ocupado pelo bagaço
L</t>
  </si>
  <si>
    <t>Agua de Percolação
L</t>
  </si>
  <si>
    <t>RESULTADOS GERAIS</t>
  </si>
  <si>
    <t>Água Primária A1
L</t>
  </si>
  <si>
    <t>Água de Percolação A2
L</t>
  </si>
  <si>
    <t>Água Total A1+A2</t>
  </si>
  <si>
    <t>Extrato de Caldeira Cheia
g/100mL</t>
  </si>
  <si>
    <t>Tempo de Fervura
min</t>
  </si>
  <si>
    <t>Extrato Mosto de Apronte
g/100mL</t>
  </si>
  <si>
    <t>Espessura da mostura
L água / kg malte</t>
  </si>
  <si>
    <t>Massa de Matérias Primas na Mosturação
kg</t>
  </si>
  <si>
    <t>pH</t>
  </si>
  <si>
    <t>LAUDO DA ÁGUA</t>
  </si>
  <si>
    <t>CO3
ppm</t>
  </si>
  <si>
    <t>Ca
ppm</t>
  </si>
  <si>
    <t>Mg
ppm</t>
  </si>
  <si>
    <t>Na
ppm</t>
  </si>
  <si>
    <t>Cl
ppm</t>
  </si>
  <si>
    <t>SO4
ppm</t>
  </si>
  <si>
    <t>Zn
ppm</t>
  </si>
  <si>
    <t>Valor desejado ppm</t>
  </si>
  <si>
    <t>PM do ClCa2 g</t>
  </si>
  <si>
    <t>PM 2 molec H2O g</t>
  </si>
  <si>
    <t>PM do CaCl2.2H2O g</t>
  </si>
  <si>
    <t>PM ion Ca g</t>
  </si>
  <si>
    <t>PM ion Cl g</t>
  </si>
  <si>
    <t>m de CaCl2 g/L</t>
  </si>
  <si>
    <t>m de CaCl2.2H20 g/L</t>
  </si>
  <si>
    <t>PM 7 molec H2O g</t>
  </si>
  <si>
    <t>PM do  ZnSO4.7H2O g</t>
  </si>
  <si>
    <t>PM do ZnSO4 g</t>
  </si>
  <si>
    <t>PM ion Zn g</t>
  </si>
  <si>
    <t>PM ion SO4 g</t>
  </si>
  <si>
    <t>m de ZnSO4 g/L</t>
  </si>
  <si>
    <t>m de  ZnSO4.7H2O g/L</t>
  </si>
  <si>
    <t>Cfinal de SO4 ppm</t>
  </si>
  <si>
    <t>Volume da água L</t>
  </si>
  <si>
    <t>Qtde de CaCl2.2H20 g</t>
  </si>
  <si>
    <t>Volume de água L</t>
  </si>
  <si>
    <t>Qtde de  ZnSO4.7H2O g</t>
  </si>
  <si>
    <t>PM do CaSO4 g</t>
  </si>
  <si>
    <t>PM do CaSO4.2H2O g</t>
  </si>
  <si>
    <t>m de CaSO4 g/L</t>
  </si>
  <si>
    <t>m de CaSO4.2H20 g/L</t>
  </si>
  <si>
    <t>Cfinal de Cl ppm</t>
  </si>
  <si>
    <t>% da Concentração total</t>
  </si>
  <si>
    <t>DIA</t>
  </si>
  <si>
    <t>TEMP</t>
  </si>
  <si>
    <t>EXTRATO</t>
  </si>
  <si>
    <t>PH</t>
  </si>
  <si>
    <t>PURGA</t>
  </si>
  <si>
    <t>OBS</t>
  </si>
  <si>
    <t>PRESSÃO</t>
  </si>
  <si>
    <t>DATA</t>
  </si>
  <si>
    <t>ABV %</t>
  </si>
  <si>
    <t>Ferment Aparente min</t>
  </si>
  <si>
    <t>Ferment Aparente max</t>
  </si>
  <si>
    <t>Extrato Original °P</t>
  </si>
  <si>
    <t>Extrato Aparente min</t>
  </si>
  <si>
    <t>Alcoo%V/V min</t>
  </si>
  <si>
    <t>Extrato Aparente max</t>
  </si>
  <si>
    <t>Alcoo%V/V max</t>
  </si>
  <si>
    <t>Qtde de Células/mL min</t>
  </si>
  <si>
    <t>Qtde de Células/mL max</t>
  </si>
  <si>
    <t>Volume de apronte mL</t>
  </si>
  <si>
    <t>MOSTURA</t>
  </si>
  <si>
    <t>pH inicial da mostura</t>
  </si>
  <si>
    <t>pH ajustado da mostura</t>
  </si>
  <si>
    <t>Tempo Total da mostura</t>
  </si>
  <si>
    <t>CLARIFICAÇÃO/LAVAGEM</t>
  </si>
  <si>
    <t>Extrato do 1º MOSTO</t>
  </si>
  <si>
    <t>Tempo da 1a recirculação</t>
  </si>
  <si>
    <t>Tempo da lavagem / fly sparge</t>
  </si>
  <si>
    <t>Altura da cama de grãos</t>
  </si>
  <si>
    <t>pH inicial da água de lavagem</t>
  </si>
  <si>
    <t>pH ajustado da água de lavagem</t>
  </si>
  <si>
    <t>Rotação agitador</t>
  </si>
  <si>
    <t>Rotação afofador</t>
  </si>
  <si>
    <t>Volume da caldeira cheia</t>
  </si>
  <si>
    <t>Extrato pré-fervura</t>
  </si>
  <si>
    <t>Tempo de fervura</t>
  </si>
  <si>
    <t>FERVURA / WHIRLPOOL</t>
  </si>
  <si>
    <t>Tempo do vortex - whirpool</t>
  </si>
  <si>
    <t>Tempo de repouso - whirpool</t>
  </si>
  <si>
    <t>Volume de apronte</t>
  </si>
  <si>
    <t>Extrato inicial</t>
  </si>
  <si>
    <t>Volume de lastro de água</t>
  </si>
  <si>
    <t>TRANSFERÊNCIA/RESFRIAMENTO</t>
  </si>
  <si>
    <t>Vazão de 02 para o misturador</t>
  </si>
  <si>
    <t>Tempo de transferência p/fermentador</t>
  </si>
  <si>
    <t>Perdas no trub quente</t>
  </si>
  <si>
    <t>Perdas nas mangueiras e trocador de calor</t>
  </si>
  <si>
    <t>Volume final no fermentador</t>
  </si>
  <si>
    <t>DOSAGEM DE LEVEDURAS</t>
  </si>
  <si>
    <t>Temperatura de dosagem</t>
  </si>
  <si>
    <t>Qtde de Células dosadas</t>
  </si>
  <si>
    <t>FASE DO PROCESSO</t>
  </si>
  <si>
    <t>Qtde de ácido lático para correção</t>
  </si>
  <si>
    <t>L</t>
  </si>
  <si>
    <t xml:space="preserve">pH inicial do mosto </t>
  </si>
  <si>
    <t>pH ajustado do mosto</t>
  </si>
  <si>
    <t>Tempo de repouso após transferência</t>
  </si>
  <si>
    <t>INGREDIENTES</t>
  </si>
  <si>
    <t>DADOS TÉCNICOS</t>
  </si>
  <si>
    <t>%ABV</t>
  </si>
  <si>
    <t>Água</t>
  </si>
  <si>
    <t>Água de mostura</t>
  </si>
  <si>
    <t>Água de lavagem</t>
  </si>
  <si>
    <t>kg</t>
  </si>
  <si>
    <t>g</t>
  </si>
  <si>
    <t>Cor esperada</t>
  </si>
  <si>
    <t>QUANTIDADES TOTAIS</t>
  </si>
  <si>
    <t>Malte</t>
  </si>
  <si>
    <t>Adjuntos</t>
  </si>
  <si>
    <t>Lúpulos</t>
  </si>
  <si>
    <t>°C</t>
  </si>
  <si>
    <t>Homogenizar a mostura</t>
  </si>
  <si>
    <t>Realizar 1° rampa</t>
  </si>
  <si>
    <t>Aquecer água de mostura 1° rampa</t>
  </si>
  <si>
    <t>Aquecer mosto para 2° rampa</t>
  </si>
  <si>
    <t>Realizar 2° rampa</t>
  </si>
  <si>
    <t>PARÂMETROS TÉCNICOS</t>
  </si>
  <si>
    <t>FERMENTESCÍVEIS</t>
  </si>
  <si>
    <t xml:space="preserve">COR </t>
  </si>
  <si>
    <t>AMARGOR</t>
  </si>
  <si>
    <t>AJUSTES DA ÁGUA</t>
  </si>
  <si>
    <t xml:space="preserve">Dosagem 
g
</t>
  </si>
  <si>
    <t>Volume total da mostura
L</t>
  </si>
  <si>
    <t>AJUSTE DO CÁLCIO COM
CaSO4.2H2O</t>
  </si>
  <si>
    <t>AJUSTE DO ZINCO COM
ZnSO4.7H2O</t>
  </si>
  <si>
    <t>ÁGUA AJUSTADA</t>
  </si>
  <si>
    <t>Cl/SO4</t>
  </si>
  <si>
    <t>SO4/Cl</t>
  </si>
  <si>
    <t>ACOMPANHAMENTO DA FERMENTAÇÃO</t>
  </si>
  <si>
    <t>ACOMPANHAMENTO DA BRASSAGEM</t>
  </si>
  <si>
    <t>Unid</t>
  </si>
  <si>
    <t>Qtd</t>
  </si>
  <si>
    <t>PASSOS</t>
  </si>
  <si>
    <t>Aquecer mosto para mash-out</t>
  </si>
  <si>
    <t>Realizar mash-out</t>
  </si>
  <si>
    <t>Realizar lavagem</t>
  </si>
  <si>
    <t>Realizar fervura</t>
  </si>
  <si>
    <t>Tempo da 1a lupulagem</t>
  </si>
  <si>
    <t>pct</t>
  </si>
  <si>
    <t>Tempo da 2a lupulagem</t>
  </si>
  <si>
    <t>Realizar Whirpool - vortex</t>
  </si>
  <si>
    <t>Realizar Whirpool - repouso</t>
  </si>
  <si>
    <t xml:space="preserve">Resfriar mosto do fermentador </t>
  </si>
  <si>
    <t>Aplicar levedura</t>
  </si>
  <si>
    <t>Ajustar temperatura de fermentação</t>
  </si>
  <si>
    <t>Check</t>
  </si>
  <si>
    <t>BRASSAGEM DO DIA xx/xx/xx</t>
  </si>
  <si>
    <t>Equip.:</t>
  </si>
  <si>
    <t>Estilo:</t>
  </si>
  <si>
    <t>Nome:</t>
  </si>
  <si>
    <t>Observações / Comentários</t>
  </si>
  <si>
    <t>Bi Cel</t>
  </si>
  <si>
    <t>INSUMO</t>
  </si>
  <si>
    <t>Leveduras (minimo)</t>
  </si>
  <si>
    <t>ITEM</t>
  </si>
  <si>
    <t>Observações  / comentários</t>
  </si>
  <si>
    <t>Cítrico</t>
  </si>
  <si>
    <t>Frutado</t>
  </si>
  <si>
    <t>Floral</t>
  </si>
  <si>
    <t>Picante</t>
  </si>
  <si>
    <t>Tabaco/Terra/Resinoso</t>
  </si>
  <si>
    <t>Herbal</t>
  </si>
  <si>
    <t>Caramelaldo</t>
  </si>
  <si>
    <t>Café</t>
  </si>
  <si>
    <t>Cacau</t>
  </si>
  <si>
    <t>Chocolate escuro</t>
  </si>
  <si>
    <t>Amendoas torradas</t>
  </si>
  <si>
    <t>Frutas secas</t>
  </si>
  <si>
    <t>Pão</t>
  </si>
  <si>
    <t>Defumado</t>
  </si>
  <si>
    <t>Cravo</t>
  </si>
  <si>
    <t>Amendoas</t>
  </si>
  <si>
    <t>Avelã</t>
  </si>
  <si>
    <t>Passas</t>
  </si>
  <si>
    <t>Baunilha</t>
  </si>
  <si>
    <t>Mel</t>
  </si>
  <si>
    <t>Biscoito</t>
  </si>
  <si>
    <t>Marmelada</t>
  </si>
  <si>
    <t>Dulçor malte</t>
  </si>
  <si>
    <t>Toffee</t>
  </si>
  <si>
    <t>Caramelo claro</t>
  </si>
  <si>
    <t>Caramelo escuro</t>
  </si>
  <si>
    <t>Azedo</t>
  </si>
  <si>
    <t>Doce</t>
  </si>
  <si>
    <t>Amargo</t>
  </si>
  <si>
    <t>Extrato Incial</t>
  </si>
  <si>
    <t>Qtde Total Bi Céls min</t>
  </si>
  <si>
    <t>Qtde Total Bi Céls max</t>
  </si>
  <si>
    <r>
      <t xml:space="preserve">Extrato de Caldeira Cheia
°P 
</t>
    </r>
    <r>
      <rPr>
        <sz val="11"/>
        <color theme="1"/>
        <rFont val="Arial"/>
        <family val="2"/>
      </rPr>
      <t>(Função do Extrato em g/100mL)</t>
    </r>
  </si>
  <si>
    <r>
      <t xml:space="preserve">Extrato do Mosto de Apronte
°P
</t>
    </r>
    <r>
      <rPr>
        <sz val="11"/>
        <color theme="1"/>
        <rFont val="Arial"/>
        <family val="2"/>
      </rPr>
      <t>(Função do Extrato em g/100mL)</t>
    </r>
  </si>
  <si>
    <t>COR</t>
  </si>
  <si>
    <t>Fervura</t>
  </si>
  <si>
    <t>Malte 5</t>
  </si>
  <si>
    <t>Malte 1</t>
  </si>
  <si>
    <t>Malte 2</t>
  </si>
  <si>
    <t>Malte3</t>
  </si>
  <si>
    <t>Malte 4</t>
  </si>
  <si>
    <t>Lupulo 1</t>
  </si>
  <si>
    <t>Lupulo 2</t>
  </si>
  <si>
    <t>Lupulo3</t>
  </si>
  <si>
    <t>Atributos</t>
  </si>
  <si>
    <t>Esb</t>
  </si>
  <si>
    <t>Cor Corrigida</t>
  </si>
  <si>
    <t>LEVEDURA ALE</t>
  </si>
  <si>
    <t>Cervej.:</t>
  </si>
  <si>
    <t>Nome da ou do Cervejeiro</t>
  </si>
  <si>
    <t>Nome da Cerveja</t>
  </si>
  <si>
    <t>Estilo da Cerveja</t>
  </si>
  <si>
    <t>Qtde de CaCl2.2H20 g/L</t>
  </si>
  <si>
    <t>Qtde de  ZnSO4.7H2O g/L</t>
  </si>
  <si>
    <t>LEVEDURA LAGER</t>
  </si>
  <si>
    <t>Levedura pelo Cervejeiro</t>
  </si>
  <si>
    <t>Adicionar Cloreto de Cálcio</t>
  </si>
  <si>
    <t>Adicionar Sulfato de Cálcio</t>
  </si>
  <si>
    <t>Medir e ajustar pH da água de mostura</t>
  </si>
  <si>
    <t>p/cerv.</t>
  </si>
  <si>
    <t>Arriar maltes e adjuntos da mostura</t>
  </si>
  <si>
    <t>Medir e ajustar pH da mostura</t>
  </si>
  <si>
    <t>Aquecer mosto para 3° rampa</t>
  </si>
  <si>
    <t>Realizar 3° rampa</t>
  </si>
  <si>
    <t>Medir e ajustar pH da água de lavagem</t>
  </si>
  <si>
    <t>Preparar água de lavagem</t>
  </si>
  <si>
    <t>Tempo da 3a lupulagem</t>
  </si>
  <si>
    <t>Tempo da 4a lupulagem</t>
  </si>
  <si>
    <t>Tempo da 5a lupulagem</t>
  </si>
  <si>
    <t>Tempo da 6a lupulagem</t>
  </si>
  <si>
    <t>Tempo da 7a lupulagem</t>
  </si>
  <si>
    <t>DIREÇÕES GERAIS - CHECK LIST</t>
  </si>
  <si>
    <t>Valores</t>
  </si>
  <si>
    <t>Observações / desvios</t>
  </si>
  <si>
    <t>MOAGEM</t>
  </si>
  <si>
    <t>Hora inicial</t>
  </si>
  <si>
    <t>Ajuste da distância dos rolos - grão casca</t>
  </si>
  <si>
    <t>Ajuste da distância dos rolos - grão s/ casca</t>
  </si>
  <si>
    <t>Outros ajustes</t>
  </si>
  <si>
    <t>Hora final</t>
  </si>
  <si>
    <t>Tempo Total da moagem</t>
  </si>
  <si>
    <t>Hora final - final mashout</t>
  </si>
  <si>
    <t>Hora inicial - início arreio</t>
  </si>
  <si>
    <t>Hora inicial - início transferência clarificação</t>
  </si>
  <si>
    <t>Hora final - término transferência fervura</t>
  </si>
  <si>
    <t>Extrato mosto bagaço na interrupção</t>
  </si>
  <si>
    <t>Qtde de adjuntos de fervura</t>
  </si>
  <si>
    <t>Hora inicial - início aquecimento</t>
  </si>
  <si>
    <t>Tempo Total da clarificação/lavagem</t>
  </si>
  <si>
    <t>Hora final - término do whirpool</t>
  </si>
  <si>
    <t>Tempo Total de fervura/whirpool</t>
  </si>
  <si>
    <t>Hora inicial - início transferência fermentador</t>
  </si>
  <si>
    <t>Temperatura entrada refrigerante 1o estágio</t>
  </si>
  <si>
    <t>Temperatura entrada refrigerante 2o estágio</t>
  </si>
  <si>
    <t>Temperatura entrada mosto fermentador</t>
  </si>
  <si>
    <t>Hora final - fim transferência fermentador</t>
  </si>
  <si>
    <t>Extrato do apronte</t>
  </si>
  <si>
    <t>Temperatura de fermentação</t>
  </si>
  <si>
    <t>Moinho - Inspeção visual da instalação e funcional</t>
  </si>
  <si>
    <t>Moinho - Inspeção visual limpeza</t>
  </si>
  <si>
    <t>Filtros de água - Etiqueta de manutenção</t>
  </si>
  <si>
    <t>Filtros de água - Insepção visual da instalação e funcional</t>
  </si>
  <si>
    <t>Painel de Controle da Brassagem - Inspeção visual da instalação e funcional</t>
  </si>
  <si>
    <t>Tanque de mostura - Inspeção visual vidros/plásticos</t>
  </si>
  <si>
    <t>Tanque de mostura - Inspeção visual e funcional  agitador/caixa redutora/motor</t>
  </si>
  <si>
    <t>Tanque de clarificação - Inspeção visual vidros/plásticos</t>
  </si>
  <si>
    <t>Tanque de clarificação - Inspeção visual e funcional  afofador/caixa redutora/motor</t>
  </si>
  <si>
    <t>Tanque de mostura - portas de visitas / vedações</t>
  </si>
  <si>
    <t>Tanque de clarificação - portas de visitas / vedações</t>
  </si>
  <si>
    <t>Tanque de mostura - Inspeção visual interna - costado, fundo, teto, tubos de entrada e saída, acessórios - limpeza/cip</t>
  </si>
  <si>
    <t>Tanque de clarificação - Inspeção visual interna - costado, fundo, teto, fundo falso tubos de entrada e saída, acessórios - limpeza/cip</t>
  </si>
  <si>
    <t>Tanque de fervura/whirpool - Inspeção visual interna - costado, fundo, teto, calandra, tubos de entrada e saída, acessórios - limpeza/cip</t>
  </si>
  <si>
    <t>Tanque de fervura/whirpool  - Inspeção visual vidros/plásticos</t>
  </si>
  <si>
    <t>Tanque de clarificação - chaminé e coletor de condensado</t>
  </si>
  <si>
    <t>Bomba Transferência mostura/clarificação - inspeção visual e funcional, acionamento, rotação, vazamentos.</t>
  </si>
  <si>
    <t>Bomba Transferência clarificação/fervura - inspeção visual e funcional, acionamento, rotação, vazamentos.</t>
  </si>
  <si>
    <t>Bomba Transferência fervura/trocador de calor - inspeção visual e funcional, acionamento, rotação, vazamentos.</t>
  </si>
  <si>
    <t>Bomba Transferência fervura/trocador de calor - inspeção visual limpeza/cip</t>
  </si>
  <si>
    <t>Trocador de calor - Inspeção visual externa, conexões, vazamentos, acessórios, registros de limpeza e CIP.</t>
  </si>
  <si>
    <t>Aerador - Inspeção visual externa, conexões, vazamentos, acessórios, registros de limpeza e CIP.</t>
  </si>
  <si>
    <t>Aerador - Inspeção visual vidros, plasticos.</t>
  </si>
  <si>
    <t>Aerador - Fonte de O2 . Abastecimento, reguladora e rotâmetro, cilindro, vazamentos.</t>
  </si>
  <si>
    <t>Tubulações, mangueiras, conexões clamp, roscadas e flangeadas - inspeção visual, vazamentos.</t>
  </si>
  <si>
    <t>Tubulações, mangueiras, conexões clamp, roscadas e flangeadas - inspeção visual, limpeza/cip, vazamentos.</t>
  </si>
  <si>
    <t>Fermentador - Inspeção visual registro de limpeza/cip.</t>
  </si>
  <si>
    <t>Fermentador - Inspeção visual da instalação e funcional do controlador de temperatura</t>
  </si>
  <si>
    <t>Fermentador - Inspeção visual externa, válvula de segurança, válvula reguladora, manômetro, visor de nível, sensores de temperatura</t>
  </si>
  <si>
    <t>Fermentador - Inspeção visual externa, válvula manuais de alívio, bloqueio, entradas e saídas, purgas, amostradoras, vazamentos.</t>
  </si>
  <si>
    <t>Fermentador - Inspeção visual vidros, plasticos.</t>
  </si>
  <si>
    <t>INSPEÇÕES PRÉ-BRASSAGEM - SEGURANÇA E MEIO AMBIENTE</t>
  </si>
  <si>
    <t>INSPEÇÕES PRÉ-BRASSAGEM - EQUIPAMENTOS</t>
  </si>
  <si>
    <t>Integridade da Iluminação e estado das luminárias</t>
  </si>
  <si>
    <t>Integridade da ventilação</t>
  </si>
  <si>
    <t>Integridade dos pisos e canaletas</t>
  </si>
  <si>
    <t>5S  geral das instalações, produtos químicos e reagentes</t>
  </si>
  <si>
    <t>Estado e integridade de ferramentas e acessórios manuais e elétricos</t>
  </si>
  <si>
    <t>Desobstruções de drenos de escoamentos, vazamentos e vents</t>
  </si>
  <si>
    <t>Estado e integridade de tomadas elétricas</t>
  </si>
  <si>
    <t>EPI + EPC - transporte de cargas até 25kg</t>
  </si>
  <si>
    <t xml:space="preserve">EPI + EPC - Fase quente </t>
  </si>
  <si>
    <t>EPI + EPC - Fase fria</t>
  </si>
  <si>
    <t>Dispositivos e equipamentos móveis para bloqueio ou impedimento de acesso à equipamentos ou áreas</t>
  </si>
  <si>
    <t>Plano de ação para caso de emergências e acidentes</t>
  </si>
  <si>
    <t>Número do Registro do Produto</t>
  </si>
  <si>
    <t>Número do Lote do Produto</t>
  </si>
  <si>
    <t>NOME</t>
  </si>
  <si>
    <t>ESTILO</t>
  </si>
  <si>
    <t>RESP</t>
  </si>
  <si>
    <t>LOTE</t>
  </si>
  <si>
    <t>MAPA</t>
  </si>
  <si>
    <t>FERMENT</t>
  </si>
  <si>
    <t>Número do Fermentador</t>
  </si>
  <si>
    <t>EXTR,</t>
  </si>
  <si>
    <t>EXTRATO INICIAL °P</t>
  </si>
  <si>
    <t>TEMPO NA FERVURA MIN</t>
  </si>
  <si>
    <t>Pale Ale</t>
  </si>
  <si>
    <t>FG min calc.</t>
  </si>
  <si>
    <t>Extrato Original (OG)</t>
  </si>
  <si>
    <t>FG max calc.</t>
  </si>
  <si>
    <t>Teor alcoólico min calc.</t>
  </si>
  <si>
    <t>Teor alcoólico max calc.</t>
  </si>
  <si>
    <t>Cor calc.</t>
  </si>
  <si>
    <t>Tempo para adição de ZnSO4</t>
  </si>
  <si>
    <t>Adicionar ZnSO4</t>
  </si>
  <si>
    <t>Tempo para adição de adjuntos de fervura</t>
  </si>
  <si>
    <t>Volume de Caldeira Cheia</t>
  </si>
  <si>
    <t>Extrato de Caldeira Cheia</t>
  </si>
  <si>
    <t>Extrato do Mosto de Apronte</t>
  </si>
  <si>
    <t>Eficiência da Sala de Brassagem - Esb</t>
  </si>
  <si>
    <t>Taxa de Evaporação</t>
  </si>
  <si>
    <t>MEMORIAL DE CÁLCULO</t>
  </si>
  <si>
    <t>RECEITA</t>
  </si>
  <si>
    <t>DOSAGEM DE ÁGUA</t>
  </si>
  <si>
    <t>Fermentescível sem casca 2</t>
  </si>
  <si>
    <t>Fermentescivel de fervura 2</t>
  </si>
  <si>
    <t>Dosar adjuntos de fervura</t>
  </si>
  <si>
    <t>Extrato Aparente (FG) esperado</t>
  </si>
  <si>
    <t>Teor alcoólico esperado</t>
  </si>
  <si>
    <t>Extrato do Mosto
(função do Extrato em °P)</t>
  </si>
  <si>
    <t>Rotação moedor - grãos casca</t>
  </si>
  <si>
    <t>Rotação moedor - grãos s/ casca</t>
  </si>
  <si>
    <t>Ausência de odores estranhos - esgoto, gordura, azedo, mofo, podre etc</t>
  </si>
  <si>
    <t>Melanoidina</t>
  </si>
  <si>
    <t>Special B</t>
  </si>
  <si>
    <t>Special W</t>
  </si>
  <si>
    <t>mais madeira</t>
  </si>
  <si>
    <t>mais frutas secas</t>
  </si>
  <si>
    <t>Aromas Tostados</t>
  </si>
  <si>
    <t>Aromas frutados 
nozes</t>
  </si>
  <si>
    <t>Aromas maltados</t>
  </si>
  <si>
    <t>Aromas caramelo</t>
  </si>
  <si>
    <t>Gosto</t>
  </si>
  <si>
    <t>Aromas fumaça madeira</t>
  </si>
  <si>
    <t>Pilsen</t>
  </si>
  <si>
    <t>Carared</t>
  </si>
  <si>
    <t>Carafa 2</t>
  </si>
  <si>
    <t>280 @ 320</t>
  </si>
  <si>
    <t>1100 @ 1200</t>
  </si>
  <si>
    <t>5,5 @ 7,5</t>
  </si>
  <si>
    <t>2,5 @ 4,5</t>
  </si>
  <si>
    <t>60 @ 80</t>
  </si>
  <si>
    <t>40 @ 60</t>
  </si>
  <si>
    <t>260 @ 320</t>
  </si>
  <si>
    <t>Malte Aveia</t>
  </si>
  <si>
    <t>3,0 @ 6,5</t>
  </si>
  <si>
    <t>Este modelo de Mosher só funciona com o tempo igual ou acima de 2,5min e igual E igual ou abaixo de 120min de fervura.</t>
  </si>
  <si>
    <t>AJUSTE DO CÁLCIO COM CaCl2.2H2O</t>
  </si>
  <si>
    <t>UTILIZAÇÃO DO LUPULO - MOSHER</t>
  </si>
  <si>
    <t>mg/L 
isso-alfa-acidos</t>
  </si>
  <si>
    <t>Concentração Total
isso-alfa-acidos
mg/L</t>
  </si>
  <si>
    <t>ºP &gt; SG</t>
  </si>
  <si>
    <t>SG</t>
  </si>
  <si>
    <t>NOTAS DE REVISÃO</t>
  </si>
  <si>
    <t>VERSÃO</t>
  </si>
  <si>
    <t>COMENTÁRIOS</t>
  </si>
  <si>
    <t>0.0 Beta</t>
  </si>
  <si>
    <t>REFERÊNCIAS DE ESTUDO</t>
  </si>
  <si>
    <t>AGRADECIMENTOS</t>
  </si>
  <si>
    <t>Emissão Inicial - Teste Beta</t>
  </si>
  <si>
    <t>Apostila e notas de aula da Turma Rio de Janeiro 2023/24 do Curso Avançado de Tecnologia Cervejeira do ICB</t>
  </si>
  <si>
    <t>https://beersmith.com/blog/2021/09/23/hop-utilization-models-for-beer-brewing-compared/</t>
  </si>
  <si>
    <t>https://alchemyoverlord.wordpress.com/</t>
  </si>
  <si>
    <t>https://www.weyermann.de/en-gb/home/</t>
  </si>
  <si>
    <t>https://www.barthhaas.com/</t>
  </si>
  <si>
    <t>https://www.laboratoriodacerveja.com.br/</t>
  </si>
  <si>
    <t>Estas tabelas de cálculos foram produzidas como parte do trabalho final da Turma Rio de Janeiro 2023/24 do Curso Avançado de Tecnologia Cervejeira do ICB</t>
  </si>
  <si>
    <t>O desafio do trabalho foi produzir uma cerveja que homenageasse a Tripel Karmeliet. E conseguimos!</t>
  </si>
  <si>
    <t>Agradecimentos aos professores do @institutodacerveja:</t>
  </si>
  <si>
    <t>@alfredolbferreira</t>
  </si>
  <si>
    <t>@marcusdapper</t>
  </si>
  <si>
    <t>Agradecimentos especiais ao grupo Gouden Carmelita:</t>
  </si>
  <si>
    <t>@anthonycallazans_10</t>
  </si>
  <si>
    <t>@josewagner.ribeiro.90</t>
  </si>
  <si>
    <t>@marianatotola_</t>
  </si>
  <si>
    <t>@mauriciogrille</t>
  </si>
  <si>
    <t>@robsonpenna7733</t>
  </si>
  <si>
    <t>PRODUZIDO POR: Mauricio Grille, @mauriciogrille</t>
  </si>
  <si>
    <t>A equação de conversão °P para g/100mL foi montada em função da tabela de Goldiner disponibilizada na apostila do ICB</t>
  </si>
  <si>
    <t>Nome do Estilo</t>
  </si>
  <si>
    <t>Nome do Cervejeiro</t>
  </si>
  <si>
    <t>Nome do Equipamento</t>
  </si>
  <si>
    <t>Colocar água de mostura na tina de mostura</t>
  </si>
  <si>
    <t>Executar rinsagem da tina de clarificação</t>
  </si>
  <si>
    <t>Adicionar água de lastro da tina de clarificação</t>
  </si>
  <si>
    <t>Realizar transferência do mosto para tina de clarificação</t>
  </si>
  <si>
    <t>Realizar repouso do mosto na tina de clarificação</t>
  </si>
  <si>
    <t>m3/h</t>
  </si>
  <si>
    <t>Realizar recirculação</t>
  </si>
  <si>
    <t>Realizar transferência do 1° mosto para tina de fervura</t>
  </si>
  <si>
    <t>Aquecer mosto para fervura</t>
  </si>
  <si>
    <t>Galão</t>
  </si>
  <si>
    <t>LCY-113</t>
  </si>
  <si>
    <t>Realizar resfriamento/transferência/aeração</t>
  </si>
  <si>
    <t>A equação de conversão IBU para mg/L de iso-alfa-ácidos foi montada em função da tabela de L.R.Bishop disponibilizada na apostila do ICB</t>
  </si>
  <si>
    <t>A equação de Utilização foi retirada das Referências de Estudo e foram calibradas com a a Tabela de Mosher disponibilizada na apostila do ICB</t>
  </si>
  <si>
    <t>Malte / fermentescível com casca 3</t>
  </si>
  <si>
    <t>Malte / fermentescível com casca 4</t>
  </si>
  <si>
    <t>Fermentescível sem casca 1</t>
  </si>
  <si>
    <t>Fermentescível de fervura 1</t>
  </si>
  <si>
    <t>Malte / fermentescível com casca 1</t>
  </si>
  <si>
    <t>Malte / fermentescível com casca 2</t>
  </si>
  <si>
    <t>Lúpulo 1</t>
  </si>
  <si>
    <t>Lúpulo 2</t>
  </si>
  <si>
    <t>Lúpulo 3</t>
  </si>
  <si>
    <t>Lúpulo 4</t>
  </si>
  <si>
    <t>Lúpulo 5</t>
  </si>
  <si>
    <t>Lúpulo 6</t>
  </si>
  <si>
    <t>Lupulo 7</t>
  </si>
  <si>
    <t>NOVOS CALCULOS CERVEJEIROS (ICB)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</si>
</sst>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0.0"/>
    <numFmt numFmtId="166" formatCode="0.0%"/>
    <numFmt numFmtId="167" formatCode="0.0000"/>
  </numFmts>
  <fonts count="33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</font>
    <font>
      <sz val="9"/>
      <color rgb="FF000000"/>
      <name val="Calibri"/>
      <family val="2"/>
    </font>
    <font>
      <u/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Calibri"/>
      <family val="2"/>
    </font>
    <font>
      <u/>
      <sz val="9"/>
      <color theme="1"/>
      <name val="Arial"/>
      <family val="2"/>
    </font>
    <font>
      <u/>
      <sz val="9"/>
      <color theme="1"/>
      <name val="Calibri"/>
      <family val="2"/>
    </font>
    <font>
      <b/>
      <u/>
      <sz val="10"/>
      <color rgb="FF000000"/>
      <name val="Calibri"/>
      <family val="2"/>
    </font>
    <font>
      <b/>
      <u/>
      <sz val="9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u/>
      <sz val="14"/>
      <color theme="1"/>
      <name val="Arial"/>
      <family val="2"/>
    </font>
    <font>
      <sz val="8"/>
      <name val="Arial"/>
      <family val="2"/>
    </font>
    <font>
      <b/>
      <u/>
      <sz val="14"/>
      <color theme="1"/>
      <name val="Arial"/>
      <family val="2"/>
    </font>
    <font>
      <sz val="12"/>
      <color theme="1"/>
      <name val="Arial"/>
      <family val="2"/>
    </font>
    <font>
      <u/>
      <sz val="12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Arial"/>
      <family val="2"/>
    </font>
    <font>
      <sz val="10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9" fontId="4" fillId="0" borderId="0" applyFont="0" applyFill="0" applyBorder="0" applyAlignment="0" applyProtection="0"/>
    <xf numFmtId="0" fontId="4" fillId="0" borderId="1"/>
    <xf numFmtId="9" fontId="4" fillId="0" borderId="1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1"/>
    <xf numFmtId="0" fontId="31" fillId="0" borderId="1" applyNumberFormat="0" applyFill="0" applyBorder="0" applyAlignment="0" applyProtection="0"/>
    <xf numFmtId="0" fontId="3" fillId="0" borderId="1"/>
  </cellStyleXfs>
  <cellXfs count="549">
    <xf numFmtId="0" fontId="0" fillId="0" borderId="0" xfId="0"/>
    <xf numFmtId="0" fontId="5" fillId="0" borderId="1" xfId="0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0" fontId="0" fillId="0" borderId="1" xfId="0" applyBorder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10" fillId="0" borderId="0" xfId="0" applyFont="1"/>
    <xf numFmtId="0" fontId="10" fillId="0" borderId="1" xfId="0" applyFont="1" applyBorder="1"/>
    <xf numFmtId="166" fontId="0" fillId="0" borderId="0" xfId="1" applyNumberFormat="1" applyFont="1"/>
    <xf numFmtId="0" fontId="5" fillId="0" borderId="1" xfId="0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167" fontId="0" fillId="0" borderId="0" xfId="0" applyNumberFormat="1"/>
    <xf numFmtId="167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2" fontId="1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24" xfId="0" applyBorder="1"/>
    <xf numFmtId="0" fontId="0" fillId="0" borderId="25" xfId="0" applyBorder="1"/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2" fontId="5" fillId="0" borderId="27" xfId="0" applyNumberFormat="1" applyFont="1" applyBorder="1" applyAlignment="1">
      <alignment horizontal="center" vertical="center"/>
    </xf>
    <xf numFmtId="2" fontId="5" fillId="0" borderId="27" xfId="1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65" fontId="5" fillId="0" borderId="25" xfId="0" applyNumberFormat="1" applyFont="1" applyBorder="1" applyAlignment="1">
      <alignment horizontal="center" vertical="center"/>
    </xf>
    <xf numFmtId="0" fontId="9" fillId="0" borderId="1" xfId="0" applyFont="1" applyBorder="1"/>
    <xf numFmtId="0" fontId="6" fillId="4" borderId="2" xfId="0" applyFont="1" applyFill="1" applyBorder="1" applyAlignment="1">
      <alignment horizontal="center" vertical="center"/>
    </xf>
    <xf numFmtId="2" fontId="6" fillId="4" borderId="2" xfId="0" applyNumberFormat="1" applyFont="1" applyFill="1" applyBorder="1" applyAlignment="1">
      <alignment horizontal="center" vertical="center"/>
    </xf>
    <xf numFmtId="2" fontId="15" fillId="4" borderId="2" xfId="0" applyNumberFormat="1" applyFont="1" applyFill="1" applyBorder="1" applyAlignment="1">
      <alignment horizontal="center" vertical="center"/>
    </xf>
    <xf numFmtId="9" fontId="6" fillId="4" borderId="2" xfId="1" applyFont="1" applyFill="1" applyBorder="1" applyAlignment="1">
      <alignment horizontal="center" vertical="center"/>
    </xf>
    <xf numFmtId="1" fontId="6" fillId="4" borderId="2" xfId="1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66" fontId="6" fillId="2" borderId="2" xfId="1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/>
    </xf>
    <xf numFmtId="0" fontId="13" fillId="3" borderId="31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166" fontId="13" fillId="3" borderId="5" xfId="1" applyNumberFormat="1" applyFont="1" applyFill="1" applyBorder="1" applyAlignment="1">
      <alignment horizontal="center" vertical="center"/>
    </xf>
    <xf numFmtId="2" fontId="13" fillId="3" borderId="5" xfId="1" applyNumberFormat="1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166" fontId="13" fillId="3" borderId="2" xfId="1" applyNumberFormat="1" applyFont="1" applyFill="1" applyBorder="1" applyAlignment="1">
      <alignment horizontal="center" vertical="center"/>
    </xf>
    <xf numFmtId="2" fontId="13" fillId="3" borderId="2" xfId="1" applyNumberFormat="1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2" fontId="13" fillId="3" borderId="12" xfId="1" applyNumberFormat="1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2" fontId="7" fillId="3" borderId="13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166" fontId="6" fillId="2" borderId="2" xfId="1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66" fontId="6" fillId="2" borderId="12" xfId="1" applyNumberFormat="1" applyFont="1" applyFill="1" applyBorder="1" applyAlignment="1">
      <alignment horizontal="center" vertical="center"/>
    </xf>
    <xf numFmtId="166" fontId="6" fillId="2" borderId="5" xfId="1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6" fillId="2" borderId="23" xfId="1" applyNumberFormat="1" applyFont="1" applyFill="1" applyBorder="1" applyAlignment="1">
      <alignment horizontal="center" vertical="center"/>
    </xf>
    <xf numFmtId="0" fontId="6" fillId="2" borderId="10" xfId="1" applyNumberFormat="1" applyFont="1" applyFill="1" applyBorder="1" applyAlignment="1">
      <alignment horizontal="center" vertical="center"/>
    </xf>
    <xf numFmtId="2" fontId="7" fillId="3" borderId="10" xfId="0" applyNumberFormat="1" applyFont="1" applyFill="1" applyBorder="1" applyAlignment="1">
      <alignment horizontal="center" vertical="center"/>
    </xf>
    <xf numFmtId="165" fontId="7" fillId="3" borderId="10" xfId="0" applyNumberFormat="1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165" fontId="14" fillId="2" borderId="11" xfId="0" applyNumberFormat="1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2" fontId="6" fillId="2" borderId="12" xfId="0" applyNumberFormat="1" applyFont="1" applyFill="1" applyBorder="1" applyAlignment="1">
      <alignment horizontal="center" vertical="center"/>
    </xf>
    <xf numFmtId="0" fontId="0" fillId="0" borderId="4" xfId="0" applyBorder="1"/>
    <xf numFmtId="0" fontId="12" fillId="3" borderId="5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165" fontId="12" fillId="3" borderId="32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165" fontId="9" fillId="3" borderId="8" xfId="0" applyNumberFormat="1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165" fontId="9" fillId="3" borderId="18" xfId="0" applyNumberFormat="1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165" fontId="12" fillId="3" borderId="10" xfId="0" applyNumberFormat="1" applyFont="1" applyFill="1" applyBorder="1" applyAlignment="1">
      <alignment horizontal="center" vertical="center"/>
    </xf>
    <xf numFmtId="1" fontId="12" fillId="3" borderId="10" xfId="0" applyNumberFormat="1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 wrapText="1"/>
    </xf>
    <xf numFmtId="165" fontId="12" fillId="3" borderId="23" xfId="0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165" fontId="14" fillId="2" borderId="12" xfId="0" applyNumberFormat="1" applyFont="1" applyFill="1" applyBorder="1" applyAlignment="1">
      <alignment horizontal="center" vertical="center"/>
    </xf>
    <xf numFmtId="165" fontId="14" fillId="2" borderId="13" xfId="0" applyNumberFormat="1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 wrapText="1"/>
    </xf>
    <xf numFmtId="0" fontId="12" fillId="3" borderId="9" xfId="0" applyFont="1" applyFill="1" applyBorder="1"/>
    <xf numFmtId="165" fontId="8" fillId="3" borderId="10" xfId="0" applyNumberFormat="1" applyFont="1" applyFill="1" applyBorder="1" applyAlignment="1">
      <alignment horizontal="center" vertical="center"/>
    </xf>
    <xf numFmtId="0" fontId="12" fillId="3" borderId="30" xfId="0" applyFont="1" applyFill="1" applyBorder="1"/>
    <xf numFmtId="0" fontId="12" fillId="3" borderId="31" xfId="0" applyFont="1" applyFill="1" applyBorder="1"/>
    <xf numFmtId="2" fontId="12" fillId="3" borderId="32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23" xfId="0" applyFont="1" applyFill="1" applyBorder="1" applyAlignment="1">
      <alignment horizontal="center" vertical="center" wrapText="1"/>
    </xf>
    <xf numFmtId="165" fontId="10" fillId="3" borderId="11" xfId="0" applyNumberFormat="1" applyFont="1" applyFill="1" applyBorder="1" applyAlignment="1">
      <alignment horizontal="center" vertical="center"/>
    </xf>
    <xf numFmtId="165" fontId="10" fillId="3" borderId="12" xfId="0" applyNumberFormat="1" applyFont="1" applyFill="1" applyBorder="1" applyAlignment="1">
      <alignment horizontal="center" vertical="center"/>
    </xf>
    <xf numFmtId="165" fontId="0" fillId="3" borderId="12" xfId="0" applyNumberFormat="1" applyFill="1" applyBorder="1" applyAlignment="1">
      <alignment horizontal="center" vertical="center"/>
    </xf>
    <xf numFmtId="165" fontId="0" fillId="3" borderId="13" xfId="0" applyNumberForma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0" fontId="19" fillId="0" borderId="0" xfId="0" applyFont="1"/>
    <xf numFmtId="0" fontId="4" fillId="0" borderId="1" xfId="2"/>
    <xf numFmtId="166" fontId="0" fillId="0" borderId="0" xfId="0" applyNumberFormat="1"/>
    <xf numFmtId="0" fontId="13" fillId="3" borderId="37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 wrapText="1"/>
    </xf>
    <xf numFmtId="0" fontId="13" fillId="3" borderId="29" xfId="0" applyFont="1" applyFill="1" applyBorder="1" applyAlignment="1">
      <alignment horizontal="center" vertical="center"/>
    </xf>
    <xf numFmtId="0" fontId="13" fillId="3" borderId="36" xfId="0" applyFont="1" applyFill="1" applyBorder="1" applyAlignment="1">
      <alignment horizontal="center" vertical="center" wrapText="1"/>
    </xf>
    <xf numFmtId="165" fontId="13" fillId="3" borderId="23" xfId="0" applyNumberFormat="1" applyFont="1" applyFill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0" fontId="0" fillId="0" borderId="1" xfId="2" applyFont="1"/>
    <xf numFmtId="0" fontId="13" fillId="3" borderId="30" xfId="0" applyFont="1" applyFill="1" applyBorder="1" applyAlignment="1">
      <alignment horizontal="center" vertical="center" wrapText="1"/>
    </xf>
    <xf numFmtId="0" fontId="4" fillId="3" borderId="2" xfId="2" applyFill="1" applyBorder="1"/>
    <xf numFmtId="0" fontId="11" fillId="0" borderId="2" xfId="2" applyFont="1" applyBorder="1" applyAlignment="1">
      <alignment horizontal="center"/>
    </xf>
    <xf numFmtId="0" fontId="11" fillId="0" borderId="2" xfId="2" applyFont="1" applyBorder="1" applyAlignment="1">
      <alignment horizontal="center" vertical="center"/>
    </xf>
    <xf numFmtId="165" fontId="11" fillId="0" borderId="2" xfId="2" applyNumberFormat="1" applyFont="1" applyBorder="1" applyAlignment="1">
      <alignment horizontal="center" vertical="center"/>
    </xf>
    <xf numFmtId="2" fontId="11" fillId="0" borderId="2" xfId="2" applyNumberFormat="1" applyFont="1" applyBorder="1" applyAlignment="1">
      <alignment horizontal="center"/>
    </xf>
    <xf numFmtId="2" fontId="11" fillId="0" borderId="2" xfId="2" applyNumberFormat="1" applyFont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0" fontId="4" fillId="3" borderId="2" xfId="2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/>
    </xf>
    <xf numFmtId="166" fontId="5" fillId="3" borderId="3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 wrapText="1"/>
    </xf>
    <xf numFmtId="166" fontId="5" fillId="3" borderId="2" xfId="1" applyNumberFormat="1" applyFont="1" applyFill="1" applyBorder="1" applyAlignment="1">
      <alignment horizontal="center" vertical="center"/>
    </xf>
    <xf numFmtId="2" fontId="5" fillId="3" borderId="2" xfId="1" applyNumberFormat="1" applyFont="1" applyFill="1" applyBorder="1" applyAlignment="1">
      <alignment horizontal="center" vertical="center"/>
    </xf>
    <xf numFmtId="2" fontId="5" fillId="3" borderId="10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10" fontId="5" fillId="3" borderId="2" xfId="0" applyNumberFormat="1" applyFont="1" applyFill="1" applyBorder="1" applyAlignment="1">
      <alignment horizontal="center" vertical="center"/>
    </xf>
    <xf numFmtId="165" fontId="5" fillId="3" borderId="10" xfId="0" applyNumberFormat="1" applyFont="1" applyFill="1" applyBorder="1" applyAlignment="1">
      <alignment horizontal="center" vertical="center"/>
    </xf>
    <xf numFmtId="165" fontId="5" fillId="3" borderId="3" xfId="0" applyNumberFormat="1" applyFont="1" applyFill="1" applyBorder="1" applyAlignment="1">
      <alignment horizontal="center" vertical="center"/>
    </xf>
    <xf numFmtId="10" fontId="5" fillId="3" borderId="3" xfId="0" applyNumberFormat="1" applyFont="1" applyFill="1" applyBorder="1" applyAlignment="1">
      <alignment horizontal="center" vertical="center"/>
    </xf>
    <xf numFmtId="165" fontId="5" fillId="3" borderId="18" xfId="0" applyNumberFormat="1" applyFont="1" applyFill="1" applyBorder="1" applyAlignment="1">
      <alignment horizontal="center" vertical="center"/>
    </xf>
    <xf numFmtId="165" fontId="7" fillId="3" borderId="32" xfId="0" applyNumberFormat="1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 wrapText="1"/>
    </xf>
    <xf numFmtId="10" fontId="7" fillId="3" borderId="32" xfId="1" applyNumberFormat="1" applyFont="1" applyFill="1" applyBorder="1" applyAlignment="1">
      <alignment horizontal="center" vertical="center"/>
    </xf>
    <xf numFmtId="0" fontId="5" fillId="3" borderId="10" xfId="1" applyNumberFormat="1" applyFont="1" applyFill="1" applyBorder="1" applyAlignment="1">
      <alignment horizontal="center" vertical="center"/>
    </xf>
    <xf numFmtId="3" fontId="5" fillId="3" borderId="10" xfId="1" applyNumberFormat="1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3" fontId="5" fillId="3" borderId="18" xfId="1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165" fontId="5" fillId="3" borderId="10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165" fontId="9" fillId="3" borderId="13" xfId="0" applyNumberFormat="1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wrapText="1"/>
    </xf>
    <xf numFmtId="165" fontId="9" fillId="3" borderId="17" xfId="0" applyNumberFormat="1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 wrapText="1"/>
    </xf>
    <xf numFmtId="165" fontId="9" fillId="3" borderId="10" xfId="0" applyNumberFormat="1" applyFont="1" applyFill="1" applyBorder="1" applyAlignment="1">
      <alignment horizontal="center" vertical="center"/>
    </xf>
    <xf numFmtId="0" fontId="12" fillId="3" borderId="37" xfId="0" applyFont="1" applyFill="1" applyBorder="1" applyAlignment="1">
      <alignment horizontal="center" vertical="center" wrapText="1"/>
    </xf>
    <xf numFmtId="165" fontId="12" fillId="3" borderId="36" xfId="0" applyNumberFormat="1" applyFont="1" applyFill="1" applyBorder="1" applyAlignment="1">
      <alignment horizontal="center" vertical="center"/>
    </xf>
    <xf numFmtId="9" fontId="9" fillId="3" borderId="8" xfId="0" applyNumberFormat="1" applyFont="1" applyFill="1" applyBorder="1" applyAlignment="1">
      <alignment horizontal="center" vertical="center"/>
    </xf>
    <xf numFmtId="1" fontId="9" fillId="3" borderId="18" xfId="1" applyNumberFormat="1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 wrapText="1"/>
    </xf>
    <xf numFmtId="165" fontId="12" fillId="3" borderId="16" xfId="0" applyNumberFormat="1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 wrapText="1"/>
    </xf>
    <xf numFmtId="165" fontId="8" fillId="3" borderId="8" xfId="0" applyNumberFormat="1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 wrapText="1"/>
    </xf>
    <xf numFmtId="165" fontId="9" fillId="3" borderId="23" xfId="0" applyNumberFormat="1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horizontal="center" vertical="center"/>
    </xf>
    <xf numFmtId="2" fontId="9" fillId="3" borderId="10" xfId="0" applyNumberFormat="1" applyFont="1" applyFill="1" applyBorder="1" applyAlignment="1">
      <alignment horizontal="center" vertical="center"/>
    </xf>
    <xf numFmtId="0" fontId="9" fillId="3" borderId="9" xfId="0" applyFont="1" applyFill="1" applyBorder="1"/>
    <xf numFmtId="0" fontId="9" fillId="3" borderId="2" xfId="0" applyFont="1" applyFill="1" applyBorder="1"/>
    <xf numFmtId="0" fontId="9" fillId="3" borderId="17" xfId="0" applyFont="1" applyFill="1" applyBorder="1"/>
    <xf numFmtId="0" fontId="9" fillId="3" borderId="3" xfId="0" applyFont="1" applyFill="1" applyBorder="1"/>
    <xf numFmtId="0" fontId="9" fillId="3" borderId="40" xfId="0" applyFont="1" applyFill="1" applyBorder="1"/>
    <xf numFmtId="0" fontId="9" fillId="3" borderId="38" xfId="0" applyFont="1" applyFill="1" applyBorder="1"/>
    <xf numFmtId="0" fontId="9" fillId="3" borderId="22" xfId="0" applyFont="1" applyFill="1" applyBorder="1"/>
    <xf numFmtId="0" fontId="9" fillId="3" borderId="5" xfId="0" applyFont="1" applyFill="1" applyBorder="1"/>
    <xf numFmtId="1" fontId="9" fillId="3" borderId="10" xfId="0" applyNumberFormat="1" applyFont="1" applyFill="1" applyBorder="1" applyAlignment="1">
      <alignment horizontal="center" vertical="center"/>
    </xf>
    <xf numFmtId="1" fontId="9" fillId="3" borderId="39" xfId="0" applyNumberFormat="1" applyFont="1" applyFill="1" applyBorder="1" applyAlignment="1">
      <alignment horizontal="center" vertical="center"/>
    </xf>
    <xf numFmtId="2" fontId="9" fillId="3" borderId="10" xfId="0" applyNumberFormat="1" applyFont="1" applyFill="1" applyBorder="1" applyAlignment="1">
      <alignment horizontal="center"/>
    </xf>
    <xf numFmtId="0" fontId="8" fillId="3" borderId="22" xfId="0" applyFont="1" applyFill="1" applyBorder="1"/>
    <xf numFmtId="0" fontId="8" fillId="3" borderId="5" xfId="0" applyFont="1" applyFill="1" applyBorder="1"/>
    <xf numFmtId="0" fontId="19" fillId="3" borderId="9" xfId="0" applyFont="1" applyFill="1" applyBorder="1" applyAlignment="1">
      <alignment horizontal="left" vertical="center"/>
    </xf>
    <xf numFmtId="0" fontId="19" fillId="3" borderId="11" xfId="0" applyFont="1" applyFill="1" applyBorder="1" applyAlignment="1">
      <alignment horizontal="left" vertical="center"/>
    </xf>
    <xf numFmtId="0" fontId="20" fillId="4" borderId="2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165" fontId="19" fillId="3" borderId="2" xfId="0" applyNumberFormat="1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8" fillId="4" borderId="23" xfId="0" applyFont="1" applyFill="1" applyBorder="1"/>
    <xf numFmtId="0" fontId="19" fillId="4" borderId="10" xfId="0" applyFont="1" applyFill="1" applyBorder="1"/>
    <xf numFmtId="0" fontId="19" fillId="4" borderId="13" xfId="0" applyFont="1" applyFill="1" applyBorder="1"/>
    <xf numFmtId="0" fontId="18" fillId="3" borderId="31" xfId="0" applyFont="1" applyFill="1" applyBorder="1" applyAlignment="1">
      <alignment horizontal="center" vertical="center"/>
    </xf>
    <xf numFmtId="0" fontId="18" fillId="3" borderId="32" xfId="0" applyFont="1" applyFill="1" applyBorder="1"/>
    <xf numFmtId="165" fontId="19" fillId="3" borderId="5" xfId="0" applyNumberFormat="1" applyFont="1" applyFill="1" applyBorder="1" applyAlignment="1">
      <alignment horizontal="center" vertical="center"/>
    </xf>
    <xf numFmtId="0" fontId="19" fillId="4" borderId="23" xfId="0" applyFont="1" applyFill="1" applyBorder="1"/>
    <xf numFmtId="0" fontId="8" fillId="3" borderId="3" xfId="0" applyFont="1" applyFill="1" applyBorder="1"/>
    <xf numFmtId="167" fontId="9" fillId="3" borderId="10" xfId="0" applyNumberFormat="1" applyFont="1" applyFill="1" applyBorder="1" applyAlignment="1">
      <alignment horizontal="center" vertical="center"/>
    </xf>
    <xf numFmtId="164" fontId="9" fillId="3" borderId="10" xfId="0" applyNumberFormat="1" applyFont="1" applyFill="1" applyBorder="1" applyAlignment="1">
      <alignment horizontal="center"/>
    </xf>
    <xf numFmtId="2" fontId="9" fillId="3" borderId="13" xfId="0" applyNumberFormat="1" applyFont="1" applyFill="1" applyBorder="1" applyAlignment="1">
      <alignment horizontal="center" vertical="center"/>
    </xf>
    <xf numFmtId="0" fontId="8" fillId="3" borderId="9" xfId="0" applyFont="1" applyFill="1" applyBorder="1"/>
    <xf numFmtId="0" fontId="8" fillId="3" borderId="2" xfId="0" applyFont="1" applyFill="1" applyBorder="1"/>
    <xf numFmtId="164" fontId="9" fillId="3" borderId="13" xfId="0" applyNumberFormat="1" applyFont="1" applyFill="1" applyBorder="1" applyAlignment="1">
      <alignment horizontal="center" vertical="center"/>
    </xf>
    <xf numFmtId="3" fontId="19" fillId="3" borderId="12" xfId="0" applyNumberFormat="1" applyFont="1" applyFill="1" applyBorder="1" applyAlignment="1">
      <alignment horizontal="center" vertical="center"/>
    </xf>
    <xf numFmtId="3" fontId="13" fillId="3" borderId="8" xfId="1" applyNumberFormat="1" applyFont="1" applyFill="1" applyBorder="1" applyAlignment="1">
      <alignment horizontal="center" vertical="center"/>
    </xf>
    <xf numFmtId="3" fontId="13" fillId="3" borderId="13" xfId="1" applyNumberFormat="1" applyFont="1" applyFill="1" applyBorder="1" applyAlignment="1">
      <alignment horizontal="center" vertical="center"/>
    </xf>
    <xf numFmtId="1" fontId="19" fillId="3" borderId="5" xfId="0" applyNumberFormat="1" applyFont="1" applyFill="1" applyBorder="1" applyAlignment="1">
      <alignment horizontal="center" vertical="center"/>
    </xf>
    <xf numFmtId="1" fontId="19" fillId="3" borderId="2" xfId="0" applyNumberFormat="1" applyFont="1" applyFill="1" applyBorder="1" applyAlignment="1">
      <alignment horizontal="center" vertical="center"/>
    </xf>
    <xf numFmtId="0" fontId="19" fillId="4" borderId="18" xfId="0" applyFont="1" applyFill="1" applyBorder="1"/>
    <xf numFmtId="165" fontId="20" fillId="4" borderId="12" xfId="0" applyNumberFormat="1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left" vertical="center"/>
    </xf>
    <xf numFmtId="0" fontId="19" fillId="5" borderId="6" xfId="0" applyFont="1" applyFill="1" applyBorder="1" applyAlignment="1">
      <alignment horizontal="left" vertical="center"/>
    </xf>
    <xf numFmtId="0" fontId="19" fillId="5" borderId="9" xfId="0" applyFont="1" applyFill="1" applyBorder="1" applyAlignment="1">
      <alignment horizontal="left" vertical="center"/>
    </xf>
    <xf numFmtId="0" fontId="19" fillId="5" borderId="17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2" xfId="0" applyFont="1" applyFill="1" applyBorder="1"/>
    <xf numFmtId="0" fontId="18" fillId="3" borderId="30" xfId="0" applyFont="1" applyFill="1" applyBorder="1"/>
    <xf numFmtId="0" fontId="18" fillId="3" borderId="31" xfId="0" applyFont="1" applyFill="1" applyBorder="1"/>
    <xf numFmtId="0" fontId="19" fillId="4" borderId="22" xfId="0" applyFont="1" applyFill="1" applyBorder="1"/>
    <xf numFmtId="0" fontId="19" fillId="4" borderId="9" xfId="0" applyFont="1" applyFill="1" applyBorder="1"/>
    <xf numFmtId="0" fontId="19" fillId="4" borderId="11" xfId="0" applyFont="1" applyFill="1" applyBorder="1"/>
    <xf numFmtId="0" fontId="19" fillId="3" borderId="5" xfId="0" applyFont="1" applyFill="1" applyBorder="1"/>
    <xf numFmtId="0" fontId="19" fillId="3" borderId="2" xfId="0" applyFont="1" applyFill="1" applyBorder="1"/>
    <xf numFmtId="0" fontId="19" fillId="3" borderId="12" xfId="0" applyFont="1" applyFill="1" applyBorder="1"/>
    <xf numFmtId="0" fontId="19" fillId="4" borderId="2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3" borderId="11" xfId="0" applyFont="1" applyFill="1" applyBorder="1"/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10" fillId="4" borderId="2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/>
    </xf>
    <xf numFmtId="0" fontId="0" fillId="4" borderId="10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/>
    </xf>
    <xf numFmtId="0" fontId="0" fillId="4" borderId="13" xfId="0" applyFill="1" applyBorder="1" applyAlignment="1">
      <alignment horizontal="center" vertical="center"/>
    </xf>
    <xf numFmtId="0" fontId="12" fillId="5" borderId="6" xfId="0" applyFont="1" applyFill="1" applyBorder="1"/>
    <xf numFmtId="0" fontId="12" fillId="3" borderId="17" xfId="0" applyFont="1" applyFill="1" applyBorder="1"/>
    <xf numFmtId="0" fontId="0" fillId="4" borderId="3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12" fillId="3" borderId="9" xfId="0" applyFont="1" applyFill="1" applyBorder="1" applyAlignment="1">
      <alignment wrapText="1"/>
    </xf>
    <xf numFmtId="0" fontId="12" fillId="3" borderId="17" xfId="0" applyFont="1" applyFill="1" applyBorder="1" applyAlignment="1">
      <alignment wrapText="1"/>
    </xf>
    <xf numFmtId="0" fontId="12" fillId="5" borderId="6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left" vertical="center"/>
    </xf>
    <xf numFmtId="0" fontId="12" fillId="3" borderId="22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left" wrapText="1"/>
    </xf>
    <xf numFmtId="0" fontId="0" fillId="4" borderId="5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14" fontId="19" fillId="4" borderId="9" xfId="0" applyNumberFormat="1" applyFont="1" applyFill="1" applyBorder="1" applyAlignment="1">
      <alignment horizontal="center" vertical="center"/>
    </xf>
    <xf numFmtId="165" fontId="19" fillId="4" borderId="2" xfId="0" applyNumberFormat="1" applyFont="1" applyFill="1" applyBorder="1" applyAlignment="1">
      <alignment horizontal="center" vertical="center"/>
    </xf>
    <xf numFmtId="0" fontId="19" fillId="4" borderId="10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2" xfId="0" applyFont="1" applyFill="1" applyBorder="1"/>
    <xf numFmtId="0" fontId="19" fillId="4" borderId="12" xfId="0" applyFont="1" applyFill="1" applyBorder="1"/>
    <xf numFmtId="0" fontId="18" fillId="3" borderId="22" xfId="0" applyFont="1" applyFill="1" applyBorder="1" applyAlignment="1">
      <alignment horizontal="left" vertical="center"/>
    </xf>
    <xf numFmtId="0" fontId="18" fillId="3" borderId="9" xfId="0" applyFont="1" applyFill="1" applyBorder="1" applyAlignment="1">
      <alignment horizontal="left" vertical="center"/>
    </xf>
    <xf numFmtId="0" fontId="18" fillId="3" borderId="11" xfId="0" applyFont="1" applyFill="1" applyBorder="1" applyAlignment="1">
      <alignment horizontal="left" vertical="center"/>
    </xf>
    <xf numFmtId="0" fontId="26" fillId="3" borderId="49" xfId="0" applyFont="1" applyFill="1" applyBorder="1" applyAlignment="1">
      <alignment horizontal="center"/>
    </xf>
    <xf numFmtId="165" fontId="27" fillId="4" borderId="50" xfId="0" applyNumberFormat="1" applyFont="1" applyFill="1" applyBorder="1" applyAlignment="1">
      <alignment horizontal="center"/>
    </xf>
    <xf numFmtId="0" fontId="26" fillId="3" borderId="51" xfId="0" applyFont="1" applyFill="1" applyBorder="1" applyAlignment="1">
      <alignment horizontal="center"/>
    </xf>
    <xf numFmtId="165" fontId="26" fillId="3" borderId="52" xfId="0" applyNumberFormat="1" applyFont="1" applyFill="1" applyBorder="1" applyAlignment="1">
      <alignment horizontal="center"/>
    </xf>
    <xf numFmtId="0" fontId="27" fillId="4" borderId="50" xfId="0" applyFont="1" applyFill="1" applyBorder="1" applyAlignment="1">
      <alignment horizontal="center"/>
    </xf>
    <xf numFmtId="0" fontId="26" fillId="3" borderId="52" xfId="0" applyFont="1" applyFill="1" applyBorder="1" applyAlignment="1">
      <alignment horizontal="center"/>
    </xf>
    <xf numFmtId="0" fontId="23" fillId="3" borderId="49" xfId="0" applyFont="1" applyFill="1" applyBorder="1" applyAlignment="1">
      <alignment horizontal="center" vertical="center"/>
    </xf>
    <xf numFmtId="2" fontId="24" fillId="4" borderId="50" xfId="0" applyNumberFormat="1" applyFont="1" applyFill="1" applyBorder="1" applyAlignment="1">
      <alignment horizontal="center" vertical="center"/>
    </xf>
    <xf numFmtId="0" fontId="23" fillId="3" borderId="51" xfId="0" applyFont="1" applyFill="1" applyBorder="1" applyAlignment="1">
      <alignment horizontal="center" vertical="center"/>
    </xf>
    <xf numFmtId="2" fontId="23" fillId="3" borderId="52" xfId="0" applyNumberFormat="1" applyFont="1" applyFill="1" applyBorder="1" applyAlignment="1">
      <alignment horizontal="center" vertical="center"/>
    </xf>
    <xf numFmtId="166" fontId="19" fillId="0" borderId="2" xfId="1" applyNumberFormat="1" applyFont="1" applyFill="1" applyBorder="1" applyAlignment="1">
      <alignment horizontal="center" vertical="center" wrapText="1"/>
    </xf>
    <xf numFmtId="4" fontId="18" fillId="3" borderId="5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0" fontId="29" fillId="0" borderId="1" xfId="0" applyFont="1" applyBorder="1"/>
    <xf numFmtId="165" fontId="27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165" fontId="26" fillId="0" borderId="1" xfId="0" applyNumberFormat="1" applyFont="1" applyBorder="1" applyAlignment="1">
      <alignment horizontal="center"/>
    </xf>
    <xf numFmtId="2" fontId="24" fillId="0" borderId="1" xfId="0" applyNumberFormat="1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0" fillId="0" borderId="2" xfId="0" applyBorder="1"/>
    <xf numFmtId="9" fontId="6" fillId="4" borderId="12" xfId="0" applyNumberFormat="1" applyFont="1" applyFill="1" applyBorder="1" applyAlignment="1">
      <alignment horizontal="center" vertical="center"/>
    </xf>
    <xf numFmtId="2" fontId="19" fillId="3" borderId="2" xfId="0" applyNumberFormat="1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165" fontId="18" fillId="3" borderId="2" xfId="0" applyNumberFormat="1" applyFont="1" applyFill="1" applyBorder="1" applyAlignment="1">
      <alignment horizontal="center" vertical="center"/>
    </xf>
    <xf numFmtId="165" fontId="23" fillId="3" borderId="2" xfId="0" applyNumberFormat="1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/>
    </xf>
    <xf numFmtId="165" fontId="23" fillId="3" borderId="12" xfId="0" applyNumberFormat="1" applyFont="1" applyFill="1" applyBorder="1" applyAlignment="1">
      <alignment horizontal="center" vertical="center"/>
    </xf>
    <xf numFmtId="1" fontId="20" fillId="4" borderId="2" xfId="0" applyNumberFormat="1" applyFont="1" applyFill="1" applyBorder="1" applyAlignment="1">
      <alignment horizontal="center" vertical="center"/>
    </xf>
    <xf numFmtId="166" fontId="18" fillId="3" borderId="2" xfId="1" applyNumberFormat="1" applyFont="1" applyFill="1" applyBorder="1" applyAlignment="1">
      <alignment horizontal="center" vertical="center"/>
    </xf>
    <xf numFmtId="9" fontId="18" fillId="3" borderId="2" xfId="1" applyFont="1" applyFill="1" applyBorder="1" applyAlignment="1">
      <alignment horizontal="center" vertical="center"/>
    </xf>
    <xf numFmtId="0" fontId="25" fillId="0" borderId="55" xfId="0" applyFont="1" applyBorder="1" applyAlignment="1">
      <alignment horizontal="center"/>
    </xf>
    <xf numFmtId="0" fontId="12" fillId="0" borderId="25" xfId="0" applyFont="1" applyBorder="1"/>
    <xf numFmtId="0" fontId="0" fillId="0" borderId="44" xfId="0" applyBorder="1"/>
    <xf numFmtId="0" fontId="0" fillId="0" borderId="26" xfId="0" applyBorder="1"/>
    <xf numFmtId="0" fontId="0" fillId="0" borderId="27" xfId="0" applyBorder="1"/>
    <xf numFmtId="0" fontId="12" fillId="0" borderId="1" xfId="0" applyFont="1" applyBorder="1"/>
    <xf numFmtId="0" fontId="12" fillId="0" borderId="24" xfId="0" applyFont="1" applyBorder="1"/>
    <xf numFmtId="0" fontId="9" fillId="0" borderId="24" xfId="0" applyFont="1" applyBorder="1"/>
    <xf numFmtId="0" fontId="10" fillId="0" borderId="24" xfId="0" applyFont="1" applyBorder="1"/>
    <xf numFmtId="2" fontId="0" fillId="0" borderId="1" xfId="0" applyNumberFormat="1" applyBorder="1" applyAlignment="1">
      <alignment horizontal="center" vertical="center"/>
    </xf>
    <xf numFmtId="0" fontId="0" fillId="0" borderId="28" xfId="0" applyBorder="1"/>
    <xf numFmtId="0" fontId="5" fillId="3" borderId="9" xfId="0" applyFont="1" applyFill="1" applyBorder="1" applyAlignment="1">
      <alignment horizontal="center" vertical="center" wrapText="1"/>
    </xf>
    <xf numFmtId="166" fontId="19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Border="1"/>
    <xf numFmtId="0" fontId="10" fillId="0" borderId="1" xfId="2" applyFont="1" applyAlignment="1">
      <alignment horizontal="center" vertical="center"/>
    </xf>
    <xf numFmtId="16" fontId="10" fillId="0" borderId="1" xfId="2" applyNumberFormat="1" applyFont="1" applyAlignment="1">
      <alignment horizontal="center" vertical="center"/>
    </xf>
    <xf numFmtId="43" fontId="5" fillId="0" borderId="1" xfId="4" applyFont="1" applyBorder="1" applyAlignment="1">
      <alignment horizontal="center" vertical="center"/>
    </xf>
    <xf numFmtId="43" fontId="6" fillId="0" borderId="1" xfId="4" applyFont="1" applyBorder="1" applyAlignment="1">
      <alignment horizontal="center" vertical="center"/>
    </xf>
    <xf numFmtId="166" fontId="10" fillId="0" borderId="0" xfId="1" applyNumberFormat="1" applyFont="1" applyAlignment="1">
      <alignment horizontal="center" vertical="center"/>
    </xf>
    <xf numFmtId="43" fontId="0" fillId="0" borderId="1" xfId="4" applyFont="1" applyBorder="1" applyAlignment="1">
      <alignment horizontal="center" vertical="center"/>
    </xf>
    <xf numFmtId="43" fontId="0" fillId="0" borderId="0" xfId="4" applyFont="1" applyAlignment="1">
      <alignment horizontal="center" vertical="center"/>
    </xf>
    <xf numFmtId="4" fontId="0" fillId="0" borderId="0" xfId="0" applyNumberFormat="1"/>
    <xf numFmtId="0" fontId="12" fillId="3" borderId="2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12" fillId="3" borderId="10" xfId="0" applyNumberFormat="1" applyFont="1" applyFill="1" applyBorder="1" applyAlignment="1">
      <alignment horizontal="center" vertical="center"/>
    </xf>
    <xf numFmtId="166" fontId="5" fillId="3" borderId="5" xfId="1" applyNumberFormat="1" applyFont="1" applyFill="1" applyBorder="1" applyAlignment="1">
      <alignment horizontal="center" vertical="center" wrapText="1"/>
    </xf>
    <xf numFmtId="165" fontId="5" fillId="3" borderId="13" xfId="0" applyNumberFormat="1" applyFont="1" applyFill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5" fillId="3" borderId="13" xfId="0" applyNumberFormat="1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/>
    </xf>
    <xf numFmtId="165" fontId="11" fillId="0" borderId="10" xfId="0" applyNumberFormat="1" applyFont="1" applyBorder="1" applyAlignment="1">
      <alignment horizontal="center" vertical="center"/>
    </xf>
    <xf numFmtId="0" fontId="12" fillId="0" borderId="1" xfId="5" applyFont="1"/>
    <xf numFmtId="0" fontId="10" fillId="0" borderId="1" xfId="5"/>
    <xf numFmtId="0" fontId="3" fillId="0" borderId="1" xfId="7"/>
    <xf numFmtId="0" fontId="30" fillId="0" borderId="5" xfId="7" applyFont="1" applyBorder="1" applyAlignment="1" applyProtection="1">
      <alignment horizontal="center" vertical="center"/>
      <protection hidden="1"/>
    </xf>
    <xf numFmtId="0" fontId="3" fillId="0" borderId="2" xfId="7" applyBorder="1" applyProtection="1">
      <protection hidden="1"/>
    </xf>
    <xf numFmtId="14" fontId="3" fillId="0" borderId="2" xfId="7" applyNumberFormat="1" applyBorder="1" applyProtection="1">
      <protection hidden="1"/>
    </xf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5" fillId="3" borderId="62" xfId="0" applyFont="1" applyFill="1" applyBorder="1" applyAlignment="1">
      <alignment horizontal="left" vertical="center" wrapText="1"/>
    </xf>
    <xf numFmtId="0" fontId="16" fillId="0" borderId="2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13" fillId="0" borderId="25" xfId="0" applyNumberFormat="1" applyFont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166" fontId="5" fillId="3" borderId="4" xfId="1" applyNumberFormat="1" applyFont="1" applyFill="1" applyBorder="1" applyAlignment="1">
      <alignment horizontal="center" vertical="center" wrapText="1"/>
    </xf>
    <xf numFmtId="166" fontId="6" fillId="2" borderId="3" xfId="1" applyNumberFormat="1" applyFont="1" applyFill="1" applyBorder="1" applyAlignment="1">
      <alignment horizontal="center" vertical="center"/>
    </xf>
    <xf numFmtId="165" fontId="13" fillId="3" borderId="26" xfId="0" applyNumberFormat="1" applyFont="1" applyFill="1" applyBorder="1" applyAlignment="1">
      <alignment horizontal="center" vertical="center"/>
    </xf>
    <xf numFmtId="165" fontId="11" fillId="2" borderId="11" xfId="0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3" fillId="0" borderId="2" xfId="7" applyBorder="1" applyAlignment="1" applyProtection="1">
      <alignment horizontal="left" vertical="center" wrapText="1"/>
      <protection hidden="1"/>
    </xf>
    <xf numFmtId="0" fontId="12" fillId="3" borderId="58" xfId="5" applyFont="1" applyFill="1" applyBorder="1" applyAlignment="1">
      <alignment horizontal="center" vertical="center"/>
    </xf>
    <xf numFmtId="0" fontId="12" fillId="3" borderId="59" xfId="5" applyFont="1" applyFill="1" applyBorder="1" applyAlignment="1">
      <alignment horizontal="center" vertical="center"/>
    </xf>
    <xf numFmtId="0" fontId="12" fillId="3" borderId="60" xfId="5" applyFont="1" applyFill="1" applyBorder="1" applyAlignment="1">
      <alignment horizontal="center" vertical="center"/>
    </xf>
    <xf numFmtId="0" fontId="12" fillId="3" borderId="24" xfId="5" applyFont="1" applyFill="1" applyBorder="1" applyAlignment="1">
      <alignment horizontal="center" vertical="center"/>
    </xf>
    <xf numFmtId="0" fontId="12" fillId="3" borderId="1" xfId="5" applyFont="1" applyFill="1" applyAlignment="1">
      <alignment horizontal="center" vertical="center"/>
    </xf>
    <xf numFmtId="0" fontId="12" fillId="3" borderId="25" xfId="5" applyFont="1" applyFill="1" applyBorder="1" applyAlignment="1">
      <alignment horizontal="center" vertical="center"/>
    </xf>
    <xf numFmtId="0" fontId="31" fillId="3" borderId="61" xfId="6" applyFill="1" applyBorder="1" applyAlignment="1">
      <alignment horizontal="center" vertical="center"/>
    </xf>
    <xf numFmtId="0" fontId="12" fillId="3" borderId="27" xfId="5" applyFont="1" applyFill="1" applyBorder="1" applyAlignment="1">
      <alignment horizontal="center" vertical="center"/>
    </xf>
    <xf numFmtId="0" fontId="12" fillId="3" borderId="28" xfId="5" applyFont="1" applyFill="1" applyBorder="1" applyAlignment="1">
      <alignment horizontal="center" vertical="center"/>
    </xf>
    <xf numFmtId="0" fontId="30" fillId="3" borderId="30" xfId="7" applyFont="1" applyFill="1" applyBorder="1" applyAlignment="1" applyProtection="1">
      <alignment horizontal="center"/>
      <protection hidden="1"/>
    </xf>
    <xf numFmtId="0" fontId="30" fillId="3" borderId="31" xfId="7" applyFont="1" applyFill="1" applyBorder="1" applyAlignment="1" applyProtection="1">
      <alignment horizontal="center"/>
      <protection hidden="1"/>
    </xf>
    <xf numFmtId="0" fontId="30" fillId="3" borderId="32" xfId="7" applyFont="1" applyFill="1" applyBorder="1" applyAlignment="1" applyProtection="1">
      <alignment horizontal="center"/>
      <protection hidden="1"/>
    </xf>
    <xf numFmtId="0" fontId="30" fillId="3" borderId="2" xfId="7" applyFont="1" applyFill="1" applyBorder="1" applyAlignment="1" applyProtection="1">
      <alignment horizontal="center" vertical="center"/>
      <protection hidden="1"/>
    </xf>
    <xf numFmtId="0" fontId="3" fillId="0" borderId="41" xfId="7" applyBorder="1" applyAlignment="1">
      <alignment horizontal="left" vertical="center"/>
    </xf>
    <xf numFmtId="0" fontId="3" fillId="0" borderId="42" xfId="7" applyBorder="1" applyAlignment="1">
      <alignment horizontal="left" vertical="center"/>
    </xf>
    <xf numFmtId="0" fontId="3" fillId="0" borderId="38" xfId="7" applyBorder="1" applyAlignment="1">
      <alignment horizontal="left" vertical="center"/>
    </xf>
    <xf numFmtId="49" fontId="2" fillId="0" borderId="2" xfId="7" applyNumberFormat="1" applyFont="1" applyBorder="1" applyAlignment="1" applyProtection="1">
      <alignment horizontal="left" vertical="center"/>
      <protection hidden="1"/>
    </xf>
    <xf numFmtId="49" fontId="3" fillId="0" borderId="2" xfId="7" applyNumberFormat="1" applyBorder="1" applyAlignment="1" applyProtection="1">
      <alignment horizontal="left" vertical="center"/>
      <protection hidden="1"/>
    </xf>
    <xf numFmtId="49" fontId="2" fillId="0" borderId="41" xfId="7" applyNumberFormat="1" applyFont="1" applyBorder="1" applyAlignment="1" applyProtection="1">
      <alignment horizontal="left" vertical="center"/>
      <protection hidden="1"/>
    </xf>
    <xf numFmtId="49" fontId="3" fillId="0" borderId="42" xfId="7" applyNumberFormat="1" applyBorder="1" applyAlignment="1" applyProtection="1">
      <alignment horizontal="left" vertical="center"/>
      <protection hidden="1"/>
    </xf>
    <xf numFmtId="49" fontId="3" fillId="0" borderId="38" xfId="7" applyNumberFormat="1" applyBorder="1" applyAlignment="1" applyProtection="1">
      <alignment horizontal="left" vertical="center"/>
      <protection hidden="1"/>
    </xf>
    <xf numFmtId="49" fontId="2" fillId="0" borderId="2" xfId="7" applyNumberFormat="1" applyFont="1" applyBorder="1" applyAlignment="1" applyProtection="1">
      <alignment horizontal="left" vertical="center" wrapText="1"/>
      <protection hidden="1"/>
    </xf>
    <xf numFmtId="49" fontId="3" fillId="0" borderId="2" xfId="7" applyNumberFormat="1" applyBorder="1" applyAlignment="1" applyProtection="1">
      <alignment horizontal="left" vertical="center" wrapText="1"/>
      <protection hidden="1"/>
    </xf>
    <xf numFmtId="0" fontId="3" fillId="0" borderId="2" xfId="7" applyBorder="1" applyAlignment="1" applyProtection="1">
      <alignment horizontal="left" vertical="center"/>
      <protection hidden="1"/>
    </xf>
    <xf numFmtId="0" fontId="2" fillId="0" borderId="2" xfId="7" applyFont="1" applyBorder="1" applyAlignment="1" applyProtection="1">
      <alignment horizontal="left" vertical="center"/>
      <protection hidden="1"/>
    </xf>
    <xf numFmtId="0" fontId="12" fillId="3" borderId="30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32" fillId="0" borderId="19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left" vertical="center" wrapText="1"/>
    </xf>
    <xf numFmtId="0" fontId="32" fillId="0" borderId="21" xfId="0" applyFont="1" applyBorder="1" applyAlignment="1">
      <alignment horizontal="left" vertical="center" wrapText="1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8" xfId="0" applyFont="1" applyFill="1" applyBorder="1" applyAlignment="1">
      <alignment horizontal="center" vertical="center"/>
    </xf>
    <xf numFmtId="0" fontId="25" fillId="5" borderId="11" xfId="0" applyFont="1" applyFill="1" applyBorder="1" applyAlignment="1">
      <alignment horizontal="center" vertical="center"/>
    </xf>
    <xf numFmtId="0" fontId="25" fillId="5" borderId="12" xfId="0" applyFont="1" applyFill="1" applyBorder="1" applyAlignment="1">
      <alignment horizontal="center" vertical="center"/>
    </xf>
    <xf numFmtId="0" fontId="25" fillId="5" borderId="13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166" fontId="5" fillId="3" borderId="3" xfId="0" applyNumberFormat="1" applyFont="1" applyFill="1" applyBorder="1" applyAlignment="1">
      <alignment horizontal="center" vertical="center"/>
    </xf>
    <xf numFmtId="166" fontId="5" fillId="3" borderId="4" xfId="0" applyNumberFormat="1" applyFont="1" applyFill="1" applyBorder="1" applyAlignment="1">
      <alignment horizontal="center" vertical="center"/>
    </xf>
    <xf numFmtId="166" fontId="7" fillId="3" borderId="18" xfId="1" applyNumberFormat="1" applyFont="1" applyFill="1" applyBorder="1" applyAlignment="1">
      <alignment horizontal="center" vertical="center"/>
    </xf>
    <xf numFmtId="166" fontId="7" fillId="3" borderId="26" xfId="1" applyNumberFormat="1" applyFont="1" applyFill="1" applyBorder="1" applyAlignment="1">
      <alignment horizontal="center" vertical="center"/>
    </xf>
    <xf numFmtId="2" fontId="7" fillId="3" borderId="35" xfId="0" applyNumberFormat="1" applyFont="1" applyFill="1" applyBorder="1" applyAlignment="1">
      <alignment horizontal="center" vertical="center"/>
    </xf>
    <xf numFmtId="2" fontId="7" fillId="3" borderId="20" xfId="0" applyNumberFormat="1" applyFont="1" applyFill="1" applyBorder="1" applyAlignment="1">
      <alignment horizontal="center" vertical="center"/>
    </xf>
    <xf numFmtId="2" fontId="7" fillId="3" borderId="21" xfId="0" applyNumberFormat="1" applyFont="1" applyFill="1" applyBorder="1" applyAlignment="1">
      <alignment horizontal="center" vertical="center"/>
    </xf>
    <xf numFmtId="2" fontId="13" fillId="3" borderId="4" xfId="0" applyNumberFormat="1" applyFont="1" applyFill="1" applyBorder="1" applyAlignment="1">
      <alignment horizontal="center" vertical="center"/>
    </xf>
    <xf numFmtId="2" fontId="13" fillId="3" borderId="29" xfId="0" applyNumberFormat="1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165" fontId="13" fillId="3" borderId="35" xfId="0" applyNumberFormat="1" applyFont="1" applyFill="1" applyBorder="1" applyAlignment="1">
      <alignment horizontal="center" vertical="center"/>
    </xf>
    <xf numFmtId="165" fontId="13" fillId="3" borderId="20" xfId="0" applyNumberFormat="1" applyFont="1" applyFill="1" applyBorder="1" applyAlignment="1">
      <alignment horizontal="center" vertical="center"/>
    </xf>
    <xf numFmtId="165" fontId="13" fillId="3" borderId="21" xfId="0" applyNumberFormat="1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5" fillId="0" borderId="63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/>
    </xf>
    <xf numFmtId="2" fontId="5" fillId="3" borderId="3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3" borderId="5" xfId="0" applyNumberFormat="1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25" fillId="5" borderId="6" xfId="0" applyFont="1" applyFill="1" applyBorder="1" applyAlignment="1">
      <alignment horizontal="center"/>
    </xf>
    <xf numFmtId="0" fontId="25" fillId="5" borderId="8" xfId="0" applyFont="1" applyFill="1" applyBorder="1" applyAlignment="1">
      <alignment horizontal="center"/>
    </xf>
    <xf numFmtId="0" fontId="25" fillId="5" borderId="11" xfId="0" applyFont="1" applyFill="1" applyBorder="1" applyAlignment="1">
      <alignment horizontal="center"/>
    </xf>
    <xf numFmtId="0" fontId="25" fillId="5" borderId="13" xfId="0" applyFont="1" applyFill="1" applyBorder="1" applyAlignment="1">
      <alignment horizontal="center"/>
    </xf>
    <xf numFmtId="0" fontId="25" fillId="5" borderId="7" xfId="0" applyFont="1" applyFill="1" applyBorder="1" applyAlignment="1">
      <alignment horizontal="center"/>
    </xf>
    <xf numFmtId="0" fontId="25" fillId="5" borderId="12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center" vertical="center"/>
    </xf>
    <xf numFmtId="0" fontId="12" fillId="3" borderId="30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left"/>
    </xf>
    <xf numFmtId="0" fontId="9" fillId="3" borderId="34" xfId="0" applyFont="1" applyFill="1" applyBorder="1" applyAlignment="1">
      <alignment horizontal="left"/>
    </xf>
    <xf numFmtId="0" fontId="9" fillId="3" borderId="33" xfId="0" applyFont="1" applyFill="1" applyBorder="1" applyAlignment="1">
      <alignment horizontal="left" vertical="center"/>
    </xf>
    <xf numFmtId="0" fontId="9" fillId="3" borderId="34" xfId="0" applyFont="1" applyFill="1" applyBorder="1" applyAlignment="1">
      <alignment horizontal="left" vertical="center"/>
    </xf>
    <xf numFmtId="0" fontId="19" fillId="3" borderId="40" xfId="0" applyFont="1" applyFill="1" applyBorder="1" applyAlignment="1">
      <alignment horizontal="left" vertical="center"/>
    </xf>
    <xf numFmtId="0" fontId="19" fillId="3" borderId="38" xfId="0" applyFont="1" applyFill="1" applyBorder="1" applyAlignment="1">
      <alignment horizontal="left" vertical="center"/>
    </xf>
    <xf numFmtId="0" fontId="23" fillId="3" borderId="40" xfId="0" applyFont="1" applyFill="1" applyBorder="1" applyAlignment="1">
      <alignment horizontal="center" vertical="center"/>
    </xf>
    <xf numFmtId="0" fontId="23" fillId="3" borderId="38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/>
    </xf>
    <xf numFmtId="0" fontId="18" fillId="3" borderId="40" xfId="0" applyFont="1" applyFill="1" applyBorder="1" applyAlignment="1">
      <alignment horizontal="center" vertical="center"/>
    </xf>
    <xf numFmtId="0" fontId="18" fillId="3" borderId="38" xfId="0" applyFont="1" applyFill="1" applyBorder="1" applyAlignment="1">
      <alignment horizontal="center" vertical="center"/>
    </xf>
    <xf numFmtId="0" fontId="18" fillId="5" borderId="37" xfId="0" applyFont="1" applyFill="1" applyBorder="1" applyAlignment="1">
      <alignment horizontal="center" vertical="center"/>
    </xf>
    <xf numFmtId="0" fontId="18" fillId="5" borderId="29" xfId="0" applyFont="1" applyFill="1" applyBorder="1" applyAlignment="1">
      <alignment horizontal="center" vertical="center"/>
    </xf>
    <xf numFmtId="0" fontId="18" fillId="5" borderId="36" xfId="0" applyFont="1" applyFill="1" applyBorder="1" applyAlignment="1">
      <alignment horizontal="center" vertical="center"/>
    </xf>
    <xf numFmtId="0" fontId="18" fillId="3" borderId="45" xfId="0" applyFont="1" applyFill="1" applyBorder="1" applyAlignment="1">
      <alignment horizontal="center" vertical="center"/>
    </xf>
    <xf numFmtId="0" fontId="18" fillId="3" borderId="46" xfId="0" applyFont="1" applyFill="1" applyBorder="1" applyAlignment="1">
      <alignment horizontal="center" vertical="center"/>
    </xf>
    <xf numFmtId="0" fontId="22" fillId="4" borderId="30" xfId="0" applyFont="1" applyFill="1" applyBorder="1" applyAlignment="1">
      <alignment horizontal="center"/>
    </xf>
    <xf numFmtId="0" fontId="22" fillId="4" borderId="31" xfId="0" applyFont="1" applyFill="1" applyBorder="1" applyAlignment="1">
      <alignment horizontal="center"/>
    </xf>
    <xf numFmtId="0" fontId="22" fillId="4" borderId="32" xfId="0" applyFont="1" applyFill="1" applyBorder="1" applyAlignment="1">
      <alignment horizontal="center"/>
    </xf>
    <xf numFmtId="0" fontId="18" fillId="5" borderId="30" xfId="0" applyFont="1" applyFill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2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0" fontId="20" fillId="4" borderId="13" xfId="0" applyFont="1" applyFill="1" applyBorder="1" applyAlignment="1">
      <alignment horizontal="center" vertical="center"/>
    </xf>
    <xf numFmtId="0" fontId="20" fillId="4" borderId="41" xfId="0" applyFont="1" applyFill="1" applyBorder="1" applyAlignment="1">
      <alignment horizontal="center" vertical="center"/>
    </xf>
    <xf numFmtId="0" fontId="20" fillId="4" borderId="42" xfId="0" applyFont="1" applyFill="1" applyBorder="1" applyAlignment="1">
      <alignment horizontal="center" vertical="center"/>
    </xf>
    <xf numFmtId="0" fontId="20" fillId="4" borderId="39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/>
    </xf>
    <xf numFmtId="0" fontId="18" fillId="5" borderId="31" xfId="0" applyFont="1" applyFill="1" applyBorder="1" applyAlignment="1">
      <alignment horizontal="center"/>
    </xf>
    <xf numFmtId="0" fontId="18" fillId="5" borderId="32" xfId="0" applyFont="1" applyFill="1" applyBorder="1" applyAlignment="1">
      <alignment horizontal="center"/>
    </xf>
    <xf numFmtId="0" fontId="19" fillId="3" borderId="22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/>
    </xf>
    <xf numFmtId="0" fontId="12" fillId="5" borderId="20" xfId="0" applyFont="1" applyFill="1" applyBorder="1" applyAlignment="1">
      <alignment horizontal="center"/>
    </xf>
    <xf numFmtId="0" fontId="12" fillId="5" borderId="21" xfId="0" applyFont="1" applyFill="1" applyBorder="1" applyAlignment="1">
      <alignment horizontal="center"/>
    </xf>
    <xf numFmtId="0" fontId="10" fillId="0" borderId="4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25" fillId="5" borderId="19" xfId="0" applyFont="1" applyFill="1" applyBorder="1" applyAlignment="1">
      <alignment horizontal="center"/>
    </xf>
    <xf numFmtId="0" fontId="25" fillId="5" borderId="20" xfId="0" applyFont="1" applyFill="1" applyBorder="1" applyAlignment="1">
      <alignment horizontal="center"/>
    </xf>
    <xf numFmtId="0" fontId="25" fillId="5" borderId="21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center" vertical="center"/>
    </xf>
    <xf numFmtId="0" fontId="20" fillId="4" borderId="23" xfId="0" applyFont="1" applyFill="1" applyBorder="1" applyAlignment="1">
      <alignment horizontal="center" vertical="center"/>
    </xf>
    <xf numFmtId="0" fontId="18" fillId="5" borderId="47" xfId="0" applyFont="1" applyFill="1" applyBorder="1" applyAlignment="1">
      <alignment horizontal="center"/>
    </xf>
    <xf numFmtId="0" fontId="29" fillId="5" borderId="48" xfId="0" applyFont="1" applyFill="1" applyBorder="1"/>
    <xf numFmtId="0" fontId="28" fillId="5" borderId="53" xfId="0" applyFont="1" applyFill="1" applyBorder="1" applyAlignment="1">
      <alignment horizontal="center"/>
    </xf>
    <xf numFmtId="0" fontId="29" fillId="5" borderId="54" xfId="0" applyFont="1" applyFill="1" applyBorder="1"/>
    <xf numFmtId="0" fontId="28" fillId="5" borderId="47" xfId="0" applyFont="1" applyFill="1" applyBorder="1" applyAlignment="1">
      <alignment horizontal="center"/>
    </xf>
    <xf numFmtId="0" fontId="28" fillId="5" borderId="48" xfId="0" applyFont="1" applyFill="1" applyBorder="1" applyAlignment="1">
      <alignment horizontal="center"/>
    </xf>
    <xf numFmtId="0" fontId="10" fillId="9" borderId="57" xfId="2" applyFont="1" applyFill="1" applyBorder="1" applyAlignment="1">
      <alignment horizontal="center" vertical="center"/>
    </xf>
    <xf numFmtId="0" fontId="4" fillId="9" borderId="56" xfId="2" applyFill="1" applyBorder="1" applyAlignment="1">
      <alignment horizontal="center" vertical="center"/>
    </xf>
    <xf numFmtId="0" fontId="4" fillId="6" borderId="2" xfId="2" applyFill="1" applyBorder="1" applyAlignment="1">
      <alignment horizontal="center" vertical="center" wrapText="1"/>
    </xf>
    <xf numFmtId="0" fontId="10" fillId="7" borderId="2" xfId="2" applyFont="1" applyFill="1" applyBorder="1" applyAlignment="1">
      <alignment horizontal="center" vertical="center" wrapText="1"/>
    </xf>
    <xf numFmtId="0" fontId="4" fillId="7" borderId="2" xfId="2" applyFill="1" applyBorder="1" applyAlignment="1">
      <alignment horizontal="center" vertical="center" wrapText="1"/>
    </xf>
    <xf numFmtId="0" fontId="10" fillId="8" borderId="2" xfId="2" applyFont="1" applyFill="1" applyBorder="1" applyAlignment="1">
      <alignment horizontal="center" vertical="center" wrapText="1"/>
    </xf>
    <xf numFmtId="0" fontId="4" fillId="8" borderId="2" xfId="2" applyFill="1" applyBorder="1" applyAlignment="1">
      <alignment horizontal="center" vertical="center"/>
    </xf>
    <xf numFmtId="0" fontId="10" fillId="5" borderId="2" xfId="2" applyFont="1" applyFill="1" applyBorder="1" applyAlignment="1">
      <alignment horizontal="center" vertical="center" wrapText="1"/>
    </xf>
    <xf numFmtId="0" fontId="4" fillId="5" borderId="2" xfId="2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 wrapText="1"/>
    </xf>
    <xf numFmtId="0" fontId="4" fillId="3" borderId="2" xfId="2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/>
    </xf>
    <xf numFmtId="0" fontId="25" fillId="5" borderId="25" xfId="0" applyFont="1" applyFill="1" applyBorder="1" applyAlignment="1">
      <alignment horizontal="center"/>
    </xf>
    <xf numFmtId="0" fontId="18" fillId="3" borderId="57" xfId="0" applyFont="1" applyFill="1" applyBorder="1" applyAlignment="1">
      <alignment horizontal="center" vertical="center" textRotation="90"/>
    </xf>
    <xf numFmtId="0" fontId="18" fillId="3" borderId="56" xfId="0" applyFont="1" applyFill="1" applyBorder="1" applyAlignment="1">
      <alignment horizontal="center" vertical="center" textRotation="90"/>
    </xf>
    <xf numFmtId="0" fontId="1" fillId="0" borderId="2" xfId="7" applyFont="1" applyBorder="1" applyAlignment="1" applyProtection="1">
      <alignment horizontal="left" vertical="center" wrapText="1"/>
      <protection hidden="1"/>
    </xf>
  </cellXfs>
  <cellStyles count="8">
    <cellStyle name="Hiperlink 2" xfId="6" xr:uid="{C751F5A4-8882-430B-AFF0-E8A77D35E612}"/>
    <cellStyle name="Normal" xfId="0" builtinId="0"/>
    <cellStyle name="Normal 2" xfId="2" xr:uid="{003435AD-F3D3-4C3E-A72A-F1AB50A977E5}"/>
    <cellStyle name="Normal 2 2" xfId="7" xr:uid="{56F858AC-C418-4BC8-9494-427B227329F8}"/>
    <cellStyle name="Normal 3" xfId="5" xr:uid="{47747B9C-96EE-4350-9FA1-648E2B6B4F16}"/>
    <cellStyle name="Porcentagem" xfId="1" builtinId="5"/>
    <cellStyle name="Porcentagem 2" xfId="3" xr:uid="{7D00587E-93AB-471E-93C2-BBB430DC3ADF}"/>
    <cellStyle name="Vírgula" xfId="4" builtinId="3"/>
  </cellStyles>
  <dxfs count="0"/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'1.Estudo Maltes'!$C$3</c:f>
              <c:strCache>
                <c:ptCount val="1"/>
                <c:pt idx="0">
                  <c:v>Malte 1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strRef>
              <c:f>'1.Estudo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'1.Estudo Maltes'!$C$4:$C$25</c:f>
              <c:numCache>
                <c:formatCode>0.00</c:formatCode>
                <c:ptCount val="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F5-470F-B7EA-FE47230086E3}"/>
            </c:ext>
          </c:extLst>
        </c:ser>
        <c:ser>
          <c:idx val="1"/>
          <c:order val="1"/>
          <c:tx>
            <c:strRef>
              <c:f>'1.Estudo Maltes'!$D$3</c:f>
              <c:strCache>
                <c:ptCount val="1"/>
                <c:pt idx="0">
                  <c:v>Malte 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'1.Estudo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'1.Estudo Maltes'!$D$4:$D$25</c:f>
              <c:numCache>
                <c:formatCode>0.00</c:formatCode>
                <c:ptCount val="22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F5-470F-B7EA-FE47230086E3}"/>
            </c:ext>
          </c:extLst>
        </c:ser>
        <c:ser>
          <c:idx val="2"/>
          <c:order val="2"/>
          <c:tx>
            <c:strRef>
              <c:f>'1.Estudo Maltes'!$E$3</c:f>
              <c:strCache>
                <c:ptCount val="1"/>
                <c:pt idx="0">
                  <c:v>Malte3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'1.Estudo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'1.Estudo Maltes'!$E$4:$E$25</c:f>
              <c:numCache>
                <c:formatCode>0.00</c:formatCode>
                <c:ptCount val="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F5-470F-B7EA-FE47230086E3}"/>
            </c:ext>
          </c:extLst>
        </c:ser>
        <c:ser>
          <c:idx val="3"/>
          <c:order val="3"/>
          <c:tx>
            <c:strRef>
              <c:f>'1.Estudo Maltes'!$F$3</c:f>
              <c:strCache>
                <c:ptCount val="1"/>
                <c:pt idx="0">
                  <c:v>Malte 4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'1.Estudo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'1.Estudo Maltes'!$F$4:$F$25</c:f>
              <c:numCache>
                <c:formatCode>0.00</c:formatCode>
                <c:ptCount val="22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  <c:pt idx="4">
                  <c:v>4.5</c:v>
                </c:pt>
                <c:pt idx="5">
                  <c:v>0.5</c:v>
                </c:pt>
                <c:pt idx="6">
                  <c:v>1.5</c:v>
                </c:pt>
                <c:pt idx="7">
                  <c:v>2.5</c:v>
                </c:pt>
                <c:pt idx="8">
                  <c:v>3.5</c:v>
                </c:pt>
                <c:pt idx="9">
                  <c:v>4.5</c:v>
                </c:pt>
                <c:pt idx="10">
                  <c:v>0.5</c:v>
                </c:pt>
                <c:pt idx="11">
                  <c:v>1.5</c:v>
                </c:pt>
                <c:pt idx="12">
                  <c:v>2.5</c:v>
                </c:pt>
                <c:pt idx="13">
                  <c:v>3.5</c:v>
                </c:pt>
                <c:pt idx="14">
                  <c:v>4.5</c:v>
                </c:pt>
                <c:pt idx="15">
                  <c:v>0.5</c:v>
                </c:pt>
                <c:pt idx="16">
                  <c:v>1.5</c:v>
                </c:pt>
                <c:pt idx="17">
                  <c:v>2.5</c:v>
                </c:pt>
                <c:pt idx="18">
                  <c:v>3.5</c:v>
                </c:pt>
                <c:pt idx="19">
                  <c:v>4.5</c:v>
                </c:pt>
                <c:pt idx="20">
                  <c:v>1.5</c:v>
                </c:pt>
                <c:pt idx="21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A-40AC-93A0-787A6553081A}"/>
            </c:ext>
          </c:extLst>
        </c:ser>
        <c:ser>
          <c:idx val="4"/>
          <c:order val="4"/>
          <c:tx>
            <c:strRef>
              <c:f>'1.Estudo Maltes'!$G$3</c:f>
              <c:strCache>
                <c:ptCount val="1"/>
                <c:pt idx="0">
                  <c:v>Malte 5</c:v>
                </c:pt>
              </c:strCache>
            </c:strRef>
          </c:tx>
          <c:spPr>
            <a:ln w="28575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'1.Estudo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'1.Estudo Maltes'!$G$4:$G$25</c:f>
              <c:numCache>
                <c:formatCode>0.00</c:formatCode>
                <c:ptCount val="22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E2-4F0F-AC34-E6D4799C7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1"/>
          <c:order val="0"/>
          <c:tx>
            <c:strRef>
              <c:f>'2.Estudo Lupulos'!$D$3</c:f>
              <c:strCache>
                <c:ptCount val="1"/>
                <c:pt idx="0">
                  <c:v>Lupulo 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'2.Estudo Lupulos'!$B$4:$B$10</c:f>
              <c:strCache>
                <c:ptCount val="7"/>
                <c:pt idx="0">
                  <c:v>Cítrico</c:v>
                </c:pt>
                <c:pt idx="1">
                  <c:v>Frutado</c:v>
                </c:pt>
                <c:pt idx="2">
                  <c:v>Floral</c:v>
                </c:pt>
                <c:pt idx="3">
                  <c:v>Picante</c:v>
                </c:pt>
                <c:pt idx="4">
                  <c:v>Tabaco/Terra/Resinoso</c:v>
                </c:pt>
                <c:pt idx="5">
                  <c:v>Herbal</c:v>
                </c:pt>
                <c:pt idx="6">
                  <c:v>Caramelaldo</c:v>
                </c:pt>
              </c:strCache>
            </c:strRef>
          </c:cat>
          <c:val>
            <c:numRef>
              <c:f>'2.Estudo Lupulos'!$D$4:$D$10</c:f>
              <c:numCache>
                <c:formatCode>0.0</c:formatCode>
                <c:ptCount val="7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D4-4E2B-8651-EB81A6C4F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3686240"/>
        <c:axId val="773686960"/>
      </c:radarChart>
      <c:catAx>
        <c:axId val="77368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3686960"/>
        <c:crosses val="autoZero"/>
        <c:auto val="1"/>
        <c:lblAlgn val="ctr"/>
        <c:lblOffset val="100"/>
        <c:noMultiLvlLbl val="0"/>
      </c:catAx>
      <c:valAx>
        <c:axId val="77368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368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30055503062117234"/>
                  <c:y val="-0.11488665392521165"/>
                </c:manualLayout>
              </c:layout>
              <c:numFmt formatCode="General" sourceLinked="0"/>
              <c:spPr>
                <a:noFill/>
                <a:ln>
                  <a:solidFill>
                    <a:schemeClr val="accent1">
                      <a:alpha val="9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0F8-42C5-9BFD-8297497DA203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29907354913969086"/>
                  <c:y val="-5.666277863291967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20F8-42C5-9BFD-8297497DA203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2.2407932341790664E-2"/>
                  <c:y val="-0.1637485822502250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20F8-42C5-9BFD-8297497DA203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20F8-42C5-9BFD-8297497DA203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20F8-42C5-9BFD-8297497DA203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20F8-42C5-9BFD-8297497DA203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6-20F8-42C5-9BFD-8297497DA203}"/>
            </c:ext>
          </c:extLst>
        </c:ser>
        <c:ser>
          <c:idx val="7"/>
          <c:order val="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20F8-42C5-9BFD-8297497DA203}"/>
            </c:ext>
          </c:extLst>
        </c:ser>
        <c:ser>
          <c:idx val="8"/>
          <c:order val="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8-20F8-42C5-9BFD-8297497DA203}"/>
            </c:ext>
          </c:extLst>
        </c:ser>
        <c:ser>
          <c:idx val="9"/>
          <c:order val="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9-20F8-42C5-9BFD-8297497DA203}"/>
            </c:ext>
          </c:extLst>
        </c:ser>
        <c:ser>
          <c:idx val="10"/>
          <c:order val="1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</a:schemeClr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A-20F8-42C5-9BFD-8297497DA203}"/>
            </c:ext>
          </c:extLst>
        </c:ser>
        <c:ser>
          <c:idx val="11"/>
          <c:order val="1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</a:schemeClr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B-20F8-42C5-9BFD-8297497DA203}"/>
            </c:ext>
          </c:extLst>
        </c:ser>
        <c:ser>
          <c:idx val="12"/>
          <c:order val="1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80000"/>
                    <a:lumOff val="20000"/>
                  </a:schemeClr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Ferramentas!#REF!</c:f>
            </c:numRef>
          </c:xVal>
          <c:yVal>
            <c:numRef>
              <c:f>Ferramentas!#REF!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Ferramentas!#REF!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C-20F8-42C5-9BFD-8297497DA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512840"/>
        <c:axId val="962511400"/>
      </c:scatterChart>
      <c:valAx>
        <c:axId val="9625128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62511400"/>
        <c:crosses val="autoZero"/>
        <c:crossBetween val="midCat"/>
      </c:valAx>
      <c:valAx>
        <c:axId val="962511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62512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'10.Rodas Maltes'!$C$3</c:f>
              <c:strCache>
                <c:ptCount val="1"/>
                <c:pt idx="0">
                  <c:v>Pale Ale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strRef>
              <c:f>'10.Rodas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'10.Rodas Maltes'!$C$4:$C$25</c:f>
              <c:numCache>
                <c:formatCode>0.00</c:formatCode>
                <c:ptCount val="22"/>
                <c:pt idx="0">
                  <c:v>0.25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1.7</c:v>
                </c:pt>
                <c:pt idx="5">
                  <c:v>1.5</c:v>
                </c:pt>
                <c:pt idx="6">
                  <c:v>0.1</c:v>
                </c:pt>
                <c:pt idx="7">
                  <c:v>0.5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1.7</c:v>
                </c:pt>
                <c:pt idx="12">
                  <c:v>2</c:v>
                </c:pt>
                <c:pt idx="13">
                  <c:v>1.7</c:v>
                </c:pt>
                <c:pt idx="14">
                  <c:v>1</c:v>
                </c:pt>
                <c:pt idx="15">
                  <c:v>3</c:v>
                </c:pt>
                <c:pt idx="16">
                  <c:v>1.7</c:v>
                </c:pt>
                <c:pt idx="17">
                  <c:v>1.7</c:v>
                </c:pt>
                <c:pt idx="18">
                  <c:v>1</c:v>
                </c:pt>
                <c:pt idx="19">
                  <c:v>0.5</c:v>
                </c:pt>
                <c:pt idx="20">
                  <c:v>3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E5-49BD-9BA3-510F1564B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863409261718952"/>
          <c:y val="0.12629648834081053"/>
          <c:w val="0.47279198710525194"/>
          <c:h val="0.78021432167790128"/>
        </c:manualLayout>
      </c:layout>
      <c:radarChart>
        <c:radarStyle val="marker"/>
        <c:varyColors val="0"/>
        <c:ser>
          <c:idx val="0"/>
          <c:order val="0"/>
          <c:tx>
            <c:strRef>
              <c:f>'10.Rodas Maltes'!$E$3</c:f>
              <c:strCache>
                <c:ptCount val="1"/>
                <c:pt idx="0">
                  <c:v>Melanoidina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'10.Rodas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'10.Rodas Maltes'!$E$4:$E$25</c:f>
              <c:numCache>
                <c:formatCode>0.00</c:formatCode>
                <c:ptCount val="22"/>
                <c:pt idx="0">
                  <c:v>0.5</c:v>
                </c:pt>
                <c:pt idx="1">
                  <c:v>0.8</c:v>
                </c:pt>
                <c:pt idx="2">
                  <c:v>1.4</c:v>
                </c:pt>
                <c:pt idx="3">
                  <c:v>0.7</c:v>
                </c:pt>
                <c:pt idx="4">
                  <c:v>0.6</c:v>
                </c:pt>
                <c:pt idx="5">
                  <c:v>1.2</c:v>
                </c:pt>
                <c:pt idx="6">
                  <c:v>0.1</c:v>
                </c:pt>
                <c:pt idx="7">
                  <c:v>0.2</c:v>
                </c:pt>
                <c:pt idx="8">
                  <c:v>1</c:v>
                </c:pt>
                <c:pt idx="9">
                  <c:v>0.9</c:v>
                </c:pt>
                <c:pt idx="10">
                  <c:v>1</c:v>
                </c:pt>
                <c:pt idx="11">
                  <c:v>0.6</c:v>
                </c:pt>
                <c:pt idx="12">
                  <c:v>2.6</c:v>
                </c:pt>
                <c:pt idx="13">
                  <c:v>2.1</c:v>
                </c:pt>
                <c:pt idx="14">
                  <c:v>1.4</c:v>
                </c:pt>
                <c:pt idx="15">
                  <c:v>3.1</c:v>
                </c:pt>
                <c:pt idx="16">
                  <c:v>0.8</c:v>
                </c:pt>
                <c:pt idx="17">
                  <c:v>0.9</c:v>
                </c:pt>
                <c:pt idx="18">
                  <c:v>0.8</c:v>
                </c:pt>
                <c:pt idx="19">
                  <c:v>1</c:v>
                </c:pt>
                <c:pt idx="20">
                  <c:v>2</c:v>
                </c:pt>
                <c:pt idx="21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7-4F30-A202-6EC77F688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'10.Rodas Maltes'!$F$3</c:f>
              <c:strCache>
                <c:ptCount val="1"/>
                <c:pt idx="0">
                  <c:v>Special B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'10.Rodas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'10.Rodas Maltes'!$F$4:$F$25</c:f>
              <c:numCache>
                <c:formatCode>0.00</c:formatCode>
                <c:ptCount val="22"/>
                <c:pt idx="0">
                  <c:v>4</c:v>
                </c:pt>
                <c:pt idx="1">
                  <c:v>0.25</c:v>
                </c:pt>
                <c:pt idx="2">
                  <c:v>3</c:v>
                </c:pt>
                <c:pt idx="3">
                  <c:v>0.25</c:v>
                </c:pt>
                <c:pt idx="4">
                  <c:v>4</c:v>
                </c:pt>
                <c:pt idx="5">
                  <c:v>4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4</c:v>
                </c:pt>
                <c:pt idx="11">
                  <c:v>0.25</c:v>
                </c:pt>
                <c:pt idx="12">
                  <c:v>0.25</c:v>
                </c:pt>
                <c:pt idx="13">
                  <c:v>2.5</c:v>
                </c:pt>
                <c:pt idx="14">
                  <c:v>0.25</c:v>
                </c:pt>
                <c:pt idx="15">
                  <c:v>1</c:v>
                </c:pt>
                <c:pt idx="16">
                  <c:v>0.25</c:v>
                </c:pt>
                <c:pt idx="17">
                  <c:v>0.25</c:v>
                </c:pt>
                <c:pt idx="18">
                  <c:v>2</c:v>
                </c:pt>
                <c:pt idx="19">
                  <c:v>0.25</c:v>
                </c:pt>
                <c:pt idx="20">
                  <c:v>2</c:v>
                </c:pt>
                <c:pt idx="2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6B-452A-A23E-9FFEF68EF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'10.Rodas Maltes'!$G$3</c:f>
              <c:strCache>
                <c:ptCount val="1"/>
                <c:pt idx="0">
                  <c:v>Special W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'10.Rodas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'10.Rodas Maltes'!$G$4:$G$25</c:f>
              <c:numCache>
                <c:formatCode>0.00</c:formatCode>
                <c:ptCount val="22"/>
                <c:pt idx="0">
                  <c:v>1.7</c:v>
                </c:pt>
                <c:pt idx="1">
                  <c:v>2.7</c:v>
                </c:pt>
                <c:pt idx="2">
                  <c:v>2.2999999999999998</c:v>
                </c:pt>
                <c:pt idx="3">
                  <c:v>2.2999999999999998</c:v>
                </c:pt>
                <c:pt idx="4">
                  <c:v>2</c:v>
                </c:pt>
                <c:pt idx="5">
                  <c:v>3.7</c:v>
                </c:pt>
                <c:pt idx="6">
                  <c:v>0.2</c:v>
                </c:pt>
                <c:pt idx="7">
                  <c:v>0.3</c:v>
                </c:pt>
                <c:pt idx="8">
                  <c:v>2.5</c:v>
                </c:pt>
                <c:pt idx="9">
                  <c:v>2.5</c:v>
                </c:pt>
                <c:pt idx="10">
                  <c:v>3.5</c:v>
                </c:pt>
                <c:pt idx="11">
                  <c:v>2.5</c:v>
                </c:pt>
                <c:pt idx="12">
                  <c:v>1.7</c:v>
                </c:pt>
                <c:pt idx="13">
                  <c:v>2.2000000000000002</c:v>
                </c:pt>
                <c:pt idx="14">
                  <c:v>0.7</c:v>
                </c:pt>
                <c:pt idx="15">
                  <c:v>3.3</c:v>
                </c:pt>
                <c:pt idx="16">
                  <c:v>3</c:v>
                </c:pt>
                <c:pt idx="17">
                  <c:v>1.8</c:v>
                </c:pt>
                <c:pt idx="18">
                  <c:v>3</c:v>
                </c:pt>
                <c:pt idx="19">
                  <c:v>1.8</c:v>
                </c:pt>
                <c:pt idx="20">
                  <c:v>3.2</c:v>
                </c:pt>
                <c:pt idx="2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67-4511-B7FB-4E44B0C52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'10.Rodas Maltes'!$H$3</c:f>
              <c:strCache>
                <c:ptCount val="1"/>
                <c:pt idx="0">
                  <c:v>Carared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'10.Rodas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'10.Rodas Maltes'!$H$4:$H$25</c:f>
              <c:numCache>
                <c:formatCode>0.00</c:formatCode>
                <c:ptCount val="22"/>
                <c:pt idx="0">
                  <c:v>0.8</c:v>
                </c:pt>
                <c:pt idx="1">
                  <c:v>1.2</c:v>
                </c:pt>
                <c:pt idx="2">
                  <c:v>1</c:v>
                </c:pt>
                <c:pt idx="3">
                  <c:v>1.8</c:v>
                </c:pt>
                <c:pt idx="4">
                  <c:v>1.6</c:v>
                </c:pt>
                <c:pt idx="5">
                  <c:v>2.2000000000000002</c:v>
                </c:pt>
                <c:pt idx="6">
                  <c:v>0.6</c:v>
                </c:pt>
                <c:pt idx="7">
                  <c:v>0.4</c:v>
                </c:pt>
                <c:pt idx="8">
                  <c:v>1.2</c:v>
                </c:pt>
                <c:pt idx="9">
                  <c:v>1.2</c:v>
                </c:pt>
                <c:pt idx="10">
                  <c:v>1.4</c:v>
                </c:pt>
                <c:pt idx="11">
                  <c:v>1.4</c:v>
                </c:pt>
                <c:pt idx="12">
                  <c:v>2.8</c:v>
                </c:pt>
                <c:pt idx="13">
                  <c:v>2</c:v>
                </c:pt>
                <c:pt idx="14">
                  <c:v>1.8</c:v>
                </c:pt>
                <c:pt idx="15">
                  <c:v>2.8</c:v>
                </c:pt>
                <c:pt idx="16">
                  <c:v>3.2</c:v>
                </c:pt>
                <c:pt idx="17">
                  <c:v>3.2</c:v>
                </c:pt>
                <c:pt idx="18">
                  <c:v>2.4</c:v>
                </c:pt>
                <c:pt idx="19">
                  <c:v>2</c:v>
                </c:pt>
                <c:pt idx="20">
                  <c:v>2.8</c:v>
                </c:pt>
                <c:pt idx="21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3-4539-B040-81F5ECB6F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'10.Rodas Maltes'!$D$3</c:f>
              <c:strCache>
                <c:ptCount val="1"/>
                <c:pt idx="0">
                  <c:v>Pilsen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strRef>
              <c:f>'10.Rodas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'10.Rodas Maltes'!$D$4:$D$25</c:f>
              <c:numCache>
                <c:formatCode>0.00</c:formatCode>
                <c:ptCount val="22"/>
                <c:pt idx="0">
                  <c:v>0.1</c:v>
                </c:pt>
                <c:pt idx="1">
                  <c:v>0.1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0.4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0.5</c:v>
                </c:pt>
                <c:pt idx="10">
                  <c:v>0.1</c:v>
                </c:pt>
                <c:pt idx="11">
                  <c:v>0.4</c:v>
                </c:pt>
                <c:pt idx="12">
                  <c:v>1.4</c:v>
                </c:pt>
                <c:pt idx="13">
                  <c:v>0.8</c:v>
                </c:pt>
                <c:pt idx="14">
                  <c:v>0.3</c:v>
                </c:pt>
                <c:pt idx="15">
                  <c:v>1.8</c:v>
                </c:pt>
                <c:pt idx="16">
                  <c:v>0.4</c:v>
                </c:pt>
                <c:pt idx="17">
                  <c:v>0.6</c:v>
                </c:pt>
                <c:pt idx="18">
                  <c:v>0</c:v>
                </c:pt>
                <c:pt idx="19">
                  <c:v>0.5</c:v>
                </c:pt>
                <c:pt idx="20">
                  <c:v>2.6</c:v>
                </c:pt>
                <c:pt idx="21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2D-4686-81F8-6563DED9C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'10.Rodas Maltes'!$H$3</c:f>
              <c:strCache>
                <c:ptCount val="1"/>
                <c:pt idx="0">
                  <c:v>Carared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'10.Rodas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'10.Rodas Maltes'!$H$4:$H$25</c:f>
              <c:numCache>
                <c:formatCode>0.00</c:formatCode>
                <c:ptCount val="22"/>
                <c:pt idx="0">
                  <c:v>0.8</c:v>
                </c:pt>
                <c:pt idx="1">
                  <c:v>1.2</c:v>
                </c:pt>
                <c:pt idx="2">
                  <c:v>1</c:v>
                </c:pt>
                <c:pt idx="3">
                  <c:v>1.8</c:v>
                </c:pt>
                <c:pt idx="4">
                  <c:v>1.6</c:v>
                </c:pt>
                <c:pt idx="5">
                  <c:v>2.2000000000000002</c:v>
                </c:pt>
                <c:pt idx="6">
                  <c:v>0.6</c:v>
                </c:pt>
                <c:pt idx="7">
                  <c:v>0.4</c:v>
                </c:pt>
                <c:pt idx="8">
                  <c:v>1.2</c:v>
                </c:pt>
                <c:pt idx="9">
                  <c:v>1.2</c:v>
                </c:pt>
                <c:pt idx="10">
                  <c:v>1.4</c:v>
                </c:pt>
                <c:pt idx="11">
                  <c:v>1.4</c:v>
                </c:pt>
                <c:pt idx="12">
                  <c:v>2.8</c:v>
                </c:pt>
                <c:pt idx="13">
                  <c:v>2</c:v>
                </c:pt>
                <c:pt idx="14">
                  <c:v>1.8</c:v>
                </c:pt>
                <c:pt idx="15">
                  <c:v>2.8</c:v>
                </c:pt>
                <c:pt idx="16">
                  <c:v>3.2</c:v>
                </c:pt>
                <c:pt idx="17">
                  <c:v>3.2</c:v>
                </c:pt>
                <c:pt idx="18">
                  <c:v>2.4</c:v>
                </c:pt>
                <c:pt idx="19">
                  <c:v>2</c:v>
                </c:pt>
                <c:pt idx="20">
                  <c:v>2.8</c:v>
                </c:pt>
                <c:pt idx="21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A1-4003-8FAF-B95ED2177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863409261718952"/>
          <c:y val="0.12629648834081053"/>
          <c:w val="0.47279198710525194"/>
          <c:h val="0.78021432167790128"/>
        </c:manualLayout>
      </c:layout>
      <c:radarChart>
        <c:radarStyle val="marker"/>
        <c:varyColors val="0"/>
        <c:ser>
          <c:idx val="0"/>
          <c:order val="0"/>
          <c:tx>
            <c:strRef>
              <c:f>'10.Rodas Maltes'!$I$3</c:f>
              <c:strCache>
                <c:ptCount val="1"/>
                <c:pt idx="0">
                  <c:v>Malte Aveia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'10.Rodas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'10.Rodas Maltes'!$I$4:$I$25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2.2000000000000002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2.2000000000000002</c:v>
                </c:pt>
                <c:pt idx="14">
                  <c:v>0</c:v>
                </c:pt>
                <c:pt idx="15">
                  <c:v>0.7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0.7</c:v>
                </c:pt>
                <c:pt idx="20">
                  <c:v>1.2</c:v>
                </c:pt>
                <c:pt idx="21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F-4E15-A26C-8B75FFDE9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'1.Estudo Maltes'!$C$3</c:f>
              <c:strCache>
                <c:ptCount val="1"/>
                <c:pt idx="0">
                  <c:v>Malte 1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strRef>
              <c:f>'1.Estudo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'1.Estudo Maltes'!$C$4:$C$25</c:f>
              <c:numCache>
                <c:formatCode>0.00</c:formatCode>
                <c:ptCount val="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A0-4D5D-9230-7C2522877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'10.Rodas Maltes'!$J$3</c:f>
              <c:strCache>
                <c:ptCount val="1"/>
                <c:pt idx="0">
                  <c:v>Carafa 2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'10.Rodas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'10.Rodas Maltes'!$J$4:$J$25</c:f>
              <c:numCache>
                <c:formatCode>General</c:formatCode>
                <c:ptCount val="22"/>
                <c:pt idx="0">
                  <c:v>3.4</c:v>
                </c:pt>
                <c:pt idx="1">
                  <c:v>2.2000000000000002</c:v>
                </c:pt>
                <c:pt idx="2">
                  <c:v>2.4</c:v>
                </c:pt>
                <c:pt idx="3">
                  <c:v>2.4</c:v>
                </c:pt>
                <c:pt idx="4">
                  <c:v>1.2</c:v>
                </c:pt>
                <c:pt idx="5">
                  <c:v>3</c:v>
                </c:pt>
                <c:pt idx="6">
                  <c:v>0.4</c:v>
                </c:pt>
                <c:pt idx="7">
                  <c:v>0</c:v>
                </c:pt>
                <c:pt idx="8">
                  <c:v>0.8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0.2</c:v>
                </c:pt>
                <c:pt idx="13">
                  <c:v>0.8</c:v>
                </c:pt>
                <c:pt idx="14">
                  <c:v>0.6</c:v>
                </c:pt>
                <c:pt idx="15">
                  <c:v>1</c:v>
                </c:pt>
                <c:pt idx="16">
                  <c:v>1</c:v>
                </c:pt>
                <c:pt idx="17">
                  <c:v>0.6</c:v>
                </c:pt>
                <c:pt idx="18">
                  <c:v>1.6</c:v>
                </c:pt>
                <c:pt idx="19">
                  <c:v>1.4</c:v>
                </c:pt>
                <c:pt idx="20">
                  <c:v>0.6</c:v>
                </c:pt>
                <c:pt idx="21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8-4A31-9DB8-BD657AEA8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'11.Tabela Goldiner'!$C$4</c:f>
              <c:strCache>
                <c:ptCount val="1"/>
                <c:pt idx="0">
                  <c:v>g/100mL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4.2099643478273087E-2"/>
                  <c:y val="-5.0174787557495909E-2"/>
                </c:manualLayout>
              </c:layout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'11.Tabela Goldiner'!$B$5:$B$151</c:f>
              <c:numCache>
                <c:formatCode>0.00</c:formatCode>
                <c:ptCount val="147"/>
                <c:pt idx="0" formatCode="General">
                  <c:v>0</c:v>
                </c:pt>
                <c:pt idx="1">
                  <c:v>4</c:v>
                </c:pt>
                <c:pt idx="2">
                  <c:v>4.0999999999999996</c:v>
                </c:pt>
                <c:pt idx="3">
                  <c:v>4.2</c:v>
                </c:pt>
                <c:pt idx="4">
                  <c:v>4.3</c:v>
                </c:pt>
                <c:pt idx="5">
                  <c:v>4.4000000000000004</c:v>
                </c:pt>
                <c:pt idx="6">
                  <c:v>4.5</c:v>
                </c:pt>
                <c:pt idx="7">
                  <c:v>4.5999999999999996</c:v>
                </c:pt>
                <c:pt idx="8">
                  <c:v>4.7</c:v>
                </c:pt>
                <c:pt idx="9">
                  <c:v>4.8</c:v>
                </c:pt>
                <c:pt idx="10">
                  <c:v>4.9000000000000004</c:v>
                </c:pt>
                <c:pt idx="11">
                  <c:v>5</c:v>
                </c:pt>
                <c:pt idx="12">
                  <c:v>5.0999999999999996</c:v>
                </c:pt>
                <c:pt idx="13">
                  <c:v>5.2</c:v>
                </c:pt>
                <c:pt idx="14">
                  <c:v>5.3</c:v>
                </c:pt>
                <c:pt idx="15">
                  <c:v>5.4</c:v>
                </c:pt>
                <c:pt idx="16">
                  <c:v>5.5</c:v>
                </c:pt>
                <c:pt idx="17">
                  <c:v>5.6</c:v>
                </c:pt>
                <c:pt idx="18">
                  <c:v>5.7</c:v>
                </c:pt>
                <c:pt idx="19">
                  <c:v>5.8</c:v>
                </c:pt>
                <c:pt idx="20">
                  <c:v>5.9</c:v>
                </c:pt>
                <c:pt idx="21">
                  <c:v>6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6.6</c:v>
                </c:pt>
                <c:pt idx="28">
                  <c:v>6.7</c:v>
                </c:pt>
                <c:pt idx="29">
                  <c:v>6.8</c:v>
                </c:pt>
                <c:pt idx="30">
                  <c:v>6.9</c:v>
                </c:pt>
                <c:pt idx="31">
                  <c:v>7</c:v>
                </c:pt>
                <c:pt idx="32">
                  <c:v>7.1</c:v>
                </c:pt>
                <c:pt idx="33">
                  <c:v>7.2</c:v>
                </c:pt>
                <c:pt idx="34">
                  <c:v>7.3</c:v>
                </c:pt>
                <c:pt idx="35">
                  <c:v>7.4</c:v>
                </c:pt>
                <c:pt idx="36">
                  <c:v>7.5</c:v>
                </c:pt>
                <c:pt idx="37">
                  <c:v>7.6</c:v>
                </c:pt>
                <c:pt idx="38">
                  <c:v>7.7</c:v>
                </c:pt>
                <c:pt idx="39">
                  <c:v>7.8</c:v>
                </c:pt>
                <c:pt idx="40">
                  <c:v>7.9</c:v>
                </c:pt>
                <c:pt idx="41">
                  <c:v>8</c:v>
                </c:pt>
                <c:pt idx="42">
                  <c:v>8.1</c:v>
                </c:pt>
                <c:pt idx="43">
                  <c:v>8.1999999999999993</c:v>
                </c:pt>
                <c:pt idx="44">
                  <c:v>8.3000000000000007</c:v>
                </c:pt>
                <c:pt idx="45">
                  <c:v>8.4</c:v>
                </c:pt>
                <c:pt idx="46">
                  <c:v>8.5</c:v>
                </c:pt>
                <c:pt idx="47">
                  <c:v>8.6</c:v>
                </c:pt>
                <c:pt idx="48">
                  <c:v>8.6999999999999993</c:v>
                </c:pt>
                <c:pt idx="49">
                  <c:v>8.8000000000000007</c:v>
                </c:pt>
                <c:pt idx="50">
                  <c:v>8.9</c:v>
                </c:pt>
                <c:pt idx="51">
                  <c:v>9</c:v>
                </c:pt>
                <c:pt idx="52">
                  <c:v>9.1</c:v>
                </c:pt>
                <c:pt idx="53">
                  <c:v>9.1999999999999993</c:v>
                </c:pt>
                <c:pt idx="54">
                  <c:v>9.3000000000000007</c:v>
                </c:pt>
                <c:pt idx="55">
                  <c:v>9.4</c:v>
                </c:pt>
                <c:pt idx="56">
                  <c:v>9.5</c:v>
                </c:pt>
                <c:pt idx="57">
                  <c:v>9.6</c:v>
                </c:pt>
                <c:pt idx="58">
                  <c:v>9.6999999999999993</c:v>
                </c:pt>
                <c:pt idx="59">
                  <c:v>9.8000000000000007</c:v>
                </c:pt>
                <c:pt idx="60">
                  <c:v>9.9</c:v>
                </c:pt>
                <c:pt idx="61" formatCode="General">
                  <c:v>10</c:v>
                </c:pt>
                <c:pt idx="62" formatCode="General">
                  <c:v>10.1</c:v>
                </c:pt>
                <c:pt idx="63" formatCode="General">
                  <c:v>10.199999999999999</c:v>
                </c:pt>
                <c:pt idx="64" formatCode="General">
                  <c:v>10.3</c:v>
                </c:pt>
                <c:pt idx="65" formatCode="General">
                  <c:v>10.4</c:v>
                </c:pt>
                <c:pt idx="66" formatCode="General">
                  <c:v>10.5</c:v>
                </c:pt>
                <c:pt idx="67" formatCode="General">
                  <c:v>10.6</c:v>
                </c:pt>
                <c:pt idx="68" formatCode="General">
                  <c:v>10.7</c:v>
                </c:pt>
                <c:pt idx="69" formatCode="General">
                  <c:v>10.8</c:v>
                </c:pt>
                <c:pt idx="70" formatCode="General">
                  <c:v>10.9</c:v>
                </c:pt>
                <c:pt idx="71" formatCode="General">
                  <c:v>11</c:v>
                </c:pt>
                <c:pt idx="72" formatCode="General">
                  <c:v>11.1</c:v>
                </c:pt>
                <c:pt idx="73" formatCode="General">
                  <c:v>11.2</c:v>
                </c:pt>
                <c:pt idx="74" formatCode="General">
                  <c:v>11.3</c:v>
                </c:pt>
                <c:pt idx="75" formatCode="General">
                  <c:v>11.4</c:v>
                </c:pt>
                <c:pt idx="76" formatCode="General">
                  <c:v>11.5</c:v>
                </c:pt>
                <c:pt idx="77" formatCode="General">
                  <c:v>11.6</c:v>
                </c:pt>
                <c:pt idx="78" formatCode="General">
                  <c:v>11.7</c:v>
                </c:pt>
                <c:pt idx="79" formatCode="General">
                  <c:v>11.8</c:v>
                </c:pt>
                <c:pt idx="80" formatCode="General">
                  <c:v>11.9</c:v>
                </c:pt>
                <c:pt idx="81" formatCode="General">
                  <c:v>12</c:v>
                </c:pt>
                <c:pt idx="82" formatCode="General">
                  <c:v>12.1</c:v>
                </c:pt>
                <c:pt idx="83" formatCode="General">
                  <c:v>12.2</c:v>
                </c:pt>
                <c:pt idx="84" formatCode="General">
                  <c:v>12.3</c:v>
                </c:pt>
                <c:pt idx="85" formatCode="General">
                  <c:v>12.4</c:v>
                </c:pt>
                <c:pt idx="86" formatCode="General">
                  <c:v>12.5</c:v>
                </c:pt>
                <c:pt idx="87" formatCode="General">
                  <c:v>12.6</c:v>
                </c:pt>
                <c:pt idx="88" formatCode="General">
                  <c:v>12.7</c:v>
                </c:pt>
                <c:pt idx="89" formatCode="General">
                  <c:v>12.8</c:v>
                </c:pt>
                <c:pt idx="90" formatCode="General">
                  <c:v>12.9</c:v>
                </c:pt>
                <c:pt idx="91" formatCode="General">
                  <c:v>13</c:v>
                </c:pt>
                <c:pt idx="92" formatCode="General">
                  <c:v>13.1</c:v>
                </c:pt>
                <c:pt idx="93" formatCode="General">
                  <c:v>13.2</c:v>
                </c:pt>
                <c:pt idx="94" formatCode="General">
                  <c:v>13.3</c:v>
                </c:pt>
                <c:pt idx="95" formatCode="General">
                  <c:v>13.4</c:v>
                </c:pt>
                <c:pt idx="96" formatCode="General">
                  <c:v>13.5</c:v>
                </c:pt>
                <c:pt idx="97" formatCode="General">
                  <c:v>13.6</c:v>
                </c:pt>
                <c:pt idx="98" formatCode="General">
                  <c:v>13.7</c:v>
                </c:pt>
                <c:pt idx="99" formatCode="General">
                  <c:v>13.8</c:v>
                </c:pt>
                <c:pt idx="100" formatCode="General">
                  <c:v>13.9</c:v>
                </c:pt>
                <c:pt idx="101" formatCode="General">
                  <c:v>14</c:v>
                </c:pt>
                <c:pt idx="102" formatCode="General">
                  <c:v>14.1</c:v>
                </c:pt>
                <c:pt idx="103" formatCode="General">
                  <c:v>14.2</c:v>
                </c:pt>
                <c:pt idx="104" formatCode="General">
                  <c:v>14.3</c:v>
                </c:pt>
                <c:pt idx="105" formatCode="General">
                  <c:v>14.4</c:v>
                </c:pt>
                <c:pt idx="106" formatCode="General">
                  <c:v>14.5</c:v>
                </c:pt>
                <c:pt idx="107" formatCode="General">
                  <c:v>14.6</c:v>
                </c:pt>
                <c:pt idx="108" formatCode="General">
                  <c:v>14.7</c:v>
                </c:pt>
                <c:pt idx="109" formatCode="General">
                  <c:v>14.8</c:v>
                </c:pt>
                <c:pt idx="110" formatCode="General">
                  <c:v>14.9</c:v>
                </c:pt>
                <c:pt idx="111" formatCode="General">
                  <c:v>15</c:v>
                </c:pt>
                <c:pt idx="112" formatCode="General">
                  <c:v>15.4</c:v>
                </c:pt>
                <c:pt idx="113" formatCode="General">
                  <c:v>15.5</c:v>
                </c:pt>
                <c:pt idx="114" formatCode="General">
                  <c:v>15.9</c:v>
                </c:pt>
                <c:pt idx="115" formatCode="General">
                  <c:v>16</c:v>
                </c:pt>
                <c:pt idx="116" formatCode="General">
                  <c:v>16.399999999999999</c:v>
                </c:pt>
                <c:pt idx="117" formatCode="General">
                  <c:v>16.5</c:v>
                </c:pt>
                <c:pt idx="118" formatCode="General">
                  <c:v>16.899999999999999</c:v>
                </c:pt>
                <c:pt idx="119" formatCode="General">
                  <c:v>17</c:v>
                </c:pt>
                <c:pt idx="120" formatCode="General">
                  <c:v>17.399999999999999</c:v>
                </c:pt>
                <c:pt idx="121" formatCode="General">
                  <c:v>17.5</c:v>
                </c:pt>
                <c:pt idx="122" formatCode="General">
                  <c:v>17.899999999999999</c:v>
                </c:pt>
                <c:pt idx="123" formatCode="General">
                  <c:v>18</c:v>
                </c:pt>
                <c:pt idx="124" formatCode="General">
                  <c:v>18.399999999999999</c:v>
                </c:pt>
                <c:pt idx="125" formatCode="General">
                  <c:v>18.5</c:v>
                </c:pt>
                <c:pt idx="126" formatCode="General">
                  <c:v>18.899999999999999</c:v>
                </c:pt>
                <c:pt idx="127" formatCode="General">
                  <c:v>19</c:v>
                </c:pt>
                <c:pt idx="128" formatCode="General">
                  <c:v>19.399999999999999</c:v>
                </c:pt>
                <c:pt idx="129" formatCode="General">
                  <c:v>19.5</c:v>
                </c:pt>
                <c:pt idx="130" formatCode="General">
                  <c:v>19.899999999999999</c:v>
                </c:pt>
                <c:pt idx="131" formatCode="General">
                  <c:v>20</c:v>
                </c:pt>
                <c:pt idx="132" formatCode="General">
                  <c:v>20.399999999999999</c:v>
                </c:pt>
                <c:pt idx="133" formatCode="General">
                  <c:v>20.5</c:v>
                </c:pt>
                <c:pt idx="134" formatCode="General">
                  <c:v>20.9</c:v>
                </c:pt>
                <c:pt idx="135" formatCode="General">
                  <c:v>21</c:v>
                </c:pt>
                <c:pt idx="136" formatCode="General">
                  <c:v>21.4</c:v>
                </c:pt>
                <c:pt idx="137" formatCode="General">
                  <c:v>21.5</c:v>
                </c:pt>
                <c:pt idx="138" formatCode="General">
                  <c:v>21.9</c:v>
                </c:pt>
                <c:pt idx="139" formatCode="General">
                  <c:v>22</c:v>
                </c:pt>
                <c:pt idx="140" formatCode="General">
                  <c:v>22.4</c:v>
                </c:pt>
                <c:pt idx="141" formatCode="General">
                  <c:v>22.5</c:v>
                </c:pt>
                <c:pt idx="142" formatCode="General">
                  <c:v>22.9</c:v>
                </c:pt>
                <c:pt idx="143" formatCode="General">
                  <c:v>23</c:v>
                </c:pt>
                <c:pt idx="144" formatCode="General">
                  <c:v>23.4</c:v>
                </c:pt>
                <c:pt idx="145" formatCode="General">
                  <c:v>23.5</c:v>
                </c:pt>
                <c:pt idx="146" formatCode="General">
                  <c:v>23.9</c:v>
                </c:pt>
              </c:numCache>
            </c:numRef>
          </c:xVal>
          <c:yVal>
            <c:numRef>
              <c:f>'11.Tabela Goldiner'!$C$5:$C$151</c:f>
              <c:numCache>
                <c:formatCode>0.00</c:formatCode>
                <c:ptCount val="147"/>
                <c:pt idx="0" formatCode="General">
                  <c:v>0</c:v>
                </c:pt>
                <c:pt idx="1">
                  <c:v>4.0599999999999996</c:v>
                </c:pt>
                <c:pt idx="2">
                  <c:v>4.16</c:v>
                </c:pt>
                <c:pt idx="3">
                  <c:v>4.26</c:v>
                </c:pt>
                <c:pt idx="4">
                  <c:v>4.3600000000000003</c:v>
                </c:pt>
                <c:pt idx="5">
                  <c:v>4.47</c:v>
                </c:pt>
                <c:pt idx="6">
                  <c:v>4.57</c:v>
                </c:pt>
                <c:pt idx="7">
                  <c:v>4.67</c:v>
                </c:pt>
                <c:pt idx="8">
                  <c:v>4.78</c:v>
                </c:pt>
                <c:pt idx="9">
                  <c:v>4.88</c:v>
                </c:pt>
                <c:pt idx="10">
                  <c:v>4.99</c:v>
                </c:pt>
                <c:pt idx="11">
                  <c:v>5.09</c:v>
                </c:pt>
                <c:pt idx="12">
                  <c:v>5.19</c:v>
                </c:pt>
                <c:pt idx="13">
                  <c:v>5.3</c:v>
                </c:pt>
                <c:pt idx="14">
                  <c:v>5.4</c:v>
                </c:pt>
                <c:pt idx="15">
                  <c:v>5.51</c:v>
                </c:pt>
                <c:pt idx="16">
                  <c:v>5.61</c:v>
                </c:pt>
                <c:pt idx="17">
                  <c:v>5.71</c:v>
                </c:pt>
                <c:pt idx="18">
                  <c:v>5.82</c:v>
                </c:pt>
                <c:pt idx="19">
                  <c:v>5.92</c:v>
                </c:pt>
                <c:pt idx="20">
                  <c:v>6.03</c:v>
                </c:pt>
                <c:pt idx="21">
                  <c:v>6.13</c:v>
                </c:pt>
                <c:pt idx="22">
                  <c:v>6.24</c:v>
                </c:pt>
                <c:pt idx="23">
                  <c:v>6.34</c:v>
                </c:pt>
                <c:pt idx="24">
                  <c:v>6.45</c:v>
                </c:pt>
                <c:pt idx="25">
                  <c:v>6.55</c:v>
                </c:pt>
                <c:pt idx="26">
                  <c:v>6.66</c:v>
                </c:pt>
                <c:pt idx="27">
                  <c:v>6.76</c:v>
                </c:pt>
                <c:pt idx="28">
                  <c:v>6.87</c:v>
                </c:pt>
                <c:pt idx="29">
                  <c:v>6.97</c:v>
                </c:pt>
                <c:pt idx="30">
                  <c:v>7.08</c:v>
                </c:pt>
                <c:pt idx="31">
                  <c:v>7.18</c:v>
                </c:pt>
                <c:pt idx="32">
                  <c:v>7.29</c:v>
                </c:pt>
                <c:pt idx="33">
                  <c:v>7.39</c:v>
                </c:pt>
                <c:pt idx="34">
                  <c:v>7.5</c:v>
                </c:pt>
                <c:pt idx="35">
                  <c:v>7.6</c:v>
                </c:pt>
                <c:pt idx="36">
                  <c:v>7.71</c:v>
                </c:pt>
                <c:pt idx="37">
                  <c:v>7.82</c:v>
                </c:pt>
                <c:pt idx="38">
                  <c:v>7.92</c:v>
                </c:pt>
                <c:pt idx="39">
                  <c:v>8.0299999999999994</c:v>
                </c:pt>
                <c:pt idx="40">
                  <c:v>8.1300000000000008</c:v>
                </c:pt>
                <c:pt idx="41">
                  <c:v>8.24</c:v>
                </c:pt>
                <c:pt idx="42">
                  <c:v>8.35</c:v>
                </c:pt>
                <c:pt idx="43">
                  <c:v>8.4499999999999993</c:v>
                </c:pt>
                <c:pt idx="44">
                  <c:v>8.56</c:v>
                </c:pt>
                <c:pt idx="45">
                  <c:v>8.67</c:v>
                </c:pt>
                <c:pt idx="46">
                  <c:v>8.77</c:v>
                </c:pt>
                <c:pt idx="47">
                  <c:v>8.8800000000000008</c:v>
                </c:pt>
                <c:pt idx="48">
                  <c:v>8.99</c:v>
                </c:pt>
                <c:pt idx="49">
                  <c:v>9.09</c:v>
                </c:pt>
                <c:pt idx="50">
                  <c:v>9.1999999999999993</c:v>
                </c:pt>
                <c:pt idx="51">
                  <c:v>9.31</c:v>
                </c:pt>
                <c:pt idx="52">
                  <c:v>9.41</c:v>
                </c:pt>
                <c:pt idx="53">
                  <c:v>9.52</c:v>
                </c:pt>
                <c:pt idx="54">
                  <c:v>9.6300000000000008</c:v>
                </c:pt>
                <c:pt idx="55">
                  <c:v>9.74</c:v>
                </c:pt>
                <c:pt idx="56">
                  <c:v>9.84</c:v>
                </c:pt>
                <c:pt idx="57">
                  <c:v>9.9499999999999993</c:v>
                </c:pt>
                <c:pt idx="58">
                  <c:v>10.06</c:v>
                </c:pt>
                <c:pt idx="59">
                  <c:v>10.17</c:v>
                </c:pt>
                <c:pt idx="60">
                  <c:v>10.27</c:v>
                </c:pt>
                <c:pt idx="61" formatCode="General">
                  <c:v>10.38</c:v>
                </c:pt>
                <c:pt idx="62" formatCode="General">
                  <c:v>10.49</c:v>
                </c:pt>
                <c:pt idx="63" formatCode="General">
                  <c:v>10.6</c:v>
                </c:pt>
                <c:pt idx="64" formatCode="General">
                  <c:v>10.71</c:v>
                </c:pt>
                <c:pt idx="65" formatCode="General">
                  <c:v>10.81</c:v>
                </c:pt>
                <c:pt idx="66" formatCode="General">
                  <c:v>10.92</c:v>
                </c:pt>
                <c:pt idx="67" formatCode="General">
                  <c:v>11.03</c:v>
                </c:pt>
                <c:pt idx="68" formatCode="General">
                  <c:v>11.14</c:v>
                </c:pt>
                <c:pt idx="69" formatCode="General">
                  <c:v>11.25</c:v>
                </c:pt>
                <c:pt idx="70" formatCode="General">
                  <c:v>11.36</c:v>
                </c:pt>
                <c:pt idx="71" formatCode="General">
                  <c:v>11.47</c:v>
                </c:pt>
                <c:pt idx="72" formatCode="General">
                  <c:v>11.57</c:v>
                </c:pt>
                <c:pt idx="73" formatCode="General">
                  <c:v>11.68</c:v>
                </c:pt>
                <c:pt idx="74" formatCode="General">
                  <c:v>11.79</c:v>
                </c:pt>
                <c:pt idx="75" formatCode="General">
                  <c:v>11.9</c:v>
                </c:pt>
                <c:pt idx="76" formatCode="General">
                  <c:v>12.01</c:v>
                </c:pt>
                <c:pt idx="77" formatCode="General">
                  <c:v>12.12</c:v>
                </c:pt>
                <c:pt idx="78" formatCode="General">
                  <c:v>12.23</c:v>
                </c:pt>
                <c:pt idx="79" formatCode="General">
                  <c:v>12.34</c:v>
                </c:pt>
                <c:pt idx="80" formatCode="General">
                  <c:v>12.45</c:v>
                </c:pt>
                <c:pt idx="81" formatCode="General">
                  <c:v>12.56</c:v>
                </c:pt>
                <c:pt idx="82" formatCode="General">
                  <c:v>12.67</c:v>
                </c:pt>
                <c:pt idx="83" formatCode="General">
                  <c:v>12.78</c:v>
                </c:pt>
                <c:pt idx="84" formatCode="General">
                  <c:v>12.89</c:v>
                </c:pt>
                <c:pt idx="85" formatCode="General">
                  <c:v>13</c:v>
                </c:pt>
                <c:pt idx="86" formatCode="General">
                  <c:v>13.11</c:v>
                </c:pt>
                <c:pt idx="87" formatCode="General">
                  <c:v>13.22</c:v>
                </c:pt>
                <c:pt idx="88" formatCode="General">
                  <c:v>13.33</c:v>
                </c:pt>
                <c:pt idx="89" formatCode="General">
                  <c:v>13.44</c:v>
                </c:pt>
                <c:pt idx="90" formatCode="General">
                  <c:v>13.55</c:v>
                </c:pt>
                <c:pt idx="91" formatCode="General">
                  <c:v>13.66</c:v>
                </c:pt>
                <c:pt idx="92" formatCode="General">
                  <c:v>13.77</c:v>
                </c:pt>
                <c:pt idx="93" formatCode="General">
                  <c:v>13.88</c:v>
                </c:pt>
                <c:pt idx="94" formatCode="General">
                  <c:v>13.99</c:v>
                </c:pt>
                <c:pt idx="95" formatCode="General">
                  <c:v>14.1</c:v>
                </c:pt>
                <c:pt idx="96" formatCode="General">
                  <c:v>14.21</c:v>
                </c:pt>
                <c:pt idx="97" formatCode="General">
                  <c:v>14.32</c:v>
                </c:pt>
                <c:pt idx="98" formatCode="General">
                  <c:v>14.43</c:v>
                </c:pt>
                <c:pt idx="99" formatCode="General">
                  <c:v>14.55</c:v>
                </c:pt>
                <c:pt idx="100" formatCode="General">
                  <c:v>14.66</c:v>
                </c:pt>
                <c:pt idx="101" formatCode="General">
                  <c:v>14.77</c:v>
                </c:pt>
                <c:pt idx="102" formatCode="General">
                  <c:v>14.88</c:v>
                </c:pt>
                <c:pt idx="103" formatCode="General">
                  <c:v>14.99</c:v>
                </c:pt>
                <c:pt idx="104" formatCode="General">
                  <c:v>15.1</c:v>
                </c:pt>
                <c:pt idx="105" formatCode="General">
                  <c:v>15.22</c:v>
                </c:pt>
                <c:pt idx="106" formatCode="General">
                  <c:v>15.33</c:v>
                </c:pt>
                <c:pt idx="107" formatCode="General">
                  <c:v>15.44</c:v>
                </c:pt>
                <c:pt idx="108" formatCode="General">
                  <c:v>15.55</c:v>
                </c:pt>
                <c:pt idx="109" formatCode="General">
                  <c:v>15.66</c:v>
                </c:pt>
                <c:pt idx="110" formatCode="General">
                  <c:v>15.78</c:v>
                </c:pt>
                <c:pt idx="111" formatCode="General">
                  <c:v>15.89</c:v>
                </c:pt>
                <c:pt idx="112" formatCode="General">
                  <c:v>16.34</c:v>
                </c:pt>
                <c:pt idx="113" formatCode="General">
                  <c:v>16.45</c:v>
                </c:pt>
                <c:pt idx="114" formatCode="General">
                  <c:v>16.899999999999999</c:v>
                </c:pt>
                <c:pt idx="115" formatCode="General">
                  <c:v>17.02</c:v>
                </c:pt>
                <c:pt idx="116" formatCode="General">
                  <c:v>17.47</c:v>
                </c:pt>
                <c:pt idx="117" formatCode="General">
                  <c:v>17.579999999999998</c:v>
                </c:pt>
                <c:pt idx="118" formatCode="General">
                  <c:v>18.04</c:v>
                </c:pt>
                <c:pt idx="119" formatCode="General">
                  <c:v>18.149999999999999</c:v>
                </c:pt>
                <c:pt idx="120" formatCode="General">
                  <c:v>18.61</c:v>
                </c:pt>
                <c:pt idx="121" formatCode="General">
                  <c:v>18.72</c:v>
                </c:pt>
                <c:pt idx="122" formatCode="General">
                  <c:v>19.18</c:v>
                </c:pt>
                <c:pt idx="123" formatCode="General">
                  <c:v>19.3</c:v>
                </c:pt>
                <c:pt idx="124" formatCode="General">
                  <c:v>19.760000000000002</c:v>
                </c:pt>
                <c:pt idx="125" formatCode="General">
                  <c:v>19.88</c:v>
                </c:pt>
                <c:pt idx="126" formatCode="General">
                  <c:v>20.34</c:v>
                </c:pt>
                <c:pt idx="127" formatCode="General">
                  <c:v>20.45</c:v>
                </c:pt>
                <c:pt idx="128" formatCode="General">
                  <c:v>20.92</c:v>
                </c:pt>
                <c:pt idx="129" formatCode="General">
                  <c:v>21.04</c:v>
                </c:pt>
                <c:pt idx="130" formatCode="General">
                  <c:v>21.5</c:v>
                </c:pt>
                <c:pt idx="131" formatCode="General">
                  <c:v>21.62</c:v>
                </c:pt>
                <c:pt idx="132" formatCode="General">
                  <c:v>22.09</c:v>
                </c:pt>
                <c:pt idx="133" formatCode="General">
                  <c:v>22.21</c:v>
                </c:pt>
                <c:pt idx="134" formatCode="General">
                  <c:v>22.68</c:v>
                </c:pt>
                <c:pt idx="135" formatCode="General">
                  <c:v>22.79</c:v>
                </c:pt>
                <c:pt idx="136" formatCode="General">
                  <c:v>23.27</c:v>
                </c:pt>
                <c:pt idx="137" formatCode="General">
                  <c:v>23.38</c:v>
                </c:pt>
                <c:pt idx="138" formatCode="General">
                  <c:v>23.86</c:v>
                </c:pt>
                <c:pt idx="139" formatCode="General">
                  <c:v>23.98</c:v>
                </c:pt>
                <c:pt idx="140" formatCode="General">
                  <c:v>24.45</c:v>
                </c:pt>
                <c:pt idx="141" formatCode="General">
                  <c:v>24.57</c:v>
                </c:pt>
                <c:pt idx="142" formatCode="General">
                  <c:v>25.05</c:v>
                </c:pt>
                <c:pt idx="143" formatCode="General">
                  <c:v>25.17</c:v>
                </c:pt>
                <c:pt idx="144" formatCode="General">
                  <c:v>25.65</c:v>
                </c:pt>
                <c:pt idx="145" formatCode="General">
                  <c:v>25.77</c:v>
                </c:pt>
                <c:pt idx="146" formatCode="General">
                  <c:v>26.25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8B-4505-8989-58ACBF31A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744712"/>
        <c:axId val="993741832"/>
      </c:scatterChart>
      <c:valAx>
        <c:axId val="99374471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3741832"/>
        <c:crosses val="autoZero"/>
        <c:crossBetween val="midCat"/>
      </c:valAx>
      <c:valAx>
        <c:axId val="993741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3744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'11.Tabela Goldiner'!$Q$4</c:f>
              <c:strCache>
                <c:ptCount val="1"/>
                <c:pt idx="0">
                  <c:v>°P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9.9771023284908694E-2"/>
                  <c:y val="-5.6850514190699385E-2"/>
                </c:manualLayout>
              </c:layout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'11.Tabela Goldiner'!$P$5:$P$151</c:f>
              <c:numCache>
                <c:formatCode>0.00</c:formatCode>
                <c:ptCount val="147"/>
                <c:pt idx="0" formatCode="General">
                  <c:v>0</c:v>
                </c:pt>
                <c:pt idx="1">
                  <c:v>4.0599999999999996</c:v>
                </c:pt>
                <c:pt idx="2">
                  <c:v>4.16</c:v>
                </c:pt>
                <c:pt idx="3">
                  <c:v>4.26</c:v>
                </c:pt>
                <c:pt idx="4">
                  <c:v>4.3600000000000003</c:v>
                </c:pt>
                <c:pt idx="5">
                  <c:v>4.47</c:v>
                </c:pt>
                <c:pt idx="6">
                  <c:v>4.57</c:v>
                </c:pt>
                <c:pt idx="7">
                  <c:v>4.67</c:v>
                </c:pt>
                <c:pt idx="8">
                  <c:v>4.78</c:v>
                </c:pt>
                <c:pt idx="9">
                  <c:v>4.88</c:v>
                </c:pt>
                <c:pt idx="10">
                  <c:v>4.99</c:v>
                </c:pt>
                <c:pt idx="11">
                  <c:v>5.09</c:v>
                </c:pt>
                <c:pt idx="12">
                  <c:v>5.19</c:v>
                </c:pt>
                <c:pt idx="13">
                  <c:v>5.3</c:v>
                </c:pt>
                <c:pt idx="14">
                  <c:v>5.4</c:v>
                </c:pt>
                <c:pt idx="15">
                  <c:v>5.51</c:v>
                </c:pt>
                <c:pt idx="16">
                  <c:v>5.61</c:v>
                </c:pt>
                <c:pt idx="17">
                  <c:v>5.71</c:v>
                </c:pt>
                <c:pt idx="18">
                  <c:v>5.82</c:v>
                </c:pt>
                <c:pt idx="19">
                  <c:v>5.92</c:v>
                </c:pt>
                <c:pt idx="20">
                  <c:v>6.03</c:v>
                </c:pt>
                <c:pt idx="21">
                  <c:v>6.13</c:v>
                </c:pt>
                <c:pt idx="22">
                  <c:v>6.24</c:v>
                </c:pt>
                <c:pt idx="23">
                  <c:v>6.34</c:v>
                </c:pt>
                <c:pt idx="24">
                  <c:v>6.45</c:v>
                </c:pt>
                <c:pt idx="25">
                  <c:v>6.55</c:v>
                </c:pt>
                <c:pt idx="26">
                  <c:v>6.66</c:v>
                </c:pt>
                <c:pt idx="27">
                  <c:v>6.76</c:v>
                </c:pt>
                <c:pt idx="28">
                  <c:v>6.87</c:v>
                </c:pt>
                <c:pt idx="29">
                  <c:v>6.97</c:v>
                </c:pt>
                <c:pt idx="30">
                  <c:v>7.08</c:v>
                </c:pt>
                <c:pt idx="31">
                  <c:v>7.18</c:v>
                </c:pt>
                <c:pt idx="32">
                  <c:v>7.29</c:v>
                </c:pt>
                <c:pt idx="33">
                  <c:v>7.39</c:v>
                </c:pt>
                <c:pt idx="34">
                  <c:v>7.5</c:v>
                </c:pt>
                <c:pt idx="35">
                  <c:v>7.6</c:v>
                </c:pt>
                <c:pt idx="36">
                  <c:v>7.71</c:v>
                </c:pt>
                <c:pt idx="37">
                  <c:v>7.82</c:v>
                </c:pt>
                <c:pt idx="38">
                  <c:v>7.92</c:v>
                </c:pt>
                <c:pt idx="39">
                  <c:v>8.0299999999999994</c:v>
                </c:pt>
                <c:pt idx="40">
                  <c:v>8.1300000000000008</c:v>
                </c:pt>
                <c:pt idx="41">
                  <c:v>8.24</c:v>
                </c:pt>
                <c:pt idx="42">
                  <c:v>8.35</c:v>
                </c:pt>
                <c:pt idx="43">
                  <c:v>8.4499999999999993</c:v>
                </c:pt>
                <c:pt idx="44">
                  <c:v>8.56</c:v>
                </c:pt>
                <c:pt idx="45">
                  <c:v>8.67</c:v>
                </c:pt>
                <c:pt idx="46">
                  <c:v>8.77</c:v>
                </c:pt>
                <c:pt idx="47">
                  <c:v>8.8800000000000008</c:v>
                </c:pt>
                <c:pt idx="48">
                  <c:v>8.99</c:v>
                </c:pt>
                <c:pt idx="49">
                  <c:v>9.09</c:v>
                </c:pt>
                <c:pt idx="50">
                  <c:v>9.1999999999999993</c:v>
                </c:pt>
                <c:pt idx="51">
                  <c:v>9.31</c:v>
                </c:pt>
                <c:pt idx="52">
                  <c:v>9.41</c:v>
                </c:pt>
                <c:pt idx="53">
                  <c:v>9.52</c:v>
                </c:pt>
                <c:pt idx="54">
                  <c:v>9.6300000000000008</c:v>
                </c:pt>
                <c:pt idx="55">
                  <c:v>9.74</c:v>
                </c:pt>
                <c:pt idx="56">
                  <c:v>9.84</c:v>
                </c:pt>
                <c:pt idx="57">
                  <c:v>9.9499999999999993</c:v>
                </c:pt>
                <c:pt idx="58">
                  <c:v>10.06</c:v>
                </c:pt>
                <c:pt idx="59">
                  <c:v>10.17</c:v>
                </c:pt>
                <c:pt idx="60">
                  <c:v>10.27</c:v>
                </c:pt>
                <c:pt idx="61" formatCode="General">
                  <c:v>10.38</c:v>
                </c:pt>
                <c:pt idx="62" formatCode="General">
                  <c:v>10.49</c:v>
                </c:pt>
                <c:pt idx="63" formatCode="General">
                  <c:v>10.6</c:v>
                </c:pt>
                <c:pt idx="64" formatCode="General">
                  <c:v>10.71</c:v>
                </c:pt>
                <c:pt idx="65" formatCode="General">
                  <c:v>10.81</c:v>
                </c:pt>
                <c:pt idx="66" formatCode="General">
                  <c:v>10.92</c:v>
                </c:pt>
                <c:pt idx="67" formatCode="General">
                  <c:v>11.03</c:v>
                </c:pt>
                <c:pt idx="68" formatCode="General">
                  <c:v>11.14</c:v>
                </c:pt>
                <c:pt idx="69" formatCode="General">
                  <c:v>11.25</c:v>
                </c:pt>
                <c:pt idx="70" formatCode="General">
                  <c:v>11.36</c:v>
                </c:pt>
                <c:pt idx="71" formatCode="General">
                  <c:v>11.47</c:v>
                </c:pt>
                <c:pt idx="72" formatCode="General">
                  <c:v>11.57</c:v>
                </c:pt>
                <c:pt idx="73" formatCode="General">
                  <c:v>11.68</c:v>
                </c:pt>
                <c:pt idx="74" formatCode="General">
                  <c:v>11.79</c:v>
                </c:pt>
                <c:pt idx="75" formatCode="General">
                  <c:v>11.9</c:v>
                </c:pt>
                <c:pt idx="76" formatCode="General">
                  <c:v>12.01</c:v>
                </c:pt>
                <c:pt idx="77" formatCode="General">
                  <c:v>12.12</c:v>
                </c:pt>
                <c:pt idx="78" formatCode="General">
                  <c:v>12.23</c:v>
                </c:pt>
                <c:pt idx="79" formatCode="General">
                  <c:v>12.34</c:v>
                </c:pt>
                <c:pt idx="80" formatCode="General">
                  <c:v>12.45</c:v>
                </c:pt>
                <c:pt idx="81" formatCode="General">
                  <c:v>12.56</c:v>
                </c:pt>
                <c:pt idx="82" formatCode="General">
                  <c:v>12.67</c:v>
                </c:pt>
                <c:pt idx="83" formatCode="General">
                  <c:v>12.78</c:v>
                </c:pt>
                <c:pt idx="84" formatCode="General">
                  <c:v>12.89</c:v>
                </c:pt>
                <c:pt idx="85" formatCode="General">
                  <c:v>13</c:v>
                </c:pt>
                <c:pt idx="86" formatCode="General">
                  <c:v>13.11</c:v>
                </c:pt>
                <c:pt idx="87" formatCode="General">
                  <c:v>13.22</c:v>
                </c:pt>
                <c:pt idx="88" formatCode="General">
                  <c:v>13.33</c:v>
                </c:pt>
                <c:pt idx="89" formatCode="General">
                  <c:v>13.44</c:v>
                </c:pt>
                <c:pt idx="90" formatCode="General">
                  <c:v>13.55</c:v>
                </c:pt>
                <c:pt idx="91" formatCode="General">
                  <c:v>13.66</c:v>
                </c:pt>
                <c:pt idx="92" formatCode="General">
                  <c:v>13.77</c:v>
                </c:pt>
                <c:pt idx="93" formatCode="General">
                  <c:v>13.88</c:v>
                </c:pt>
                <c:pt idx="94" formatCode="General">
                  <c:v>13.99</c:v>
                </c:pt>
                <c:pt idx="95" formatCode="General">
                  <c:v>14.1</c:v>
                </c:pt>
                <c:pt idx="96" formatCode="General">
                  <c:v>14.21</c:v>
                </c:pt>
                <c:pt idx="97" formatCode="General">
                  <c:v>14.32</c:v>
                </c:pt>
                <c:pt idx="98" formatCode="General">
                  <c:v>14.43</c:v>
                </c:pt>
                <c:pt idx="99" formatCode="General">
                  <c:v>14.55</c:v>
                </c:pt>
                <c:pt idx="100" formatCode="General">
                  <c:v>14.66</c:v>
                </c:pt>
                <c:pt idx="101" formatCode="General">
                  <c:v>14.77</c:v>
                </c:pt>
                <c:pt idx="102" formatCode="General">
                  <c:v>14.88</c:v>
                </c:pt>
                <c:pt idx="103" formatCode="General">
                  <c:v>14.99</c:v>
                </c:pt>
                <c:pt idx="104" formatCode="General">
                  <c:v>15.1</c:v>
                </c:pt>
                <c:pt idx="105" formatCode="General">
                  <c:v>15.22</c:v>
                </c:pt>
                <c:pt idx="106" formatCode="General">
                  <c:v>15.33</c:v>
                </c:pt>
                <c:pt idx="107" formatCode="General">
                  <c:v>15.44</c:v>
                </c:pt>
                <c:pt idx="108" formatCode="General">
                  <c:v>15.55</c:v>
                </c:pt>
                <c:pt idx="109" formatCode="General">
                  <c:v>15.66</c:v>
                </c:pt>
                <c:pt idx="110" formatCode="General">
                  <c:v>15.78</c:v>
                </c:pt>
                <c:pt idx="111" formatCode="General">
                  <c:v>15.89</c:v>
                </c:pt>
                <c:pt idx="112" formatCode="General">
                  <c:v>16.34</c:v>
                </c:pt>
                <c:pt idx="113" formatCode="General">
                  <c:v>16.45</c:v>
                </c:pt>
                <c:pt idx="114" formatCode="General">
                  <c:v>16.899999999999999</c:v>
                </c:pt>
                <c:pt idx="115" formatCode="General">
                  <c:v>17.02</c:v>
                </c:pt>
                <c:pt idx="116" formatCode="General">
                  <c:v>17.47</c:v>
                </c:pt>
                <c:pt idx="117" formatCode="General">
                  <c:v>17.579999999999998</c:v>
                </c:pt>
                <c:pt idx="118" formatCode="General">
                  <c:v>18.04</c:v>
                </c:pt>
                <c:pt idx="119" formatCode="General">
                  <c:v>18.149999999999999</c:v>
                </c:pt>
                <c:pt idx="120" formatCode="General">
                  <c:v>18.61</c:v>
                </c:pt>
                <c:pt idx="121" formatCode="General">
                  <c:v>18.72</c:v>
                </c:pt>
                <c:pt idx="122" formatCode="General">
                  <c:v>19.18</c:v>
                </c:pt>
                <c:pt idx="123" formatCode="General">
                  <c:v>19.3</c:v>
                </c:pt>
                <c:pt idx="124" formatCode="General">
                  <c:v>19.760000000000002</c:v>
                </c:pt>
                <c:pt idx="125" formatCode="General">
                  <c:v>19.88</c:v>
                </c:pt>
                <c:pt idx="126" formatCode="General">
                  <c:v>20.34</c:v>
                </c:pt>
                <c:pt idx="127" formatCode="General">
                  <c:v>20.45</c:v>
                </c:pt>
                <c:pt idx="128" formatCode="General">
                  <c:v>20.92</c:v>
                </c:pt>
                <c:pt idx="129" formatCode="General">
                  <c:v>21.04</c:v>
                </c:pt>
                <c:pt idx="130" formatCode="General">
                  <c:v>21.5</c:v>
                </c:pt>
                <c:pt idx="131" formatCode="General">
                  <c:v>21.62</c:v>
                </c:pt>
                <c:pt idx="132" formatCode="General">
                  <c:v>22.09</c:v>
                </c:pt>
                <c:pt idx="133" formatCode="General">
                  <c:v>22.21</c:v>
                </c:pt>
                <c:pt idx="134" formatCode="General">
                  <c:v>22.68</c:v>
                </c:pt>
                <c:pt idx="135" formatCode="General">
                  <c:v>22.79</c:v>
                </c:pt>
                <c:pt idx="136" formatCode="General">
                  <c:v>23.27</c:v>
                </c:pt>
                <c:pt idx="137" formatCode="General">
                  <c:v>23.38</c:v>
                </c:pt>
                <c:pt idx="138" formatCode="General">
                  <c:v>23.86</c:v>
                </c:pt>
                <c:pt idx="139" formatCode="General">
                  <c:v>23.98</c:v>
                </c:pt>
                <c:pt idx="140" formatCode="General">
                  <c:v>24.45</c:v>
                </c:pt>
                <c:pt idx="141" formatCode="General">
                  <c:v>24.57</c:v>
                </c:pt>
                <c:pt idx="142" formatCode="General">
                  <c:v>25.05</c:v>
                </c:pt>
                <c:pt idx="143" formatCode="General">
                  <c:v>25.17</c:v>
                </c:pt>
                <c:pt idx="144" formatCode="General">
                  <c:v>25.65</c:v>
                </c:pt>
                <c:pt idx="145" formatCode="General">
                  <c:v>25.77</c:v>
                </c:pt>
                <c:pt idx="146" formatCode="General">
                  <c:v>26.25</c:v>
                </c:pt>
              </c:numCache>
            </c:numRef>
          </c:xVal>
          <c:yVal>
            <c:numRef>
              <c:f>'11.Tabela Goldiner'!$Q$5:$Q$151</c:f>
              <c:numCache>
                <c:formatCode>0.00</c:formatCode>
                <c:ptCount val="147"/>
                <c:pt idx="0" formatCode="General">
                  <c:v>0</c:v>
                </c:pt>
                <c:pt idx="1">
                  <c:v>4</c:v>
                </c:pt>
                <c:pt idx="2">
                  <c:v>4.0999999999999996</c:v>
                </c:pt>
                <c:pt idx="3">
                  <c:v>4.2</c:v>
                </c:pt>
                <c:pt idx="4">
                  <c:v>4.3</c:v>
                </c:pt>
                <c:pt idx="5">
                  <c:v>4.4000000000000004</c:v>
                </c:pt>
                <c:pt idx="6">
                  <c:v>4.5</c:v>
                </c:pt>
                <c:pt idx="7">
                  <c:v>4.5999999999999996</c:v>
                </c:pt>
                <c:pt idx="8">
                  <c:v>4.7</c:v>
                </c:pt>
                <c:pt idx="9">
                  <c:v>4.8</c:v>
                </c:pt>
                <c:pt idx="10">
                  <c:v>4.9000000000000004</c:v>
                </c:pt>
                <c:pt idx="11">
                  <c:v>5</c:v>
                </c:pt>
                <c:pt idx="12">
                  <c:v>5.0999999999999996</c:v>
                </c:pt>
                <c:pt idx="13">
                  <c:v>5.2</c:v>
                </c:pt>
                <c:pt idx="14">
                  <c:v>5.3</c:v>
                </c:pt>
                <c:pt idx="15">
                  <c:v>5.4</c:v>
                </c:pt>
                <c:pt idx="16">
                  <c:v>5.5</c:v>
                </c:pt>
                <c:pt idx="17">
                  <c:v>5.6</c:v>
                </c:pt>
                <c:pt idx="18">
                  <c:v>5.7</c:v>
                </c:pt>
                <c:pt idx="19">
                  <c:v>5.8</c:v>
                </c:pt>
                <c:pt idx="20">
                  <c:v>5.9</c:v>
                </c:pt>
                <c:pt idx="21">
                  <c:v>6</c:v>
                </c:pt>
                <c:pt idx="22">
                  <c:v>6.1</c:v>
                </c:pt>
                <c:pt idx="23">
                  <c:v>6.2</c:v>
                </c:pt>
                <c:pt idx="24">
                  <c:v>6.3</c:v>
                </c:pt>
                <c:pt idx="25">
                  <c:v>6.4</c:v>
                </c:pt>
                <c:pt idx="26">
                  <c:v>6.5</c:v>
                </c:pt>
                <c:pt idx="27">
                  <c:v>6.6</c:v>
                </c:pt>
                <c:pt idx="28">
                  <c:v>6.7</c:v>
                </c:pt>
                <c:pt idx="29">
                  <c:v>6.8</c:v>
                </c:pt>
                <c:pt idx="30">
                  <c:v>6.9</c:v>
                </c:pt>
                <c:pt idx="31">
                  <c:v>7</c:v>
                </c:pt>
                <c:pt idx="32">
                  <c:v>7.1</c:v>
                </c:pt>
                <c:pt idx="33">
                  <c:v>7.2</c:v>
                </c:pt>
                <c:pt idx="34">
                  <c:v>7.3</c:v>
                </c:pt>
                <c:pt idx="35">
                  <c:v>7.4</c:v>
                </c:pt>
                <c:pt idx="36">
                  <c:v>7.5</c:v>
                </c:pt>
                <c:pt idx="37">
                  <c:v>7.6</c:v>
                </c:pt>
                <c:pt idx="38">
                  <c:v>7.7</c:v>
                </c:pt>
                <c:pt idx="39">
                  <c:v>7.8</c:v>
                </c:pt>
                <c:pt idx="40">
                  <c:v>7.9</c:v>
                </c:pt>
                <c:pt idx="41">
                  <c:v>8</c:v>
                </c:pt>
                <c:pt idx="42">
                  <c:v>8.1</c:v>
                </c:pt>
                <c:pt idx="43">
                  <c:v>8.1999999999999993</c:v>
                </c:pt>
                <c:pt idx="44">
                  <c:v>8.3000000000000007</c:v>
                </c:pt>
                <c:pt idx="45">
                  <c:v>8.4</c:v>
                </c:pt>
                <c:pt idx="46">
                  <c:v>8.5</c:v>
                </c:pt>
                <c:pt idx="47">
                  <c:v>8.6</c:v>
                </c:pt>
                <c:pt idx="48">
                  <c:v>8.6999999999999993</c:v>
                </c:pt>
                <c:pt idx="49">
                  <c:v>8.8000000000000007</c:v>
                </c:pt>
                <c:pt idx="50">
                  <c:v>8.9</c:v>
                </c:pt>
                <c:pt idx="51">
                  <c:v>9</c:v>
                </c:pt>
                <c:pt idx="52">
                  <c:v>9.1</c:v>
                </c:pt>
                <c:pt idx="53">
                  <c:v>9.1999999999999993</c:v>
                </c:pt>
                <c:pt idx="54">
                  <c:v>9.3000000000000007</c:v>
                </c:pt>
                <c:pt idx="55">
                  <c:v>9.4</c:v>
                </c:pt>
                <c:pt idx="56">
                  <c:v>9.5</c:v>
                </c:pt>
                <c:pt idx="57">
                  <c:v>9.6</c:v>
                </c:pt>
                <c:pt idx="58">
                  <c:v>9.6999999999999993</c:v>
                </c:pt>
                <c:pt idx="59">
                  <c:v>9.8000000000000007</c:v>
                </c:pt>
                <c:pt idx="60">
                  <c:v>9.9</c:v>
                </c:pt>
                <c:pt idx="61">
                  <c:v>10</c:v>
                </c:pt>
                <c:pt idx="62">
                  <c:v>10.1</c:v>
                </c:pt>
                <c:pt idx="63">
                  <c:v>10.199999999999999</c:v>
                </c:pt>
                <c:pt idx="64">
                  <c:v>10.3</c:v>
                </c:pt>
                <c:pt idx="65">
                  <c:v>10.4</c:v>
                </c:pt>
                <c:pt idx="66">
                  <c:v>10.5</c:v>
                </c:pt>
                <c:pt idx="67">
                  <c:v>10.6</c:v>
                </c:pt>
                <c:pt idx="68">
                  <c:v>10.7</c:v>
                </c:pt>
                <c:pt idx="69">
                  <c:v>10.8</c:v>
                </c:pt>
                <c:pt idx="70">
                  <c:v>10.9</c:v>
                </c:pt>
                <c:pt idx="71">
                  <c:v>11</c:v>
                </c:pt>
                <c:pt idx="72">
                  <c:v>11.1</c:v>
                </c:pt>
                <c:pt idx="73">
                  <c:v>11.2</c:v>
                </c:pt>
                <c:pt idx="74">
                  <c:v>11.3</c:v>
                </c:pt>
                <c:pt idx="75">
                  <c:v>11.4</c:v>
                </c:pt>
                <c:pt idx="76">
                  <c:v>11.5</c:v>
                </c:pt>
                <c:pt idx="77">
                  <c:v>11.6</c:v>
                </c:pt>
                <c:pt idx="78">
                  <c:v>11.7</c:v>
                </c:pt>
                <c:pt idx="79">
                  <c:v>11.8</c:v>
                </c:pt>
                <c:pt idx="80">
                  <c:v>11.9</c:v>
                </c:pt>
                <c:pt idx="81">
                  <c:v>12</c:v>
                </c:pt>
                <c:pt idx="82">
                  <c:v>12.1</c:v>
                </c:pt>
                <c:pt idx="83">
                  <c:v>12.2</c:v>
                </c:pt>
                <c:pt idx="84">
                  <c:v>12.3</c:v>
                </c:pt>
                <c:pt idx="85">
                  <c:v>12.4</c:v>
                </c:pt>
                <c:pt idx="86">
                  <c:v>12.5</c:v>
                </c:pt>
                <c:pt idx="87">
                  <c:v>12.6</c:v>
                </c:pt>
                <c:pt idx="88">
                  <c:v>12.7</c:v>
                </c:pt>
                <c:pt idx="89">
                  <c:v>12.8</c:v>
                </c:pt>
                <c:pt idx="90">
                  <c:v>12.9</c:v>
                </c:pt>
                <c:pt idx="91">
                  <c:v>13</c:v>
                </c:pt>
                <c:pt idx="92">
                  <c:v>13.1</c:v>
                </c:pt>
                <c:pt idx="93">
                  <c:v>13.2</c:v>
                </c:pt>
                <c:pt idx="94">
                  <c:v>13.3</c:v>
                </c:pt>
                <c:pt idx="95">
                  <c:v>13.4</c:v>
                </c:pt>
                <c:pt idx="96">
                  <c:v>13.5</c:v>
                </c:pt>
                <c:pt idx="97">
                  <c:v>13.6</c:v>
                </c:pt>
                <c:pt idx="98">
                  <c:v>13.7</c:v>
                </c:pt>
                <c:pt idx="99">
                  <c:v>13.8</c:v>
                </c:pt>
                <c:pt idx="100">
                  <c:v>13.9</c:v>
                </c:pt>
                <c:pt idx="101">
                  <c:v>14</c:v>
                </c:pt>
                <c:pt idx="102">
                  <c:v>14.1</c:v>
                </c:pt>
                <c:pt idx="103">
                  <c:v>14.2</c:v>
                </c:pt>
                <c:pt idx="104">
                  <c:v>14.3</c:v>
                </c:pt>
                <c:pt idx="105">
                  <c:v>14.4</c:v>
                </c:pt>
                <c:pt idx="106">
                  <c:v>14.5</c:v>
                </c:pt>
                <c:pt idx="107">
                  <c:v>14.6</c:v>
                </c:pt>
                <c:pt idx="108">
                  <c:v>14.7</c:v>
                </c:pt>
                <c:pt idx="109">
                  <c:v>14.8</c:v>
                </c:pt>
                <c:pt idx="110">
                  <c:v>14.9</c:v>
                </c:pt>
                <c:pt idx="111">
                  <c:v>15</c:v>
                </c:pt>
                <c:pt idx="112">
                  <c:v>15.4</c:v>
                </c:pt>
                <c:pt idx="113">
                  <c:v>15.5</c:v>
                </c:pt>
                <c:pt idx="114">
                  <c:v>15.9</c:v>
                </c:pt>
                <c:pt idx="115">
                  <c:v>16</c:v>
                </c:pt>
                <c:pt idx="116">
                  <c:v>16.399999999999999</c:v>
                </c:pt>
                <c:pt idx="117">
                  <c:v>16.5</c:v>
                </c:pt>
                <c:pt idx="118">
                  <c:v>16.899999999999999</c:v>
                </c:pt>
                <c:pt idx="119">
                  <c:v>17</c:v>
                </c:pt>
                <c:pt idx="120">
                  <c:v>17.399999999999999</c:v>
                </c:pt>
                <c:pt idx="121">
                  <c:v>17.5</c:v>
                </c:pt>
                <c:pt idx="122">
                  <c:v>17.899999999999999</c:v>
                </c:pt>
                <c:pt idx="123">
                  <c:v>18</c:v>
                </c:pt>
                <c:pt idx="124">
                  <c:v>18.399999999999999</c:v>
                </c:pt>
                <c:pt idx="125">
                  <c:v>18.5</c:v>
                </c:pt>
                <c:pt idx="126">
                  <c:v>18.899999999999999</c:v>
                </c:pt>
                <c:pt idx="127">
                  <c:v>19</c:v>
                </c:pt>
                <c:pt idx="128">
                  <c:v>19.399999999999999</c:v>
                </c:pt>
                <c:pt idx="129">
                  <c:v>19.5</c:v>
                </c:pt>
                <c:pt idx="130">
                  <c:v>19.899999999999999</c:v>
                </c:pt>
                <c:pt idx="131">
                  <c:v>20</c:v>
                </c:pt>
                <c:pt idx="132">
                  <c:v>20.399999999999999</c:v>
                </c:pt>
                <c:pt idx="133">
                  <c:v>20.5</c:v>
                </c:pt>
                <c:pt idx="134">
                  <c:v>20.9</c:v>
                </c:pt>
                <c:pt idx="135">
                  <c:v>21</c:v>
                </c:pt>
                <c:pt idx="136">
                  <c:v>21.4</c:v>
                </c:pt>
                <c:pt idx="137">
                  <c:v>21.5</c:v>
                </c:pt>
                <c:pt idx="138">
                  <c:v>21.9</c:v>
                </c:pt>
                <c:pt idx="139">
                  <c:v>22</c:v>
                </c:pt>
                <c:pt idx="140">
                  <c:v>22.4</c:v>
                </c:pt>
                <c:pt idx="141">
                  <c:v>22.5</c:v>
                </c:pt>
                <c:pt idx="142">
                  <c:v>22.9</c:v>
                </c:pt>
                <c:pt idx="143">
                  <c:v>23</c:v>
                </c:pt>
                <c:pt idx="144">
                  <c:v>23.4</c:v>
                </c:pt>
                <c:pt idx="145">
                  <c:v>23.5</c:v>
                </c:pt>
                <c:pt idx="146">
                  <c:v>23.9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A2-4915-97A0-0A0F16918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731416"/>
        <c:axId val="989726376"/>
      </c:scatterChart>
      <c:valAx>
        <c:axId val="98973141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9726376"/>
        <c:crosses val="autoZero"/>
        <c:crossBetween val="midCat"/>
      </c:valAx>
      <c:valAx>
        <c:axId val="989726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9731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'12.Tabelas IBU'!$M$1</c:f>
              <c:strCache>
                <c:ptCount val="1"/>
                <c:pt idx="0">
                  <c:v>mg/L 
isso-alfa-acidos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'12.Tabelas IBU'!$L$2:$L$71</c:f>
              <c:numCache>
                <c:formatCode>General</c:formatCode>
                <c:ptCount val="70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  <c:pt idx="65">
                  <c:v>63</c:v>
                </c:pt>
                <c:pt idx="66">
                  <c:v>64</c:v>
                </c:pt>
                <c:pt idx="67">
                  <c:v>65</c:v>
                </c:pt>
                <c:pt idx="68">
                  <c:v>65</c:v>
                </c:pt>
                <c:pt idx="69">
                  <c:v>66</c:v>
                </c:pt>
              </c:numCache>
            </c:numRef>
          </c:xVal>
          <c:yVal>
            <c:numRef>
              <c:f>'12.Tabelas IBU'!$M$2:$M$71</c:f>
              <c:numCache>
                <c:formatCode>General</c:formatCode>
                <c:ptCount val="7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E1-4CCA-B39F-495648C77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110704"/>
        <c:axId val="550516704"/>
      </c:scatterChart>
      <c:valAx>
        <c:axId val="54711070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0516704"/>
        <c:crosses val="autoZero"/>
        <c:crossBetween val="midCat"/>
      </c:valAx>
      <c:valAx>
        <c:axId val="55051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47110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'1.Estudo Maltes'!$D$3</c:f>
              <c:strCache>
                <c:ptCount val="1"/>
                <c:pt idx="0">
                  <c:v>Malte 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'1.Estudo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'1.Estudo Maltes'!$D$4:$D$25</c:f>
              <c:numCache>
                <c:formatCode>0.00</c:formatCode>
                <c:ptCount val="22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13-440A-8E91-BD6A49F8C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'1.Estudo Maltes'!$E$3</c:f>
              <c:strCache>
                <c:ptCount val="1"/>
                <c:pt idx="0">
                  <c:v>Malte3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'1.Estudo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'1.Estudo Maltes'!$E$4:$E$25</c:f>
              <c:numCache>
                <c:formatCode>0.00</c:formatCode>
                <c:ptCount val="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27-4D28-9F43-19E117B62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'1.Estudo Maltes'!$F$3</c:f>
              <c:strCache>
                <c:ptCount val="1"/>
                <c:pt idx="0">
                  <c:v>Malte 4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'1.Estudo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'1.Estudo Maltes'!$F$4:$F$25</c:f>
              <c:numCache>
                <c:formatCode>0.00</c:formatCode>
                <c:ptCount val="22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  <c:pt idx="4">
                  <c:v>4.5</c:v>
                </c:pt>
                <c:pt idx="5">
                  <c:v>0.5</c:v>
                </c:pt>
                <c:pt idx="6">
                  <c:v>1.5</c:v>
                </c:pt>
                <c:pt idx="7">
                  <c:v>2.5</c:v>
                </c:pt>
                <c:pt idx="8">
                  <c:v>3.5</c:v>
                </c:pt>
                <c:pt idx="9">
                  <c:v>4.5</c:v>
                </c:pt>
                <c:pt idx="10">
                  <c:v>0.5</c:v>
                </c:pt>
                <c:pt idx="11">
                  <c:v>1.5</c:v>
                </c:pt>
                <c:pt idx="12">
                  <c:v>2.5</c:v>
                </c:pt>
                <c:pt idx="13">
                  <c:v>3.5</c:v>
                </c:pt>
                <c:pt idx="14">
                  <c:v>4.5</c:v>
                </c:pt>
                <c:pt idx="15">
                  <c:v>0.5</c:v>
                </c:pt>
                <c:pt idx="16">
                  <c:v>1.5</c:v>
                </c:pt>
                <c:pt idx="17">
                  <c:v>2.5</c:v>
                </c:pt>
                <c:pt idx="18">
                  <c:v>3.5</c:v>
                </c:pt>
                <c:pt idx="19">
                  <c:v>4.5</c:v>
                </c:pt>
                <c:pt idx="20">
                  <c:v>1.5</c:v>
                </c:pt>
                <c:pt idx="21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9-459C-8245-3811872A2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'1.Estudo Maltes'!$G$3</c:f>
              <c:strCache>
                <c:ptCount val="1"/>
                <c:pt idx="0">
                  <c:v>Malte 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'1.Estudo Maltes'!$B$4:$B$25</c:f>
              <c:strCache>
                <c:ptCount val="22"/>
                <c:pt idx="0">
                  <c:v>Café</c:v>
                </c:pt>
                <c:pt idx="1">
                  <c:v>Cacau</c:v>
                </c:pt>
                <c:pt idx="2">
                  <c:v>Chocolate escuro</c:v>
                </c:pt>
                <c:pt idx="3">
                  <c:v>Amendoas torradas</c:v>
                </c:pt>
                <c:pt idx="4">
                  <c:v>Frutas secas</c:v>
                </c:pt>
                <c:pt idx="5">
                  <c:v>Pão</c:v>
                </c:pt>
                <c:pt idx="6">
                  <c:v>Defumado</c:v>
                </c:pt>
                <c:pt idx="7">
                  <c:v>Cravo</c:v>
                </c:pt>
                <c:pt idx="8">
                  <c:v>Amendoas</c:v>
                </c:pt>
                <c:pt idx="9">
                  <c:v>Avelã</c:v>
                </c:pt>
                <c:pt idx="10">
                  <c:v>Passas</c:v>
                </c:pt>
                <c:pt idx="11">
                  <c:v>Baunilha</c:v>
                </c:pt>
                <c:pt idx="12">
                  <c:v>Mel</c:v>
                </c:pt>
                <c:pt idx="13">
                  <c:v>Biscoito</c:v>
                </c:pt>
                <c:pt idx="14">
                  <c:v>Marmelada</c:v>
                </c:pt>
                <c:pt idx="15">
                  <c:v>Dulçor malte</c:v>
                </c:pt>
                <c:pt idx="16">
                  <c:v>Toffee</c:v>
                </c:pt>
                <c:pt idx="17">
                  <c:v>Caramelo claro</c:v>
                </c:pt>
                <c:pt idx="18">
                  <c:v>Caramelo escuro</c:v>
                </c:pt>
                <c:pt idx="19">
                  <c:v>Azedo</c:v>
                </c:pt>
                <c:pt idx="20">
                  <c:v>Doce</c:v>
                </c:pt>
                <c:pt idx="21">
                  <c:v>Amargo</c:v>
                </c:pt>
              </c:strCache>
            </c:strRef>
          </c:cat>
          <c:val>
            <c:numRef>
              <c:f>'1.Estudo Maltes'!$G$4:$G$25</c:f>
              <c:numCache>
                <c:formatCode>0.00</c:formatCode>
                <c:ptCount val="22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20-4B88-87FC-51BBD9734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24784"/>
        <c:axId val="513625864"/>
      </c:radarChart>
      <c:catAx>
        <c:axId val="5136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5864"/>
        <c:crosses val="autoZero"/>
        <c:auto val="1"/>
        <c:lblAlgn val="ctr"/>
        <c:lblOffset val="100"/>
        <c:noMultiLvlLbl val="0"/>
      </c:catAx>
      <c:valAx>
        <c:axId val="51362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1362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'2.Estudo Lupulos'!$C$3</c:f>
              <c:strCache>
                <c:ptCount val="1"/>
                <c:pt idx="0">
                  <c:v>Lupulo 1</c:v>
                </c:pt>
              </c:strCache>
            </c:strRef>
          </c:tx>
          <c:spPr>
            <a:ln w="28575" cap="rnd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'2.Estudo Lupulos'!$B$4:$B$10</c:f>
              <c:strCache>
                <c:ptCount val="7"/>
                <c:pt idx="0">
                  <c:v>Cítrico</c:v>
                </c:pt>
                <c:pt idx="1">
                  <c:v>Frutado</c:v>
                </c:pt>
                <c:pt idx="2">
                  <c:v>Floral</c:v>
                </c:pt>
                <c:pt idx="3">
                  <c:v>Picante</c:v>
                </c:pt>
                <c:pt idx="4">
                  <c:v>Tabaco/Terra/Resinoso</c:v>
                </c:pt>
                <c:pt idx="5">
                  <c:v>Herbal</c:v>
                </c:pt>
                <c:pt idx="6">
                  <c:v>Caramelaldo</c:v>
                </c:pt>
              </c:strCache>
            </c:strRef>
          </c:cat>
          <c:val>
            <c:numRef>
              <c:f>'2.Estudo Lupulos'!$C$4:$C$10</c:f>
              <c:numCache>
                <c:formatCode>0.0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49-4CD3-BAE6-0867087508A1}"/>
            </c:ext>
          </c:extLst>
        </c:ser>
        <c:ser>
          <c:idx val="1"/>
          <c:order val="1"/>
          <c:tx>
            <c:strRef>
              <c:f>'2.Estudo Lupulos'!$D$3</c:f>
              <c:strCache>
                <c:ptCount val="1"/>
                <c:pt idx="0">
                  <c:v>Lupulo 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'2.Estudo Lupulos'!$B$4:$B$10</c:f>
              <c:strCache>
                <c:ptCount val="7"/>
                <c:pt idx="0">
                  <c:v>Cítrico</c:v>
                </c:pt>
                <c:pt idx="1">
                  <c:v>Frutado</c:v>
                </c:pt>
                <c:pt idx="2">
                  <c:v>Floral</c:v>
                </c:pt>
                <c:pt idx="3">
                  <c:v>Picante</c:v>
                </c:pt>
                <c:pt idx="4">
                  <c:v>Tabaco/Terra/Resinoso</c:v>
                </c:pt>
                <c:pt idx="5">
                  <c:v>Herbal</c:v>
                </c:pt>
                <c:pt idx="6">
                  <c:v>Caramelaldo</c:v>
                </c:pt>
              </c:strCache>
            </c:strRef>
          </c:cat>
          <c:val>
            <c:numRef>
              <c:f>'2.Estudo Lupulos'!$D$4:$D$10</c:f>
              <c:numCache>
                <c:formatCode>0.0</c:formatCode>
                <c:ptCount val="7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49-4CD3-BAE6-0867087508A1}"/>
            </c:ext>
          </c:extLst>
        </c:ser>
        <c:ser>
          <c:idx val="2"/>
          <c:order val="2"/>
          <c:tx>
            <c:strRef>
              <c:f>'2.Estudo Lupulos'!$E$3</c:f>
              <c:strCache>
                <c:ptCount val="1"/>
                <c:pt idx="0">
                  <c:v>Lupulo3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strRef>
              <c:f>'2.Estudo Lupulos'!$B$4:$B$10</c:f>
              <c:strCache>
                <c:ptCount val="7"/>
                <c:pt idx="0">
                  <c:v>Cítrico</c:v>
                </c:pt>
                <c:pt idx="1">
                  <c:v>Frutado</c:v>
                </c:pt>
                <c:pt idx="2">
                  <c:v>Floral</c:v>
                </c:pt>
                <c:pt idx="3">
                  <c:v>Picante</c:v>
                </c:pt>
                <c:pt idx="4">
                  <c:v>Tabaco/Terra/Resinoso</c:v>
                </c:pt>
                <c:pt idx="5">
                  <c:v>Herbal</c:v>
                </c:pt>
                <c:pt idx="6">
                  <c:v>Caramelaldo</c:v>
                </c:pt>
              </c:strCache>
            </c:strRef>
          </c:cat>
          <c:val>
            <c:numRef>
              <c:f>'2.Estudo Lupulos'!$E$4:$E$10</c:f>
              <c:numCache>
                <c:formatCode>0.0</c:formatCode>
                <c:ptCount val="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49-4CD3-BAE6-086708750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3686240"/>
        <c:axId val="773686960"/>
      </c:radarChart>
      <c:catAx>
        <c:axId val="77368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3686960"/>
        <c:crosses val="autoZero"/>
        <c:auto val="1"/>
        <c:lblAlgn val="ctr"/>
        <c:lblOffset val="100"/>
        <c:noMultiLvlLbl val="0"/>
      </c:catAx>
      <c:valAx>
        <c:axId val="77368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368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'2.Estudo Lupulos'!$C$3</c:f>
              <c:strCache>
                <c:ptCount val="1"/>
                <c:pt idx="0">
                  <c:v>Lupulo 1</c:v>
                </c:pt>
              </c:strCache>
            </c:strRef>
          </c:tx>
          <c:spPr>
            <a:ln w="28575" cap="rnd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'2.Estudo Lupulos'!$B$4:$B$10</c:f>
              <c:strCache>
                <c:ptCount val="7"/>
                <c:pt idx="0">
                  <c:v>Cítrico</c:v>
                </c:pt>
                <c:pt idx="1">
                  <c:v>Frutado</c:v>
                </c:pt>
                <c:pt idx="2">
                  <c:v>Floral</c:v>
                </c:pt>
                <c:pt idx="3">
                  <c:v>Picante</c:v>
                </c:pt>
                <c:pt idx="4">
                  <c:v>Tabaco/Terra/Resinoso</c:v>
                </c:pt>
                <c:pt idx="5">
                  <c:v>Herbal</c:v>
                </c:pt>
                <c:pt idx="6">
                  <c:v>Caramelaldo</c:v>
                </c:pt>
              </c:strCache>
            </c:strRef>
          </c:cat>
          <c:val>
            <c:numRef>
              <c:f>'2.Estudo Lupulos'!$C$4:$C$10</c:f>
              <c:numCache>
                <c:formatCode>0.0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E0-49BC-B3E3-D43CB6E5B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3686240"/>
        <c:axId val="773686960"/>
      </c:radarChart>
      <c:catAx>
        <c:axId val="77368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3686960"/>
        <c:crosses val="autoZero"/>
        <c:auto val="1"/>
        <c:lblAlgn val="ctr"/>
        <c:lblOffset val="100"/>
        <c:noMultiLvlLbl val="0"/>
      </c:catAx>
      <c:valAx>
        <c:axId val="77368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368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2"/>
          <c:order val="0"/>
          <c:tx>
            <c:strRef>
              <c:f>'2.Estudo Lupulos'!$E$3</c:f>
              <c:strCache>
                <c:ptCount val="1"/>
                <c:pt idx="0">
                  <c:v>Lupulo3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strRef>
              <c:f>'2.Estudo Lupulos'!$B$4:$B$10</c:f>
              <c:strCache>
                <c:ptCount val="7"/>
                <c:pt idx="0">
                  <c:v>Cítrico</c:v>
                </c:pt>
                <c:pt idx="1">
                  <c:v>Frutado</c:v>
                </c:pt>
                <c:pt idx="2">
                  <c:v>Floral</c:v>
                </c:pt>
                <c:pt idx="3">
                  <c:v>Picante</c:v>
                </c:pt>
                <c:pt idx="4">
                  <c:v>Tabaco/Terra/Resinoso</c:v>
                </c:pt>
                <c:pt idx="5">
                  <c:v>Herbal</c:v>
                </c:pt>
                <c:pt idx="6">
                  <c:v>Caramelaldo</c:v>
                </c:pt>
              </c:strCache>
            </c:strRef>
          </c:cat>
          <c:val>
            <c:numRef>
              <c:f>'2.Estudo Lupulos'!$E$4:$E$10</c:f>
              <c:numCache>
                <c:formatCode>0.0</c:formatCode>
                <c:ptCount val="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FA-4B78-B44B-0180C8F6A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3686240"/>
        <c:axId val="773686960"/>
      </c:radarChart>
      <c:catAx>
        <c:axId val="77368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3686960"/>
        <c:crosses val="autoZero"/>
        <c:auto val="1"/>
        <c:lblAlgn val="ctr"/>
        <c:lblOffset val="100"/>
        <c:noMultiLvlLbl val="0"/>
      </c:catAx>
      <c:valAx>
        <c:axId val="77368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368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167409</xdr:colOff>
      <xdr:row>1</xdr:row>
      <xdr:rowOff>2104</xdr:rowOff>
    </xdr:from>
    <xdr:to>
      <xdr:col>15</xdr:col>
      <xdr:colOff>158750</xdr:colOff>
      <xdr:row>26</xdr:row>
      <xdr:rowOff>15875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242DFE4-5A7E-41C1-87B4-A78AB8983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360795</xdr:colOff>
      <xdr:row>26</xdr:row>
      <xdr:rowOff>55461</xdr:rowOff>
    </xdr:from>
    <xdr:to>
      <xdr:col>4</xdr:col>
      <xdr:colOff>1128568</xdr:colOff>
      <xdr:row>43</xdr:row>
      <xdr:rowOff>71046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ECD5CDF-2C1A-40AE-8F5B-EDACE32F7C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813542</xdr:colOff>
      <xdr:row>27</xdr:row>
      <xdr:rowOff>131536</xdr:rowOff>
    </xdr:from>
    <xdr:to>
      <xdr:col>10</xdr:col>
      <xdr:colOff>353166</xdr:colOff>
      <xdr:row>42</xdr:row>
      <xdr:rowOff>147122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AC3E690-345E-4FBA-9E14-1608ACD48A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296266</xdr:colOff>
      <xdr:row>44</xdr:row>
      <xdr:rowOff>108859</xdr:rowOff>
    </xdr:from>
    <xdr:to>
      <xdr:col>4</xdr:col>
      <xdr:colOff>1064039</xdr:colOff>
      <xdr:row>59</xdr:row>
      <xdr:rowOff>124445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5F3C017E-F6BE-42EB-BC8C-2DF9EDDCC2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546967</xdr:colOff>
      <xdr:row>44</xdr:row>
      <xdr:rowOff>63500</xdr:rowOff>
    </xdr:from>
    <xdr:to>
      <xdr:col>10</xdr:col>
      <xdr:colOff>46183</xdr:colOff>
      <xdr:row>59</xdr:row>
      <xdr:rowOff>79086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1016E54-E732-435C-BDDC-0551092FD5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14112</xdr:colOff>
      <xdr:row>60</xdr:row>
      <xdr:rowOff>65104</xdr:rowOff>
    </xdr:from>
    <xdr:to>
      <xdr:col>4</xdr:col>
      <xdr:colOff>762001</xdr:colOff>
      <xdr:row>75</xdr:row>
      <xdr:rowOff>80688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1FB4A259-CF57-439C-8B16-6F4D87C6A7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167205</xdr:colOff>
      <xdr:row>0</xdr:row>
      <xdr:rowOff>105028</xdr:rowOff>
    </xdr:from>
    <xdr:to>
      <xdr:col>11</xdr:col>
      <xdr:colOff>602563</xdr:colOff>
      <xdr:row>15</xdr:row>
      <xdr:rowOff>120614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AA6E688-AB63-43C7-802D-CE4D2CEC81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</xdr:row>
      <xdr:rowOff>66386</xdr:rowOff>
    </xdr:from>
    <xdr:to>
      <xdr:col>3</xdr:col>
      <xdr:colOff>267756</xdr:colOff>
      <xdr:row>25</xdr:row>
      <xdr:rowOff>81971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CEA362D-DC4C-469E-9CCA-8B667BF89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158430</xdr:rowOff>
    </xdr:from>
    <xdr:to>
      <xdr:col>3</xdr:col>
      <xdr:colOff>373945</xdr:colOff>
      <xdr:row>40</xdr:row>
      <xdr:rowOff>174014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7041773-A14E-40D8-93C0-70F217852B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388376</xdr:colOff>
      <xdr:row>11</xdr:row>
      <xdr:rowOff>69594</xdr:rowOff>
    </xdr:from>
    <xdr:to>
      <xdr:col>7</xdr:col>
      <xdr:colOff>91721</xdr:colOff>
      <xdr:row>26</xdr:row>
      <xdr:rowOff>85180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86479779-EA6D-43A7-87BB-DB93B0555D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29</xdr:row>
      <xdr:rowOff>51195</xdr:rowOff>
    </xdr:from>
    <xdr:to>
      <xdr:col>11</xdr:col>
      <xdr:colOff>357187</xdr:colOff>
      <xdr:row>53</xdr:row>
      <xdr:rowOff>11906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73D2CB2-3878-CDD6-8397-DE0EE09B25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360795</xdr:colOff>
      <xdr:row>26</xdr:row>
      <xdr:rowOff>55461</xdr:rowOff>
    </xdr:from>
    <xdr:to>
      <xdr:col>5</xdr:col>
      <xdr:colOff>444500</xdr:colOff>
      <xdr:row>43</xdr:row>
      <xdr:rowOff>71046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58DD4E9-228B-4643-91CB-C658BC66A5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418431</xdr:colOff>
      <xdr:row>27</xdr:row>
      <xdr:rowOff>89203</xdr:rowOff>
    </xdr:from>
    <xdr:to>
      <xdr:col>16</xdr:col>
      <xdr:colOff>56444</xdr:colOff>
      <xdr:row>42</xdr:row>
      <xdr:rowOff>104789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4E8DF12-6D5E-446D-A7C4-AC31E3D2FB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296266</xdr:colOff>
      <xdr:row>44</xdr:row>
      <xdr:rowOff>108859</xdr:rowOff>
    </xdr:from>
    <xdr:to>
      <xdr:col>5</xdr:col>
      <xdr:colOff>1064039</xdr:colOff>
      <xdr:row>59</xdr:row>
      <xdr:rowOff>124445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F4AE938-4955-40AD-A8D4-7B66E4F96F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546967</xdr:colOff>
      <xdr:row>44</xdr:row>
      <xdr:rowOff>63500</xdr:rowOff>
    </xdr:from>
    <xdr:to>
      <xdr:col>11</xdr:col>
      <xdr:colOff>46183</xdr:colOff>
      <xdr:row>59</xdr:row>
      <xdr:rowOff>79086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FAE23A5-C647-430B-B6F7-F7CF84D5BB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14112</xdr:colOff>
      <xdr:row>60</xdr:row>
      <xdr:rowOff>65104</xdr:rowOff>
    </xdr:from>
    <xdr:to>
      <xdr:col>5</xdr:col>
      <xdr:colOff>762001</xdr:colOff>
      <xdr:row>75</xdr:row>
      <xdr:rowOff>80688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33E0B03-B618-4F86-BA59-B2A20E1220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797278</xdr:colOff>
      <xdr:row>26</xdr:row>
      <xdr:rowOff>105833</xdr:rowOff>
    </xdr:from>
    <xdr:to>
      <xdr:col>10</xdr:col>
      <xdr:colOff>70556</xdr:colOff>
      <xdr:row>43</xdr:row>
      <xdr:rowOff>121418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EFBA02F-C5E6-42D4-A12A-3B329E34C1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285750</xdr:colOff>
      <xdr:row>45</xdr:row>
      <xdr:rowOff>1</xdr:rowOff>
    </xdr:from>
    <xdr:to>
      <xdr:col>15</xdr:col>
      <xdr:colOff>579437</xdr:colOff>
      <xdr:row>60</xdr:row>
      <xdr:rowOff>15586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1A6484-218F-422C-B7C6-BDE84E751E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269875</xdr:colOff>
      <xdr:row>27</xdr:row>
      <xdr:rowOff>127000</xdr:rowOff>
    </xdr:from>
    <xdr:to>
      <xdr:col>21</xdr:col>
      <xdr:colOff>558763</xdr:colOff>
      <xdr:row>42</xdr:row>
      <xdr:rowOff>142586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44F9653-1B58-4D61-83FE-E21427689E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627064</xdr:colOff>
      <xdr:row>44</xdr:row>
      <xdr:rowOff>134937</xdr:rowOff>
    </xdr:from>
    <xdr:to>
      <xdr:col>21</xdr:col>
      <xdr:colOff>547689</xdr:colOff>
      <xdr:row>59</xdr:row>
      <xdr:rowOff>150523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E87E852F-9BCD-4F43-A325-2E4049507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624414</xdr:colOff>
      <xdr:row>2</xdr:row>
      <xdr:rowOff>174626</xdr:rowOff>
    </xdr:from>
    <xdr:to>
      <xdr:col>13</xdr:col>
      <xdr:colOff>105832</xdr:colOff>
      <xdr:row>26</xdr:row>
      <xdr:rowOff>63502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E58191F-AE8E-5FE1-12E7-2D709019D5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216959</xdr:colOff>
      <xdr:row>3</xdr:row>
      <xdr:rowOff>41274</xdr:rowOff>
    </xdr:from>
    <xdr:to>
      <xdr:col>25</xdr:col>
      <xdr:colOff>84667</xdr:colOff>
      <xdr:row>26</xdr:row>
      <xdr:rowOff>52916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1D78D23-7774-8AD9-BDBC-4A58C4DA89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127001</xdr:colOff>
      <xdr:row>0</xdr:row>
      <xdr:rowOff>175077</xdr:rowOff>
    </xdr:from>
    <xdr:to>
      <xdr:col>20</xdr:col>
      <xdr:colOff>589643</xdr:colOff>
      <xdr:row>24</xdr:row>
      <xdr:rowOff>45357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C4C0D99-CD74-991B-7F68-3680DD44E0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aboratoriodacerveja.com.br/" TargetMode="External"/><Relationship Id="rId2" Type="http://schemas.openxmlformats.org/officeDocument/2006/relationships/hyperlink" Target="https://www.barthhaas.com/" TargetMode="External"/><Relationship Id="rId1" Type="http://schemas.openxmlformats.org/officeDocument/2006/relationships/hyperlink" Target="https://www.weyermann.de/en-gb/home/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F39D-983D-4AC6-AB7C-C5C463150110}">
  <dimension ref="A1:K31"/>
  <sheetViews>
    <sheetView tabSelected="1" zoomScale="90" zoomScaleNormal="90" zoomScaleSheetLayoutView="90" workbookViewId="0">
      <selection activeCell="F6" sqref="F6"/>
    </sheetView>
  </sheetViews>
  <sheetFormatPr defaultColWidth="7.58203125" defaultRowHeight="14.5" x14ac:dyDescent="0.35"/>
  <cols>
    <col min="1" max="1" width="7.58203125" style="365"/>
    <col min="2" max="2" width="10.08203125" style="365" bestFit="1" customWidth="1"/>
    <col min="3" max="3" width="87.58203125" style="365" bestFit="1" customWidth="1"/>
    <col min="4" max="16384" width="7.58203125" style="365"/>
  </cols>
  <sheetData>
    <row r="1" spans="1:11" s="364" customFormat="1" ht="15" customHeight="1" x14ac:dyDescent="0.3">
      <c r="A1" s="388" t="s">
        <v>502</v>
      </c>
      <c r="B1" s="389"/>
      <c r="C1" s="390"/>
      <c r="D1" s="363"/>
      <c r="E1" s="363"/>
      <c r="F1" s="363"/>
      <c r="G1" s="363"/>
      <c r="H1" s="363"/>
      <c r="I1" s="363"/>
      <c r="J1" s="363"/>
      <c r="K1" s="363"/>
    </row>
    <row r="2" spans="1:11" s="364" customFormat="1" ht="15" customHeight="1" x14ac:dyDescent="0.3">
      <c r="A2" s="391" t="s">
        <v>470</v>
      </c>
      <c r="B2" s="392"/>
      <c r="C2" s="393"/>
      <c r="D2" s="363"/>
      <c r="E2" s="363"/>
      <c r="F2" s="363"/>
      <c r="G2" s="363"/>
      <c r="H2" s="363"/>
      <c r="I2" s="363"/>
      <c r="J2" s="363"/>
      <c r="K2" s="363"/>
    </row>
    <row r="3" spans="1:11" s="364" customFormat="1" ht="15" customHeight="1" thickBot="1" x14ac:dyDescent="0.35">
      <c r="A3" s="394"/>
      <c r="B3" s="395"/>
      <c r="C3" s="396"/>
      <c r="D3" s="363"/>
      <c r="E3" s="363"/>
      <c r="F3" s="363"/>
      <c r="G3" s="363"/>
      <c r="H3" s="363"/>
      <c r="I3" s="363"/>
      <c r="J3" s="363"/>
      <c r="K3" s="363"/>
    </row>
    <row r="4" spans="1:11" ht="15" thickBot="1" x14ac:dyDescent="0.4">
      <c r="A4" s="397" t="s">
        <v>446</v>
      </c>
      <c r="B4" s="398"/>
      <c r="C4" s="399"/>
    </row>
    <row r="5" spans="1:11" x14ac:dyDescent="0.35">
      <c r="A5" s="366" t="s">
        <v>447</v>
      </c>
      <c r="B5" s="366" t="s">
        <v>126</v>
      </c>
      <c r="C5" s="366" t="s">
        <v>448</v>
      </c>
    </row>
    <row r="6" spans="1:11" x14ac:dyDescent="0.35">
      <c r="A6" s="367" t="s">
        <v>449</v>
      </c>
      <c r="B6" s="368">
        <v>45347</v>
      </c>
      <c r="C6" s="367" t="s">
        <v>452</v>
      </c>
    </row>
    <row r="7" spans="1:11" x14ac:dyDescent="0.35">
      <c r="A7" s="367"/>
      <c r="B7" s="368"/>
      <c r="C7" s="367"/>
    </row>
    <row r="8" spans="1:11" x14ac:dyDescent="0.35">
      <c r="A8" s="367"/>
      <c r="B8" s="368"/>
      <c r="C8" s="367"/>
    </row>
    <row r="9" spans="1:11" x14ac:dyDescent="0.35">
      <c r="A9" s="400" t="s">
        <v>450</v>
      </c>
      <c r="B9" s="400"/>
      <c r="C9" s="400"/>
    </row>
    <row r="10" spans="1:11" x14ac:dyDescent="0.35">
      <c r="A10" s="387" t="s">
        <v>453</v>
      </c>
      <c r="B10" s="387"/>
      <c r="C10" s="387"/>
    </row>
    <row r="11" spans="1:11" ht="14.5" customHeight="1" x14ac:dyDescent="0.35">
      <c r="A11" s="387" t="s">
        <v>456</v>
      </c>
      <c r="B11" s="387"/>
      <c r="C11" s="387"/>
    </row>
    <row r="12" spans="1:11" ht="14.5" customHeight="1" x14ac:dyDescent="0.35">
      <c r="A12" s="387" t="s">
        <v>457</v>
      </c>
      <c r="B12" s="387"/>
      <c r="C12" s="387"/>
    </row>
    <row r="13" spans="1:11" x14ac:dyDescent="0.35">
      <c r="A13" s="387" t="s">
        <v>455</v>
      </c>
      <c r="B13" s="387"/>
      <c r="C13" s="387"/>
    </row>
    <row r="14" spans="1:11" x14ac:dyDescent="0.35">
      <c r="A14" s="387" t="s">
        <v>454</v>
      </c>
      <c r="B14" s="387"/>
      <c r="C14" s="387"/>
    </row>
    <row r="15" spans="1:11" x14ac:dyDescent="0.35">
      <c r="A15" s="387" t="s">
        <v>458</v>
      </c>
      <c r="B15" s="387"/>
      <c r="C15" s="387"/>
    </row>
    <row r="16" spans="1:11" x14ac:dyDescent="0.35">
      <c r="A16" s="401"/>
      <c r="B16" s="402"/>
      <c r="C16" s="403"/>
    </row>
    <row r="17" spans="1:3" x14ac:dyDescent="0.35">
      <c r="A17" s="411"/>
      <c r="B17" s="411"/>
      <c r="C17" s="411"/>
    </row>
    <row r="18" spans="1:3" x14ac:dyDescent="0.35">
      <c r="A18" s="411"/>
      <c r="B18" s="411"/>
      <c r="C18" s="411"/>
    </row>
    <row r="19" spans="1:3" x14ac:dyDescent="0.35">
      <c r="A19" s="411"/>
      <c r="B19" s="411"/>
      <c r="C19" s="411"/>
    </row>
    <row r="20" spans="1:3" x14ac:dyDescent="0.35">
      <c r="A20" s="400" t="s">
        <v>451</v>
      </c>
      <c r="B20" s="400"/>
      <c r="C20" s="400"/>
    </row>
    <row r="21" spans="1:3" ht="35" customHeight="1" x14ac:dyDescent="0.35">
      <c r="A21" s="548" t="s">
        <v>459</v>
      </c>
      <c r="B21" s="387"/>
      <c r="C21" s="387"/>
    </row>
    <row r="22" spans="1:3" x14ac:dyDescent="0.35">
      <c r="A22" s="411" t="s">
        <v>460</v>
      </c>
      <c r="B22" s="411"/>
      <c r="C22" s="411"/>
    </row>
    <row r="23" spans="1:3" x14ac:dyDescent="0.35">
      <c r="A23" s="412" t="s">
        <v>461</v>
      </c>
      <c r="B23" s="411"/>
      <c r="C23" s="411"/>
    </row>
    <row r="24" spans="1:3" x14ac:dyDescent="0.35">
      <c r="A24" s="404" t="s">
        <v>462</v>
      </c>
      <c r="B24" s="405"/>
      <c r="C24" s="405"/>
    </row>
    <row r="25" spans="1:3" x14ac:dyDescent="0.35">
      <c r="A25" s="404" t="s">
        <v>463</v>
      </c>
      <c r="B25" s="405"/>
      <c r="C25" s="405"/>
    </row>
    <row r="26" spans="1:3" x14ac:dyDescent="0.35">
      <c r="A26" s="406" t="s">
        <v>464</v>
      </c>
      <c r="B26" s="407"/>
      <c r="C26" s="408"/>
    </row>
    <row r="27" spans="1:3" x14ac:dyDescent="0.35">
      <c r="A27" s="406" t="s">
        <v>465</v>
      </c>
      <c r="B27" s="407"/>
      <c r="C27" s="408"/>
    </row>
    <row r="28" spans="1:3" x14ac:dyDescent="0.35">
      <c r="A28" s="409" t="s">
        <v>466</v>
      </c>
      <c r="B28" s="410"/>
      <c r="C28" s="410"/>
    </row>
    <row r="29" spans="1:3" x14ac:dyDescent="0.35">
      <c r="A29" s="404" t="s">
        <v>467</v>
      </c>
      <c r="B29" s="405"/>
      <c r="C29" s="405"/>
    </row>
    <row r="30" spans="1:3" x14ac:dyDescent="0.35">
      <c r="A30" s="404" t="s">
        <v>468</v>
      </c>
      <c r="B30" s="405"/>
      <c r="C30" s="405"/>
    </row>
    <row r="31" spans="1:3" x14ac:dyDescent="0.35">
      <c r="A31" s="404" t="s">
        <v>469</v>
      </c>
      <c r="B31" s="405"/>
      <c r="C31" s="405"/>
    </row>
  </sheetData>
  <mergeCells count="27">
    <mergeCell ref="A30:C30"/>
    <mergeCell ref="A31:C31"/>
    <mergeCell ref="A12:C12"/>
    <mergeCell ref="A24:C24"/>
    <mergeCell ref="A25:C25"/>
    <mergeCell ref="A26:C26"/>
    <mergeCell ref="A27:C27"/>
    <mergeCell ref="A28:C28"/>
    <mergeCell ref="A29:C29"/>
    <mergeCell ref="A18:C18"/>
    <mergeCell ref="A19:C19"/>
    <mergeCell ref="A20:C20"/>
    <mergeCell ref="A21:C21"/>
    <mergeCell ref="A22:C22"/>
    <mergeCell ref="A23:C23"/>
    <mergeCell ref="A17:C17"/>
    <mergeCell ref="A11:C11"/>
    <mergeCell ref="A13:C13"/>
    <mergeCell ref="A14:C14"/>
    <mergeCell ref="A15:C15"/>
    <mergeCell ref="A16:C16"/>
    <mergeCell ref="A10:C10"/>
    <mergeCell ref="A1:C1"/>
    <mergeCell ref="A2:C2"/>
    <mergeCell ref="A3:C3"/>
    <mergeCell ref="A4:C4"/>
    <mergeCell ref="A9:C9"/>
  </mergeCells>
  <hyperlinks>
    <hyperlink ref="A11" r:id="rId1" xr:uid="{52B04370-B19D-4FFD-BE0C-A3D06E21D75B}"/>
    <hyperlink ref="A12" r:id="rId2" xr:uid="{4C4B955C-106D-4AE2-AD54-594CC47159BD}"/>
    <hyperlink ref="A15" r:id="rId3" xr:uid="{47B2561A-C26A-42B9-A55F-6AED8A4A68A8}"/>
  </hyperlinks>
  <pageMargins left="0.511811024" right="0.511811024" top="0.78740157499999996" bottom="0.78740157499999996" header="0.31496062000000002" footer="0.31496062000000002"/>
  <pageSetup paperSize="9" orientation="landscape" r:id="rId4"/>
  <colBreaks count="1" manualBreakCount="1">
    <brk id="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E12"/>
  <sheetViews>
    <sheetView zoomScale="80" zoomScaleNormal="80" workbookViewId="0">
      <selection activeCell="L12" sqref="L12"/>
    </sheetView>
  </sheetViews>
  <sheetFormatPr defaultColWidth="12.58203125" defaultRowHeight="15" customHeight="1" x14ac:dyDescent="0.3"/>
  <sheetData>
    <row r="1" spans="1:5" ht="20.5" thickBot="1" x14ac:dyDescent="0.45">
      <c r="A1" s="522" t="s">
        <v>268</v>
      </c>
      <c r="B1" s="524"/>
      <c r="C1" s="302"/>
      <c r="D1" s="522" t="s">
        <v>121</v>
      </c>
      <c r="E1" s="524"/>
    </row>
    <row r="2" spans="1:5" ht="15" customHeight="1" x14ac:dyDescent="0.45">
      <c r="A2" s="529" t="s">
        <v>1</v>
      </c>
      <c r="B2" s="530"/>
      <c r="C2" s="303"/>
      <c r="D2" s="527" t="s">
        <v>444</v>
      </c>
      <c r="E2" s="528"/>
    </row>
    <row r="3" spans="1:5" ht="15" customHeight="1" x14ac:dyDescent="0.35">
      <c r="A3" s="289" t="s">
        <v>2</v>
      </c>
      <c r="B3" s="290">
        <v>30</v>
      </c>
      <c r="C3" s="304"/>
      <c r="D3" s="359" t="s">
        <v>7</v>
      </c>
      <c r="E3" s="362">
        <v>23.7</v>
      </c>
    </row>
    <row r="4" spans="1:5" ht="15" customHeight="1" thickBot="1" x14ac:dyDescent="0.4">
      <c r="A4" s="291" t="s">
        <v>3</v>
      </c>
      <c r="B4" s="294">
        <f>1.97*B3</f>
        <v>59.1</v>
      </c>
      <c r="C4" s="305"/>
      <c r="D4" s="360" t="s">
        <v>445</v>
      </c>
      <c r="E4" s="361">
        <f>1+(E3/(258.6-((E3/258.2)*227.1)))</f>
        <v>1.0996825939817474</v>
      </c>
    </row>
    <row r="5" spans="1:5" ht="15" customHeight="1" x14ac:dyDescent="0.45">
      <c r="A5" s="531" t="s">
        <v>4</v>
      </c>
      <c r="B5" s="532"/>
      <c r="C5" s="306"/>
    </row>
    <row r="6" spans="1:5" ht="15" customHeight="1" x14ac:dyDescent="0.35">
      <c r="A6" s="289" t="s">
        <v>3</v>
      </c>
      <c r="B6" s="293">
        <v>19.7</v>
      </c>
      <c r="C6" s="307"/>
    </row>
    <row r="7" spans="1:5" ht="15" customHeight="1" thickBot="1" x14ac:dyDescent="0.4">
      <c r="A7" s="291" t="s">
        <v>2</v>
      </c>
      <c r="B7" s="292">
        <f>0.508*B6</f>
        <v>10.0076</v>
      </c>
      <c r="C7" s="308"/>
    </row>
    <row r="8" spans="1:5" ht="15" customHeight="1" thickBot="1" x14ac:dyDescent="0.35"/>
    <row r="9" spans="1:5" ht="20.5" thickBot="1" x14ac:dyDescent="0.45">
      <c r="A9" s="522" t="s">
        <v>121</v>
      </c>
      <c r="B9" s="524"/>
      <c r="C9" s="302"/>
    </row>
    <row r="10" spans="1:5" ht="15" customHeight="1" x14ac:dyDescent="0.4">
      <c r="A10" s="527" t="s">
        <v>5</v>
      </c>
      <c r="B10" s="528"/>
      <c r="C10" s="303"/>
    </row>
    <row r="11" spans="1:5" ht="15" customHeight="1" x14ac:dyDescent="0.3">
      <c r="A11" s="295" t="s">
        <v>6</v>
      </c>
      <c r="B11" s="296">
        <v>12</v>
      </c>
      <c r="C11" s="309"/>
    </row>
    <row r="12" spans="1:5" ht="15" customHeight="1" thickBot="1" x14ac:dyDescent="0.35">
      <c r="A12" s="297" t="s">
        <v>7</v>
      </c>
      <c r="B12" s="298">
        <f>B11/1.04</f>
        <v>11.538461538461538</v>
      </c>
      <c r="C12" s="310"/>
    </row>
  </sheetData>
  <mergeCells count="7">
    <mergeCell ref="D1:E1"/>
    <mergeCell ref="D2:E2"/>
    <mergeCell ref="A2:B2"/>
    <mergeCell ref="A10:B10"/>
    <mergeCell ref="A1:B1"/>
    <mergeCell ref="A5:B5"/>
    <mergeCell ref="A9:B9"/>
  </mergeCells>
  <pageMargins left="0.511811024" right="0.511811024" top="0.78740157499999996" bottom="0.78740157499999996" header="0" footer="0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DE184-D6FC-4F99-8410-3E0D55291701}">
  <dimension ref="A1:J25"/>
  <sheetViews>
    <sheetView zoomScale="80" zoomScaleNormal="80" workbookViewId="0">
      <selection activeCell="N14" sqref="N14"/>
    </sheetView>
  </sheetViews>
  <sheetFormatPr defaultColWidth="8.58203125" defaultRowHeight="14" x14ac:dyDescent="0.3"/>
  <cols>
    <col min="1" max="1" width="10.33203125" style="124" customWidth="1"/>
    <col min="2" max="2" width="17.08203125" style="124" bestFit="1" customWidth="1"/>
    <col min="3" max="4" width="10.33203125" style="124" customWidth="1"/>
    <col min="5" max="5" width="10.83203125" style="124" customWidth="1"/>
    <col min="6" max="6" width="14.75" style="124" customWidth="1"/>
    <col min="7" max="7" width="12.08203125" style="124" customWidth="1"/>
    <col min="8" max="8" width="12" style="124" bestFit="1" customWidth="1"/>
    <col min="9" max="10" width="14.1640625" style="124" bestFit="1" customWidth="1"/>
    <col min="11" max="16384" width="8.58203125" style="124"/>
  </cols>
  <sheetData>
    <row r="1" spans="1:10" x14ac:dyDescent="0.3">
      <c r="B1" s="340" t="s">
        <v>16</v>
      </c>
      <c r="C1" s="340" t="s">
        <v>432</v>
      </c>
      <c r="D1" s="340" t="s">
        <v>433</v>
      </c>
      <c r="E1" s="340" t="s">
        <v>434</v>
      </c>
      <c r="F1" s="340" t="s">
        <v>436</v>
      </c>
      <c r="G1" s="341" t="s">
        <v>430</v>
      </c>
      <c r="H1" s="340" t="s">
        <v>435</v>
      </c>
      <c r="I1" s="341" t="s">
        <v>438</v>
      </c>
      <c r="J1" s="340" t="s">
        <v>431</v>
      </c>
    </row>
    <row r="2" spans="1:10" x14ac:dyDescent="0.3">
      <c r="F2" s="339" t="s">
        <v>420</v>
      </c>
      <c r="G2" s="339" t="s">
        <v>419</v>
      </c>
    </row>
    <row r="3" spans="1:10" x14ac:dyDescent="0.3">
      <c r="B3" s="142" t="s">
        <v>278</v>
      </c>
      <c r="C3" s="138" t="s">
        <v>389</v>
      </c>
      <c r="D3" s="138" t="s">
        <v>427</v>
      </c>
      <c r="E3" s="138" t="s">
        <v>416</v>
      </c>
      <c r="F3" s="138" t="s">
        <v>417</v>
      </c>
      <c r="G3" s="138" t="s">
        <v>418</v>
      </c>
      <c r="H3" s="137" t="s">
        <v>428</v>
      </c>
      <c r="I3" s="138" t="s">
        <v>437</v>
      </c>
      <c r="J3" s="138" t="s">
        <v>429</v>
      </c>
    </row>
    <row r="4" spans="1:10" x14ac:dyDescent="0.3">
      <c r="A4" s="535" t="s">
        <v>421</v>
      </c>
      <c r="B4" s="136" t="s">
        <v>241</v>
      </c>
      <c r="C4" s="140">
        <v>0.25</v>
      </c>
      <c r="D4" s="140">
        <v>0.1</v>
      </c>
      <c r="E4" s="140">
        <v>0.5</v>
      </c>
      <c r="F4" s="141">
        <v>4</v>
      </c>
      <c r="G4" s="141">
        <v>1.7</v>
      </c>
      <c r="H4" s="140">
        <v>0.8</v>
      </c>
      <c r="I4" s="138">
        <v>0</v>
      </c>
      <c r="J4" s="138">
        <v>3.4</v>
      </c>
    </row>
    <row r="5" spans="1:10" x14ac:dyDescent="0.3">
      <c r="A5" s="535"/>
      <c r="B5" s="136" t="s">
        <v>242</v>
      </c>
      <c r="C5" s="140">
        <v>1</v>
      </c>
      <c r="D5" s="140">
        <v>0.1</v>
      </c>
      <c r="E5" s="140">
        <v>0.8</v>
      </c>
      <c r="F5" s="141">
        <v>0.25</v>
      </c>
      <c r="G5" s="141">
        <v>2.7</v>
      </c>
      <c r="H5" s="140">
        <v>1.2</v>
      </c>
      <c r="I5" s="138">
        <v>0</v>
      </c>
      <c r="J5" s="138">
        <v>2.2000000000000002</v>
      </c>
    </row>
    <row r="6" spans="1:10" x14ac:dyDescent="0.3">
      <c r="A6" s="535"/>
      <c r="B6" s="136" t="s">
        <v>243</v>
      </c>
      <c r="C6" s="140">
        <v>0</v>
      </c>
      <c r="D6" s="140">
        <v>0</v>
      </c>
      <c r="E6" s="140">
        <v>1.4</v>
      </c>
      <c r="F6" s="141">
        <v>3</v>
      </c>
      <c r="G6" s="141">
        <v>2.2999999999999998</v>
      </c>
      <c r="H6" s="140">
        <v>1</v>
      </c>
      <c r="I6" s="138">
        <v>0</v>
      </c>
      <c r="J6" s="138">
        <v>2.4</v>
      </c>
    </row>
    <row r="7" spans="1:10" x14ac:dyDescent="0.3">
      <c r="A7" s="535"/>
      <c r="B7" s="136" t="s">
        <v>244</v>
      </c>
      <c r="C7" s="140">
        <v>1</v>
      </c>
      <c r="D7" s="140">
        <v>0.1</v>
      </c>
      <c r="E7" s="140">
        <v>0.7</v>
      </c>
      <c r="F7" s="141">
        <v>0.25</v>
      </c>
      <c r="G7" s="141">
        <v>2.2999999999999998</v>
      </c>
      <c r="H7" s="140">
        <v>1.8</v>
      </c>
      <c r="I7" s="138">
        <v>0</v>
      </c>
      <c r="J7" s="138">
        <v>2.4</v>
      </c>
    </row>
    <row r="8" spans="1:10" x14ac:dyDescent="0.3">
      <c r="A8" s="535"/>
      <c r="B8" s="136" t="s">
        <v>245</v>
      </c>
      <c r="C8" s="140">
        <v>1.7</v>
      </c>
      <c r="D8" s="140">
        <v>0.1</v>
      </c>
      <c r="E8" s="140">
        <v>0.6</v>
      </c>
      <c r="F8" s="141">
        <v>4</v>
      </c>
      <c r="G8" s="141">
        <v>2</v>
      </c>
      <c r="H8" s="140">
        <v>1.6</v>
      </c>
      <c r="I8" s="138">
        <v>0</v>
      </c>
      <c r="J8" s="138">
        <v>1.2</v>
      </c>
    </row>
    <row r="9" spans="1:10" x14ac:dyDescent="0.3">
      <c r="A9" s="535"/>
      <c r="B9" s="136" t="s">
        <v>246</v>
      </c>
      <c r="C9" s="140">
        <v>1.5</v>
      </c>
      <c r="D9" s="140">
        <v>0.4</v>
      </c>
      <c r="E9" s="140">
        <v>1.2</v>
      </c>
      <c r="F9" s="141">
        <v>4</v>
      </c>
      <c r="G9" s="141">
        <v>3.7</v>
      </c>
      <c r="H9" s="140">
        <v>2.2000000000000002</v>
      </c>
      <c r="I9" s="138">
        <v>0</v>
      </c>
      <c r="J9" s="138">
        <v>3</v>
      </c>
    </row>
    <row r="10" spans="1:10" ht="24.65" customHeight="1" x14ac:dyDescent="0.3">
      <c r="A10" s="536" t="s">
        <v>426</v>
      </c>
      <c r="B10" s="136" t="s">
        <v>247</v>
      </c>
      <c r="C10" s="140">
        <v>0.1</v>
      </c>
      <c r="D10" s="140">
        <v>0.1</v>
      </c>
      <c r="E10" s="140">
        <v>0.1</v>
      </c>
      <c r="F10" s="141">
        <v>0.25</v>
      </c>
      <c r="G10" s="141">
        <v>0.2</v>
      </c>
      <c r="H10" s="140">
        <v>0.6</v>
      </c>
      <c r="I10" s="138">
        <v>0</v>
      </c>
      <c r="J10" s="138">
        <v>0.4</v>
      </c>
    </row>
    <row r="11" spans="1:10" ht="27.65" customHeight="1" x14ac:dyDescent="0.3">
      <c r="A11" s="537"/>
      <c r="B11" s="136" t="s">
        <v>248</v>
      </c>
      <c r="C11" s="140">
        <v>0.5</v>
      </c>
      <c r="D11" s="140">
        <v>0.1</v>
      </c>
      <c r="E11" s="140">
        <v>0.2</v>
      </c>
      <c r="F11" s="141">
        <v>0.25</v>
      </c>
      <c r="G11" s="141">
        <v>0.3</v>
      </c>
      <c r="H11" s="140">
        <v>0.4</v>
      </c>
      <c r="I11" s="138">
        <v>0</v>
      </c>
      <c r="J11" s="138">
        <v>0</v>
      </c>
    </row>
    <row r="12" spans="1:10" x14ac:dyDescent="0.3">
      <c r="A12" s="538" t="s">
        <v>422</v>
      </c>
      <c r="B12" s="136" t="s">
        <v>249</v>
      </c>
      <c r="C12" s="140">
        <v>1.5</v>
      </c>
      <c r="D12" s="140">
        <v>0.3</v>
      </c>
      <c r="E12" s="140">
        <v>1</v>
      </c>
      <c r="F12" s="141">
        <v>0.25</v>
      </c>
      <c r="G12" s="141">
        <v>2.5</v>
      </c>
      <c r="H12" s="140">
        <v>1.2</v>
      </c>
      <c r="I12" s="138">
        <v>2.2000000000000002</v>
      </c>
      <c r="J12" s="138">
        <v>0.8</v>
      </c>
    </row>
    <row r="13" spans="1:10" x14ac:dyDescent="0.3">
      <c r="A13" s="539"/>
      <c r="B13" s="136" t="s">
        <v>250</v>
      </c>
      <c r="C13" s="140">
        <v>1.5</v>
      </c>
      <c r="D13" s="140">
        <v>0.5</v>
      </c>
      <c r="E13" s="140">
        <v>0.9</v>
      </c>
      <c r="F13" s="141">
        <v>0.25</v>
      </c>
      <c r="G13" s="141">
        <v>2.5</v>
      </c>
      <c r="H13" s="140">
        <v>1.2</v>
      </c>
      <c r="I13" s="138">
        <v>0</v>
      </c>
      <c r="J13" s="138">
        <v>0.4</v>
      </c>
    </row>
    <row r="14" spans="1:10" x14ac:dyDescent="0.3">
      <c r="A14" s="539"/>
      <c r="B14" s="136" t="s">
        <v>251</v>
      </c>
      <c r="C14" s="140">
        <v>1.5</v>
      </c>
      <c r="D14" s="140">
        <v>0.1</v>
      </c>
      <c r="E14" s="140">
        <v>1</v>
      </c>
      <c r="F14" s="141">
        <v>4</v>
      </c>
      <c r="G14" s="141">
        <v>3.5</v>
      </c>
      <c r="H14" s="140">
        <v>1.4</v>
      </c>
      <c r="I14" s="138">
        <v>0</v>
      </c>
      <c r="J14" s="138">
        <v>0.4</v>
      </c>
    </row>
    <row r="15" spans="1:10" x14ac:dyDescent="0.3">
      <c r="A15" s="539"/>
      <c r="B15" s="136" t="s">
        <v>252</v>
      </c>
      <c r="C15" s="140">
        <v>1.7</v>
      </c>
      <c r="D15" s="140">
        <v>0.4</v>
      </c>
      <c r="E15" s="140">
        <v>0.6</v>
      </c>
      <c r="F15" s="141">
        <v>0.25</v>
      </c>
      <c r="G15" s="141">
        <v>2.5</v>
      </c>
      <c r="H15" s="140">
        <v>1.4</v>
      </c>
      <c r="I15" s="138">
        <v>0</v>
      </c>
      <c r="J15" s="138">
        <v>0.4</v>
      </c>
    </row>
    <row r="16" spans="1:10" x14ac:dyDescent="0.3">
      <c r="A16" s="540" t="s">
        <v>423</v>
      </c>
      <c r="B16" s="136" t="s">
        <v>253</v>
      </c>
      <c r="C16" s="140">
        <v>2</v>
      </c>
      <c r="D16" s="140">
        <v>1.4</v>
      </c>
      <c r="E16" s="140">
        <v>2.6</v>
      </c>
      <c r="F16" s="141">
        <v>0.25</v>
      </c>
      <c r="G16" s="141">
        <v>1.7</v>
      </c>
      <c r="H16" s="140">
        <v>2.8</v>
      </c>
      <c r="I16" s="138">
        <v>0</v>
      </c>
      <c r="J16" s="138">
        <v>0.2</v>
      </c>
    </row>
    <row r="17" spans="1:10" x14ac:dyDescent="0.3">
      <c r="A17" s="541"/>
      <c r="B17" s="136" t="s">
        <v>254</v>
      </c>
      <c r="C17" s="140">
        <v>1.7</v>
      </c>
      <c r="D17" s="140">
        <v>0.8</v>
      </c>
      <c r="E17" s="140">
        <v>2.1</v>
      </c>
      <c r="F17" s="141">
        <v>2.5</v>
      </c>
      <c r="G17" s="141">
        <v>2.2000000000000002</v>
      </c>
      <c r="H17" s="140">
        <v>2</v>
      </c>
      <c r="I17" s="138">
        <v>2.2000000000000002</v>
      </c>
      <c r="J17" s="138">
        <v>0.8</v>
      </c>
    </row>
    <row r="18" spans="1:10" x14ac:dyDescent="0.3">
      <c r="A18" s="541"/>
      <c r="B18" s="136" t="s">
        <v>255</v>
      </c>
      <c r="C18" s="140">
        <v>1</v>
      </c>
      <c r="D18" s="140">
        <v>0.3</v>
      </c>
      <c r="E18" s="140">
        <v>1.4</v>
      </c>
      <c r="F18" s="141">
        <v>0.25</v>
      </c>
      <c r="G18" s="141">
        <v>0.7</v>
      </c>
      <c r="H18" s="140">
        <v>1.8</v>
      </c>
      <c r="I18" s="138">
        <v>0</v>
      </c>
      <c r="J18" s="138">
        <v>0.6</v>
      </c>
    </row>
    <row r="19" spans="1:10" x14ac:dyDescent="0.3">
      <c r="A19" s="541"/>
      <c r="B19" s="136" t="s">
        <v>256</v>
      </c>
      <c r="C19" s="140">
        <v>3</v>
      </c>
      <c r="D19" s="140">
        <v>1.8</v>
      </c>
      <c r="E19" s="140">
        <v>3.1</v>
      </c>
      <c r="F19" s="141">
        <v>1</v>
      </c>
      <c r="G19" s="141">
        <v>3.3</v>
      </c>
      <c r="H19" s="140">
        <v>2.8</v>
      </c>
      <c r="I19" s="138">
        <v>0.7</v>
      </c>
      <c r="J19" s="138">
        <v>1</v>
      </c>
    </row>
    <row r="20" spans="1:10" x14ac:dyDescent="0.3">
      <c r="A20" s="542" t="s">
        <v>424</v>
      </c>
      <c r="B20" s="136" t="s">
        <v>257</v>
      </c>
      <c r="C20" s="140">
        <v>1.7</v>
      </c>
      <c r="D20" s="140">
        <v>0.4</v>
      </c>
      <c r="E20" s="140">
        <v>0.8</v>
      </c>
      <c r="F20" s="141">
        <v>0.25</v>
      </c>
      <c r="G20" s="141">
        <v>3</v>
      </c>
      <c r="H20" s="140">
        <v>3.2</v>
      </c>
      <c r="I20" s="138">
        <v>0</v>
      </c>
      <c r="J20" s="138">
        <v>1</v>
      </c>
    </row>
    <row r="21" spans="1:10" x14ac:dyDescent="0.3">
      <c r="A21" s="543"/>
      <c r="B21" s="136" t="s">
        <v>258</v>
      </c>
      <c r="C21" s="140">
        <v>1.7</v>
      </c>
      <c r="D21" s="140">
        <v>0.6</v>
      </c>
      <c r="E21" s="140">
        <v>0.9</v>
      </c>
      <c r="F21" s="141">
        <v>0.25</v>
      </c>
      <c r="G21" s="141">
        <v>1.8</v>
      </c>
      <c r="H21" s="140">
        <v>3.2</v>
      </c>
      <c r="I21" s="138">
        <v>0</v>
      </c>
      <c r="J21" s="138">
        <v>0.6</v>
      </c>
    </row>
    <row r="22" spans="1:10" x14ac:dyDescent="0.3">
      <c r="A22" s="543"/>
      <c r="B22" s="136" t="s">
        <v>259</v>
      </c>
      <c r="C22" s="140">
        <v>1</v>
      </c>
      <c r="D22" s="140">
        <v>0</v>
      </c>
      <c r="E22" s="140">
        <v>0.8</v>
      </c>
      <c r="F22" s="141">
        <v>2</v>
      </c>
      <c r="G22" s="141">
        <v>3</v>
      </c>
      <c r="H22" s="140">
        <v>2.4</v>
      </c>
      <c r="I22" s="138">
        <v>0</v>
      </c>
      <c r="J22" s="138">
        <v>1.6</v>
      </c>
    </row>
    <row r="23" spans="1:10" x14ac:dyDescent="0.3">
      <c r="A23" s="533" t="s">
        <v>425</v>
      </c>
      <c r="B23" s="136" t="s">
        <v>260</v>
      </c>
      <c r="C23" s="140">
        <v>0.5</v>
      </c>
      <c r="D23" s="140">
        <v>0.5</v>
      </c>
      <c r="E23" s="140">
        <v>1</v>
      </c>
      <c r="F23" s="141">
        <v>0.25</v>
      </c>
      <c r="G23" s="141">
        <v>1.8</v>
      </c>
      <c r="H23" s="140">
        <v>2</v>
      </c>
      <c r="I23" s="138">
        <v>0.7</v>
      </c>
      <c r="J23" s="138">
        <v>1.4</v>
      </c>
    </row>
    <row r="24" spans="1:10" x14ac:dyDescent="0.3">
      <c r="A24" s="534"/>
      <c r="B24" s="136" t="s">
        <v>261</v>
      </c>
      <c r="C24" s="140">
        <v>3</v>
      </c>
      <c r="D24" s="140">
        <v>2.6</v>
      </c>
      <c r="E24" s="140">
        <v>2</v>
      </c>
      <c r="F24" s="141">
        <v>2</v>
      </c>
      <c r="G24" s="141">
        <v>3.2</v>
      </c>
      <c r="H24" s="140">
        <v>2.8</v>
      </c>
      <c r="I24" s="138">
        <v>1.2</v>
      </c>
      <c r="J24" s="138">
        <v>0.6</v>
      </c>
    </row>
    <row r="25" spans="1:10" x14ac:dyDescent="0.3">
      <c r="A25" s="534"/>
      <c r="B25" s="136" t="s">
        <v>262</v>
      </c>
      <c r="C25" s="140">
        <v>0</v>
      </c>
      <c r="D25" s="140">
        <v>0.7</v>
      </c>
      <c r="E25" s="140">
        <v>2.2999999999999998</v>
      </c>
      <c r="F25" s="141">
        <v>3</v>
      </c>
      <c r="G25" s="141">
        <v>1.5</v>
      </c>
      <c r="H25" s="140">
        <v>1.2</v>
      </c>
      <c r="I25" s="138">
        <v>2.2000000000000002</v>
      </c>
      <c r="J25" s="138">
        <v>3.9</v>
      </c>
    </row>
  </sheetData>
  <mergeCells count="6">
    <mergeCell ref="A23:A25"/>
    <mergeCell ref="A4:A9"/>
    <mergeCell ref="A10:A11"/>
    <mergeCell ref="A12:A15"/>
    <mergeCell ref="A16:A19"/>
    <mergeCell ref="A20:A22"/>
  </mergeCells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49AA0-4C85-4BC3-AC14-DFD519E2587E}">
  <dimension ref="B4:AA151"/>
  <sheetViews>
    <sheetView topLeftCell="B1" zoomScale="60" zoomScaleNormal="60" workbookViewId="0">
      <selection activeCell="AB9" sqref="AB9"/>
    </sheetView>
  </sheetViews>
  <sheetFormatPr defaultRowHeight="14" x14ac:dyDescent="0.3"/>
  <cols>
    <col min="2" max="3" width="8.6640625" style="7"/>
    <col min="16" max="17" width="8.6640625" style="7"/>
    <col min="20" max="20" width="9.25" bestFit="1" customWidth="1"/>
  </cols>
  <sheetData>
    <row r="4" spans="2:27" x14ac:dyDescent="0.3">
      <c r="B4" s="7" t="s">
        <v>27</v>
      </c>
      <c r="C4" s="7" t="s">
        <v>40</v>
      </c>
      <c r="P4" s="7" t="s">
        <v>40</v>
      </c>
      <c r="Q4" s="7" t="s">
        <v>27</v>
      </c>
    </row>
    <row r="5" spans="2:27" x14ac:dyDescent="0.3">
      <c r="B5" s="7">
        <v>0</v>
      </c>
      <c r="C5" s="7">
        <v>0</v>
      </c>
      <c r="P5" s="7">
        <v>0</v>
      </c>
      <c r="Q5" s="7">
        <v>0</v>
      </c>
    </row>
    <row r="6" spans="2:27" x14ac:dyDescent="0.3">
      <c r="B6" s="6">
        <v>4</v>
      </c>
      <c r="C6" s="6">
        <v>4.0599999999999996</v>
      </c>
      <c r="P6" s="6">
        <v>4.0599999999999996</v>
      </c>
      <c r="Q6" s="6">
        <v>4</v>
      </c>
    </row>
    <row r="7" spans="2:27" x14ac:dyDescent="0.3">
      <c r="B7" s="6">
        <v>4.0999999999999996</v>
      </c>
      <c r="C7" s="6">
        <v>4.16</v>
      </c>
      <c r="P7" s="6">
        <v>4.16</v>
      </c>
      <c r="Q7" s="6">
        <v>4.0999999999999996</v>
      </c>
    </row>
    <row r="8" spans="2:27" x14ac:dyDescent="0.3">
      <c r="B8" s="6">
        <v>4.2</v>
      </c>
      <c r="C8" s="6">
        <v>4.26</v>
      </c>
      <c r="P8" s="6">
        <v>4.26</v>
      </c>
      <c r="Q8" s="6">
        <v>4.2</v>
      </c>
    </row>
    <row r="9" spans="2:27" x14ac:dyDescent="0.3">
      <c r="B9" s="6">
        <v>4.3</v>
      </c>
      <c r="C9" s="6">
        <v>4.3600000000000003</v>
      </c>
      <c r="P9" s="6">
        <v>4.3600000000000003</v>
      </c>
      <c r="Q9" s="6">
        <v>4.3</v>
      </c>
    </row>
    <row r="10" spans="2:27" x14ac:dyDescent="0.3">
      <c r="B10" s="6">
        <v>4.4000000000000004</v>
      </c>
      <c r="C10" s="6">
        <v>4.47</v>
      </c>
      <c r="P10" s="6">
        <v>4.47</v>
      </c>
      <c r="Q10" s="6">
        <v>4.4000000000000004</v>
      </c>
      <c r="R10" s="8"/>
    </row>
    <row r="11" spans="2:27" x14ac:dyDescent="0.3">
      <c r="B11" s="6">
        <v>4.5</v>
      </c>
      <c r="C11" s="6">
        <v>4.57</v>
      </c>
      <c r="P11" s="6">
        <v>4.57</v>
      </c>
      <c r="Q11" s="6">
        <v>4.5</v>
      </c>
    </row>
    <row r="12" spans="2:27" x14ac:dyDescent="0.3">
      <c r="B12" s="6">
        <v>4.5999999999999996</v>
      </c>
      <c r="C12" s="6">
        <v>4.67</v>
      </c>
      <c r="P12" s="6">
        <v>4.67</v>
      </c>
      <c r="Q12" s="6">
        <v>4.5999999999999996</v>
      </c>
    </row>
    <row r="13" spans="2:27" x14ac:dyDescent="0.3">
      <c r="B13" s="6">
        <v>4.7</v>
      </c>
      <c r="C13" s="6">
        <v>4.78</v>
      </c>
      <c r="P13" s="6">
        <v>4.78</v>
      </c>
      <c r="Q13" s="6">
        <v>4.7</v>
      </c>
      <c r="AA13" s="8"/>
    </row>
    <row r="14" spans="2:27" x14ac:dyDescent="0.3">
      <c r="B14" s="6">
        <v>4.8</v>
      </c>
      <c r="C14" s="6">
        <v>4.88</v>
      </c>
      <c r="P14" s="6">
        <v>4.88</v>
      </c>
      <c r="Q14" s="6">
        <v>4.8</v>
      </c>
    </row>
    <row r="15" spans="2:27" x14ac:dyDescent="0.3">
      <c r="B15" s="6">
        <v>4.9000000000000004</v>
      </c>
      <c r="C15" s="6">
        <v>4.99</v>
      </c>
      <c r="P15" s="6">
        <v>4.99</v>
      </c>
      <c r="Q15" s="6">
        <v>4.9000000000000004</v>
      </c>
    </row>
    <row r="16" spans="2:27" x14ac:dyDescent="0.3">
      <c r="B16" s="6">
        <v>5</v>
      </c>
      <c r="C16" s="6">
        <v>5.09</v>
      </c>
      <c r="P16" s="6">
        <v>5.09</v>
      </c>
      <c r="Q16" s="6">
        <v>5</v>
      </c>
    </row>
    <row r="17" spans="2:17" x14ac:dyDescent="0.3">
      <c r="B17" s="6">
        <v>5.0999999999999996</v>
      </c>
      <c r="C17" s="6">
        <v>5.19</v>
      </c>
      <c r="P17" s="6">
        <v>5.19</v>
      </c>
      <c r="Q17" s="6">
        <v>5.0999999999999996</v>
      </c>
    </row>
    <row r="18" spans="2:17" x14ac:dyDescent="0.3">
      <c r="B18" s="6">
        <v>5.2</v>
      </c>
      <c r="C18" s="6">
        <v>5.3</v>
      </c>
      <c r="P18" s="6">
        <v>5.3</v>
      </c>
      <c r="Q18" s="6">
        <v>5.2</v>
      </c>
    </row>
    <row r="19" spans="2:17" x14ac:dyDescent="0.3">
      <c r="B19" s="6">
        <v>5.3</v>
      </c>
      <c r="C19" s="6">
        <v>5.4</v>
      </c>
      <c r="P19" s="6">
        <v>5.4</v>
      </c>
      <c r="Q19" s="6">
        <v>5.3</v>
      </c>
    </row>
    <row r="20" spans="2:17" x14ac:dyDescent="0.3">
      <c r="B20" s="6">
        <v>5.4</v>
      </c>
      <c r="C20" s="6">
        <v>5.51</v>
      </c>
      <c r="P20" s="6">
        <v>5.51</v>
      </c>
      <c r="Q20" s="6">
        <v>5.4</v>
      </c>
    </row>
    <row r="21" spans="2:17" x14ac:dyDescent="0.3">
      <c r="B21" s="6">
        <v>5.5</v>
      </c>
      <c r="C21" s="6">
        <v>5.61</v>
      </c>
      <c r="P21" s="6">
        <v>5.61</v>
      </c>
      <c r="Q21" s="6">
        <v>5.5</v>
      </c>
    </row>
    <row r="22" spans="2:17" x14ac:dyDescent="0.3">
      <c r="B22" s="6">
        <v>5.6</v>
      </c>
      <c r="C22" s="6">
        <v>5.71</v>
      </c>
      <c r="P22" s="6">
        <v>5.71</v>
      </c>
      <c r="Q22" s="6">
        <v>5.6</v>
      </c>
    </row>
    <row r="23" spans="2:17" x14ac:dyDescent="0.3">
      <c r="B23" s="6">
        <v>5.7</v>
      </c>
      <c r="C23" s="6">
        <v>5.82</v>
      </c>
      <c r="P23" s="6">
        <v>5.82</v>
      </c>
      <c r="Q23" s="6">
        <v>5.7</v>
      </c>
    </row>
    <row r="24" spans="2:17" x14ac:dyDescent="0.3">
      <c r="B24" s="6">
        <v>5.8</v>
      </c>
      <c r="C24" s="6">
        <v>5.92</v>
      </c>
      <c r="P24" s="6">
        <v>5.92</v>
      </c>
      <c r="Q24" s="6">
        <v>5.8</v>
      </c>
    </row>
    <row r="25" spans="2:17" x14ac:dyDescent="0.3">
      <c r="B25" s="6">
        <v>5.9</v>
      </c>
      <c r="C25" s="6">
        <v>6.03</v>
      </c>
      <c r="P25" s="6">
        <v>6.03</v>
      </c>
      <c r="Q25" s="6">
        <v>5.9</v>
      </c>
    </row>
    <row r="26" spans="2:17" x14ac:dyDescent="0.3">
      <c r="B26" s="6">
        <v>6</v>
      </c>
      <c r="C26" s="6">
        <v>6.13</v>
      </c>
      <c r="P26" s="6">
        <v>6.13</v>
      </c>
      <c r="Q26" s="6">
        <v>6</v>
      </c>
    </row>
    <row r="27" spans="2:17" x14ac:dyDescent="0.3">
      <c r="B27" s="6">
        <v>6.1</v>
      </c>
      <c r="C27" s="6">
        <v>6.24</v>
      </c>
      <c r="P27" s="6">
        <v>6.24</v>
      </c>
      <c r="Q27" s="6">
        <v>6.1</v>
      </c>
    </row>
    <row r="28" spans="2:17" x14ac:dyDescent="0.3">
      <c r="B28" s="6">
        <v>6.2</v>
      </c>
      <c r="C28" s="6">
        <v>6.34</v>
      </c>
      <c r="P28" s="6">
        <v>6.34</v>
      </c>
      <c r="Q28" s="6">
        <v>6.2</v>
      </c>
    </row>
    <row r="29" spans="2:17" x14ac:dyDescent="0.3">
      <c r="B29" s="6">
        <v>6.3</v>
      </c>
      <c r="C29" s="6">
        <v>6.45</v>
      </c>
      <c r="P29" s="6">
        <v>6.45</v>
      </c>
      <c r="Q29" s="6">
        <v>6.3</v>
      </c>
    </row>
    <row r="30" spans="2:17" x14ac:dyDescent="0.3">
      <c r="B30" s="6">
        <v>6.4</v>
      </c>
      <c r="C30" s="6">
        <v>6.55</v>
      </c>
      <c r="P30" s="6">
        <v>6.55</v>
      </c>
      <c r="Q30" s="6">
        <v>6.4</v>
      </c>
    </row>
    <row r="31" spans="2:17" x14ac:dyDescent="0.3">
      <c r="B31" s="6">
        <v>6.5</v>
      </c>
      <c r="C31" s="6">
        <v>6.66</v>
      </c>
      <c r="P31" s="6">
        <v>6.66</v>
      </c>
      <c r="Q31" s="6">
        <v>6.5</v>
      </c>
    </row>
    <row r="32" spans="2:17" x14ac:dyDescent="0.3">
      <c r="B32" s="6">
        <v>6.6</v>
      </c>
      <c r="C32" s="6">
        <v>6.76</v>
      </c>
      <c r="P32" s="6">
        <v>6.76</v>
      </c>
      <c r="Q32" s="6">
        <v>6.6</v>
      </c>
    </row>
    <row r="33" spans="2:17" x14ac:dyDescent="0.3">
      <c r="B33" s="6">
        <v>6.7</v>
      </c>
      <c r="C33" s="6">
        <v>6.87</v>
      </c>
      <c r="P33" s="6">
        <v>6.87</v>
      </c>
      <c r="Q33" s="6">
        <v>6.7</v>
      </c>
    </row>
    <row r="34" spans="2:17" x14ac:dyDescent="0.3">
      <c r="B34" s="6">
        <v>6.8</v>
      </c>
      <c r="C34" s="6">
        <v>6.97</v>
      </c>
      <c r="P34" s="6">
        <v>6.97</v>
      </c>
      <c r="Q34" s="6">
        <v>6.8</v>
      </c>
    </row>
    <row r="35" spans="2:17" x14ac:dyDescent="0.3">
      <c r="B35" s="6">
        <v>6.9</v>
      </c>
      <c r="C35" s="6">
        <v>7.08</v>
      </c>
      <c r="P35" s="6">
        <v>7.08</v>
      </c>
      <c r="Q35" s="6">
        <v>6.9</v>
      </c>
    </row>
    <row r="36" spans="2:17" x14ac:dyDescent="0.3">
      <c r="B36" s="6">
        <v>7</v>
      </c>
      <c r="C36" s="6">
        <v>7.18</v>
      </c>
      <c r="P36" s="6">
        <v>7.18</v>
      </c>
      <c r="Q36" s="6">
        <v>7</v>
      </c>
    </row>
    <row r="37" spans="2:17" x14ac:dyDescent="0.3">
      <c r="B37" s="6">
        <v>7.1</v>
      </c>
      <c r="C37" s="6">
        <v>7.29</v>
      </c>
      <c r="P37" s="6">
        <v>7.29</v>
      </c>
      <c r="Q37" s="6">
        <v>7.1</v>
      </c>
    </row>
    <row r="38" spans="2:17" x14ac:dyDescent="0.3">
      <c r="B38" s="6">
        <v>7.2</v>
      </c>
      <c r="C38" s="6">
        <v>7.39</v>
      </c>
      <c r="P38" s="6">
        <v>7.39</v>
      </c>
      <c r="Q38" s="6">
        <v>7.2</v>
      </c>
    </row>
    <row r="39" spans="2:17" x14ac:dyDescent="0.3">
      <c r="B39" s="6">
        <v>7.3</v>
      </c>
      <c r="C39" s="6">
        <v>7.5</v>
      </c>
      <c r="P39" s="6">
        <v>7.5</v>
      </c>
      <c r="Q39" s="6">
        <v>7.3</v>
      </c>
    </row>
    <row r="40" spans="2:17" x14ac:dyDescent="0.3">
      <c r="B40" s="6">
        <v>7.4</v>
      </c>
      <c r="C40" s="6">
        <v>7.6</v>
      </c>
      <c r="P40" s="6">
        <v>7.6</v>
      </c>
      <c r="Q40" s="6">
        <v>7.4</v>
      </c>
    </row>
    <row r="41" spans="2:17" x14ac:dyDescent="0.3">
      <c r="B41" s="6">
        <v>7.5</v>
      </c>
      <c r="C41" s="6">
        <v>7.71</v>
      </c>
      <c r="P41" s="6">
        <v>7.71</v>
      </c>
      <c r="Q41" s="6">
        <v>7.5</v>
      </c>
    </row>
    <row r="42" spans="2:17" x14ac:dyDescent="0.3">
      <c r="B42" s="6">
        <v>7.6</v>
      </c>
      <c r="C42" s="6">
        <v>7.82</v>
      </c>
      <c r="P42" s="6">
        <v>7.82</v>
      </c>
      <c r="Q42" s="6">
        <v>7.6</v>
      </c>
    </row>
    <row r="43" spans="2:17" x14ac:dyDescent="0.3">
      <c r="B43" s="6">
        <v>7.7</v>
      </c>
      <c r="C43" s="6">
        <v>7.92</v>
      </c>
      <c r="P43" s="6">
        <v>7.92</v>
      </c>
      <c r="Q43" s="6">
        <v>7.7</v>
      </c>
    </row>
    <row r="44" spans="2:17" x14ac:dyDescent="0.3">
      <c r="B44" s="6">
        <v>7.8</v>
      </c>
      <c r="C44" s="6">
        <v>8.0299999999999994</v>
      </c>
      <c r="P44" s="6">
        <v>8.0299999999999994</v>
      </c>
      <c r="Q44" s="6">
        <v>7.8</v>
      </c>
    </row>
    <row r="45" spans="2:17" x14ac:dyDescent="0.3">
      <c r="B45" s="6">
        <v>7.9</v>
      </c>
      <c r="C45" s="6">
        <v>8.1300000000000008</v>
      </c>
      <c r="P45" s="6">
        <v>8.1300000000000008</v>
      </c>
      <c r="Q45" s="6">
        <v>7.9</v>
      </c>
    </row>
    <row r="46" spans="2:17" x14ac:dyDescent="0.3">
      <c r="B46" s="6">
        <v>8</v>
      </c>
      <c r="C46" s="6">
        <v>8.24</v>
      </c>
      <c r="P46" s="6">
        <v>8.24</v>
      </c>
      <c r="Q46" s="6">
        <v>8</v>
      </c>
    </row>
    <row r="47" spans="2:17" x14ac:dyDescent="0.3">
      <c r="B47" s="6">
        <v>8.1</v>
      </c>
      <c r="C47" s="6">
        <v>8.35</v>
      </c>
      <c r="P47" s="6">
        <v>8.35</v>
      </c>
      <c r="Q47" s="6">
        <v>8.1</v>
      </c>
    </row>
    <row r="48" spans="2:17" x14ac:dyDescent="0.3">
      <c r="B48" s="6">
        <v>8.1999999999999993</v>
      </c>
      <c r="C48" s="6">
        <v>8.4499999999999993</v>
      </c>
      <c r="P48" s="6">
        <v>8.4499999999999993</v>
      </c>
      <c r="Q48" s="6">
        <v>8.1999999999999993</v>
      </c>
    </row>
    <row r="49" spans="2:17" x14ac:dyDescent="0.3">
      <c r="B49" s="6">
        <v>8.3000000000000007</v>
      </c>
      <c r="C49" s="6">
        <v>8.56</v>
      </c>
      <c r="P49" s="6">
        <v>8.56</v>
      </c>
      <c r="Q49" s="6">
        <v>8.3000000000000007</v>
      </c>
    </row>
    <row r="50" spans="2:17" x14ac:dyDescent="0.3">
      <c r="B50" s="6">
        <v>8.4</v>
      </c>
      <c r="C50" s="6">
        <v>8.67</v>
      </c>
      <c r="P50" s="6">
        <v>8.67</v>
      </c>
      <c r="Q50" s="6">
        <v>8.4</v>
      </c>
    </row>
    <row r="51" spans="2:17" x14ac:dyDescent="0.3">
      <c r="B51" s="6">
        <v>8.5</v>
      </c>
      <c r="C51" s="6">
        <v>8.77</v>
      </c>
      <c r="P51" s="6">
        <v>8.77</v>
      </c>
      <c r="Q51" s="6">
        <v>8.5</v>
      </c>
    </row>
    <row r="52" spans="2:17" x14ac:dyDescent="0.3">
      <c r="B52" s="6">
        <v>8.6</v>
      </c>
      <c r="C52" s="6">
        <v>8.8800000000000008</v>
      </c>
      <c r="P52" s="6">
        <v>8.8800000000000008</v>
      </c>
      <c r="Q52" s="6">
        <v>8.6</v>
      </c>
    </row>
    <row r="53" spans="2:17" x14ac:dyDescent="0.3">
      <c r="B53" s="6">
        <v>8.6999999999999993</v>
      </c>
      <c r="C53" s="6">
        <v>8.99</v>
      </c>
      <c r="P53" s="6">
        <v>8.99</v>
      </c>
      <c r="Q53" s="6">
        <v>8.6999999999999993</v>
      </c>
    </row>
    <row r="54" spans="2:17" x14ac:dyDescent="0.3">
      <c r="B54" s="6">
        <v>8.8000000000000007</v>
      </c>
      <c r="C54" s="6">
        <v>9.09</v>
      </c>
      <c r="P54" s="6">
        <v>9.09</v>
      </c>
      <c r="Q54" s="6">
        <v>8.8000000000000007</v>
      </c>
    </row>
    <row r="55" spans="2:17" x14ac:dyDescent="0.3">
      <c r="B55" s="6">
        <v>8.9</v>
      </c>
      <c r="C55" s="6">
        <v>9.1999999999999993</v>
      </c>
      <c r="P55" s="6">
        <v>9.1999999999999993</v>
      </c>
      <c r="Q55" s="6">
        <v>8.9</v>
      </c>
    </row>
    <row r="56" spans="2:17" x14ac:dyDescent="0.3">
      <c r="B56" s="6">
        <v>9</v>
      </c>
      <c r="C56" s="6">
        <v>9.31</v>
      </c>
      <c r="P56" s="6">
        <v>9.31</v>
      </c>
      <c r="Q56" s="6">
        <v>9</v>
      </c>
    </row>
    <row r="57" spans="2:17" x14ac:dyDescent="0.3">
      <c r="B57" s="6">
        <v>9.1</v>
      </c>
      <c r="C57" s="6">
        <v>9.41</v>
      </c>
      <c r="P57" s="6">
        <v>9.41</v>
      </c>
      <c r="Q57" s="6">
        <v>9.1</v>
      </c>
    </row>
    <row r="58" spans="2:17" x14ac:dyDescent="0.3">
      <c r="B58" s="6">
        <v>9.1999999999999993</v>
      </c>
      <c r="C58" s="6">
        <v>9.52</v>
      </c>
      <c r="P58" s="6">
        <v>9.52</v>
      </c>
      <c r="Q58" s="6">
        <v>9.1999999999999993</v>
      </c>
    </row>
    <row r="59" spans="2:17" x14ac:dyDescent="0.3">
      <c r="B59" s="6">
        <v>9.3000000000000007</v>
      </c>
      <c r="C59" s="6">
        <v>9.6300000000000008</v>
      </c>
      <c r="P59" s="6">
        <v>9.6300000000000008</v>
      </c>
      <c r="Q59" s="6">
        <v>9.3000000000000007</v>
      </c>
    </row>
    <row r="60" spans="2:17" x14ac:dyDescent="0.3">
      <c r="B60" s="6">
        <v>9.4</v>
      </c>
      <c r="C60" s="6">
        <v>9.74</v>
      </c>
      <c r="P60" s="6">
        <v>9.74</v>
      </c>
      <c r="Q60" s="6">
        <v>9.4</v>
      </c>
    </row>
    <row r="61" spans="2:17" x14ac:dyDescent="0.3">
      <c r="B61" s="6">
        <v>9.5</v>
      </c>
      <c r="C61" s="6">
        <v>9.84</v>
      </c>
      <c r="P61" s="6">
        <v>9.84</v>
      </c>
      <c r="Q61" s="6">
        <v>9.5</v>
      </c>
    </row>
    <row r="62" spans="2:17" x14ac:dyDescent="0.3">
      <c r="B62" s="6">
        <v>9.6</v>
      </c>
      <c r="C62" s="6">
        <v>9.9499999999999993</v>
      </c>
      <c r="P62" s="6">
        <v>9.9499999999999993</v>
      </c>
      <c r="Q62" s="6">
        <v>9.6</v>
      </c>
    </row>
    <row r="63" spans="2:17" x14ac:dyDescent="0.3">
      <c r="B63" s="6">
        <v>9.6999999999999993</v>
      </c>
      <c r="C63" s="6">
        <v>10.06</v>
      </c>
      <c r="P63" s="6">
        <v>10.06</v>
      </c>
      <c r="Q63" s="6">
        <v>9.6999999999999993</v>
      </c>
    </row>
    <row r="64" spans="2:17" x14ac:dyDescent="0.3">
      <c r="B64" s="6">
        <v>9.8000000000000007</v>
      </c>
      <c r="C64" s="6">
        <v>10.17</v>
      </c>
      <c r="P64" s="6">
        <v>10.17</v>
      </c>
      <c r="Q64" s="6">
        <v>9.8000000000000007</v>
      </c>
    </row>
    <row r="65" spans="2:17" x14ac:dyDescent="0.3">
      <c r="B65" s="6">
        <v>9.9</v>
      </c>
      <c r="C65" s="6">
        <v>10.27</v>
      </c>
      <c r="P65" s="6">
        <v>10.27</v>
      </c>
      <c r="Q65" s="6">
        <v>9.9</v>
      </c>
    </row>
    <row r="66" spans="2:17" x14ac:dyDescent="0.3">
      <c r="B66" s="7">
        <v>10</v>
      </c>
      <c r="C66" s="7">
        <v>10.38</v>
      </c>
      <c r="P66" s="7">
        <v>10.38</v>
      </c>
      <c r="Q66" s="6">
        <v>10</v>
      </c>
    </row>
    <row r="67" spans="2:17" x14ac:dyDescent="0.3">
      <c r="B67" s="7">
        <v>10.1</v>
      </c>
      <c r="C67" s="7">
        <v>10.49</v>
      </c>
      <c r="P67" s="7">
        <v>10.49</v>
      </c>
      <c r="Q67" s="6">
        <v>10.1</v>
      </c>
    </row>
    <row r="68" spans="2:17" x14ac:dyDescent="0.3">
      <c r="B68" s="7">
        <v>10.199999999999999</v>
      </c>
      <c r="C68" s="7">
        <v>10.6</v>
      </c>
      <c r="P68" s="7">
        <v>10.6</v>
      </c>
      <c r="Q68" s="6">
        <v>10.199999999999999</v>
      </c>
    </row>
    <row r="69" spans="2:17" x14ac:dyDescent="0.3">
      <c r="B69" s="7">
        <v>10.3</v>
      </c>
      <c r="C69" s="7">
        <v>10.71</v>
      </c>
      <c r="P69" s="7">
        <v>10.71</v>
      </c>
      <c r="Q69" s="6">
        <v>10.3</v>
      </c>
    </row>
    <row r="70" spans="2:17" x14ac:dyDescent="0.3">
      <c r="B70" s="7">
        <v>10.4</v>
      </c>
      <c r="C70" s="7">
        <v>10.81</v>
      </c>
      <c r="P70" s="7">
        <v>10.81</v>
      </c>
      <c r="Q70" s="6">
        <v>10.4</v>
      </c>
    </row>
    <row r="71" spans="2:17" x14ac:dyDescent="0.3">
      <c r="B71" s="7">
        <v>10.5</v>
      </c>
      <c r="C71" s="7">
        <v>10.92</v>
      </c>
      <c r="P71" s="7">
        <v>10.92</v>
      </c>
      <c r="Q71" s="6">
        <v>10.5</v>
      </c>
    </row>
    <row r="72" spans="2:17" x14ac:dyDescent="0.3">
      <c r="B72" s="7">
        <v>10.6</v>
      </c>
      <c r="C72" s="7">
        <v>11.03</v>
      </c>
      <c r="P72" s="7">
        <v>11.03</v>
      </c>
      <c r="Q72" s="6">
        <v>10.6</v>
      </c>
    </row>
    <row r="73" spans="2:17" x14ac:dyDescent="0.3">
      <c r="B73" s="7">
        <v>10.7</v>
      </c>
      <c r="C73" s="7">
        <v>11.14</v>
      </c>
      <c r="P73" s="7">
        <v>11.14</v>
      </c>
      <c r="Q73" s="6">
        <v>10.7</v>
      </c>
    </row>
    <row r="74" spans="2:17" x14ac:dyDescent="0.3">
      <c r="B74" s="7">
        <v>10.8</v>
      </c>
      <c r="C74" s="7">
        <v>11.25</v>
      </c>
      <c r="P74" s="7">
        <v>11.25</v>
      </c>
      <c r="Q74" s="6">
        <v>10.8</v>
      </c>
    </row>
    <row r="75" spans="2:17" x14ac:dyDescent="0.3">
      <c r="B75" s="7">
        <v>10.9</v>
      </c>
      <c r="C75" s="7">
        <v>11.36</v>
      </c>
      <c r="P75" s="7">
        <v>11.36</v>
      </c>
      <c r="Q75" s="6">
        <v>10.9</v>
      </c>
    </row>
    <row r="76" spans="2:17" x14ac:dyDescent="0.3">
      <c r="B76" s="7">
        <v>11</v>
      </c>
      <c r="C76" s="7">
        <v>11.47</v>
      </c>
      <c r="P76" s="7">
        <v>11.47</v>
      </c>
      <c r="Q76" s="6">
        <v>11</v>
      </c>
    </row>
    <row r="77" spans="2:17" x14ac:dyDescent="0.3">
      <c r="B77" s="7">
        <v>11.1</v>
      </c>
      <c r="C77" s="7">
        <v>11.57</v>
      </c>
      <c r="P77" s="7">
        <v>11.57</v>
      </c>
      <c r="Q77" s="6">
        <v>11.1</v>
      </c>
    </row>
    <row r="78" spans="2:17" x14ac:dyDescent="0.3">
      <c r="B78" s="7">
        <v>11.2</v>
      </c>
      <c r="C78" s="7">
        <v>11.68</v>
      </c>
      <c r="P78" s="7">
        <v>11.68</v>
      </c>
      <c r="Q78" s="6">
        <v>11.2</v>
      </c>
    </row>
    <row r="79" spans="2:17" x14ac:dyDescent="0.3">
      <c r="B79" s="7">
        <v>11.3</v>
      </c>
      <c r="C79" s="7">
        <v>11.79</v>
      </c>
      <c r="P79" s="7">
        <v>11.79</v>
      </c>
      <c r="Q79" s="6">
        <v>11.3</v>
      </c>
    </row>
    <row r="80" spans="2:17" x14ac:dyDescent="0.3">
      <c r="B80" s="7">
        <v>11.4</v>
      </c>
      <c r="C80" s="7">
        <v>11.9</v>
      </c>
      <c r="P80" s="7">
        <v>11.9</v>
      </c>
      <c r="Q80" s="6">
        <v>11.4</v>
      </c>
    </row>
    <row r="81" spans="2:17" x14ac:dyDescent="0.3">
      <c r="B81" s="7">
        <v>11.5</v>
      </c>
      <c r="C81" s="7">
        <v>12.01</v>
      </c>
      <c r="P81" s="7">
        <v>12.01</v>
      </c>
      <c r="Q81" s="6">
        <v>11.5</v>
      </c>
    </row>
    <row r="82" spans="2:17" x14ac:dyDescent="0.3">
      <c r="B82" s="7">
        <v>11.6</v>
      </c>
      <c r="C82" s="7">
        <v>12.12</v>
      </c>
      <c r="P82" s="7">
        <v>12.12</v>
      </c>
      <c r="Q82" s="6">
        <v>11.6</v>
      </c>
    </row>
    <row r="83" spans="2:17" x14ac:dyDescent="0.3">
      <c r="B83" s="7">
        <v>11.7</v>
      </c>
      <c r="C83" s="7">
        <v>12.23</v>
      </c>
      <c r="P83" s="7">
        <v>12.23</v>
      </c>
      <c r="Q83" s="6">
        <v>11.7</v>
      </c>
    </row>
    <row r="84" spans="2:17" x14ac:dyDescent="0.3">
      <c r="B84" s="7">
        <v>11.8</v>
      </c>
      <c r="C84" s="7">
        <v>12.34</v>
      </c>
      <c r="P84" s="7">
        <v>12.34</v>
      </c>
      <c r="Q84" s="6">
        <v>11.8</v>
      </c>
    </row>
    <row r="85" spans="2:17" x14ac:dyDescent="0.3">
      <c r="B85" s="7">
        <v>11.9</v>
      </c>
      <c r="C85" s="7">
        <v>12.45</v>
      </c>
      <c r="P85" s="7">
        <v>12.45</v>
      </c>
      <c r="Q85" s="6">
        <v>11.9</v>
      </c>
    </row>
    <row r="86" spans="2:17" x14ac:dyDescent="0.3">
      <c r="B86" s="7">
        <v>12</v>
      </c>
      <c r="C86" s="7">
        <v>12.56</v>
      </c>
      <c r="P86" s="7">
        <v>12.56</v>
      </c>
      <c r="Q86" s="6">
        <v>12</v>
      </c>
    </row>
    <row r="87" spans="2:17" x14ac:dyDescent="0.3">
      <c r="B87" s="7">
        <v>12.1</v>
      </c>
      <c r="C87" s="7">
        <v>12.67</v>
      </c>
      <c r="P87" s="7">
        <v>12.67</v>
      </c>
      <c r="Q87" s="6">
        <v>12.1</v>
      </c>
    </row>
    <row r="88" spans="2:17" x14ac:dyDescent="0.3">
      <c r="B88" s="7">
        <v>12.2</v>
      </c>
      <c r="C88" s="7">
        <v>12.78</v>
      </c>
      <c r="P88" s="7">
        <v>12.78</v>
      </c>
      <c r="Q88" s="6">
        <v>12.2</v>
      </c>
    </row>
    <row r="89" spans="2:17" x14ac:dyDescent="0.3">
      <c r="B89" s="7">
        <v>12.3</v>
      </c>
      <c r="C89" s="7">
        <v>12.89</v>
      </c>
      <c r="P89" s="7">
        <v>12.89</v>
      </c>
      <c r="Q89" s="6">
        <v>12.3</v>
      </c>
    </row>
    <row r="90" spans="2:17" x14ac:dyDescent="0.3">
      <c r="B90" s="7">
        <v>12.4</v>
      </c>
      <c r="C90" s="7">
        <v>13</v>
      </c>
      <c r="P90" s="7">
        <v>13</v>
      </c>
      <c r="Q90" s="6">
        <v>12.4</v>
      </c>
    </row>
    <row r="91" spans="2:17" x14ac:dyDescent="0.3">
      <c r="B91" s="7">
        <v>12.5</v>
      </c>
      <c r="C91" s="7">
        <v>13.11</v>
      </c>
      <c r="P91" s="7">
        <v>13.11</v>
      </c>
      <c r="Q91" s="6">
        <v>12.5</v>
      </c>
    </row>
    <row r="92" spans="2:17" x14ac:dyDescent="0.3">
      <c r="B92" s="7">
        <v>12.6</v>
      </c>
      <c r="C92" s="7">
        <v>13.22</v>
      </c>
      <c r="P92" s="7">
        <v>13.22</v>
      </c>
      <c r="Q92" s="6">
        <v>12.6</v>
      </c>
    </row>
    <row r="93" spans="2:17" x14ac:dyDescent="0.3">
      <c r="B93" s="7">
        <v>12.7</v>
      </c>
      <c r="C93" s="7">
        <v>13.33</v>
      </c>
      <c r="P93" s="7">
        <v>13.33</v>
      </c>
      <c r="Q93" s="6">
        <v>12.7</v>
      </c>
    </row>
    <row r="94" spans="2:17" x14ac:dyDescent="0.3">
      <c r="B94" s="7">
        <v>12.8</v>
      </c>
      <c r="C94" s="7">
        <v>13.44</v>
      </c>
      <c r="P94" s="7">
        <v>13.44</v>
      </c>
      <c r="Q94" s="6">
        <v>12.8</v>
      </c>
    </row>
    <row r="95" spans="2:17" x14ac:dyDescent="0.3">
      <c r="B95" s="7">
        <v>12.9</v>
      </c>
      <c r="C95" s="7">
        <v>13.55</v>
      </c>
      <c r="P95" s="7">
        <v>13.55</v>
      </c>
      <c r="Q95" s="6">
        <v>12.9</v>
      </c>
    </row>
    <row r="96" spans="2:17" x14ac:dyDescent="0.3">
      <c r="B96" s="7">
        <v>13</v>
      </c>
      <c r="C96" s="7">
        <v>13.66</v>
      </c>
      <c r="P96" s="7">
        <v>13.66</v>
      </c>
      <c r="Q96" s="6">
        <v>13</v>
      </c>
    </row>
    <row r="97" spans="2:17" x14ac:dyDescent="0.3">
      <c r="B97" s="7">
        <v>13.1</v>
      </c>
      <c r="C97" s="7">
        <v>13.77</v>
      </c>
      <c r="P97" s="7">
        <v>13.77</v>
      </c>
      <c r="Q97" s="6">
        <v>13.1</v>
      </c>
    </row>
    <row r="98" spans="2:17" x14ac:dyDescent="0.3">
      <c r="B98" s="7">
        <v>13.2</v>
      </c>
      <c r="C98" s="7">
        <v>13.88</v>
      </c>
      <c r="P98" s="7">
        <v>13.88</v>
      </c>
      <c r="Q98" s="6">
        <v>13.2</v>
      </c>
    </row>
    <row r="99" spans="2:17" x14ac:dyDescent="0.3">
      <c r="B99" s="7">
        <v>13.3</v>
      </c>
      <c r="C99" s="7">
        <v>13.99</v>
      </c>
      <c r="P99" s="7">
        <v>13.99</v>
      </c>
      <c r="Q99" s="6">
        <v>13.3</v>
      </c>
    </row>
    <row r="100" spans="2:17" x14ac:dyDescent="0.3">
      <c r="B100" s="7">
        <v>13.4</v>
      </c>
      <c r="C100" s="7">
        <v>14.1</v>
      </c>
      <c r="P100" s="7">
        <v>14.1</v>
      </c>
      <c r="Q100" s="6">
        <v>13.4</v>
      </c>
    </row>
    <row r="101" spans="2:17" x14ac:dyDescent="0.3">
      <c r="B101" s="7">
        <v>13.5</v>
      </c>
      <c r="C101" s="7">
        <v>14.21</v>
      </c>
      <c r="P101" s="7">
        <v>14.21</v>
      </c>
      <c r="Q101" s="6">
        <v>13.5</v>
      </c>
    </row>
    <row r="102" spans="2:17" x14ac:dyDescent="0.3">
      <c r="B102" s="7">
        <v>13.6</v>
      </c>
      <c r="C102" s="7">
        <v>14.32</v>
      </c>
      <c r="P102" s="7">
        <v>14.32</v>
      </c>
      <c r="Q102" s="6">
        <v>13.6</v>
      </c>
    </row>
    <row r="103" spans="2:17" x14ac:dyDescent="0.3">
      <c r="B103" s="7">
        <v>13.7</v>
      </c>
      <c r="C103" s="7">
        <v>14.43</v>
      </c>
      <c r="P103" s="7">
        <v>14.43</v>
      </c>
      <c r="Q103" s="6">
        <v>13.7</v>
      </c>
    </row>
    <row r="104" spans="2:17" x14ac:dyDescent="0.3">
      <c r="B104" s="7">
        <v>13.8</v>
      </c>
      <c r="C104" s="7">
        <v>14.55</v>
      </c>
      <c r="P104" s="7">
        <v>14.55</v>
      </c>
      <c r="Q104" s="6">
        <v>13.8</v>
      </c>
    </row>
    <row r="105" spans="2:17" x14ac:dyDescent="0.3">
      <c r="B105" s="7">
        <v>13.9</v>
      </c>
      <c r="C105" s="7">
        <v>14.66</v>
      </c>
      <c r="P105" s="7">
        <v>14.66</v>
      </c>
      <c r="Q105" s="6">
        <v>13.9</v>
      </c>
    </row>
    <row r="106" spans="2:17" x14ac:dyDescent="0.3">
      <c r="B106" s="7">
        <v>14</v>
      </c>
      <c r="C106" s="7">
        <v>14.77</v>
      </c>
      <c r="P106" s="7">
        <v>14.77</v>
      </c>
      <c r="Q106" s="6">
        <v>14</v>
      </c>
    </row>
    <row r="107" spans="2:17" x14ac:dyDescent="0.3">
      <c r="B107" s="7">
        <v>14.1</v>
      </c>
      <c r="C107" s="7">
        <v>14.88</v>
      </c>
      <c r="P107" s="7">
        <v>14.88</v>
      </c>
      <c r="Q107" s="6">
        <v>14.1</v>
      </c>
    </row>
    <row r="108" spans="2:17" x14ac:dyDescent="0.3">
      <c r="B108" s="7">
        <v>14.2</v>
      </c>
      <c r="C108" s="7">
        <v>14.99</v>
      </c>
      <c r="P108" s="7">
        <v>14.99</v>
      </c>
      <c r="Q108" s="6">
        <v>14.2</v>
      </c>
    </row>
    <row r="109" spans="2:17" x14ac:dyDescent="0.3">
      <c r="B109" s="7">
        <v>14.3</v>
      </c>
      <c r="C109" s="7">
        <v>15.1</v>
      </c>
      <c r="P109" s="7">
        <v>15.1</v>
      </c>
      <c r="Q109" s="6">
        <v>14.3</v>
      </c>
    </row>
    <row r="110" spans="2:17" x14ac:dyDescent="0.3">
      <c r="B110" s="7">
        <v>14.4</v>
      </c>
      <c r="C110" s="7">
        <v>15.22</v>
      </c>
      <c r="P110" s="7">
        <v>15.22</v>
      </c>
      <c r="Q110" s="6">
        <v>14.4</v>
      </c>
    </row>
    <row r="111" spans="2:17" x14ac:dyDescent="0.3">
      <c r="B111" s="7">
        <v>14.5</v>
      </c>
      <c r="C111" s="7">
        <v>15.33</v>
      </c>
      <c r="P111" s="7">
        <v>15.33</v>
      </c>
      <c r="Q111" s="6">
        <v>14.5</v>
      </c>
    </row>
    <row r="112" spans="2:17" x14ac:dyDescent="0.3">
      <c r="B112" s="7">
        <v>14.6</v>
      </c>
      <c r="C112" s="7">
        <v>15.44</v>
      </c>
      <c r="P112" s="7">
        <v>15.44</v>
      </c>
      <c r="Q112" s="6">
        <v>14.6</v>
      </c>
    </row>
    <row r="113" spans="2:20" x14ac:dyDescent="0.3">
      <c r="B113" s="7">
        <v>14.7</v>
      </c>
      <c r="C113" s="7">
        <v>15.55</v>
      </c>
      <c r="P113" s="7">
        <v>15.55</v>
      </c>
      <c r="Q113" s="6">
        <v>14.7</v>
      </c>
    </row>
    <row r="114" spans="2:20" x14ac:dyDescent="0.3">
      <c r="B114" s="7">
        <v>14.8</v>
      </c>
      <c r="C114" s="7">
        <v>15.66</v>
      </c>
      <c r="P114" s="7">
        <v>15.66</v>
      </c>
      <c r="Q114" s="6">
        <v>14.8</v>
      </c>
    </row>
    <row r="115" spans="2:20" x14ac:dyDescent="0.3">
      <c r="B115" s="7">
        <v>14.9</v>
      </c>
      <c r="C115" s="7">
        <v>15.78</v>
      </c>
      <c r="P115" s="7">
        <v>15.78</v>
      </c>
      <c r="Q115" s="6">
        <v>14.9</v>
      </c>
    </row>
    <row r="116" spans="2:20" x14ac:dyDescent="0.3">
      <c r="B116" s="7">
        <v>15</v>
      </c>
      <c r="C116" s="7">
        <v>15.89</v>
      </c>
      <c r="P116" s="7">
        <v>15.89</v>
      </c>
      <c r="Q116" s="6">
        <v>15</v>
      </c>
    </row>
    <row r="117" spans="2:20" x14ac:dyDescent="0.3">
      <c r="B117" s="7">
        <v>15.4</v>
      </c>
      <c r="C117" s="7">
        <v>16.34</v>
      </c>
      <c r="P117" s="7">
        <v>16.34</v>
      </c>
      <c r="Q117" s="6">
        <v>15.4</v>
      </c>
    </row>
    <row r="118" spans="2:20" x14ac:dyDescent="0.3">
      <c r="B118" s="7">
        <v>15.5</v>
      </c>
      <c r="C118" s="7">
        <v>16.45</v>
      </c>
      <c r="P118" s="7">
        <v>16.45</v>
      </c>
      <c r="Q118" s="6">
        <v>15.5</v>
      </c>
    </row>
    <row r="119" spans="2:20" x14ac:dyDescent="0.3">
      <c r="B119" s="7">
        <v>15.9</v>
      </c>
      <c r="C119" s="7">
        <v>16.899999999999999</v>
      </c>
      <c r="P119" s="7">
        <v>16.899999999999999</v>
      </c>
      <c r="Q119" s="6">
        <v>15.9</v>
      </c>
    </row>
    <row r="120" spans="2:20" x14ac:dyDescent="0.3">
      <c r="B120" s="7">
        <v>16</v>
      </c>
      <c r="C120" s="7">
        <v>17.02</v>
      </c>
      <c r="P120" s="7">
        <v>17.02</v>
      </c>
      <c r="Q120" s="6">
        <v>16</v>
      </c>
    </row>
    <row r="121" spans="2:20" x14ac:dyDescent="0.3">
      <c r="B121" s="7">
        <v>16.399999999999999</v>
      </c>
      <c r="C121" s="7">
        <v>17.47</v>
      </c>
      <c r="P121" s="7">
        <v>17.47</v>
      </c>
      <c r="Q121" s="6">
        <v>16.399999999999999</v>
      </c>
    </row>
    <row r="122" spans="2:20" x14ac:dyDescent="0.3">
      <c r="B122" s="7">
        <v>16.5</v>
      </c>
      <c r="C122" s="7">
        <v>17.579999999999998</v>
      </c>
      <c r="P122" s="7">
        <v>17.579999999999998</v>
      </c>
      <c r="Q122" s="6">
        <v>16.5</v>
      </c>
    </row>
    <row r="123" spans="2:20" x14ac:dyDescent="0.3">
      <c r="B123" s="7">
        <v>16.899999999999999</v>
      </c>
      <c r="C123" s="7">
        <v>18.04</v>
      </c>
      <c r="P123" s="7">
        <v>18.04</v>
      </c>
      <c r="Q123" s="6">
        <v>16.899999999999999</v>
      </c>
    </row>
    <row r="124" spans="2:20" x14ac:dyDescent="0.3">
      <c r="B124" s="7">
        <v>17</v>
      </c>
      <c r="C124" s="7">
        <v>18.149999999999999</v>
      </c>
      <c r="P124" s="7">
        <v>18.149999999999999</v>
      </c>
      <c r="Q124" s="6">
        <v>17</v>
      </c>
      <c r="T124" s="8"/>
    </row>
    <row r="125" spans="2:20" x14ac:dyDescent="0.3">
      <c r="B125" s="7">
        <v>17.399999999999999</v>
      </c>
      <c r="C125" s="7">
        <v>18.61</v>
      </c>
      <c r="P125" s="7">
        <v>18.61</v>
      </c>
      <c r="Q125" s="6">
        <v>17.399999999999999</v>
      </c>
    </row>
    <row r="126" spans="2:20" x14ac:dyDescent="0.3">
      <c r="B126" s="7">
        <v>17.5</v>
      </c>
      <c r="C126" s="7">
        <v>18.72</v>
      </c>
      <c r="P126" s="7">
        <v>18.72</v>
      </c>
      <c r="Q126" s="6">
        <v>17.5</v>
      </c>
    </row>
    <row r="127" spans="2:20" x14ac:dyDescent="0.3">
      <c r="B127" s="7">
        <v>17.899999999999999</v>
      </c>
      <c r="C127" s="7">
        <v>19.18</v>
      </c>
      <c r="P127" s="7">
        <v>19.18</v>
      </c>
      <c r="Q127" s="6">
        <v>17.899999999999999</v>
      </c>
    </row>
    <row r="128" spans="2:20" x14ac:dyDescent="0.3">
      <c r="B128" s="7">
        <v>18</v>
      </c>
      <c r="C128" s="7">
        <v>19.3</v>
      </c>
      <c r="P128" s="7">
        <v>19.3</v>
      </c>
      <c r="Q128" s="6">
        <v>18</v>
      </c>
    </row>
    <row r="129" spans="2:17" x14ac:dyDescent="0.3">
      <c r="B129" s="7">
        <v>18.399999999999999</v>
      </c>
      <c r="C129" s="7">
        <v>19.760000000000002</v>
      </c>
      <c r="P129" s="7">
        <v>19.760000000000002</v>
      </c>
      <c r="Q129" s="6">
        <v>18.399999999999999</v>
      </c>
    </row>
    <row r="130" spans="2:17" x14ac:dyDescent="0.3">
      <c r="B130" s="7">
        <v>18.5</v>
      </c>
      <c r="C130" s="7">
        <v>19.88</v>
      </c>
      <c r="P130" s="7">
        <v>19.88</v>
      </c>
      <c r="Q130" s="6">
        <v>18.5</v>
      </c>
    </row>
    <row r="131" spans="2:17" x14ac:dyDescent="0.3">
      <c r="B131" s="7">
        <v>18.899999999999999</v>
      </c>
      <c r="C131" s="7">
        <v>20.34</v>
      </c>
      <c r="P131" s="7">
        <v>20.34</v>
      </c>
      <c r="Q131" s="6">
        <v>18.899999999999999</v>
      </c>
    </row>
    <row r="132" spans="2:17" x14ac:dyDescent="0.3">
      <c r="B132" s="7">
        <v>19</v>
      </c>
      <c r="C132" s="7">
        <v>20.45</v>
      </c>
      <c r="P132" s="7">
        <v>20.45</v>
      </c>
      <c r="Q132" s="6">
        <v>19</v>
      </c>
    </row>
    <row r="133" spans="2:17" x14ac:dyDescent="0.3">
      <c r="B133" s="7">
        <v>19.399999999999999</v>
      </c>
      <c r="C133" s="7">
        <v>20.92</v>
      </c>
      <c r="P133" s="7">
        <v>20.92</v>
      </c>
      <c r="Q133" s="6">
        <v>19.399999999999999</v>
      </c>
    </row>
    <row r="134" spans="2:17" x14ac:dyDescent="0.3">
      <c r="B134" s="7">
        <v>19.5</v>
      </c>
      <c r="C134" s="7">
        <v>21.04</v>
      </c>
      <c r="P134" s="7">
        <v>21.04</v>
      </c>
      <c r="Q134" s="6">
        <v>19.5</v>
      </c>
    </row>
    <row r="135" spans="2:17" x14ac:dyDescent="0.3">
      <c r="B135" s="7">
        <v>19.899999999999999</v>
      </c>
      <c r="C135" s="7">
        <v>21.5</v>
      </c>
      <c r="P135" s="7">
        <v>21.5</v>
      </c>
      <c r="Q135" s="6">
        <v>19.899999999999999</v>
      </c>
    </row>
    <row r="136" spans="2:17" x14ac:dyDescent="0.3">
      <c r="B136" s="7">
        <v>20</v>
      </c>
      <c r="C136" s="7">
        <v>21.62</v>
      </c>
      <c r="P136" s="7">
        <v>21.62</v>
      </c>
      <c r="Q136" s="6">
        <v>20</v>
      </c>
    </row>
    <row r="137" spans="2:17" x14ac:dyDescent="0.3">
      <c r="B137" s="7">
        <v>20.399999999999999</v>
      </c>
      <c r="C137" s="7">
        <v>22.09</v>
      </c>
      <c r="P137" s="7">
        <v>22.09</v>
      </c>
      <c r="Q137" s="6">
        <v>20.399999999999999</v>
      </c>
    </row>
    <row r="138" spans="2:17" x14ac:dyDescent="0.3">
      <c r="B138" s="7">
        <v>20.5</v>
      </c>
      <c r="C138" s="7">
        <v>22.21</v>
      </c>
      <c r="P138" s="7">
        <v>22.21</v>
      </c>
      <c r="Q138" s="6">
        <v>20.5</v>
      </c>
    </row>
    <row r="139" spans="2:17" x14ac:dyDescent="0.3">
      <c r="B139" s="7">
        <v>20.9</v>
      </c>
      <c r="C139" s="7">
        <v>22.68</v>
      </c>
      <c r="P139" s="7">
        <v>22.68</v>
      </c>
      <c r="Q139" s="6">
        <v>20.9</v>
      </c>
    </row>
    <row r="140" spans="2:17" x14ac:dyDescent="0.3">
      <c r="B140" s="7">
        <v>21</v>
      </c>
      <c r="C140" s="7">
        <v>22.79</v>
      </c>
      <c r="P140" s="7">
        <v>22.79</v>
      </c>
      <c r="Q140" s="6">
        <v>21</v>
      </c>
    </row>
    <row r="141" spans="2:17" x14ac:dyDescent="0.3">
      <c r="B141" s="7">
        <v>21.4</v>
      </c>
      <c r="C141" s="7">
        <v>23.27</v>
      </c>
      <c r="P141" s="7">
        <v>23.27</v>
      </c>
      <c r="Q141" s="6">
        <v>21.4</v>
      </c>
    </row>
    <row r="142" spans="2:17" x14ac:dyDescent="0.3">
      <c r="B142" s="7">
        <v>21.5</v>
      </c>
      <c r="C142" s="7">
        <v>23.38</v>
      </c>
      <c r="P142" s="7">
        <v>23.38</v>
      </c>
      <c r="Q142" s="6">
        <v>21.5</v>
      </c>
    </row>
    <row r="143" spans="2:17" x14ac:dyDescent="0.3">
      <c r="B143" s="7">
        <v>21.9</v>
      </c>
      <c r="C143" s="7">
        <v>23.86</v>
      </c>
      <c r="P143" s="7">
        <v>23.86</v>
      </c>
      <c r="Q143" s="6">
        <v>21.9</v>
      </c>
    </row>
    <row r="144" spans="2:17" x14ac:dyDescent="0.3">
      <c r="B144" s="7">
        <v>22</v>
      </c>
      <c r="C144" s="7">
        <v>23.98</v>
      </c>
      <c r="P144" s="7">
        <v>23.98</v>
      </c>
      <c r="Q144" s="6">
        <v>22</v>
      </c>
    </row>
    <row r="145" spans="2:17" x14ac:dyDescent="0.3">
      <c r="B145" s="7">
        <v>22.4</v>
      </c>
      <c r="C145" s="7">
        <v>24.45</v>
      </c>
      <c r="P145" s="7">
        <v>24.45</v>
      </c>
      <c r="Q145" s="6">
        <v>22.4</v>
      </c>
    </row>
    <row r="146" spans="2:17" x14ac:dyDescent="0.3">
      <c r="B146" s="7">
        <v>22.5</v>
      </c>
      <c r="C146" s="7">
        <v>24.57</v>
      </c>
      <c r="P146" s="7">
        <v>24.57</v>
      </c>
      <c r="Q146" s="6">
        <v>22.5</v>
      </c>
    </row>
    <row r="147" spans="2:17" x14ac:dyDescent="0.3">
      <c r="B147" s="7">
        <v>22.9</v>
      </c>
      <c r="C147" s="7">
        <v>25.05</v>
      </c>
      <c r="P147" s="7">
        <v>25.05</v>
      </c>
      <c r="Q147" s="6">
        <v>22.9</v>
      </c>
    </row>
    <row r="148" spans="2:17" x14ac:dyDescent="0.3">
      <c r="B148" s="7">
        <v>23</v>
      </c>
      <c r="C148" s="7">
        <v>25.17</v>
      </c>
      <c r="P148" s="7">
        <v>25.17</v>
      </c>
      <c r="Q148" s="6">
        <v>23</v>
      </c>
    </row>
    <row r="149" spans="2:17" x14ac:dyDescent="0.3">
      <c r="B149" s="7">
        <v>23.4</v>
      </c>
      <c r="C149" s="7">
        <v>25.65</v>
      </c>
      <c r="P149" s="7">
        <v>25.65</v>
      </c>
      <c r="Q149" s="6">
        <v>23.4</v>
      </c>
    </row>
    <row r="150" spans="2:17" x14ac:dyDescent="0.3">
      <c r="B150" s="7">
        <v>23.5</v>
      </c>
      <c r="C150" s="7">
        <v>25.77</v>
      </c>
      <c r="P150" s="7">
        <v>25.77</v>
      </c>
      <c r="Q150" s="6">
        <v>23.5</v>
      </c>
    </row>
    <row r="151" spans="2:17" x14ac:dyDescent="0.3">
      <c r="B151" s="7">
        <v>23.9</v>
      </c>
      <c r="C151" s="7">
        <v>26.25</v>
      </c>
      <c r="P151" s="7">
        <v>26.25</v>
      </c>
      <c r="Q151" s="6">
        <v>23.9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C1AA7-71E4-40D9-8C6A-8E83E099F910}">
  <sheetPr>
    <outlinePr summaryBelow="0" summaryRight="0"/>
  </sheetPr>
  <dimension ref="A1:Q71"/>
  <sheetViews>
    <sheetView zoomScale="70" zoomScaleNormal="70" workbookViewId="0">
      <selection activeCell="J27" sqref="J27"/>
    </sheetView>
  </sheetViews>
  <sheetFormatPr defaultColWidth="12.58203125" defaultRowHeight="15" customHeight="1" x14ac:dyDescent="0.3"/>
  <cols>
    <col min="1" max="1" width="5.08203125" customWidth="1"/>
    <col min="2" max="2" width="6.08203125" bestFit="1" customWidth="1"/>
    <col min="3" max="10" width="9" bestFit="1" customWidth="1"/>
    <col min="12" max="12" width="12.58203125" style="7"/>
    <col min="13" max="13" width="18.75" style="7" customWidth="1"/>
  </cols>
  <sheetData>
    <row r="1" spans="1:13" ht="28" x14ac:dyDescent="0.4">
      <c r="A1" s="544" t="s">
        <v>441</v>
      </c>
      <c r="B1" s="544"/>
      <c r="C1" s="544"/>
      <c r="D1" s="544"/>
      <c r="E1" s="544"/>
      <c r="F1" s="544"/>
      <c r="G1" s="544"/>
      <c r="H1" s="544"/>
      <c r="I1" s="544"/>
      <c r="J1" s="545"/>
      <c r="L1" s="354" t="s">
        <v>0</v>
      </c>
      <c r="M1" s="355" t="s">
        <v>442</v>
      </c>
    </row>
    <row r="2" spans="1:13" ht="15" customHeight="1" x14ac:dyDescent="0.3">
      <c r="A2" s="312"/>
      <c r="B2" s="312"/>
      <c r="C2" s="482" t="s">
        <v>387</v>
      </c>
      <c r="D2" s="482"/>
      <c r="E2" s="482"/>
      <c r="F2" s="482"/>
      <c r="G2" s="482"/>
      <c r="H2" s="482"/>
      <c r="I2" s="482"/>
      <c r="J2" s="482"/>
      <c r="L2" s="356">
        <v>6</v>
      </c>
      <c r="M2" s="356">
        <v>1</v>
      </c>
    </row>
    <row r="3" spans="1:13" ht="15" customHeight="1" x14ac:dyDescent="0.3">
      <c r="A3" s="312"/>
      <c r="B3" s="312"/>
      <c r="C3" s="300">
        <v>8</v>
      </c>
      <c r="D3" s="300">
        <v>10</v>
      </c>
      <c r="E3" s="300">
        <v>12.39</v>
      </c>
      <c r="F3" s="300">
        <v>14.74</v>
      </c>
      <c r="G3" s="300">
        <v>17.059999999999999</v>
      </c>
      <c r="H3" s="300">
        <v>19.329999999999998</v>
      </c>
      <c r="I3" s="300">
        <v>21.57</v>
      </c>
      <c r="J3" s="300">
        <v>23.78</v>
      </c>
      <c r="L3" s="354">
        <v>7</v>
      </c>
      <c r="M3" s="354">
        <v>2</v>
      </c>
    </row>
    <row r="4" spans="1:13" ht="15" customHeight="1" x14ac:dyDescent="0.3">
      <c r="A4" s="546" t="s">
        <v>388</v>
      </c>
      <c r="B4" s="301">
        <v>0</v>
      </c>
      <c r="C4" s="299">
        <v>0</v>
      </c>
      <c r="D4" s="299">
        <v>0</v>
      </c>
      <c r="E4" s="338">
        <v>0</v>
      </c>
      <c r="F4" s="299">
        <v>0</v>
      </c>
      <c r="G4" s="299">
        <v>0</v>
      </c>
      <c r="H4" s="299">
        <v>0</v>
      </c>
      <c r="I4" s="299">
        <v>0</v>
      </c>
      <c r="J4" s="299">
        <v>0</v>
      </c>
      <c r="K4" s="347"/>
      <c r="L4" s="354">
        <v>8</v>
      </c>
      <c r="M4" s="354">
        <v>3</v>
      </c>
    </row>
    <row r="5" spans="1:13" ht="15" customHeight="1" x14ac:dyDescent="0.3">
      <c r="A5" s="547"/>
      <c r="B5" s="348">
        <f>MEDIAN(B4,B6)</f>
        <v>2.5</v>
      </c>
      <c r="C5" s="353">
        <f>(1.65*0.000125^(C3/(258.6-((C3/258.2)*227.1))))*(1-EXP(-0.04*B5))/(4.15)</f>
        <v>2.8430172452968638E-2</v>
      </c>
      <c r="D5" s="353">
        <f>(1.65*0.000125^(D3/(258.6-((D3/258.2)*227.1))))*(1-EXP(-0.04*B5))/(4.15)</f>
        <v>2.6403182408387339E-2</v>
      </c>
      <c r="E5" s="353">
        <f>(1.65*0.000125^(E3/(258.6-((E3/258.2)*227.1))))*(1-EXP(-0.04*B5))/(4.15)</f>
        <v>2.4136297125618267E-2</v>
      </c>
      <c r="F5" s="353">
        <f>(1.65*0.000125^(F3/(258.6-((F3/258.2)*227.1))))*(1-EXP(-0.04*B5))/(4.15)</f>
        <v>2.2064133525486328E-2</v>
      </c>
      <c r="G5" s="353">
        <f>(1.65*0.000125^(G3/(258.6-((G3/258.2)*227.1))))*(1-EXP(-0.04*B5))/(4.15)</f>
        <v>2.0162845496688873E-2</v>
      </c>
      <c r="H5" s="353">
        <f>(1.65*0.000125^(H3/(258.6-((H3/258.2)*227.1))))*(1-EXP(-0.04*B5))/(4.15)</f>
        <v>1.8434032014032646E-2</v>
      </c>
      <c r="I5" s="353">
        <f>(1.65*0.000125^(I3/(258.6-((I3/258.2)*227.1))))*(1-EXP(-0.04*B5))/(4.15)</f>
        <v>1.6848739502880229E-2</v>
      </c>
      <c r="J5" s="353">
        <f>(1.65*0.000125^(J3/(258.6-((J3/258.2)*227.1))))*(1-EXP(-0.04*B5))/(4.15)</f>
        <v>1.5395827762842327E-2</v>
      </c>
      <c r="K5" s="11"/>
      <c r="L5" s="354">
        <v>9</v>
      </c>
      <c r="M5" s="354">
        <v>4</v>
      </c>
    </row>
    <row r="6" spans="1:13" ht="15" customHeight="1" x14ac:dyDescent="0.3">
      <c r="A6" s="547"/>
      <c r="B6" s="301">
        <v>5</v>
      </c>
      <c r="C6" s="299">
        <v>5.5E-2</v>
      </c>
      <c r="D6" s="299">
        <v>0.05</v>
      </c>
      <c r="E6" s="299">
        <v>4.5999999999999999E-2</v>
      </c>
      <c r="F6" s="299">
        <v>4.2000000000000003E-2</v>
      </c>
      <c r="G6" s="299">
        <v>3.7999999999999999E-2</v>
      </c>
      <c r="H6" s="299">
        <v>3.5000000000000003E-2</v>
      </c>
      <c r="I6" s="299">
        <v>3.2000000000000001E-2</v>
      </c>
      <c r="J6" s="299">
        <v>2.9000000000000001E-2</v>
      </c>
      <c r="L6" s="356">
        <v>10</v>
      </c>
      <c r="M6" s="356">
        <v>5</v>
      </c>
    </row>
    <row r="7" spans="1:13" ht="15" customHeight="1" x14ac:dyDescent="0.3">
      <c r="A7" s="547"/>
      <c r="B7" s="301">
        <v>10</v>
      </c>
      <c r="C7" s="299">
        <v>0.1</v>
      </c>
      <c r="D7" s="299">
        <v>9.0999999999999998E-2</v>
      </c>
      <c r="E7" s="299">
        <v>8.4000000000000005E-2</v>
      </c>
      <c r="F7" s="299">
        <v>7.5999999999999998E-2</v>
      </c>
      <c r="G7" s="299">
        <v>7.0000000000000007E-2</v>
      </c>
      <c r="H7" s="299">
        <v>6.4000000000000001E-2</v>
      </c>
      <c r="I7" s="299">
        <v>5.8000000000000003E-2</v>
      </c>
      <c r="J7" s="299">
        <v>5.2999999999999999E-2</v>
      </c>
      <c r="L7" s="356">
        <v>10</v>
      </c>
      <c r="M7" s="356">
        <v>6</v>
      </c>
    </row>
    <row r="8" spans="1:13" ht="15" customHeight="1" x14ac:dyDescent="0.3">
      <c r="A8" s="547"/>
      <c r="B8" s="301">
        <v>15</v>
      </c>
      <c r="C8" s="299">
        <v>0.13700000000000001</v>
      </c>
      <c r="D8" s="299">
        <v>0.125</v>
      </c>
      <c r="E8" s="299">
        <v>0.114</v>
      </c>
      <c r="F8" s="299">
        <v>0.105</v>
      </c>
      <c r="G8" s="299">
        <v>9.6000000000000002E-2</v>
      </c>
      <c r="H8" s="299">
        <v>8.6999999999999994E-2</v>
      </c>
      <c r="I8" s="299">
        <v>0.08</v>
      </c>
      <c r="J8" s="299">
        <v>7.2999999999999995E-2</v>
      </c>
      <c r="L8" s="354">
        <v>11</v>
      </c>
      <c r="M8" s="354">
        <v>7</v>
      </c>
    </row>
    <row r="9" spans="1:13" ht="18" x14ac:dyDescent="0.3">
      <c r="A9" s="547"/>
      <c r="B9" s="301">
        <v>20</v>
      </c>
      <c r="C9" s="299">
        <v>0.16700000000000001</v>
      </c>
      <c r="D9" s="299">
        <v>0.153</v>
      </c>
      <c r="E9" s="299">
        <v>0.14000000000000001</v>
      </c>
      <c r="F9" s="299">
        <v>0.128</v>
      </c>
      <c r="G9" s="299">
        <v>0.11700000000000001</v>
      </c>
      <c r="H9" s="299">
        <v>0.107</v>
      </c>
      <c r="I9" s="299">
        <v>9.8000000000000004E-2</v>
      </c>
      <c r="J9" s="299">
        <v>8.8999999999999996E-2</v>
      </c>
      <c r="L9" s="354">
        <v>12</v>
      </c>
      <c r="M9" s="354">
        <v>8</v>
      </c>
    </row>
    <row r="10" spans="1:13" ht="15" customHeight="1" x14ac:dyDescent="0.3">
      <c r="A10" s="547"/>
      <c r="B10" s="301">
        <v>25</v>
      </c>
      <c r="C10" s="299">
        <v>0.192</v>
      </c>
      <c r="D10" s="299">
        <v>0.17499999999999999</v>
      </c>
      <c r="E10" s="299">
        <v>0.16</v>
      </c>
      <c r="F10" s="299">
        <v>0.14699999999999999</v>
      </c>
      <c r="G10" s="299">
        <v>0.13400000000000001</v>
      </c>
      <c r="H10" s="299">
        <v>0.122</v>
      </c>
      <c r="I10" s="299">
        <v>0.112</v>
      </c>
      <c r="J10" s="299">
        <v>0.10199999999999999</v>
      </c>
      <c r="L10" s="354">
        <v>12</v>
      </c>
      <c r="M10" s="354">
        <v>9</v>
      </c>
    </row>
    <row r="11" spans="1:13" ht="15" customHeight="1" x14ac:dyDescent="0.3">
      <c r="A11" s="547"/>
      <c r="B11" s="301">
        <v>30</v>
      </c>
      <c r="C11" s="299">
        <v>0.21199999999999999</v>
      </c>
      <c r="D11" s="299">
        <v>0.19400000000000001</v>
      </c>
      <c r="E11" s="299">
        <v>0.17699999999999999</v>
      </c>
      <c r="F11" s="299">
        <v>0.16200000000000001</v>
      </c>
      <c r="G11" s="299">
        <v>0.14799999999999999</v>
      </c>
      <c r="H11" s="299">
        <v>0.13500000000000001</v>
      </c>
      <c r="I11" s="299">
        <v>0.124</v>
      </c>
      <c r="J11" s="299">
        <v>0.113</v>
      </c>
      <c r="L11" s="354">
        <v>14</v>
      </c>
      <c r="M11" s="354">
        <v>10</v>
      </c>
    </row>
    <row r="12" spans="1:13" ht="15" customHeight="1" x14ac:dyDescent="0.3">
      <c r="A12" s="547"/>
      <c r="B12" s="301">
        <v>35</v>
      </c>
      <c r="C12" s="299">
        <v>0.22900000000000001</v>
      </c>
      <c r="D12" s="299">
        <v>0.20899999999999999</v>
      </c>
      <c r="E12" s="299">
        <v>0.191</v>
      </c>
      <c r="F12" s="299">
        <v>0.17499999999999999</v>
      </c>
      <c r="G12" s="299">
        <v>0.16</v>
      </c>
      <c r="H12" s="299">
        <v>0.14599999999999999</v>
      </c>
      <c r="I12" s="299">
        <v>0.13300000000000001</v>
      </c>
      <c r="J12" s="299">
        <v>0.122</v>
      </c>
      <c r="L12" s="354">
        <v>15</v>
      </c>
      <c r="M12" s="354">
        <v>11</v>
      </c>
    </row>
    <row r="13" spans="1:13" ht="15" customHeight="1" x14ac:dyDescent="0.3">
      <c r="A13" s="547"/>
      <c r="B13" s="301">
        <v>40</v>
      </c>
      <c r="C13" s="299">
        <v>0.24199999999999999</v>
      </c>
      <c r="D13" s="299">
        <v>0.221</v>
      </c>
      <c r="E13" s="299">
        <v>0.20200000000000001</v>
      </c>
      <c r="F13" s="299">
        <v>0.185</v>
      </c>
      <c r="G13" s="299">
        <v>0.16900000000000001</v>
      </c>
      <c r="H13" s="299">
        <v>0.155</v>
      </c>
      <c r="I13" s="299">
        <v>0.14099999999999999</v>
      </c>
      <c r="J13" s="299">
        <v>0.129</v>
      </c>
      <c r="L13" s="354">
        <v>16</v>
      </c>
      <c r="M13" s="354">
        <v>12</v>
      </c>
    </row>
    <row r="14" spans="1:13" ht="15" customHeight="1" x14ac:dyDescent="0.3">
      <c r="A14" s="547"/>
      <c r="B14" s="301">
        <v>45</v>
      </c>
      <c r="C14" s="299">
        <v>0.253</v>
      </c>
      <c r="D14" s="299">
        <v>0.23200000000000001</v>
      </c>
      <c r="E14" s="299">
        <v>0.21199999999999999</v>
      </c>
      <c r="F14" s="299">
        <v>0.19400000000000001</v>
      </c>
      <c r="G14" s="299">
        <v>0.17699999999999999</v>
      </c>
      <c r="H14" s="299">
        <v>0.16200000000000001</v>
      </c>
      <c r="I14" s="299">
        <v>0.14799999999999999</v>
      </c>
      <c r="J14" s="299">
        <v>0.13500000000000001</v>
      </c>
      <c r="L14" s="356">
        <v>17</v>
      </c>
      <c r="M14" s="356">
        <v>13</v>
      </c>
    </row>
    <row r="15" spans="1:13" ht="15" customHeight="1" x14ac:dyDescent="0.3">
      <c r="A15" s="547"/>
      <c r="B15" s="301">
        <v>50</v>
      </c>
      <c r="C15" s="299">
        <v>0.26300000000000001</v>
      </c>
      <c r="D15" s="299">
        <v>0.24</v>
      </c>
      <c r="E15" s="299">
        <v>0.219</v>
      </c>
      <c r="F15" s="299">
        <v>0.2</v>
      </c>
      <c r="G15" s="299">
        <v>0.183</v>
      </c>
      <c r="H15" s="299">
        <v>0.16800000000000001</v>
      </c>
      <c r="I15" s="299">
        <v>0.153</v>
      </c>
      <c r="J15" s="299">
        <v>0.14000000000000001</v>
      </c>
      <c r="L15" s="356">
        <v>17</v>
      </c>
      <c r="M15" s="356">
        <v>14</v>
      </c>
    </row>
    <row r="16" spans="1:13" ht="15" customHeight="1" x14ac:dyDescent="0.3">
      <c r="A16" s="547"/>
      <c r="B16" s="301">
        <v>55</v>
      </c>
      <c r="C16" s="299">
        <v>0.27</v>
      </c>
      <c r="D16" s="299">
        <v>0.247</v>
      </c>
      <c r="E16" s="299">
        <v>0.22600000000000001</v>
      </c>
      <c r="F16" s="299">
        <v>0.20599999999999999</v>
      </c>
      <c r="G16" s="299">
        <v>0.188</v>
      </c>
      <c r="H16" s="299">
        <v>0.17199999999999999</v>
      </c>
      <c r="I16" s="299">
        <v>0.157</v>
      </c>
      <c r="J16" s="299">
        <v>0.14399999999999999</v>
      </c>
      <c r="L16" s="354">
        <v>18</v>
      </c>
      <c r="M16" s="354">
        <v>15</v>
      </c>
    </row>
    <row r="17" spans="1:17" ht="15" customHeight="1" x14ac:dyDescent="0.3">
      <c r="A17" s="547"/>
      <c r="B17" s="301">
        <v>60</v>
      </c>
      <c r="C17" s="299">
        <v>0.27600000000000002</v>
      </c>
      <c r="D17" s="299">
        <v>0.252</v>
      </c>
      <c r="E17" s="299">
        <v>0.23100000000000001</v>
      </c>
      <c r="F17" s="299">
        <v>0.21099999999999999</v>
      </c>
      <c r="G17" s="299">
        <v>0.193</v>
      </c>
      <c r="H17" s="299">
        <v>0.17599999999999999</v>
      </c>
      <c r="I17" s="299">
        <v>0.161</v>
      </c>
      <c r="J17" s="299">
        <v>0.14699999999999999</v>
      </c>
      <c r="L17" s="354">
        <v>19</v>
      </c>
      <c r="M17" s="354">
        <v>16</v>
      </c>
    </row>
    <row r="18" spans="1:17" ht="15" customHeight="1" x14ac:dyDescent="0.3">
      <c r="A18" s="547"/>
      <c r="B18" s="301">
        <v>70</v>
      </c>
      <c r="C18" s="299">
        <v>0.28499999999999998</v>
      </c>
      <c r="D18" s="299">
        <v>0.26100000000000001</v>
      </c>
      <c r="E18" s="299">
        <v>0.23799999999999999</v>
      </c>
      <c r="F18" s="299">
        <v>0.218</v>
      </c>
      <c r="G18" s="299">
        <v>0.19900000000000001</v>
      </c>
      <c r="H18" s="299">
        <v>0.182</v>
      </c>
      <c r="I18" s="299">
        <v>0.16600000000000001</v>
      </c>
      <c r="J18" s="299">
        <v>0.152</v>
      </c>
      <c r="L18" s="354">
        <v>20</v>
      </c>
      <c r="M18" s="354">
        <v>17</v>
      </c>
    </row>
    <row r="19" spans="1:17" ht="15" customHeight="1" x14ac:dyDescent="0.3">
      <c r="A19" s="547"/>
      <c r="B19" s="301">
        <v>80</v>
      </c>
      <c r="C19" s="299">
        <v>0.29099999999999998</v>
      </c>
      <c r="D19" s="299">
        <v>0.26600000000000001</v>
      </c>
      <c r="E19" s="299">
        <v>0.24299999999999999</v>
      </c>
      <c r="F19" s="299">
        <v>0.222</v>
      </c>
      <c r="G19" s="299">
        <v>0.20300000000000001</v>
      </c>
      <c r="H19" s="299">
        <v>0.186</v>
      </c>
      <c r="I19" s="299">
        <v>0.17</v>
      </c>
      <c r="J19" s="299">
        <v>0.155</v>
      </c>
      <c r="L19" s="354">
        <v>21</v>
      </c>
      <c r="M19" s="354">
        <v>18</v>
      </c>
    </row>
    <row r="20" spans="1:17" ht="15" customHeight="1" x14ac:dyDescent="0.3">
      <c r="A20" s="547"/>
      <c r="B20" s="301">
        <v>90</v>
      </c>
      <c r="C20" s="299">
        <v>0.29499999999999998</v>
      </c>
      <c r="D20" s="299">
        <v>0.27</v>
      </c>
      <c r="E20" s="299">
        <v>0.247</v>
      </c>
      <c r="F20" s="299">
        <v>0.22600000000000001</v>
      </c>
      <c r="G20" s="299">
        <v>0.20599999999999999</v>
      </c>
      <c r="H20" s="299">
        <v>0.188</v>
      </c>
      <c r="I20" s="299">
        <v>0.17199999999999999</v>
      </c>
      <c r="J20" s="299">
        <v>0.157</v>
      </c>
      <c r="L20" s="354">
        <v>22</v>
      </c>
      <c r="M20" s="354">
        <v>19</v>
      </c>
    </row>
    <row r="21" spans="1:17" ht="15" customHeight="1" x14ac:dyDescent="0.3">
      <c r="A21" s="547"/>
      <c r="B21" s="301">
        <v>100</v>
      </c>
      <c r="C21" s="299">
        <v>0.29799999999999999</v>
      </c>
      <c r="D21" s="299">
        <v>0.27200000000000002</v>
      </c>
      <c r="E21" s="299">
        <v>0.249</v>
      </c>
      <c r="F21" s="299">
        <v>0.22800000000000001</v>
      </c>
      <c r="G21" s="299">
        <v>0.20799999999999999</v>
      </c>
      <c r="H21" s="299">
        <v>0.19</v>
      </c>
      <c r="I21" s="299">
        <v>0.17399999999999999</v>
      </c>
      <c r="J21" s="299">
        <v>0.159</v>
      </c>
      <c r="L21" s="354">
        <v>23</v>
      </c>
      <c r="M21" s="354">
        <v>20</v>
      </c>
    </row>
    <row r="22" spans="1:17" ht="15" customHeight="1" x14ac:dyDescent="0.3">
      <c r="A22" s="547"/>
      <c r="B22" s="301">
        <v>110</v>
      </c>
      <c r="C22" s="299">
        <v>0.3</v>
      </c>
      <c r="D22" s="299">
        <v>0.27400000000000002</v>
      </c>
      <c r="E22" s="299">
        <v>0.251</v>
      </c>
      <c r="F22" s="299">
        <v>0.22900000000000001</v>
      </c>
      <c r="G22" s="299">
        <v>0.20899999999999999</v>
      </c>
      <c r="H22" s="299">
        <v>0.191</v>
      </c>
      <c r="I22" s="299">
        <v>0.17499999999999999</v>
      </c>
      <c r="J22" s="299">
        <v>0.16</v>
      </c>
      <c r="L22" s="354">
        <v>24</v>
      </c>
      <c r="M22" s="354">
        <v>21</v>
      </c>
    </row>
    <row r="23" spans="1:17" ht="15" customHeight="1" x14ac:dyDescent="0.3">
      <c r="A23" s="547"/>
      <c r="B23" s="301">
        <v>120</v>
      </c>
      <c r="C23" s="299">
        <v>0.30099999999999999</v>
      </c>
      <c r="D23" s="299">
        <v>0.27500000000000002</v>
      </c>
      <c r="E23" s="299">
        <v>0.252</v>
      </c>
      <c r="F23" s="299">
        <v>0.23</v>
      </c>
      <c r="G23" s="299">
        <v>0.21</v>
      </c>
      <c r="H23" s="299">
        <v>0.192</v>
      </c>
      <c r="I23" s="299">
        <v>0.17599999999999999</v>
      </c>
      <c r="J23" s="299">
        <v>0.161</v>
      </c>
      <c r="L23" s="354">
        <v>24</v>
      </c>
      <c r="M23" s="354">
        <v>22</v>
      </c>
    </row>
    <row r="24" spans="1:17" ht="15" customHeight="1" x14ac:dyDescent="0.3">
      <c r="L24" s="354">
        <v>25</v>
      </c>
      <c r="M24" s="354">
        <v>23</v>
      </c>
    </row>
    <row r="25" spans="1:17" ht="15" customHeight="1" x14ac:dyDescent="0.3">
      <c r="L25" s="354">
        <v>26</v>
      </c>
      <c r="M25" s="354">
        <v>24</v>
      </c>
    </row>
    <row r="26" spans="1:17" ht="15" customHeight="1" x14ac:dyDescent="0.3">
      <c r="L26" s="354">
        <v>27</v>
      </c>
      <c r="M26" s="354">
        <v>25</v>
      </c>
      <c r="Q26" s="357">
        <f>1.1454*L71-5.9305</f>
        <v>69.665900000000008</v>
      </c>
    </row>
    <row r="27" spans="1:17" ht="15" customHeight="1" x14ac:dyDescent="0.3">
      <c r="L27" s="354">
        <v>28</v>
      </c>
      <c r="M27" s="354">
        <v>26</v>
      </c>
    </row>
    <row r="28" spans="1:17" ht="15" customHeight="1" x14ac:dyDescent="0.3">
      <c r="L28" s="354">
        <v>29</v>
      </c>
      <c r="M28" s="354">
        <v>27</v>
      </c>
    </row>
    <row r="29" spans="1:17" ht="15" customHeight="1" x14ac:dyDescent="0.3">
      <c r="L29" s="354">
        <v>30</v>
      </c>
      <c r="M29" s="354">
        <v>28</v>
      </c>
    </row>
    <row r="30" spans="1:17" ht="15" customHeight="1" x14ac:dyDescent="0.3">
      <c r="L30" s="354">
        <v>31</v>
      </c>
      <c r="M30" s="354">
        <v>29</v>
      </c>
    </row>
    <row r="31" spans="1:17" ht="15" customHeight="1" x14ac:dyDescent="0.3">
      <c r="L31" s="354">
        <v>31</v>
      </c>
      <c r="M31" s="354">
        <v>30</v>
      </c>
    </row>
    <row r="32" spans="1:17" ht="15" customHeight="1" x14ac:dyDescent="0.3">
      <c r="L32" s="354">
        <v>32</v>
      </c>
      <c r="M32" s="354">
        <v>31</v>
      </c>
    </row>
    <row r="33" spans="12:13" ht="15" customHeight="1" x14ac:dyDescent="0.3">
      <c r="L33" s="354">
        <v>33</v>
      </c>
      <c r="M33" s="354">
        <v>32</v>
      </c>
    </row>
    <row r="34" spans="12:13" ht="15" customHeight="1" x14ac:dyDescent="0.3">
      <c r="L34" s="354">
        <v>34</v>
      </c>
      <c r="M34" s="354">
        <v>33</v>
      </c>
    </row>
    <row r="35" spans="12:13" ht="15" customHeight="1" x14ac:dyDescent="0.3">
      <c r="L35" s="354">
        <v>35</v>
      </c>
      <c r="M35" s="354">
        <v>34</v>
      </c>
    </row>
    <row r="36" spans="12:13" ht="15" customHeight="1" x14ac:dyDescent="0.3">
      <c r="L36" s="354">
        <v>36</v>
      </c>
      <c r="M36" s="354">
        <v>35</v>
      </c>
    </row>
    <row r="37" spans="12:13" ht="15" customHeight="1" x14ac:dyDescent="0.3">
      <c r="L37" s="356">
        <v>37</v>
      </c>
      <c r="M37" s="356">
        <v>36</v>
      </c>
    </row>
    <row r="38" spans="12:13" ht="15" customHeight="1" x14ac:dyDescent="0.3">
      <c r="L38" s="356">
        <v>37</v>
      </c>
      <c r="M38" s="356">
        <v>37</v>
      </c>
    </row>
    <row r="39" spans="12:13" ht="15" customHeight="1" x14ac:dyDescent="0.3">
      <c r="L39" s="354">
        <v>38</v>
      </c>
      <c r="M39" s="354">
        <v>38</v>
      </c>
    </row>
    <row r="40" spans="12:13" ht="15" customHeight="1" x14ac:dyDescent="0.3">
      <c r="L40" s="354">
        <v>39</v>
      </c>
      <c r="M40" s="354">
        <v>39</v>
      </c>
    </row>
    <row r="41" spans="12:13" ht="15" customHeight="1" x14ac:dyDescent="0.3">
      <c r="L41" s="354">
        <v>40</v>
      </c>
      <c r="M41" s="354">
        <v>40</v>
      </c>
    </row>
    <row r="42" spans="12:13" ht="15" customHeight="1" x14ac:dyDescent="0.3">
      <c r="L42" s="354">
        <v>41</v>
      </c>
      <c r="M42" s="354">
        <v>41</v>
      </c>
    </row>
    <row r="43" spans="12:13" ht="15" customHeight="1" x14ac:dyDescent="0.3">
      <c r="L43" s="354">
        <v>42</v>
      </c>
      <c r="M43" s="354">
        <v>42</v>
      </c>
    </row>
    <row r="44" spans="12:13" ht="15" customHeight="1" x14ac:dyDescent="0.3">
      <c r="L44" s="354">
        <v>43</v>
      </c>
      <c r="M44" s="354">
        <v>43</v>
      </c>
    </row>
    <row r="45" spans="12:13" ht="15" customHeight="1" x14ac:dyDescent="0.3">
      <c r="L45" s="356">
        <v>44</v>
      </c>
      <c r="M45" s="356">
        <v>44</v>
      </c>
    </row>
    <row r="46" spans="12:13" ht="15" customHeight="1" x14ac:dyDescent="0.3">
      <c r="L46" s="356">
        <v>44</v>
      </c>
      <c r="M46" s="356">
        <v>45</v>
      </c>
    </row>
    <row r="47" spans="12:13" ht="15" customHeight="1" x14ac:dyDescent="0.3">
      <c r="L47" s="354">
        <v>45</v>
      </c>
      <c r="M47" s="354">
        <v>46</v>
      </c>
    </row>
    <row r="48" spans="12:13" ht="15" customHeight="1" x14ac:dyDescent="0.3">
      <c r="L48" s="354">
        <v>46</v>
      </c>
      <c r="M48" s="354">
        <v>47</v>
      </c>
    </row>
    <row r="49" spans="12:13" ht="15" customHeight="1" x14ac:dyDescent="0.3">
      <c r="L49" s="354">
        <v>47</v>
      </c>
      <c r="M49" s="354">
        <v>48</v>
      </c>
    </row>
    <row r="50" spans="12:13" ht="15" customHeight="1" x14ac:dyDescent="0.3">
      <c r="L50" s="354">
        <v>48</v>
      </c>
      <c r="M50" s="354">
        <v>49</v>
      </c>
    </row>
    <row r="51" spans="12:13" ht="15" customHeight="1" x14ac:dyDescent="0.3">
      <c r="L51" s="354">
        <v>49</v>
      </c>
      <c r="M51" s="354">
        <v>50</v>
      </c>
    </row>
    <row r="52" spans="12:13" ht="15" customHeight="1" x14ac:dyDescent="0.3">
      <c r="L52" s="354">
        <v>50</v>
      </c>
      <c r="M52" s="354">
        <v>51</v>
      </c>
    </row>
    <row r="53" spans="12:13" ht="15" customHeight="1" x14ac:dyDescent="0.3">
      <c r="L53" s="356">
        <v>51</v>
      </c>
      <c r="M53" s="356">
        <v>52</v>
      </c>
    </row>
    <row r="54" spans="12:13" ht="15" customHeight="1" x14ac:dyDescent="0.3">
      <c r="L54" s="356">
        <v>51</v>
      </c>
      <c r="M54" s="356">
        <v>53</v>
      </c>
    </row>
    <row r="55" spans="12:13" ht="15" customHeight="1" x14ac:dyDescent="0.3">
      <c r="L55" s="354">
        <v>52</v>
      </c>
      <c r="M55" s="354">
        <v>54</v>
      </c>
    </row>
    <row r="56" spans="12:13" ht="15" customHeight="1" x14ac:dyDescent="0.3">
      <c r="L56" s="354">
        <v>53</v>
      </c>
      <c r="M56" s="354">
        <v>55</v>
      </c>
    </row>
    <row r="57" spans="12:13" ht="15" customHeight="1" x14ac:dyDescent="0.3">
      <c r="L57" s="354">
        <v>54</v>
      </c>
      <c r="M57" s="354">
        <v>56</v>
      </c>
    </row>
    <row r="58" spans="12:13" ht="15" customHeight="1" x14ac:dyDescent="0.3">
      <c r="L58" s="354">
        <v>55</v>
      </c>
      <c r="M58" s="354">
        <v>57</v>
      </c>
    </row>
    <row r="59" spans="12:13" ht="15" customHeight="1" x14ac:dyDescent="0.3">
      <c r="L59" s="354">
        <v>56</v>
      </c>
      <c r="M59" s="354">
        <v>58</v>
      </c>
    </row>
    <row r="60" spans="12:13" ht="15" customHeight="1" x14ac:dyDescent="0.3">
      <c r="L60" s="354">
        <v>57</v>
      </c>
      <c r="M60" s="354">
        <v>59</v>
      </c>
    </row>
    <row r="61" spans="12:13" ht="15" customHeight="1" x14ac:dyDescent="0.3">
      <c r="L61" s="356">
        <v>58</v>
      </c>
      <c r="M61" s="356">
        <v>60</v>
      </c>
    </row>
    <row r="62" spans="12:13" ht="15" customHeight="1" x14ac:dyDescent="0.3">
      <c r="L62" s="356">
        <v>58</v>
      </c>
      <c r="M62" s="356">
        <v>61</v>
      </c>
    </row>
    <row r="63" spans="12:13" ht="15" customHeight="1" x14ac:dyDescent="0.3">
      <c r="L63" s="354">
        <v>59</v>
      </c>
      <c r="M63" s="354">
        <v>62</v>
      </c>
    </row>
    <row r="64" spans="12:13" ht="15" customHeight="1" x14ac:dyDescent="0.3">
      <c r="L64" s="354">
        <v>60</v>
      </c>
      <c r="M64" s="354">
        <v>63</v>
      </c>
    </row>
    <row r="65" spans="12:13" ht="15" customHeight="1" x14ac:dyDescent="0.3">
      <c r="L65" s="354">
        <v>61</v>
      </c>
      <c r="M65" s="354">
        <v>64</v>
      </c>
    </row>
    <row r="66" spans="12:13" ht="15" customHeight="1" x14ac:dyDescent="0.3">
      <c r="L66" s="354">
        <v>62</v>
      </c>
      <c r="M66" s="354">
        <v>65</v>
      </c>
    </row>
    <row r="67" spans="12:13" ht="15" customHeight="1" x14ac:dyDescent="0.3">
      <c r="L67" s="354">
        <v>63</v>
      </c>
      <c r="M67" s="354">
        <v>66</v>
      </c>
    </row>
    <row r="68" spans="12:13" ht="15" customHeight="1" x14ac:dyDescent="0.3">
      <c r="L68" s="354">
        <v>64</v>
      </c>
      <c r="M68" s="354">
        <v>67</v>
      </c>
    </row>
    <row r="69" spans="12:13" ht="15" customHeight="1" x14ac:dyDescent="0.3">
      <c r="L69" s="354">
        <v>65</v>
      </c>
      <c r="M69" s="354">
        <v>68</v>
      </c>
    </row>
    <row r="70" spans="12:13" ht="15" customHeight="1" x14ac:dyDescent="0.3">
      <c r="L70" s="354">
        <v>65</v>
      </c>
      <c r="M70" s="354">
        <v>69</v>
      </c>
    </row>
    <row r="71" spans="12:13" ht="15" customHeight="1" x14ac:dyDescent="0.3">
      <c r="L71" s="354">
        <v>66</v>
      </c>
      <c r="M71" s="354">
        <v>70</v>
      </c>
    </row>
  </sheetData>
  <mergeCells count="3">
    <mergeCell ref="A1:J1"/>
    <mergeCell ref="C2:J2"/>
    <mergeCell ref="A4:A23"/>
  </mergeCells>
  <pageMargins left="0.511811024" right="0.511811024" top="0.78740157499999996" bottom="0.78740157499999996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614D6-94A1-4AC3-AEC9-8B97BE34292B}">
  <dimension ref="B1:G25"/>
  <sheetViews>
    <sheetView zoomScale="80" zoomScaleNormal="80" workbookViewId="0">
      <selection activeCell="H21" sqref="H21"/>
    </sheetView>
  </sheetViews>
  <sheetFormatPr defaultColWidth="8.58203125" defaultRowHeight="14" x14ac:dyDescent="0.3"/>
  <cols>
    <col min="1" max="1" width="8.58203125" style="124"/>
    <col min="2" max="2" width="17.08203125" style="124" bestFit="1" customWidth="1"/>
    <col min="3" max="3" width="10.33203125" style="124" customWidth="1"/>
    <col min="4" max="4" width="10.83203125" style="124" customWidth="1"/>
    <col min="5" max="5" width="14.75" style="124" customWidth="1"/>
    <col min="6" max="6" width="10.08203125" style="124" customWidth="1"/>
    <col min="7" max="7" width="12" style="124" bestFit="1" customWidth="1"/>
    <col min="8" max="16384" width="8.58203125" style="124"/>
  </cols>
  <sheetData>
    <row r="1" spans="2:7" x14ac:dyDescent="0.3">
      <c r="B1" s="134"/>
    </row>
    <row r="3" spans="2:7" x14ac:dyDescent="0.3">
      <c r="B3" s="142" t="s">
        <v>278</v>
      </c>
      <c r="C3" s="138" t="s">
        <v>271</v>
      </c>
      <c r="D3" s="138" t="s">
        <v>272</v>
      </c>
      <c r="E3" s="138" t="s">
        <v>273</v>
      </c>
      <c r="F3" s="137" t="s">
        <v>274</v>
      </c>
      <c r="G3" s="137" t="s">
        <v>270</v>
      </c>
    </row>
    <row r="4" spans="2:7" x14ac:dyDescent="0.3">
      <c r="B4" s="136" t="s">
        <v>241</v>
      </c>
      <c r="C4" s="140">
        <v>0</v>
      </c>
      <c r="D4" s="140">
        <v>5</v>
      </c>
      <c r="E4" s="141">
        <v>0</v>
      </c>
      <c r="F4" s="140">
        <v>0.5</v>
      </c>
      <c r="G4" s="140">
        <v>0</v>
      </c>
    </row>
    <row r="5" spans="2:7" x14ac:dyDescent="0.3">
      <c r="B5" s="136" t="s">
        <v>242</v>
      </c>
      <c r="C5" s="140">
        <v>1</v>
      </c>
      <c r="D5" s="140">
        <v>4</v>
      </c>
      <c r="E5" s="141">
        <v>1</v>
      </c>
      <c r="F5" s="140">
        <v>1.5</v>
      </c>
      <c r="G5" s="140">
        <v>0.25</v>
      </c>
    </row>
    <row r="6" spans="2:7" x14ac:dyDescent="0.3">
      <c r="B6" s="136" t="s">
        <v>243</v>
      </c>
      <c r="C6" s="140">
        <v>2</v>
      </c>
      <c r="D6" s="140">
        <v>3</v>
      </c>
      <c r="E6" s="141">
        <v>2</v>
      </c>
      <c r="F6" s="140">
        <v>2.5</v>
      </c>
      <c r="G6" s="140">
        <v>0.5</v>
      </c>
    </row>
    <row r="7" spans="2:7" x14ac:dyDescent="0.3">
      <c r="B7" s="136" t="s">
        <v>244</v>
      </c>
      <c r="C7" s="140">
        <v>3</v>
      </c>
      <c r="D7" s="140">
        <v>2</v>
      </c>
      <c r="E7" s="141">
        <v>3</v>
      </c>
      <c r="F7" s="140">
        <v>3.5</v>
      </c>
      <c r="G7" s="140">
        <v>0.75</v>
      </c>
    </row>
    <row r="8" spans="2:7" x14ac:dyDescent="0.3">
      <c r="B8" s="136" t="s">
        <v>245</v>
      </c>
      <c r="C8" s="140">
        <v>4</v>
      </c>
      <c r="D8" s="140">
        <v>1</v>
      </c>
      <c r="E8" s="141">
        <v>4</v>
      </c>
      <c r="F8" s="140">
        <v>4.5</v>
      </c>
      <c r="G8" s="140">
        <v>1</v>
      </c>
    </row>
    <row r="9" spans="2:7" x14ac:dyDescent="0.3">
      <c r="B9" s="136" t="s">
        <v>246</v>
      </c>
      <c r="C9" s="140">
        <v>5</v>
      </c>
      <c r="D9" s="140">
        <v>0</v>
      </c>
      <c r="E9" s="141">
        <v>5</v>
      </c>
      <c r="F9" s="140">
        <v>0.5</v>
      </c>
      <c r="G9" s="140">
        <v>1.25</v>
      </c>
    </row>
    <row r="10" spans="2:7" x14ac:dyDescent="0.3">
      <c r="B10" s="136" t="s">
        <v>247</v>
      </c>
      <c r="C10" s="140">
        <v>0</v>
      </c>
      <c r="D10" s="140">
        <v>5</v>
      </c>
      <c r="E10" s="141">
        <v>4</v>
      </c>
      <c r="F10" s="140">
        <v>1.5</v>
      </c>
      <c r="G10" s="140">
        <v>1.5</v>
      </c>
    </row>
    <row r="11" spans="2:7" x14ac:dyDescent="0.3">
      <c r="B11" s="136" t="s">
        <v>248</v>
      </c>
      <c r="C11" s="140">
        <v>1</v>
      </c>
      <c r="D11" s="140">
        <v>4</v>
      </c>
      <c r="E11" s="141">
        <v>3</v>
      </c>
      <c r="F11" s="140">
        <v>2.5</v>
      </c>
      <c r="G11" s="140">
        <v>1.75</v>
      </c>
    </row>
    <row r="12" spans="2:7" x14ac:dyDescent="0.3">
      <c r="B12" s="136" t="s">
        <v>249</v>
      </c>
      <c r="C12" s="140">
        <v>2</v>
      </c>
      <c r="D12" s="140">
        <v>3</v>
      </c>
      <c r="E12" s="141">
        <v>2</v>
      </c>
      <c r="F12" s="140">
        <v>3.5</v>
      </c>
      <c r="G12" s="140">
        <v>2</v>
      </c>
    </row>
    <row r="13" spans="2:7" x14ac:dyDescent="0.3">
      <c r="B13" s="136" t="s">
        <v>250</v>
      </c>
      <c r="C13" s="140">
        <v>3</v>
      </c>
      <c r="D13" s="140">
        <v>2</v>
      </c>
      <c r="E13" s="141">
        <v>1</v>
      </c>
      <c r="F13" s="140">
        <v>4.5</v>
      </c>
      <c r="G13" s="140">
        <v>2.25</v>
      </c>
    </row>
    <row r="14" spans="2:7" x14ac:dyDescent="0.3">
      <c r="B14" s="136" t="s">
        <v>251</v>
      </c>
      <c r="C14" s="140">
        <v>4</v>
      </c>
      <c r="D14" s="140">
        <v>1</v>
      </c>
      <c r="E14" s="141">
        <v>0</v>
      </c>
      <c r="F14" s="140">
        <v>0.5</v>
      </c>
      <c r="G14" s="140">
        <v>2.5</v>
      </c>
    </row>
    <row r="15" spans="2:7" x14ac:dyDescent="0.3">
      <c r="B15" s="136" t="s">
        <v>252</v>
      </c>
      <c r="C15" s="140">
        <v>5</v>
      </c>
      <c r="D15" s="140">
        <v>0</v>
      </c>
      <c r="E15" s="141">
        <v>1</v>
      </c>
      <c r="F15" s="140">
        <v>1.5</v>
      </c>
      <c r="G15" s="140">
        <v>2.75</v>
      </c>
    </row>
    <row r="16" spans="2:7" x14ac:dyDescent="0.3">
      <c r="B16" s="136" t="s">
        <v>253</v>
      </c>
      <c r="C16" s="140">
        <v>0</v>
      </c>
      <c r="D16" s="140">
        <v>5</v>
      </c>
      <c r="E16" s="141">
        <v>2</v>
      </c>
      <c r="F16" s="140">
        <v>2.5</v>
      </c>
      <c r="G16" s="140">
        <v>3</v>
      </c>
    </row>
    <row r="17" spans="2:7" x14ac:dyDescent="0.3">
      <c r="B17" s="136" t="s">
        <v>254</v>
      </c>
      <c r="C17" s="140">
        <v>1</v>
      </c>
      <c r="D17" s="140">
        <v>4</v>
      </c>
      <c r="E17" s="141">
        <v>3</v>
      </c>
      <c r="F17" s="140">
        <v>3.5</v>
      </c>
      <c r="G17" s="140">
        <v>3.25</v>
      </c>
    </row>
    <row r="18" spans="2:7" x14ac:dyDescent="0.3">
      <c r="B18" s="136" t="s">
        <v>255</v>
      </c>
      <c r="C18" s="140">
        <v>2</v>
      </c>
      <c r="D18" s="140">
        <v>3</v>
      </c>
      <c r="E18" s="141">
        <v>4</v>
      </c>
      <c r="F18" s="140">
        <v>4.5</v>
      </c>
      <c r="G18" s="140">
        <v>3.5</v>
      </c>
    </row>
    <row r="19" spans="2:7" x14ac:dyDescent="0.3">
      <c r="B19" s="136" t="s">
        <v>256</v>
      </c>
      <c r="C19" s="140">
        <v>3</v>
      </c>
      <c r="D19" s="140">
        <v>2</v>
      </c>
      <c r="E19" s="141">
        <v>5</v>
      </c>
      <c r="F19" s="140">
        <v>0.5</v>
      </c>
      <c r="G19" s="140">
        <v>3.75</v>
      </c>
    </row>
    <row r="20" spans="2:7" x14ac:dyDescent="0.3">
      <c r="B20" s="136" t="s">
        <v>257</v>
      </c>
      <c r="C20" s="140">
        <v>4</v>
      </c>
      <c r="D20" s="140">
        <v>1</v>
      </c>
      <c r="E20" s="141">
        <v>4</v>
      </c>
      <c r="F20" s="140">
        <v>1.5</v>
      </c>
      <c r="G20" s="140">
        <v>4</v>
      </c>
    </row>
    <row r="21" spans="2:7" x14ac:dyDescent="0.3">
      <c r="B21" s="136" t="s">
        <v>258</v>
      </c>
      <c r="C21" s="140">
        <v>5</v>
      </c>
      <c r="D21" s="140">
        <v>0</v>
      </c>
      <c r="E21" s="141">
        <v>3</v>
      </c>
      <c r="F21" s="140">
        <v>2.5</v>
      </c>
      <c r="G21" s="140">
        <v>4.25</v>
      </c>
    </row>
    <row r="22" spans="2:7" x14ac:dyDescent="0.3">
      <c r="B22" s="136" t="s">
        <v>259</v>
      </c>
      <c r="C22" s="140">
        <v>0</v>
      </c>
      <c r="D22" s="140">
        <v>5</v>
      </c>
      <c r="E22" s="141">
        <v>2</v>
      </c>
      <c r="F22" s="140">
        <v>3.5</v>
      </c>
      <c r="G22" s="140">
        <v>4.5</v>
      </c>
    </row>
    <row r="23" spans="2:7" x14ac:dyDescent="0.3">
      <c r="B23" s="136" t="s">
        <v>260</v>
      </c>
      <c r="C23" s="140">
        <v>1</v>
      </c>
      <c r="D23" s="140">
        <v>4</v>
      </c>
      <c r="E23" s="141">
        <v>1</v>
      </c>
      <c r="F23" s="140">
        <v>4.5</v>
      </c>
      <c r="G23" s="140">
        <v>4.75</v>
      </c>
    </row>
    <row r="24" spans="2:7" x14ac:dyDescent="0.3">
      <c r="B24" s="136" t="s">
        <v>261</v>
      </c>
      <c r="C24" s="140">
        <v>2</v>
      </c>
      <c r="D24" s="140">
        <v>3</v>
      </c>
      <c r="E24" s="141">
        <v>0</v>
      </c>
      <c r="F24" s="140">
        <v>1.5</v>
      </c>
      <c r="G24" s="140">
        <v>5</v>
      </c>
    </row>
    <row r="25" spans="2:7" x14ac:dyDescent="0.3">
      <c r="B25" s="136" t="s">
        <v>262</v>
      </c>
      <c r="C25" s="140">
        <v>3</v>
      </c>
      <c r="D25" s="140">
        <v>2</v>
      </c>
      <c r="E25" s="141">
        <v>1</v>
      </c>
      <c r="F25" s="140">
        <v>2.5</v>
      </c>
      <c r="G25" s="140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8C6A1-E113-4D25-9EB2-0D2C23DA186F}">
  <dimension ref="B3:E10"/>
  <sheetViews>
    <sheetView zoomScale="90" zoomScaleNormal="90" workbookViewId="0">
      <selection activeCell="M18" sqref="M18"/>
    </sheetView>
  </sheetViews>
  <sheetFormatPr defaultColWidth="8.58203125" defaultRowHeight="14" x14ac:dyDescent="0.3"/>
  <cols>
    <col min="1" max="1" width="8.58203125" style="124"/>
    <col min="2" max="2" width="21.75" style="124" bestFit="1" customWidth="1"/>
    <col min="3" max="5" width="10" style="124" bestFit="1" customWidth="1"/>
    <col min="6" max="16384" width="8.58203125" style="124"/>
  </cols>
  <sheetData>
    <row r="3" spans="2:5" x14ac:dyDescent="0.3">
      <c r="B3" s="142" t="s">
        <v>278</v>
      </c>
      <c r="C3" s="138" t="s">
        <v>275</v>
      </c>
      <c r="D3" s="138" t="s">
        <v>276</v>
      </c>
      <c r="E3" s="137" t="s">
        <v>277</v>
      </c>
    </row>
    <row r="4" spans="2:5" x14ac:dyDescent="0.3">
      <c r="B4" s="143" t="s">
        <v>234</v>
      </c>
      <c r="C4" s="139">
        <v>0</v>
      </c>
      <c r="D4" s="139">
        <v>6</v>
      </c>
      <c r="E4" s="139">
        <v>0</v>
      </c>
    </row>
    <row r="5" spans="2:5" x14ac:dyDescent="0.3">
      <c r="B5" s="143" t="s">
        <v>235</v>
      </c>
      <c r="C5" s="139">
        <v>1</v>
      </c>
      <c r="D5" s="139">
        <v>5</v>
      </c>
      <c r="E5" s="139">
        <v>1</v>
      </c>
    </row>
    <row r="6" spans="2:5" x14ac:dyDescent="0.3">
      <c r="B6" s="143" t="s">
        <v>236</v>
      </c>
      <c r="C6" s="139">
        <v>2</v>
      </c>
      <c r="D6" s="139">
        <v>4</v>
      </c>
      <c r="E6" s="139">
        <v>1</v>
      </c>
    </row>
    <row r="7" spans="2:5" x14ac:dyDescent="0.3">
      <c r="B7" s="143" t="s">
        <v>237</v>
      </c>
      <c r="C7" s="139">
        <v>3</v>
      </c>
      <c r="D7" s="139">
        <v>3</v>
      </c>
      <c r="E7" s="139">
        <v>2</v>
      </c>
    </row>
    <row r="8" spans="2:5" x14ac:dyDescent="0.3">
      <c r="B8" s="143" t="s">
        <v>238</v>
      </c>
      <c r="C8" s="139">
        <v>4</v>
      </c>
      <c r="D8" s="139">
        <v>2</v>
      </c>
      <c r="E8" s="139">
        <v>2</v>
      </c>
    </row>
    <row r="9" spans="2:5" x14ac:dyDescent="0.3">
      <c r="B9" s="143" t="s">
        <v>239</v>
      </c>
      <c r="C9" s="139">
        <v>5</v>
      </c>
      <c r="D9" s="139">
        <v>1</v>
      </c>
      <c r="E9" s="139">
        <v>3</v>
      </c>
    </row>
    <row r="10" spans="2:5" x14ac:dyDescent="0.3">
      <c r="B10" s="143" t="s">
        <v>240</v>
      </c>
      <c r="C10" s="139">
        <v>6</v>
      </c>
      <c r="D10" s="139">
        <v>0</v>
      </c>
      <c r="E10" s="139">
        <v>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2227C-1702-43E0-A559-FD8C2BF439EB}">
  <dimension ref="A1:K109"/>
  <sheetViews>
    <sheetView zoomScale="90" zoomScaleNormal="90" zoomScaleSheetLayoutView="50" workbookViewId="0">
      <selection activeCell="A9" sqref="A9"/>
    </sheetView>
  </sheetViews>
  <sheetFormatPr defaultRowHeight="14" x14ac:dyDescent="0.3"/>
  <cols>
    <col min="1" max="1" width="26" customWidth="1"/>
    <col min="2" max="2" width="12.08203125" customWidth="1"/>
    <col min="3" max="3" width="10.5" customWidth="1"/>
    <col min="4" max="4" width="22.83203125" customWidth="1"/>
    <col min="5" max="5" width="11.75" bestFit="1" customWidth="1"/>
  </cols>
  <sheetData>
    <row r="1" spans="1:9" ht="20" x14ac:dyDescent="0.3">
      <c r="A1" s="420" t="s">
        <v>404</v>
      </c>
      <c r="B1" s="421"/>
      <c r="C1" s="421"/>
      <c r="D1" s="421"/>
      <c r="E1" s="422"/>
    </row>
    <row r="2" spans="1:9" ht="20.5" thickBot="1" x14ac:dyDescent="0.35">
      <c r="A2" s="423" t="s">
        <v>405</v>
      </c>
      <c r="B2" s="424"/>
      <c r="C2" s="424"/>
      <c r="D2" s="424"/>
      <c r="E2" s="425"/>
    </row>
    <row r="3" spans="1:9" ht="14.5" thickBot="1" x14ac:dyDescent="0.35">
      <c r="A3" s="369"/>
      <c r="B3" s="370"/>
      <c r="C3" s="370"/>
      <c r="D3" s="370"/>
      <c r="E3" s="371"/>
    </row>
    <row r="4" spans="1:9" ht="14.5" thickBot="1" x14ac:dyDescent="0.35">
      <c r="A4" s="426" t="s">
        <v>194</v>
      </c>
      <c r="B4" s="427"/>
      <c r="C4" s="427"/>
      <c r="D4" s="428"/>
      <c r="E4" s="327"/>
    </row>
    <row r="5" spans="1:9" x14ac:dyDescent="0.3">
      <c r="A5" s="36" t="s">
        <v>22</v>
      </c>
      <c r="B5" s="37" t="s">
        <v>23</v>
      </c>
      <c r="C5" s="37" t="s">
        <v>25</v>
      </c>
      <c r="D5" s="38" t="s">
        <v>26</v>
      </c>
      <c r="E5" s="25"/>
    </row>
    <row r="6" spans="1:9" ht="14.5" thickBot="1" x14ac:dyDescent="0.35">
      <c r="A6" s="39" t="s">
        <v>24</v>
      </c>
      <c r="B6" s="31">
        <v>18.16</v>
      </c>
      <c r="C6" s="146" t="s">
        <v>27</v>
      </c>
      <c r="D6" s="144" t="s">
        <v>28</v>
      </c>
      <c r="E6" s="25"/>
      <c r="I6" s="11"/>
    </row>
    <row r="7" spans="1:9" ht="96.5" thickBot="1" x14ac:dyDescent="0.35">
      <c r="A7" s="337" t="s">
        <v>412</v>
      </c>
      <c r="B7" s="349">
        <f>0.0044*B6^2+0.992*B6+0.0204</f>
        <v>19.48617664</v>
      </c>
      <c r="C7" s="146" t="s">
        <v>40</v>
      </c>
      <c r="D7" s="144" t="s">
        <v>28</v>
      </c>
      <c r="E7" s="373" t="s">
        <v>471</v>
      </c>
      <c r="F7" s="8"/>
      <c r="I7" s="11"/>
    </row>
    <row r="8" spans="1:9" x14ac:dyDescent="0.3">
      <c r="A8" s="39" t="s">
        <v>29</v>
      </c>
      <c r="B8" s="32">
        <v>3</v>
      </c>
      <c r="C8" s="146" t="s">
        <v>27</v>
      </c>
      <c r="D8" s="144" t="s">
        <v>28</v>
      </c>
      <c r="E8" s="25"/>
      <c r="I8" s="11"/>
    </row>
    <row r="9" spans="1:9" x14ac:dyDescent="0.3">
      <c r="A9" s="39" t="s">
        <v>30</v>
      </c>
      <c r="B9" s="31">
        <v>9.85</v>
      </c>
      <c r="C9" s="146" t="s">
        <v>16</v>
      </c>
      <c r="D9" s="144" t="s">
        <v>28</v>
      </c>
      <c r="E9" s="25"/>
      <c r="F9" s="1"/>
      <c r="I9" s="11"/>
    </row>
    <row r="10" spans="1:9" x14ac:dyDescent="0.3">
      <c r="A10" s="39" t="s">
        <v>31</v>
      </c>
      <c r="B10" s="31">
        <v>21</v>
      </c>
      <c r="C10" s="146" t="s">
        <v>0</v>
      </c>
      <c r="D10" s="144" t="s">
        <v>28</v>
      </c>
      <c r="E10" s="25"/>
      <c r="I10" s="11"/>
    </row>
    <row r="11" spans="1:9" x14ac:dyDescent="0.3">
      <c r="A11" s="39" t="s">
        <v>32</v>
      </c>
      <c r="B11" s="31">
        <v>2.5</v>
      </c>
      <c r="C11" s="146" t="s">
        <v>41</v>
      </c>
      <c r="D11" s="144" t="s">
        <v>33</v>
      </c>
      <c r="E11" s="25"/>
    </row>
    <row r="12" spans="1:9" x14ac:dyDescent="0.3">
      <c r="A12" s="39" t="s">
        <v>34</v>
      </c>
      <c r="B12" s="33">
        <v>0.79</v>
      </c>
      <c r="C12" s="146" t="s">
        <v>35</v>
      </c>
      <c r="D12" s="144" t="s">
        <v>33</v>
      </c>
      <c r="E12" s="25"/>
    </row>
    <row r="13" spans="1:9" x14ac:dyDescent="0.3">
      <c r="A13" s="39" t="s">
        <v>279</v>
      </c>
      <c r="B13" s="34">
        <v>0.7</v>
      </c>
      <c r="C13" s="146" t="s">
        <v>10</v>
      </c>
      <c r="D13" s="144" t="s">
        <v>33</v>
      </c>
      <c r="E13" s="25"/>
    </row>
    <row r="14" spans="1:9" x14ac:dyDescent="0.3">
      <c r="A14" s="39" t="s">
        <v>36</v>
      </c>
      <c r="B14" s="35">
        <v>90</v>
      </c>
      <c r="C14" s="146" t="s">
        <v>37</v>
      </c>
      <c r="D14" s="144" t="s">
        <v>33</v>
      </c>
      <c r="E14" s="25"/>
    </row>
    <row r="15" spans="1:9" ht="14.5" thickBot="1" x14ac:dyDescent="0.35">
      <c r="A15" s="40" t="s">
        <v>38</v>
      </c>
      <c r="B15" s="313">
        <v>0.1</v>
      </c>
      <c r="C15" s="147" t="s">
        <v>39</v>
      </c>
      <c r="D15" s="145" t="s">
        <v>33</v>
      </c>
      <c r="E15" s="25"/>
    </row>
    <row r="16" spans="1:9" ht="14.5" thickBot="1" x14ac:dyDescent="0.35">
      <c r="A16" s="372"/>
      <c r="B16" s="330"/>
      <c r="C16" s="330"/>
      <c r="D16" s="330"/>
      <c r="E16" s="336"/>
    </row>
    <row r="17" spans="1:9" x14ac:dyDescent="0.3">
      <c r="A17" s="441" t="s">
        <v>195</v>
      </c>
      <c r="B17" s="442"/>
      <c r="C17" s="442"/>
      <c r="D17" s="442"/>
      <c r="E17" s="443"/>
    </row>
    <row r="18" spans="1:9" ht="43" customHeight="1" x14ac:dyDescent="0.3">
      <c r="A18" s="46" t="s">
        <v>8</v>
      </c>
      <c r="B18" s="47" t="s">
        <v>19</v>
      </c>
      <c r="C18" s="47" t="s">
        <v>20</v>
      </c>
      <c r="D18" s="77" t="s">
        <v>21</v>
      </c>
      <c r="E18" s="85" t="s">
        <v>17</v>
      </c>
    </row>
    <row r="19" spans="1:9" x14ac:dyDescent="0.3">
      <c r="A19" s="42" t="s">
        <v>493</v>
      </c>
      <c r="B19" s="43">
        <v>0.82299999999999995</v>
      </c>
      <c r="C19" s="44">
        <v>3</v>
      </c>
      <c r="D19" s="43">
        <v>0.56000000000000005</v>
      </c>
      <c r="E19" s="45" t="s">
        <v>18</v>
      </c>
      <c r="F19" s="9"/>
      <c r="G19" s="11"/>
    </row>
    <row r="20" spans="1:9" x14ac:dyDescent="0.3">
      <c r="A20" s="42" t="s">
        <v>494</v>
      </c>
      <c r="B20" s="43">
        <v>0.84199999999999997</v>
      </c>
      <c r="C20" s="44">
        <v>3</v>
      </c>
      <c r="D20" s="43">
        <v>0.23</v>
      </c>
      <c r="E20" s="45" t="s">
        <v>18</v>
      </c>
      <c r="F20" s="9"/>
      <c r="G20" s="11"/>
    </row>
    <row r="21" spans="1:9" x14ac:dyDescent="0.3">
      <c r="A21" s="42" t="s">
        <v>489</v>
      </c>
      <c r="B21" s="43">
        <v>0</v>
      </c>
      <c r="C21" s="44">
        <v>0</v>
      </c>
      <c r="D21" s="43">
        <v>0</v>
      </c>
      <c r="E21" s="45" t="s">
        <v>18</v>
      </c>
      <c r="F21" s="10"/>
      <c r="G21" s="11"/>
    </row>
    <row r="22" spans="1:9" x14ac:dyDescent="0.3">
      <c r="A22" s="42" t="s">
        <v>490</v>
      </c>
      <c r="B22" s="43">
        <v>0</v>
      </c>
      <c r="C22" s="44">
        <v>0</v>
      </c>
      <c r="D22" s="43">
        <v>0</v>
      </c>
      <c r="E22" s="45" t="s">
        <v>18</v>
      </c>
      <c r="F22" s="10"/>
      <c r="G22" s="11"/>
    </row>
    <row r="23" spans="1:9" x14ac:dyDescent="0.3">
      <c r="A23" s="68" t="s">
        <v>491</v>
      </c>
      <c r="B23" s="43">
        <v>0.7</v>
      </c>
      <c r="C23" s="44">
        <v>2</v>
      </c>
      <c r="D23" s="43">
        <v>0.15</v>
      </c>
      <c r="E23" s="45" t="s">
        <v>18</v>
      </c>
      <c r="F23" s="10"/>
      <c r="G23" s="11"/>
    </row>
    <row r="24" spans="1:9" x14ac:dyDescent="0.3">
      <c r="A24" s="68" t="s">
        <v>407</v>
      </c>
      <c r="B24" s="43">
        <v>0</v>
      </c>
      <c r="C24" s="44">
        <v>0</v>
      </c>
      <c r="D24" s="43">
        <v>0</v>
      </c>
      <c r="E24" s="45" t="s">
        <v>18</v>
      </c>
      <c r="F24" s="10"/>
      <c r="G24" s="11"/>
    </row>
    <row r="25" spans="1:9" x14ac:dyDescent="0.3">
      <c r="A25" s="42" t="s">
        <v>492</v>
      </c>
      <c r="B25" s="43">
        <v>0.99</v>
      </c>
      <c r="C25" s="44">
        <v>0</v>
      </c>
      <c r="D25" s="43">
        <v>0.06</v>
      </c>
      <c r="E25" s="45" t="s">
        <v>269</v>
      </c>
      <c r="F25" s="10"/>
      <c r="G25" s="11"/>
    </row>
    <row r="26" spans="1:9" ht="14.5" thickBot="1" x14ac:dyDescent="0.35">
      <c r="A26" s="70" t="s">
        <v>408</v>
      </c>
      <c r="B26" s="71">
        <v>0</v>
      </c>
      <c r="C26" s="86">
        <v>0</v>
      </c>
      <c r="D26" s="71">
        <v>0</v>
      </c>
      <c r="E26" s="67" t="s">
        <v>269</v>
      </c>
      <c r="F26" s="10"/>
      <c r="G26" s="11"/>
    </row>
    <row r="27" spans="1:9" ht="14.5" thickBot="1" x14ac:dyDescent="0.35">
      <c r="A27" s="328"/>
      <c r="B27" s="87"/>
      <c r="C27" s="87"/>
      <c r="D27" s="87"/>
      <c r="E27" s="329"/>
    </row>
    <row r="28" spans="1:9" ht="24" x14ac:dyDescent="0.3">
      <c r="A28" s="36" t="s">
        <v>8</v>
      </c>
      <c r="B28" s="63" t="s">
        <v>11</v>
      </c>
      <c r="C28" s="63" t="s">
        <v>12</v>
      </c>
      <c r="D28" s="63" t="s">
        <v>13</v>
      </c>
      <c r="E28" s="64" t="s">
        <v>14</v>
      </c>
    </row>
    <row r="29" spans="1:9" x14ac:dyDescent="0.3">
      <c r="A29" s="39" t="str">
        <f t="shared" ref="A29:B36" si="0">A19</f>
        <v>Malte / fermentescível com casca 1</v>
      </c>
      <c r="B29" s="148">
        <f t="shared" si="0"/>
        <v>0.82299999999999995</v>
      </c>
      <c r="C29" s="148">
        <f t="shared" ref="C29:C36" si="1">D19</f>
        <v>0.56000000000000005</v>
      </c>
      <c r="D29" s="429">
        <f>SUM(C29:C36)</f>
        <v>1</v>
      </c>
      <c r="E29" s="431">
        <f>((B29*C29+B30*C30+B31*C31+B32*C32+B33*C33+B34*C34+B35*C35+B36*C36))/(C29+C30+C31+C32+C33+C34+C35+C36)</f>
        <v>0.81894</v>
      </c>
    </row>
    <row r="30" spans="1:9" x14ac:dyDescent="0.3">
      <c r="A30" s="39" t="str">
        <f t="shared" si="0"/>
        <v>Malte / fermentescível com casca 2</v>
      </c>
      <c r="B30" s="148">
        <f t="shared" si="0"/>
        <v>0.84199999999999997</v>
      </c>
      <c r="C30" s="148">
        <f t="shared" si="1"/>
        <v>0.23</v>
      </c>
      <c r="D30" s="430"/>
      <c r="E30" s="432"/>
    </row>
    <row r="31" spans="1:9" x14ac:dyDescent="0.3">
      <c r="A31" s="39" t="str">
        <f t="shared" si="0"/>
        <v>Malte / fermentescível com casca 3</v>
      </c>
      <c r="B31" s="148">
        <f t="shared" si="0"/>
        <v>0</v>
      </c>
      <c r="C31" s="148">
        <f t="shared" si="1"/>
        <v>0</v>
      </c>
      <c r="D31" s="430"/>
      <c r="E31" s="432"/>
    </row>
    <row r="32" spans="1:9" x14ac:dyDescent="0.3">
      <c r="A32" s="39" t="str">
        <f t="shared" si="0"/>
        <v>Malte / fermentescível com casca 4</v>
      </c>
      <c r="B32" s="148">
        <f t="shared" si="0"/>
        <v>0</v>
      </c>
      <c r="C32" s="148">
        <f t="shared" si="1"/>
        <v>0</v>
      </c>
      <c r="D32" s="430"/>
      <c r="E32" s="432"/>
      <c r="I32" s="125"/>
    </row>
    <row r="33" spans="1:9" x14ac:dyDescent="0.3">
      <c r="A33" s="39" t="str">
        <f t="shared" si="0"/>
        <v>Fermentescível sem casca 1</v>
      </c>
      <c r="B33" s="148">
        <f t="shared" si="0"/>
        <v>0.7</v>
      </c>
      <c r="C33" s="148">
        <f t="shared" si="1"/>
        <v>0.15</v>
      </c>
      <c r="D33" s="430"/>
      <c r="E33" s="432"/>
      <c r="I33" s="125"/>
    </row>
    <row r="34" spans="1:9" x14ac:dyDescent="0.3">
      <c r="A34" s="39" t="str">
        <f t="shared" si="0"/>
        <v>Fermentescível sem casca 2</v>
      </c>
      <c r="B34" s="148">
        <f t="shared" si="0"/>
        <v>0</v>
      </c>
      <c r="C34" s="148">
        <f t="shared" si="1"/>
        <v>0</v>
      </c>
      <c r="D34" s="430"/>
      <c r="E34" s="432"/>
    </row>
    <row r="35" spans="1:9" x14ac:dyDescent="0.3">
      <c r="A35" s="39" t="str">
        <f t="shared" si="0"/>
        <v>Fermentescível de fervura 1</v>
      </c>
      <c r="B35" s="148">
        <f t="shared" si="0"/>
        <v>0.99</v>
      </c>
      <c r="C35" s="148">
        <f t="shared" si="1"/>
        <v>0.06</v>
      </c>
      <c r="D35" s="430"/>
      <c r="E35" s="432"/>
    </row>
    <row r="36" spans="1:9" ht="14.5" thickBot="1" x14ac:dyDescent="0.35">
      <c r="A36" s="150" t="str">
        <f t="shared" si="0"/>
        <v>Fermentescivel de fervura 2</v>
      </c>
      <c r="B36" s="149">
        <f t="shared" si="0"/>
        <v>0</v>
      </c>
      <c r="C36" s="149">
        <f t="shared" si="1"/>
        <v>0</v>
      </c>
      <c r="D36" s="430"/>
      <c r="E36" s="432"/>
    </row>
    <row r="37" spans="1:9" ht="14.5" thickBot="1" x14ac:dyDescent="0.35">
      <c r="A37" s="151" t="s">
        <v>15</v>
      </c>
      <c r="B37" s="433">
        <f>(B11*0.96*B7)/(E29*B13)</f>
        <v>81.58076108139791</v>
      </c>
      <c r="C37" s="434"/>
      <c r="D37" s="434"/>
      <c r="E37" s="435"/>
      <c r="G37" s="125"/>
    </row>
    <row r="38" spans="1:9" ht="14.5" thickBot="1" x14ac:dyDescent="0.35">
      <c r="A38" s="22"/>
      <c r="B38" s="5"/>
      <c r="C38" s="5"/>
      <c r="D38" s="5"/>
      <c r="E38" s="23"/>
    </row>
    <row r="39" spans="1:9" ht="39.5" thickBot="1" x14ac:dyDescent="0.35">
      <c r="A39" s="48" t="s">
        <v>8</v>
      </c>
      <c r="B39" s="49" t="s">
        <v>44</v>
      </c>
      <c r="C39" s="49" t="s">
        <v>42</v>
      </c>
      <c r="D39" s="49" t="s">
        <v>43</v>
      </c>
      <c r="E39" s="50" t="s">
        <v>17</v>
      </c>
    </row>
    <row r="40" spans="1:9" x14ac:dyDescent="0.3">
      <c r="A40" s="51" t="str">
        <f t="shared" ref="A40:A45" si="2">A29</f>
        <v>Malte / fermentescível com casca 1</v>
      </c>
      <c r="B40" s="52">
        <f t="shared" ref="B40:B47" si="3">D19</f>
        <v>0.56000000000000005</v>
      </c>
      <c r="C40" s="436">
        <f>B37</f>
        <v>81.58076108139791</v>
      </c>
      <c r="D40" s="53">
        <f>B40*C40</f>
        <v>45.685226205582836</v>
      </c>
      <c r="E40" s="54" t="str">
        <f t="shared" ref="E40:E47" si="4">E19</f>
        <v>Mostura</v>
      </c>
    </row>
    <row r="41" spans="1:9" x14ac:dyDescent="0.3">
      <c r="A41" s="55" t="str">
        <f t="shared" si="2"/>
        <v>Malte / fermentescível com casca 2</v>
      </c>
      <c r="B41" s="56">
        <f t="shared" si="3"/>
        <v>0.23</v>
      </c>
      <c r="C41" s="436"/>
      <c r="D41" s="57">
        <f>B41*C40</f>
        <v>18.76357504872152</v>
      </c>
      <c r="E41" s="58" t="str">
        <f t="shared" si="4"/>
        <v>Mostura</v>
      </c>
    </row>
    <row r="42" spans="1:9" x14ac:dyDescent="0.3">
      <c r="A42" s="55" t="str">
        <f t="shared" si="2"/>
        <v>Malte / fermentescível com casca 3</v>
      </c>
      <c r="B42" s="56">
        <f t="shared" si="3"/>
        <v>0</v>
      </c>
      <c r="C42" s="436"/>
      <c r="D42" s="57">
        <f>B42*C40</f>
        <v>0</v>
      </c>
      <c r="E42" s="58" t="str">
        <f t="shared" si="4"/>
        <v>Mostura</v>
      </c>
    </row>
    <row r="43" spans="1:9" x14ac:dyDescent="0.3">
      <c r="A43" s="152" t="str">
        <f t="shared" si="2"/>
        <v>Malte / fermentescível com casca 4</v>
      </c>
      <c r="B43" s="56">
        <f t="shared" si="3"/>
        <v>0</v>
      </c>
      <c r="C43" s="436"/>
      <c r="D43" s="57">
        <f>B43*C40</f>
        <v>0</v>
      </c>
      <c r="E43" s="58" t="str">
        <f t="shared" si="4"/>
        <v>Mostura</v>
      </c>
    </row>
    <row r="44" spans="1:9" x14ac:dyDescent="0.3">
      <c r="A44" s="152" t="str">
        <f t="shared" si="2"/>
        <v>Fermentescível sem casca 1</v>
      </c>
      <c r="B44" s="56">
        <f t="shared" si="3"/>
        <v>0.15</v>
      </c>
      <c r="C44" s="436"/>
      <c r="D44" s="57">
        <f>B44*C40</f>
        <v>12.237114162209686</v>
      </c>
      <c r="E44" s="58" t="str">
        <f t="shared" si="4"/>
        <v>Mostura</v>
      </c>
    </row>
    <row r="45" spans="1:9" x14ac:dyDescent="0.3">
      <c r="A45" s="152" t="str">
        <f t="shared" si="2"/>
        <v>Fermentescível sem casca 2</v>
      </c>
      <c r="B45" s="56">
        <f t="shared" si="3"/>
        <v>0</v>
      </c>
      <c r="C45" s="436"/>
      <c r="D45" s="57">
        <f>B45*C40</f>
        <v>0</v>
      </c>
      <c r="E45" s="58" t="str">
        <f t="shared" si="4"/>
        <v>Mostura</v>
      </c>
    </row>
    <row r="46" spans="1:9" x14ac:dyDescent="0.3">
      <c r="A46" s="55" t="str">
        <f>A25</f>
        <v>Fermentescível de fervura 1</v>
      </c>
      <c r="B46" s="56">
        <f t="shared" si="3"/>
        <v>0.06</v>
      </c>
      <c r="C46" s="436"/>
      <c r="D46" s="57">
        <f>B46*C40</f>
        <v>4.8948456648838743</v>
      </c>
      <c r="E46" s="58" t="str">
        <f t="shared" si="4"/>
        <v>Fervura</v>
      </c>
    </row>
    <row r="47" spans="1:9" ht="14.5" thickBot="1" x14ac:dyDescent="0.35">
      <c r="A47" s="59" t="str">
        <f>A26</f>
        <v>Fermentescivel de fervura 2</v>
      </c>
      <c r="B47" s="60">
        <f t="shared" si="3"/>
        <v>0</v>
      </c>
      <c r="C47" s="437"/>
      <c r="D47" s="61">
        <f>B47*C40</f>
        <v>0</v>
      </c>
      <c r="E47" s="62" t="str">
        <f t="shared" si="4"/>
        <v>Fervura</v>
      </c>
    </row>
    <row r="48" spans="1:9" ht="14.5" thickBot="1" x14ac:dyDescent="0.35">
      <c r="A48" s="24"/>
      <c r="B48" s="2"/>
      <c r="C48" s="3"/>
      <c r="D48" s="4"/>
      <c r="E48" s="25"/>
    </row>
    <row r="49" spans="1:5" ht="52.5" customHeight="1" x14ac:dyDescent="0.3">
      <c r="A49" s="36" t="s">
        <v>8</v>
      </c>
      <c r="B49" s="63" t="s">
        <v>44</v>
      </c>
      <c r="C49" s="63" t="s">
        <v>45</v>
      </c>
      <c r="D49" s="63" t="s">
        <v>46</v>
      </c>
      <c r="E49" s="64" t="s">
        <v>47</v>
      </c>
    </row>
    <row r="50" spans="1:5" x14ac:dyDescent="0.3">
      <c r="A50" s="39" t="str">
        <f>A29</f>
        <v>Malte / fermentescível com casca 1</v>
      </c>
      <c r="B50" s="153">
        <f>B40</f>
        <v>0.56000000000000005</v>
      </c>
      <c r="C50" s="456">
        <f>SUM(D40:D45)</f>
        <v>76.685915416514035</v>
      </c>
      <c r="D50" s="154">
        <f t="shared" ref="D50:D55" si="5">D40</f>
        <v>45.685226205582836</v>
      </c>
      <c r="E50" s="155">
        <f>D50</f>
        <v>45.685226205582836</v>
      </c>
    </row>
    <row r="51" spans="1:5" x14ac:dyDescent="0.3">
      <c r="A51" s="39" t="str">
        <f>A30</f>
        <v>Malte / fermentescível com casca 2</v>
      </c>
      <c r="B51" s="153">
        <f>B41</f>
        <v>0.23</v>
      </c>
      <c r="C51" s="457"/>
      <c r="D51" s="154">
        <f t="shared" si="5"/>
        <v>18.76357504872152</v>
      </c>
      <c r="E51" s="155">
        <f>D51</f>
        <v>18.76357504872152</v>
      </c>
    </row>
    <row r="52" spans="1:5" x14ac:dyDescent="0.3">
      <c r="A52" s="39" t="str">
        <f>A31</f>
        <v>Malte / fermentescível com casca 3</v>
      </c>
      <c r="B52" s="153">
        <f>B42</f>
        <v>0</v>
      </c>
      <c r="C52" s="457"/>
      <c r="D52" s="154">
        <f t="shared" si="5"/>
        <v>0</v>
      </c>
      <c r="E52" s="155">
        <f>D52</f>
        <v>0</v>
      </c>
    </row>
    <row r="53" spans="1:5" x14ac:dyDescent="0.3">
      <c r="A53" s="39" t="str">
        <f>A32</f>
        <v>Malte / fermentescível com casca 4</v>
      </c>
      <c r="B53" s="153">
        <f>B43</f>
        <v>0</v>
      </c>
      <c r="C53" s="457"/>
      <c r="D53" s="154">
        <f t="shared" si="5"/>
        <v>0</v>
      </c>
      <c r="E53" s="155">
        <f>D53</f>
        <v>0</v>
      </c>
    </row>
    <row r="54" spans="1:5" x14ac:dyDescent="0.3">
      <c r="A54" s="39" t="str">
        <f>A33</f>
        <v>Fermentescível sem casca 1</v>
      </c>
      <c r="B54" s="153">
        <f>B44</f>
        <v>0.15</v>
      </c>
      <c r="C54" s="457"/>
      <c r="D54" s="154">
        <f t="shared" si="5"/>
        <v>12.237114162209686</v>
      </c>
      <c r="E54" s="155">
        <f>D54/2</f>
        <v>6.1185570811048429</v>
      </c>
    </row>
    <row r="55" spans="1:5" x14ac:dyDescent="0.3">
      <c r="A55" s="39" t="str">
        <f t="shared" ref="A55" si="6">A34</f>
        <v>Fermentescível sem casca 2</v>
      </c>
      <c r="B55" s="153">
        <f t="shared" ref="B55" si="7">B45</f>
        <v>0</v>
      </c>
      <c r="C55" s="458"/>
      <c r="D55" s="154">
        <f t="shared" si="5"/>
        <v>0</v>
      </c>
      <c r="E55" s="155">
        <f>D55/2</f>
        <v>0</v>
      </c>
    </row>
    <row r="56" spans="1:5" ht="14.5" thickBot="1" x14ac:dyDescent="0.35">
      <c r="A56" s="447" t="s">
        <v>48</v>
      </c>
      <c r="B56" s="448"/>
      <c r="C56" s="448"/>
      <c r="D56" s="448"/>
      <c r="E56" s="65">
        <f>SUM(E50:E55)</f>
        <v>70.567358335409196</v>
      </c>
    </row>
    <row r="57" spans="1:5" ht="14.5" thickBot="1" x14ac:dyDescent="0.35">
      <c r="A57" s="24"/>
      <c r="B57" s="2"/>
      <c r="C57" s="3"/>
      <c r="D57" s="4"/>
      <c r="E57" s="25"/>
    </row>
    <row r="58" spans="1:5" ht="24.5" thickBot="1" x14ac:dyDescent="0.35">
      <c r="A58" s="163" t="s">
        <v>49</v>
      </c>
      <c r="B58" s="164">
        <f>B13*E29</f>
        <v>0.57325799999999993</v>
      </c>
      <c r="C58" s="26"/>
      <c r="D58" s="27"/>
      <c r="E58" s="28"/>
    </row>
    <row r="59" spans="1:5" ht="14.5" thickBot="1" x14ac:dyDescent="0.35">
      <c r="A59" s="22"/>
      <c r="B59" s="5"/>
      <c r="C59" s="5"/>
      <c r="D59" s="5"/>
      <c r="E59" s="23"/>
    </row>
    <row r="60" spans="1:5" ht="14.5" thickBot="1" x14ac:dyDescent="0.35">
      <c r="A60" s="426" t="s">
        <v>196</v>
      </c>
      <c r="B60" s="427"/>
      <c r="C60" s="427"/>
      <c r="D60" s="428"/>
      <c r="E60" s="23"/>
    </row>
    <row r="61" spans="1:5" ht="24" x14ac:dyDescent="0.3">
      <c r="A61" s="36" t="s">
        <v>8</v>
      </c>
      <c r="B61" s="63" t="s">
        <v>20</v>
      </c>
      <c r="C61" s="63" t="s">
        <v>9</v>
      </c>
      <c r="D61" s="64" t="s">
        <v>50</v>
      </c>
      <c r="E61" s="23"/>
    </row>
    <row r="62" spans="1:5" x14ac:dyDescent="0.3">
      <c r="A62" s="39" t="str">
        <f t="shared" ref="A62:A69" si="8">A40</f>
        <v>Malte / fermentescível com casca 1</v>
      </c>
      <c r="B62" s="156">
        <f t="shared" ref="B62:C66" si="9">C19</f>
        <v>3</v>
      </c>
      <c r="C62" s="157">
        <f t="shared" si="9"/>
        <v>0.56000000000000005</v>
      </c>
      <c r="D62" s="158">
        <f t="shared" ref="D62:D67" si="10">B62*C62</f>
        <v>1.6800000000000002</v>
      </c>
      <c r="E62" s="23"/>
    </row>
    <row r="63" spans="1:5" x14ac:dyDescent="0.3">
      <c r="A63" s="39" t="str">
        <f t="shared" si="8"/>
        <v>Malte / fermentescível com casca 2</v>
      </c>
      <c r="B63" s="156">
        <f t="shared" si="9"/>
        <v>3</v>
      </c>
      <c r="C63" s="157">
        <f t="shared" si="9"/>
        <v>0.23</v>
      </c>
      <c r="D63" s="158">
        <f t="shared" si="10"/>
        <v>0.69000000000000006</v>
      </c>
      <c r="E63" s="23"/>
    </row>
    <row r="64" spans="1:5" x14ac:dyDescent="0.3">
      <c r="A64" s="39" t="str">
        <f t="shared" si="8"/>
        <v>Malte / fermentescível com casca 3</v>
      </c>
      <c r="B64" s="156">
        <f t="shared" si="9"/>
        <v>0</v>
      </c>
      <c r="C64" s="157">
        <f t="shared" si="9"/>
        <v>0</v>
      </c>
      <c r="D64" s="158">
        <f t="shared" si="10"/>
        <v>0</v>
      </c>
      <c r="E64" s="23"/>
    </row>
    <row r="65" spans="1:7" x14ac:dyDescent="0.3">
      <c r="A65" s="39" t="str">
        <f t="shared" si="8"/>
        <v>Malte / fermentescível com casca 4</v>
      </c>
      <c r="B65" s="156">
        <f t="shared" si="9"/>
        <v>0</v>
      </c>
      <c r="C65" s="157">
        <f t="shared" si="9"/>
        <v>0</v>
      </c>
      <c r="D65" s="158">
        <f t="shared" si="10"/>
        <v>0</v>
      </c>
      <c r="E65" s="23"/>
    </row>
    <row r="66" spans="1:7" x14ac:dyDescent="0.3">
      <c r="A66" s="39" t="str">
        <f t="shared" si="8"/>
        <v>Fermentescível sem casca 1</v>
      </c>
      <c r="B66" s="156">
        <f t="shared" si="9"/>
        <v>2</v>
      </c>
      <c r="C66" s="157">
        <f t="shared" si="9"/>
        <v>0.15</v>
      </c>
      <c r="D66" s="158">
        <f t="shared" si="10"/>
        <v>0.3</v>
      </c>
      <c r="E66" s="23"/>
    </row>
    <row r="67" spans="1:7" x14ac:dyDescent="0.3">
      <c r="A67" s="39" t="str">
        <f t="shared" si="8"/>
        <v>Fermentescível sem casca 2</v>
      </c>
      <c r="B67" s="156">
        <f t="shared" ref="B67:C69" si="11">C24</f>
        <v>0</v>
      </c>
      <c r="C67" s="157">
        <f t="shared" si="11"/>
        <v>0</v>
      </c>
      <c r="D67" s="158">
        <f t="shared" si="10"/>
        <v>0</v>
      </c>
      <c r="E67" s="23"/>
    </row>
    <row r="68" spans="1:7" x14ac:dyDescent="0.3">
      <c r="A68" s="39" t="str">
        <f t="shared" si="8"/>
        <v>Fermentescível de fervura 1</v>
      </c>
      <c r="B68" s="156">
        <f t="shared" si="11"/>
        <v>0</v>
      </c>
      <c r="C68" s="157">
        <f t="shared" si="11"/>
        <v>0.06</v>
      </c>
      <c r="D68" s="158">
        <f t="shared" ref="D68:D69" si="12">B68*C68</f>
        <v>0</v>
      </c>
      <c r="E68" s="23"/>
    </row>
    <row r="69" spans="1:7" ht="14.5" thickBot="1" x14ac:dyDescent="0.35">
      <c r="A69" s="150" t="str">
        <f t="shared" si="8"/>
        <v>Fermentescivel de fervura 2</v>
      </c>
      <c r="B69" s="159">
        <f t="shared" si="11"/>
        <v>0</v>
      </c>
      <c r="C69" s="160">
        <f t="shared" si="11"/>
        <v>0</v>
      </c>
      <c r="D69" s="161">
        <f t="shared" si="12"/>
        <v>0</v>
      </c>
      <c r="E69" s="23"/>
    </row>
    <row r="70" spans="1:7" ht="14.5" thickBot="1" x14ac:dyDescent="0.35">
      <c r="A70" s="449" t="s">
        <v>51</v>
      </c>
      <c r="B70" s="450"/>
      <c r="C70" s="451"/>
      <c r="D70" s="162">
        <f>SUM(D62:D69)</f>
        <v>2.67</v>
      </c>
      <c r="E70" s="23"/>
    </row>
    <row r="71" spans="1:7" ht="30" customHeight="1" thickBot="1" x14ac:dyDescent="0.35">
      <c r="A71" s="135" t="s">
        <v>280</v>
      </c>
      <c r="B71" s="444">
        <f>D70*B6/8.6</f>
        <v>5.6380465116279073</v>
      </c>
      <c r="C71" s="445"/>
      <c r="D71" s="446"/>
      <c r="E71" s="25"/>
    </row>
    <row r="72" spans="1:7" ht="14.5" thickBot="1" x14ac:dyDescent="0.35">
      <c r="A72" s="22"/>
      <c r="B72" s="5"/>
      <c r="C72" s="5"/>
      <c r="D72" s="5"/>
      <c r="E72" s="23"/>
    </row>
    <row r="73" spans="1:7" ht="14.5" thickBot="1" x14ac:dyDescent="0.35">
      <c r="A73" s="438" t="s">
        <v>197</v>
      </c>
      <c r="B73" s="439"/>
      <c r="C73" s="439"/>
      <c r="D73" s="439"/>
      <c r="E73" s="440"/>
    </row>
    <row r="74" spans="1:7" ht="48.5" thickBot="1" x14ac:dyDescent="0.35">
      <c r="A74" s="66" t="s">
        <v>52</v>
      </c>
      <c r="B74" s="64" t="s">
        <v>443</v>
      </c>
      <c r="C74" s="415" t="s">
        <v>487</v>
      </c>
      <c r="D74" s="416"/>
      <c r="E74" s="25"/>
      <c r="G74" s="357"/>
    </row>
    <row r="75" spans="1:7" ht="14.5" thickBot="1" x14ac:dyDescent="0.35">
      <c r="A75" s="40">
        <f>B10</f>
        <v>21</v>
      </c>
      <c r="B75" s="358">
        <f>1.1454*A75-5.9305</f>
        <v>18.122900000000001</v>
      </c>
      <c r="C75" s="1"/>
      <c r="D75" s="1"/>
      <c r="E75" s="25"/>
    </row>
    <row r="76" spans="1:7" ht="14.5" thickBot="1" x14ac:dyDescent="0.35">
      <c r="A76" s="24"/>
      <c r="B76" s="1"/>
      <c r="C76" s="1"/>
      <c r="D76" s="1"/>
      <c r="E76" s="25"/>
    </row>
    <row r="77" spans="1:7" ht="36.5" thickBot="1" x14ac:dyDescent="0.35">
      <c r="A77" s="66" t="s">
        <v>54</v>
      </c>
      <c r="B77" s="63" t="s">
        <v>118</v>
      </c>
      <c r="C77" s="64" t="s">
        <v>53</v>
      </c>
      <c r="D77" s="1"/>
      <c r="E77" s="25"/>
    </row>
    <row r="78" spans="1:7" x14ac:dyDescent="0.3">
      <c r="A78" s="68">
        <v>60</v>
      </c>
      <c r="B78" s="69">
        <v>0.52</v>
      </c>
      <c r="C78" s="170">
        <f>B75*B78</f>
        <v>9.4239080000000008</v>
      </c>
      <c r="D78" s="452" t="s">
        <v>439</v>
      </c>
      <c r="E78" s="25"/>
      <c r="F78" s="11"/>
    </row>
    <row r="79" spans="1:7" x14ac:dyDescent="0.3">
      <c r="A79" s="42">
        <v>20</v>
      </c>
      <c r="B79" s="43">
        <v>0.13</v>
      </c>
      <c r="C79" s="158">
        <f>B75*B79</f>
        <v>2.3559770000000002</v>
      </c>
      <c r="D79" s="453"/>
      <c r="E79" s="29"/>
      <c r="F79" s="11"/>
    </row>
    <row r="80" spans="1:7" x14ac:dyDescent="0.3">
      <c r="A80" s="42">
        <v>20</v>
      </c>
      <c r="B80" s="43">
        <v>0.13</v>
      </c>
      <c r="C80" s="158">
        <f>B75*B80</f>
        <v>2.3559770000000002</v>
      </c>
      <c r="D80" s="453"/>
      <c r="E80" s="29"/>
      <c r="F80" s="11"/>
    </row>
    <row r="81" spans="1:11" x14ac:dyDescent="0.3">
      <c r="A81" s="42">
        <v>10</v>
      </c>
      <c r="B81" s="43">
        <v>7.0000000000000007E-2</v>
      </c>
      <c r="C81" s="158">
        <f>B75*B81</f>
        <v>1.2686030000000001</v>
      </c>
      <c r="D81" s="453"/>
      <c r="E81" s="25"/>
      <c r="F81" s="11"/>
    </row>
    <row r="82" spans="1:11" x14ac:dyDescent="0.3">
      <c r="A82" s="42">
        <v>10</v>
      </c>
      <c r="B82" s="43">
        <v>7.0000000000000007E-2</v>
      </c>
      <c r="C82" s="158">
        <f>B75*B82</f>
        <v>1.2686030000000001</v>
      </c>
      <c r="D82" s="453"/>
      <c r="E82" s="25"/>
      <c r="F82" s="11"/>
    </row>
    <row r="83" spans="1:11" x14ac:dyDescent="0.3">
      <c r="A83" s="42">
        <v>5</v>
      </c>
      <c r="B83" s="43">
        <v>0.04</v>
      </c>
      <c r="C83" s="158">
        <f>B75*B83</f>
        <v>0.72491600000000012</v>
      </c>
      <c r="D83" s="453"/>
      <c r="E83" s="25"/>
      <c r="F83" s="11"/>
    </row>
    <row r="84" spans="1:11" ht="14.5" thickBot="1" x14ac:dyDescent="0.35">
      <c r="A84" s="70">
        <v>5</v>
      </c>
      <c r="B84" s="71">
        <v>0.04</v>
      </c>
      <c r="C84" s="352">
        <f>B75*B84</f>
        <v>0.72491600000000012</v>
      </c>
      <c r="D84" s="454"/>
      <c r="E84" s="25"/>
      <c r="F84" s="11"/>
    </row>
    <row r="85" spans="1:11" ht="14.5" thickBot="1" x14ac:dyDescent="0.35">
      <c r="A85" s="22"/>
      <c r="B85" s="5"/>
      <c r="C85" s="5"/>
      <c r="D85" s="5"/>
      <c r="E85" s="25"/>
    </row>
    <row r="86" spans="1:11" ht="14.5" thickBot="1" x14ac:dyDescent="0.35">
      <c r="A86" s="48" t="s">
        <v>263</v>
      </c>
      <c r="B86" s="450">
        <f>B6</f>
        <v>18.16</v>
      </c>
      <c r="C86" s="450"/>
      <c r="D86" s="450"/>
      <c r="E86" s="455"/>
    </row>
    <row r="87" spans="1:11" ht="39.5" thickBot="1" x14ac:dyDescent="0.35">
      <c r="A87" s="126" t="s">
        <v>55</v>
      </c>
      <c r="B87" s="127" t="s">
        <v>54</v>
      </c>
      <c r="C87" s="127" t="s">
        <v>57</v>
      </c>
      <c r="D87" s="128" t="s">
        <v>56</v>
      </c>
      <c r="E87" s="129" t="s">
        <v>199</v>
      </c>
      <c r="G87" s="1"/>
      <c r="H87" s="132"/>
      <c r="I87" s="12"/>
      <c r="J87" s="1"/>
      <c r="K87" s="12"/>
    </row>
    <row r="88" spans="1:11" x14ac:dyDescent="0.3">
      <c r="A88" s="74" t="s">
        <v>495</v>
      </c>
      <c r="B88" s="76">
        <f>A78</f>
        <v>60</v>
      </c>
      <c r="C88" s="351">
        <f>(1.65*0.000125^(B86/(258.6-((B86/258.2)*227.1))))*(1-EXP(-0.04*B88))/(4.15)</f>
        <v>0.18450101513440137</v>
      </c>
      <c r="D88" s="72">
        <v>0.124</v>
      </c>
      <c r="E88" s="130">
        <f>(((B11*100)*C78)/((C88*D88)*10^6))*1000</f>
        <v>102.97945787609058</v>
      </c>
      <c r="F88" s="344"/>
      <c r="G88" s="342"/>
      <c r="H88" s="133"/>
      <c r="I88" s="12"/>
      <c r="J88" s="1"/>
      <c r="K88" s="12"/>
    </row>
    <row r="89" spans="1:11" x14ac:dyDescent="0.3">
      <c r="A89" s="75" t="s">
        <v>496</v>
      </c>
      <c r="B89" s="73">
        <f>A79</f>
        <v>20</v>
      </c>
      <c r="C89" s="351">
        <f>(1.65*0.000125^(B86/(258.6-((B86/258.2)*227.1))))*(1-EXP(-0.04*B89))/(4.15)</f>
        <v>0.11173580902980559</v>
      </c>
      <c r="D89" s="43">
        <v>2.8000000000000001E-2</v>
      </c>
      <c r="E89" s="130">
        <f>(((B11*100)*C79)/((C89*D89)*10^6))*1000</f>
        <v>188.26112336968177</v>
      </c>
      <c r="F89" s="344"/>
      <c r="G89" s="342"/>
      <c r="H89" s="131"/>
      <c r="I89" s="13"/>
      <c r="J89" s="13"/>
      <c r="K89" s="14"/>
    </row>
    <row r="90" spans="1:11" x14ac:dyDescent="0.3">
      <c r="A90" s="75" t="s">
        <v>497</v>
      </c>
      <c r="B90" s="73">
        <f t="shared" ref="B90:B94" si="13">A80</f>
        <v>20</v>
      </c>
      <c r="C90" s="351">
        <f>(1.65*0.000125^(B86/(258.6-((B86/258.2)*227.1))))*(1-EXP(-0.04*B90))/(4.15)</f>
        <v>0.11173580902980559</v>
      </c>
      <c r="D90" s="43">
        <v>3.1E-2</v>
      </c>
      <c r="E90" s="130">
        <f>(((B11*100)*C80)/((C90*D90)*10^6))*1000</f>
        <v>170.04230497906738</v>
      </c>
      <c r="F90" s="344"/>
      <c r="G90" s="342"/>
      <c r="H90" s="131"/>
      <c r="I90" s="13"/>
      <c r="J90" s="13"/>
      <c r="K90" s="14"/>
    </row>
    <row r="91" spans="1:11" x14ac:dyDescent="0.3">
      <c r="A91" s="75" t="s">
        <v>498</v>
      </c>
      <c r="B91" s="73">
        <f t="shared" si="13"/>
        <v>10</v>
      </c>
      <c r="C91" s="351">
        <f>(1.65*0.000125^(B86/(258.6-((B86/258.2)*227.1))))*(1-EXP(-0.04*B91))/(4.15)</f>
        <v>6.6894850058826089E-2</v>
      </c>
      <c r="D91" s="43">
        <v>2.8000000000000001E-2</v>
      </c>
      <c r="E91" s="130">
        <f>(((B11*100)*C81)/((C91*D91)*10^6))*1000</f>
        <v>169.32263829038274</v>
      </c>
      <c r="F91" s="344"/>
      <c r="G91" s="342"/>
      <c r="H91" s="1"/>
      <c r="I91" s="13"/>
      <c r="J91" s="13"/>
      <c r="K91" s="14"/>
    </row>
    <row r="92" spans="1:11" x14ac:dyDescent="0.3">
      <c r="A92" s="75" t="s">
        <v>499</v>
      </c>
      <c r="B92" s="73">
        <f t="shared" si="13"/>
        <v>10</v>
      </c>
      <c r="C92" s="351">
        <f>(1.65*0.000125^(B86/(258.6-((B86/258.2)*227.1))))*(1-EXP(-0.04*B92))/(4.15)</f>
        <v>6.6894850058826089E-2</v>
      </c>
      <c r="D92" s="43">
        <v>3.1E-2</v>
      </c>
      <c r="E92" s="130">
        <f>(((B11*100)*C82)/((C92*D92)*10^6))*1000</f>
        <v>152.93657652034574</v>
      </c>
      <c r="F92" s="344"/>
      <c r="G92" s="343"/>
      <c r="H92" s="1"/>
      <c r="I92" s="13"/>
      <c r="J92" s="13"/>
      <c r="K92" s="14"/>
    </row>
    <row r="93" spans="1:11" x14ac:dyDescent="0.3">
      <c r="A93" s="75" t="s">
        <v>500</v>
      </c>
      <c r="B93" s="73">
        <f t="shared" si="13"/>
        <v>5</v>
      </c>
      <c r="C93" s="351">
        <f>(1.65*0.000125^(B86/(258.6-((B86/258.2)*227.1))))*(1-EXP(-0.04*B93))/(4.15)</f>
        <v>3.6781062807463211E-2</v>
      </c>
      <c r="D93" s="43">
        <v>2.8000000000000001E-2</v>
      </c>
      <c r="E93" s="130">
        <f>(((B11*100)*C83)/((C93*D93)*10^6))*1000</f>
        <v>175.97273682915343</v>
      </c>
      <c r="F93" s="344"/>
      <c r="G93" s="345"/>
      <c r="H93" s="5"/>
      <c r="I93" s="5"/>
      <c r="J93" s="5"/>
      <c r="K93" s="5"/>
    </row>
    <row r="94" spans="1:11" ht="14.5" thickBot="1" x14ac:dyDescent="0.35">
      <c r="A94" s="379" t="s">
        <v>501</v>
      </c>
      <c r="B94" s="380">
        <f t="shared" si="13"/>
        <v>5</v>
      </c>
      <c r="C94" s="381">
        <f>(1.65*0.000125^(B86/(258.6-((B86/258.2)*227.1))))*(1-EXP(-0.04*B94))/(4.15)</f>
        <v>3.6781062807463211E-2</v>
      </c>
      <c r="D94" s="382">
        <v>3.1E-2</v>
      </c>
      <c r="E94" s="383">
        <f>(((B11*100)*C84)/((C94*D94)*10^6))*1000</f>
        <v>158.94311713600956</v>
      </c>
      <c r="F94" s="344"/>
      <c r="G94" s="346"/>
    </row>
    <row r="95" spans="1:11" ht="25" customHeight="1" thickBot="1" x14ac:dyDescent="0.35">
      <c r="A95" s="417" t="s">
        <v>488</v>
      </c>
      <c r="B95" s="418"/>
      <c r="C95" s="418"/>
      <c r="D95" s="418"/>
      <c r="E95" s="419"/>
      <c r="F95" s="344"/>
      <c r="G95" s="346"/>
    </row>
    <row r="96" spans="1:11" ht="14.5" thickBot="1" x14ac:dyDescent="0.35">
      <c r="A96" s="374"/>
      <c r="B96" s="375"/>
      <c r="C96" s="376"/>
      <c r="D96" s="377"/>
      <c r="E96" s="378"/>
      <c r="F96" s="344"/>
      <c r="G96" s="346"/>
    </row>
    <row r="97" spans="1:5" ht="14.5" thickBot="1" x14ac:dyDescent="0.35">
      <c r="A97" s="413" t="s">
        <v>281</v>
      </c>
      <c r="B97" s="414"/>
      <c r="C97" s="5"/>
      <c r="D97" s="413" t="s">
        <v>288</v>
      </c>
      <c r="E97" s="414"/>
    </row>
    <row r="98" spans="1:5" x14ac:dyDescent="0.3">
      <c r="A98" s="41" t="s">
        <v>128</v>
      </c>
      <c r="B98" s="78">
        <v>74</v>
      </c>
      <c r="C98" s="5"/>
      <c r="D98" s="41" t="s">
        <v>128</v>
      </c>
      <c r="E98" s="78">
        <v>74</v>
      </c>
    </row>
    <row r="99" spans="1:5" x14ac:dyDescent="0.3">
      <c r="A99" s="46" t="s">
        <v>129</v>
      </c>
      <c r="B99" s="79">
        <v>82</v>
      </c>
      <c r="C99" s="5"/>
      <c r="D99" s="46" t="s">
        <v>129</v>
      </c>
      <c r="E99" s="79">
        <v>82</v>
      </c>
    </row>
    <row r="100" spans="1:5" x14ac:dyDescent="0.3">
      <c r="A100" s="46" t="s">
        <v>130</v>
      </c>
      <c r="B100" s="165">
        <f>B6</f>
        <v>18.16</v>
      </c>
      <c r="C100" s="5"/>
      <c r="D100" s="46" t="s">
        <v>130</v>
      </c>
      <c r="E100" s="165">
        <f>B6</f>
        <v>18.16</v>
      </c>
    </row>
    <row r="101" spans="1:5" x14ac:dyDescent="0.3">
      <c r="A101" s="46" t="s">
        <v>131</v>
      </c>
      <c r="B101" s="80">
        <f>(-(B98*B100-100*B100)/100)</f>
        <v>4.7216000000000005</v>
      </c>
      <c r="C101" s="5"/>
      <c r="D101" s="46" t="s">
        <v>131</v>
      </c>
      <c r="E101" s="80">
        <f>(-(E98*E100-100*E100)/100)</f>
        <v>4.7216000000000005</v>
      </c>
    </row>
    <row r="102" spans="1:5" x14ac:dyDescent="0.3">
      <c r="A102" s="46" t="s">
        <v>133</v>
      </c>
      <c r="B102" s="80">
        <f>(-(B99*B100-100*B100)/100)</f>
        <v>3.2687999999999988</v>
      </c>
      <c r="C102" s="5"/>
      <c r="D102" s="46" t="s">
        <v>133</v>
      </c>
      <c r="E102" s="80">
        <f>(-(E99*E100-100*E100)/100)</f>
        <v>3.2687999999999988</v>
      </c>
    </row>
    <row r="103" spans="1:5" x14ac:dyDescent="0.3">
      <c r="A103" s="46" t="s">
        <v>132</v>
      </c>
      <c r="B103" s="81">
        <f>((B100-B101)*0.4226)/(0.79)</f>
        <v>7.1886934683544288</v>
      </c>
      <c r="C103" s="5"/>
      <c r="D103" s="46" t="s">
        <v>132</v>
      </c>
      <c r="E103" s="81">
        <f>((E100-E101)*0.4226)/(0.79)</f>
        <v>7.1886934683544288</v>
      </c>
    </row>
    <row r="104" spans="1:5" x14ac:dyDescent="0.3">
      <c r="A104" s="46" t="s">
        <v>134</v>
      </c>
      <c r="B104" s="81">
        <f>((B100-B102)*0.4226)/(0.79)</f>
        <v>7.9658495189873424</v>
      </c>
      <c r="C104" s="5"/>
      <c r="D104" s="46" t="s">
        <v>134</v>
      </c>
      <c r="E104" s="81">
        <f>((E100-E102)*0.4226)/(0.79)</f>
        <v>7.9658495189873424</v>
      </c>
    </row>
    <row r="105" spans="1:5" x14ac:dyDescent="0.3">
      <c r="A105" s="46" t="s">
        <v>135</v>
      </c>
      <c r="B105" s="166">
        <f>(0.5*10^6)*B100</f>
        <v>9080000</v>
      </c>
      <c r="C105" s="5"/>
      <c r="D105" s="46" t="s">
        <v>135</v>
      </c>
      <c r="E105" s="166">
        <f>(1*10^6)*E100</f>
        <v>18160000</v>
      </c>
    </row>
    <row r="106" spans="1:5" x14ac:dyDescent="0.3">
      <c r="A106" s="46" t="s">
        <v>136</v>
      </c>
      <c r="B106" s="166">
        <f>(0.8*10^6)*B100</f>
        <v>14528000</v>
      </c>
      <c r="C106" s="5"/>
      <c r="D106" s="46" t="s">
        <v>136</v>
      </c>
      <c r="E106" s="166">
        <f>(1.5*10^6)*E100</f>
        <v>27240000</v>
      </c>
    </row>
    <row r="107" spans="1:5" ht="14.5" thickBot="1" x14ac:dyDescent="0.35">
      <c r="A107" s="167" t="s">
        <v>137</v>
      </c>
      <c r="B107" s="168">
        <f>B11*100*1000</f>
        <v>250000</v>
      </c>
      <c r="C107" s="5"/>
      <c r="D107" s="167" t="s">
        <v>137</v>
      </c>
      <c r="E107" s="168">
        <f>B11*100*1000</f>
        <v>250000</v>
      </c>
    </row>
    <row r="108" spans="1:5" x14ac:dyDescent="0.3">
      <c r="A108" s="169" t="s">
        <v>264</v>
      </c>
      <c r="B108" s="227">
        <f>(B107*B105)/1000000000</f>
        <v>2270</v>
      </c>
      <c r="C108" s="5"/>
      <c r="D108" s="169" t="s">
        <v>264</v>
      </c>
      <c r="E108" s="227">
        <f>(E107*E105)/1000000000</f>
        <v>4540</v>
      </c>
    </row>
    <row r="109" spans="1:5" ht="14.5" thickBot="1" x14ac:dyDescent="0.35">
      <c r="A109" s="59" t="s">
        <v>265</v>
      </c>
      <c r="B109" s="228">
        <f>(B107*B106)/1000000000</f>
        <v>3632</v>
      </c>
      <c r="C109" s="330"/>
      <c r="D109" s="59" t="s">
        <v>265</v>
      </c>
      <c r="E109" s="228">
        <f>(E107*E106)/1000000000</f>
        <v>6810</v>
      </c>
    </row>
  </sheetData>
  <mergeCells count="20">
    <mergeCell ref="A70:C70"/>
    <mergeCell ref="D78:D84"/>
    <mergeCell ref="B86:E86"/>
    <mergeCell ref="C50:C55"/>
    <mergeCell ref="D97:E97"/>
    <mergeCell ref="C74:D74"/>
    <mergeCell ref="A95:E95"/>
    <mergeCell ref="A1:E1"/>
    <mergeCell ref="A2:E2"/>
    <mergeCell ref="A97:B97"/>
    <mergeCell ref="A4:D4"/>
    <mergeCell ref="D29:D36"/>
    <mergeCell ref="E29:E36"/>
    <mergeCell ref="B37:E37"/>
    <mergeCell ref="C40:C47"/>
    <mergeCell ref="A73:E73"/>
    <mergeCell ref="A17:E17"/>
    <mergeCell ref="A60:D60"/>
    <mergeCell ref="B71:D71"/>
    <mergeCell ref="A56:D56"/>
  </mergeCells>
  <phoneticPr fontId="21" type="noConversion"/>
  <pageMargins left="0.25" right="0.25" top="0.75" bottom="0.75" header="0.3" footer="0.3"/>
  <pageSetup paperSize="9" orientation="portrait" r:id="rId1"/>
  <rowBreaks count="3" manualBreakCount="3">
    <brk id="37" max="4" man="1"/>
    <brk id="71" max="4" man="1"/>
    <brk id="95" max="4" man="1"/>
  </rowBreaks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98BAA-27BA-4C44-8A7D-2329307D5119}">
  <dimension ref="A1:D40"/>
  <sheetViews>
    <sheetView zoomScale="90" zoomScaleNormal="90" zoomScaleSheetLayoutView="50" workbookViewId="0">
      <selection activeCell="K9" sqref="K9"/>
    </sheetView>
  </sheetViews>
  <sheetFormatPr defaultRowHeight="14" x14ac:dyDescent="0.3"/>
  <cols>
    <col min="1" max="1" width="32.75" bestFit="1" customWidth="1"/>
    <col min="2" max="2" width="26.83203125" customWidth="1"/>
  </cols>
  <sheetData>
    <row r="1" spans="1:2" ht="20" x14ac:dyDescent="0.4">
      <c r="A1" s="461" t="s">
        <v>404</v>
      </c>
      <c r="B1" s="462"/>
    </row>
    <row r="2" spans="1:2" ht="20.5" thickBot="1" x14ac:dyDescent="0.45">
      <c r="A2" s="463" t="s">
        <v>406</v>
      </c>
      <c r="B2" s="464"/>
    </row>
    <row r="3" spans="1:2" ht="20.5" thickBot="1" x14ac:dyDescent="0.45">
      <c r="B3" s="326"/>
    </row>
    <row r="4" spans="1:2" x14ac:dyDescent="0.3">
      <c r="A4" s="82" t="s">
        <v>60</v>
      </c>
      <c r="B4" s="83" t="s">
        <v>58</v>
      </c>
    </row>
    <row r="5" spans="1:2" ht="14.5" thickBot="1" x14ac:dyDescent="0.35">
      <c r="A5" s="384">
        <v>3</v>
      </c>
      <c r="B5" s="385" t="s">
        <v>59</v>
      </c>
    </row>
    <row r="6" spans="1:2" ht="14.5" thickBot="1" x14ac:dyDescent="0.35">
      <c r="A6" s="22"/>
      <c r="B6" s="23"/>
    </row>
    <row r="7" spans="1:2" ht="23" x14ac:dyDescent="0.3">
      <c r="A7" s="171" t="s">
        <v>83</v>
      </c>
      <c r="B7" s="172" t="s">
        <v>61</v>
      </c>
    </row>
    <row r="8" spans="1:2" x14ac:dyDescent="0.3">
      <c r="A8" s="175">
        <f>'3.Calculos'!C50</f>
        <v>76.685915416514035</v>
      </c>
      <c r="B8" s="95">
        <f>A8*A5</f>
        <v>230.05774624954211</v>
      </c>
    </row>
    <row r="9" spans="1:2" ht="23" x14ac:dyDescent="0.3">
      <c r="A9" s="176" t="s">
        <v>62</v>
      </c>
      <c r="B9" s="177">
        <f>SUM('3.Calculos'!D40:D43)</f>
        <v>64.448801254304357</v>
      </c>
    </row>
    <row r="10" spans="1:2" ht="24" thickBot="1" x14ac:dyDescent="0.35">
      <c r="A10" s="174" t="s">
        <v>63</v>
      </c>
      <c r="B10" s="173">
        <f>SUM('3.Calculos'!D44:D45)</f>
        <v>12.237114162209686</v>
      </c>
    </row>
    <row r="11" spans="1:2" ht="28.5" thickBot="1" x14ac:dyDescent="0.35">
      <c r="A11" s="90" t="s">
        <v>64</v>
      </c>
      <c r="B11" s="91">
        <f>B8</f>
        <v>230.05774624954211</v>
      </c>
    </row>
    <row r="12" spans="1:2" ht="28.5" thickBot="1" x14ac:dyDescent="0.35">
      <c r="A12" s="178" t="s">
        <v>65</v>
      </c>
      <c r="B12" s="179">
        <f>B11+(B9*0.7)+(B10*0.2)</f>
        <v>277.61932995999706</v>
      </c>
    </row>
    <row r="13" spans="1:2" ht="14.5" thickBot="1" x14ac:dyDescent="0.35">
      <c r="A13" s="22"/>
      <c r="B13" s="23"/>
    </row>
    <row r="14" spans="1:2" ht="23" x14ac:dyDescent="0.3">
      <c r="A14" s="92" t="s">
        <v>66</v>
      </c>
      <c r="B14" s="180">
        <f>'3.Calculos'!B15</f>
        <v>0.1</v>
      </c>
    </row>
    <row r="15" spans="1:2" ht="23.5" thickBot="1" x14ac:dyDescent="0.35">
      <c r="A15" s="94" t="s">
        <v>67</v>
      </c>
      <c r="B15" s="181">
        <f>'3.Calculos'!B14</f>
        <v>90</v>
      </c>
    </row>
    <row r="16" spans="1:2" ht="28.5" thickBot="1" x14ac:dyDescent="0.35">
      <c r="A16" s="182" t="s">
        <v>68</v>
      </c>
      <c r="B16" s="183">
        <f>'3.Calculos'!B11*100</f>
        <v>250</v>
      </c>
    </row>
    <row r="17" spans="1:2" ht="28.5" thickBot="1" x14ac:dyDescent="0.35">
      <c r="A17" s="90" t="s">
        <v>69</v>
      </c>
      <c r="B17" s="91">
        <f>(B16*((B14*B15)+60))/60</f>
        <v>287.5</v>
      </c>
    </row>
    <row r="18" spans="1:2" ht="14.5" thickBot="1" x14ac:dyDescent="0.35">
      <c r="A18" s="22"/>
      <c r="B18" s="23"/>
    </row>
    <row r="19" spans="1:2" ht="23" x14ac:dyDescent="0.3">
      <c r="A19" s="171" t="s">
        <v>68</v>
      </c>
      <c r="B19" s="185">
        <f>B16</f>
        <v>250</v>
      </c>
    </row>
    <row r="20" spans="1:2" ht="23.5" thickBot="1" x14ac:dyDescent="0.35">
      <c r="A20" s="188" t="s">
        <v>69</v>
      </c>
      <c r="B20" s="189">
        <f>B17</f>
        <v>287.5</v>
      </c>
    </row>
    <row r="21" spans="1:2" ht="23" x14ac:dyDescent="0.3">
      <c r="A21" s="186" t="s">
        <v>70</v>
      </c>
      <c r="B21" s="187">
        <f>'3.Calculos'!B7</f>
        <v>19.48617664</v>
      </c>
    </row>
    <row r="22" spans="1:2" ht="23.5" thickBot="1" x14ac:dyDescent="0.35">
      <c r="A22" s="184" t="s">
        <v>71</v>
      </c>
      <c r="B22" s="173">
        <f>(B19*B21)/B20</f>
        <v>16.944501426086958</v>
      </c>
    </row>
    <row r="23" spans="1:2" ht="14.5" thickBot="1" x14ac:dyDescent="0.35">
      <c r="A23" s="22"/>
      <c r="B23" s="23"/>
    </row>
    <row r="24" spans="1:2" ht="23" x14ac:dyDescent="0.3">
      <c r="A24" s="92" t="s">
        <v>72</v>
      </c>
      <c r="B24" s="93">
        <f>2%*B20</f>
        <v>5.75</v>
      </c>
    </row>
    <row r="25" spans="1:2" ht="23.5" thickBot="1" x14ac:dyDescent="0.35">
      <c r="A25" s="94" t="s">
        <v>73</v>
      </c>
      <c r="B25" s="95">
        <f>0.96*B9</f>
        <v>61.870849204132178</v>
      </c>
    </row>
    <row r="26" spans="1:2" ht="28.5" thickBot="1" x14ac:dyDescent="0.35">
      <c r="A26" s="90" t="s">
        <v>74</v>
      </c>
      <c r="B26" s="91">
        <f>B20+B24+B25-B11</f>
        <v>125.06310295459008</v>
      </c>
    </row>
    <row r="27" spans="1:2" ht="14.5" thickBot="1" x14ac:dyDescent="0.35">
      <c r="A27" s="22"/>
      <c r="B27" s="23"/>
    </row>
    <row r="28" spans="1:2" ht="14.5" thickBot="1" x14ac:dyDescent="0.35">
      <c r="A28" s="459" t="s">
        <v>75</v>
      </c>
      <c r="B28" s="460"/>
    </row>
    <row r="29" spans="1:2" ht="28" x14ac:dyDescent="0.3">
      <c r="A29" s="100" t="s">
        <v>82</v>
      </c>
      <c r="B29" s="101">
        <f>A5</f>
        <v>3</v>
      </c>
    </row>
    <row r="30" spans="1:2" ht="28" x14ac:dyDescent="0.3">
      <c r="A30" s="96" t="s">
        <v>76</v>
      </c>
      <c r="B30" s="97">
        <f>B8</f>
        <v>230.05774624954211</v>
      </c>
    </row>
    <row r="31" spans="1:2" ht="23" x14ac:dyDescent="0.3">
      <c r="A31" s="102" t="s">
        <v>200</v>
      </c>
      <c r="B31" s="111">
        <f>B12</f>
        <v>277.61932995999706</v>
      </c>
    </row>
    <row r="32" spans="1:2" ht="28" x14ac:dyDescent="0.3">
      <c r="A32" s="96" t="s">
        <v>77</v>
      </c>
      <c r="B32" s="97">
        <f>B26</f>
        <v>125.06310295459008</v>
      </c>
    </row>
    <row r="33" spans="1:4" x14ac:dyDescent="0.3">
      <c r="A33" s="96" t="s">
        <v>78</v>
      </c>
      <c r="B33" s="97">
        <f>B30+B32</f>
        <v>355.12084920413218</v>
      </c>
    </row>
    <row r="34" spans="1:4" ht="28" x14ac:dyDescent="0.3">
      <c r="A34" s="96" t="s">
        <v>69</v>
      </c>
      <c r="B34" s="97">
        <f>B20</f>
        <v>287.5</v>
      </c>
    </row>
    <row r="35" spans="1:4" ht="23" x14ac:dyDescent="0.3">
      <c r="A35" s="176" t="s">
        <v>79</v>
      </c>
      <c r="B35" s="190">
        <f>B22</f>
        <v>16.944501426086958</v>
      </c>
    </row>
    <row r="36" spans="1:4" ht="42" x14ac:dyDescent="0.3">
      <c r="A36" s="96" t="s">
        <v>266</v>
      </c>
      <c r="B36" s="350">
        <f>-0.0033*B35^2+0.9945*B35+0.0235</f>
        <v>15.927323443933894</v>
      </c>
      <c r="D36" s="8"/>
    </row>
    <row r="37" spans="1:4" ht="28" x14ac:dyDescent="0.3">
      <c r="A37" s="96" t="s">
        <v>80</v>
      </c>
      <c r="B37" s="98">
        <f>B15</f>
        <v>90</v>
      </c>
    </row>
    <row r="38" spans="1:4" ht="28" x14ac:dyDescent="0.3">
      <c r="A38" s="96" t="s">
        <v>68</v>
      </c>
      <c r="B38" s="97">
        <f>B19</f>
        <v>250</v>
      </c>
    </row>
    <row r="39" spans="1:4" ht="23" x14ac:dyDescent="0.3">
      <c r="A39" s="176" t="s">
        <v>81</v>
      </c>
      <c r="B39" s="177">
        <f>B21</f>
        <v>19.48617664</v>
      </c>
    </row>
    <row r="40" spans="1:4" ht="42.5" thickBot="1" x14ac:dyDescent="0.35">
      <c r="A40" s="89" t="s">
        <v>267</v>
      </c>
      <c r="B40" s="99">
        <f>'3.Calculos'!B6</f>
        <v>18.16</v>
      </c>
    </row>
  </sheetData>
  <mergeCells count="3">
    <mergeCell ref="A28:B28"/>
    <mergeCell ref="A1:B1"/>
    <mergeCell ref="A2:B2"/>
  </mergeCells>
  <pageMargins left="0.25" right="0.25" top="0.75" bottom="0.75" header="0.3" footer="0.3"/>
  <pageSetup paperSize="9" orientation="portrait" r:id="rId1"/>
  <rowBreaks count="1" manualBreakCount="1">
    <brk id="27" max="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E8B98-1964-455C-A43E-069143476B27}">
  <dimension ref="A1:N35"/>
  <sheetViews>
    <sheetView zoomScale="80" zoomScaleNormal="80" zoomScaleSheetLayoutView="50" workbookViewId="0">
      <selection activeCell="K10" sqref="K10"/>
    </sheetView>
  </sheetViews>
  <sheetFormatPr defaultRowHeight="14" x14ac:dyDescent="0.3"/>
  <cols>
    <col min="2" max="2" width="12.08203125" customWidth="1"/>
    <col min="3" max="3" width="9.33203125" bestFit="1" customWidth="1"/>
    <col min="6" max="6" width="11.33203125" customWidth="1"/>
    <col min="10" max="10" width="13.58203125" customWidth="1"/>
  </cols>
  <sheetData>
    <row r="1" spans="1:11" ht="20" x14ac:dyDescent="0.4">
      <c r="A1" s="461" t="s">
        <v>404</v>
      </c>
      <c r="B1" s="465"/>
      <c r="C1" s="465"/>
      <c r="D1" s="465"/>
      <c r="E1" s="465"/>
      <c r="F1" s="465"/>
      <c r="G1" s="465"/>
      <c r="H1" s="465"/>
      <c r="I1" s="465"/>
      <c r="J1" s="465"/>
      <c r="K1" s="462"/>
    </row>
    <row r="2" spans="1:11" ht="20.5" thickBot="1" x14ac:dyDescent="0.45">
      <c r="A2" s="463" t="s">
        <v>198</v>
      </c>
      <c r="B2" s="466"/>
      <c r="C2" s="466"/>
      <c r="D2" s="466"/>
      <c r="E2" s="466"/>
      <c r="F2" s="466"/>
      <c r="G2" s="466"/>
      <c r="H2" s="466"/>
      <c r="I2" s="466"/>
      <c r="J2" s="466"/>
      <c r="K2" s="464"/>
    </row>
    <row r="3" spans="1:11" ht="14.5" thickBot="1" x14ac:dyDescent="0.35">
      <c r="A3" s="332"/>
      <c r="B3" s="331"/>
      <c r="C3" s="331"/>
      <c r="D3" s="331"/>
      <c r="E3" s="331"/>
      <c r="F3" s="331"/>
      <c r="G3" s="331"/>
      <c r="H3" s="331"/>
      <c r="I3" s="5"/>
      <c r="J3" s="5"/>
      <c r="K3" s="23"/>
    </row>
    <row r="4" spans="1:11" ht="14.5" thickBot="1" x14ac:dyDescent="0.35">
      <c r="A4" s="467" t="s">
        <v>85</v>
      </c>
      <c r="B4" s="468"/>
      <c r="C4" s="468"/>
      <c r="D4" s="468"/>
      <c r="E4" s="468"/>
      <c r="F4" s="468"/>
      <c r="G4" s="468"/>
      <c r="H4" s="469"/>
      <c r="I4" s="5"/>
      <c r="J4" s="5"/>
      <c r="K4" s="23"/>
    </row>
    <row r="5" spans="1:11" ht="23" x14ac:dyDescent="0.3">
      <c r="A5" s="106" t="s">
        <v>86</v>
      </c>
      <c r="B5" s="107" t="s">
        <v>87</v>
      </c>
      <c r="C5" s="107" t="s">
        <v>88</v>
      </c>
      <c r="D5" s="107" t="s">
        <v>89</v>
      </c>
      <c r="E5" s="107" t="s">
        <v>90</v>
      </c>
      <c r="F5" s="107" t="s">
        <v>91</v>
      </c>
      <c r="G5" s="108" t="s">
        <v>84</v>
      </c>
      <c r="H5" s="109" t="s">
        <v>92</v>
      </c>
      <c r="I5" s="5"/>
      <c r="J5" s="5"/>
      <c r="K5" s="23"/>
    </row>
    <row r="6" spans="1:11" ht="14.5" thickBot="1" x14ac:dyDescent="0.35">
      <c r="A6" s="84">
        <v>0</v>
      </c>
      <c r="B6" s="103">
        <v>0</v>
      </c>
      <c r="C6" s="103">
        <v>0</v>
      </c>
      <c r="D6" s="103">
        <v>0</v>
      </c>
      <c r="E6" s="103">
        <v>0</v>
      </c>
      <c r="F6" s="103">
        <v>0</v>
      </c>
      <c r="G6" s="103">
        <v>7</v>
      </c>
      <c r="H6" s="104">
        <v>0</v>
      </c>
      <c r="I6" s="5"/>
      <c r="J6" s="5"/>
      <c r="K6" s="23"/>
    </row>
    <row r="7" spans="1:11" ht="14.5" thickBot="1" x14ac:dyDescent="0.35">
      <c r="A7" s="333"/>
      <c r="B7" s="30"/>
      <c r="C7" s="30"/>
      <c r="D7" s="30"/>
      <c r="E7" s="30"/>
      <c r="F7" s="30"/>
      <c r="G7" s="30"/>
      <c r="H7" s="30"/>
      <c r="I7" s="5"/>
      <c r="J7" s="5"/>
      <c r="K7" s="23"/>
    </row>
    <row r="8" spans="1:11" ht="42" customHeight="1" thickBot="1" x14ac:dyDescent="0.35">
      <c r="A8" s="470" t="s">
        <v>440</v>
      </c>
      <c r="B8" s="468"/>
      <c r="C8" s="469"/>
      <c r="D8" s="30"/>
      <c r="E8" s="470" t="s">
        <v>201</v>
      </c>
      <c r="F8" s="468"/>
      <c r="G8" s="469"/>
      <c r="H8" s="30"/>
      <c r="I8" s="470" t="s">
        <v>202</v>
      </c>
      <c r="J8" s="468"/>
      <c r="K8" s="469"/>
    </row>
    <row r="9" spans="1:11" x14ac:dyDescent="0.3">
      <c r="A9" s="202" t="s">
        <v>93</v>
      </c>
      <c r="B9" s="203"/>
      <c r="C9" s="105">
        <v>36</v>
      </c>
      <c r="D9" s="30"/>
      <c r="E9" s="202" t="s">
        <v>93</v>
      </c>
      <c r="F9" s="203"/>
      <c r="G9" s="105">
        <v>14</v>
      </c>
      <c r="H9" s="30"/>
      <c r="I9" s="202" t="s">
        <v>93</v>
      </c>
      <c r="J9" s="203"/>
      <c r="K9" s="105">
        <v>0.15</v>
      </c>
    </row>
    <row r="10" spans="1:11" x14ac:dyDescent="0.3">
      <c r="A10" s="191" t="s">
        <v>94</v>
      </c>
      <c r="B10" s="192"/>
      <c r="C10" s="199">
        <v>110.98</v>
      </c>
      <c r="D10" s="30"/>
      <c r="E10" s="191" t="s">
        <v>113</v>
      </c>
      <c r="F10" s="192"/>
      <c r="G10" s="199">
        <v>136.13999999999999</v>
      </c>
      <c r="H10" s="30"/>
      <c r="I10" s="191" t="s">
        <v>103</v>
      </c>
      <c r="J10" s="192"/>
      <c r="K10" s="199">
        <v>161.47</v>
      </c>
    </row>
    <row r="11" spans="1:11" x14ac:dyDescent="0.3">
      <c r="A11" s="191" t="s">
        <v>95</v>
      </c>
      <c r="B11" s="192"/>
      <c r="C11" s="199">
        <f>18.01528*2</f>
        <v>36.030560000000001</v>
      </c>
      <c r="D11" s="30"/>
      <c r="E11" s="191" t="s">
        <v>95</v>
      </c>
      <c r="F11" s="192"/>
      <c r="G11" s="199">
        <f>18.01528*2</f>
        <v>36.030560000000001</v>
      </c>
      <c r="H11" s="30"/>
      <c r="I11" s="191" t="s">
        <v>101</v>
      </c>
      <c r="J11" s="192"/>
      <c r="K11" s="199">
        <f>18.01528*7</f>
        <v>126.10696</v>
      </c>
    </row>
    <row r="12" spans="1:11" x14ac:dyDescent="0.3">
      <c r="A12" s="193" t="s">
        <v>96</v>
      </c>
      <c r="B12" s="194"/>
      <c r="C12" s="199">
        <f>C10+C11</f>
        <v>147.01056</v>
      </c>
      <c r="D12" s="30"/>
      <c r="E12" s="193" t="s">
        <v>114</v>
      </c>
      <c r="F12" s="194"/>
      <c r="G12" s="199">
        <f>G10+G11</f>
        <v>172.17055999999999</v>
      </c>
      <c r="H12" s="30"/>
      <c r="I12" s="193" t="s">
        <v>102</v>
      </c>
      <c r="J12" s="194"/>
      <c r="K12" s="199">
        <f>K10+K11</f>
        <v>287.57695999999999</v>
      </c>
    </row>
    <row r="13" spans="1:11" x14ac:dyDescent="0.3">
      <c r="A13" s="195" t="s">
        <v>97</v>
      </c>
      <c r="B13" s="196"/>
      <c r="C13" s="200">
        <v>40.078000000000003</v>
      </c>
      <c r="D13" s="30"/>
      <c r="E13" s="195" t="s">
        <v>97</v>
      </c>
      <c r="F13" s="196"/>
      <c r="G13" s="200">
        <v>40.078000000000003</v>
      </c>
      <c r="H13" s="30"/>
      <c r="I13" s="195" t="s">
        <v>104</v>
      </c>
      <c r="J13" s="196"/>
      <c r="K13" s="200">
        <v>65.38</v>
      </c>
    </row>
    <row r="14" spans="1:11" x14ac:dyDescent="0.3">
      <c r="A14" s="195" t="s">
        <v>98</v>
      </c>
      <c r="B14" s="196"/>
      <c r="C14" s="199">
        <v>35.453000000000003</v>
      </c>
      <c r="D14" s="30"/>
      <c r="E14" s="197" t="s">
        <v>105</v>
      </c>
      <c r="F14" s="198"/>
      <c r="G14" s="199">
        <v>96.06</v>
      </c>
      <c r="H14" s="30"/>
      <c r="I14" s="197" t="s">
        <v>105</v>
      </c>
      <c r="J14" s="198"/>
      <c r="K14" s="199">
        <v>96.06</v>
      </c>
    </row>
    <row r="15" spans="1:11" x14ac:dyDescent="0.3">
      <c r="A15" s="197" t="s">
        <v>99</v>
      </c>
      <c r="B15" s="198"/>
      <c r="C15" s="190">
        <f>((C9-B6)*C10)/(C13*1000)</f>
        <v>9.9687609162133844E-2</v>
      </c>
      <c r="D15" s="30"/>
      <c r="E15" s="191" t="s">
        <v>115</v>
      </c>
      <c r="F15" s="192"/>
      <c r="G15" s="190">
        <f>((G9-B6)*G10)/(G13*1000)</f>
        <v>4.7556265282698733E-2</v>
      </c>
      <c r="H15" s="30"/>
      <c r="I15" s="191" t="s">
        <v>106</v>
      </c>
      <c r="J15" s="192"/>
      <c r="K15" s="220">
        <f>((K9-H6)*K10)/(K13*1000)</f>
        <v>3.7045732639951054E-4</v>
      </c>
    </row>
    <row r="16" spans="1:11" x14ac:dyDescent="0.3">
      <c r="A16" s="191" t="s">
        <v>100</v>
      </c>
      <c r="B16" s="192"/>
      <c r="C16" s="201">
        <f>(C12*C15)/C10</f>
        <v>0.13205200259493988</v>
      </c>
      <c r="D16" s="30"/>
      <c r="E16" s="191" t="s">
        <v>116</v>
      </c>
      <c r="F16" s="192"/>
      <c r="G16" s="201">
        <f>(G12*G15)/G10</f>
        <v>6.0142418284345522E-2</v>
      </c>
      <c r="H16" s="30"/>
      <c r="I16" s="191" t="s">
        <v>107</v>
      </c>
      <c r="J16" s="192"/>
      <c r="K16" s="221">
        <f>(K12*K15)/K13</f>
        <v>1.6294737188084886E-3</v>
      </c>
    </row>
    <row r="17" spans="1:14" x14ac:dyDescent="0.3">
      <c r="A17" s="223" t="s">
        <v>117</v>
      </c>
      <c r="B17" s="224"/>
      <c r="C17" s="111">
        <f>(C10*E6+(C15*2*C14*1000))/C10</f>
        <v>63.691202155796205</v>
      </c>
      <c r="D17" s="30"/>
      <c r="E17" s="223" t="s">
        <v>108</v>
      </c>
      <c r="F17" s="224"/>
      <c r="G17" s="111">
        <f>(G10*F6+(G15*G14*1000))/G10</f>
        <v>33.55556664504217</v>
      </c>
      <c r="H17" s="30"/>
      <c r="I17" s="223" t="s">
        <v>108</v>
      </c>
      <c r="J17" s="224"/>
      <c r="K17" s="111">
        <f>(K10*H6+(K15*K14*1000))/K10</f>
        <v>0.22038849801162436</v>
      </c>
    </row>
    <row r="18" spans="1:14" x14ac:dyDescent="0.3">
      <c r="A18" s="193" t="s">
        <v>109</v>
      </c>
      <c r="B18" s="194"/>
      <c r="C18" s="95">
        <f>'4.Dosagem de água'!B33</f>
        <v>355.12084920413218</v>
      </c>
      <c r="D18" s="30"/>
      <c r="E18" s="193" t="s">
        <v>109</v>
      </c>
      <c r="F18" s="219"/>
      <c r="G18" s="95">
        <f>'4.Dosagem de água'!B33</f>
        <v>355.12084920413218</v>
      </c>
      <c r="H18" s="30"/>
      <c r="I18" s="193" t="s">
        <v>111</v>
      </c>
      <c r="J18" s="194"/>
      <c r="K18" s="95">
        <f>'4.Dosagem de água'!B33</f>
        <v>355.12084920413218</v>
      </c>
      <c r="N18" s="8"/>
    </row>
    <row r="19" spans="1:14" ht="14.5" thickBot="1" x14ac:dyDescent="0.35">
      <c r="A19" s="471" t="s">
        <v>286</v>
      </c>
      <c r="B19" s="472"/>
      <c r="C19" s="222">
        <f>C20/C18</f>
        <v>0.13205200259493988</v>
      </c>
      <c r="D19" s="30"/>
      <c r="E19" s="473" t="s">
        <v>286</v>
      </c>
      <c r="F19" s="474"/>
      <c r="G19" s="222">
        <f>G20/G18</f>
        <v>6.0142418284345529E-2</v>
      </c>
      <c r="H19" s="30"/>
      <c r="I19" s="473" t="s">
        <v>287</v>
      </c>
      <c r="J19" s="474"/>
      <c r="K19" s="225">
        <f>K20/K18</f>
        <v>1.6294737188084886E-3</v>
      </c>
      <c r="N19" s="8"/>
    </row>
    <row r="20" spans="1:14" ht="14.5" thickBot="1" x14ac:dyDescent="0.35">
      <c r="A20" s="112" t="s">
        <v>110</v>
      </c>
      <c r="B20" s="113"/>
      <c r="C20" s="114">
        <f>C16*C18</f>
        <v>46.894419300621315</v>
      </c>
      <c r="D20" s="30"/>
      <c r="E20" s="112" t="s">
        <v>110</v>
      </c>
      <c r="F20" s="113"/>
      <c r="G20" s="114">
        <f>G16*G18</f>
        <v>21.35782665432691</v>
      </c>
      <c r="H20" s="30"/>
      <c r="I20" s="112" t="s">
        <v>112</v>
      </c>
      <c r="J20" s="113"/>
      <c r="K20" s="114">
        <f>K16*K18</f>
        <v>0.57866009077908576</v>
      </c>
      <c r="N20" s="17"/>
    </row>
    <row r="21" spans="1:14" ht="14.5" thickBot="1" x14ac:dyDescent="0.35">
      <c r="A21" s="334"/>
      <c r="B21" s="5"/>
      <c r="C21" s="335"/>
      <c r="D21" s="5"/>
      <c r="E21" s="5"/>
      <c r="F21" s="5"/>
      <c r="G21" s="5"/>
      <c r="H21" s="5"/>
      <c r="I21" s="5"/>
      <c r="J21" s="5"/>
      <c r="K21" s="23"/>
    </row>
    <row r="22" spans="1:14" ht="14.5" thickBot="1" x14ac:dyDescent="0.35">
      <c r="A22" s="426" t="s">
        <v>198</v>
      </c>
      <c r="B22" s="427"/>
      <c r="C22" s="427"/>
      <c r="D22" s="427"/>
      <c r="E22" s="427"/>
      <c r="F22" s="427"/>
      <c r="G22" s="427"/>
      <c r="H22" s="427"/>
      <c r="I22" s="427"/>
      <c r="J22" s="428"/>
      <c r="K22" s="23"/>
    </row>
    <row r="23" spans="1:14" ht="14.5" thickBot="1" x14ac:dyDescent="0.35">
      <c r="A23" s="467" t="s">
        <v>203</v>
      </c>
      <c r="B23" s="468"/>
      <c r="C23" s="468"/>
      <c r="D23" s="468"/>
      <c r="E23" s="468"/>
      <c r="F23" s="468"/>
      <c r="G23" s="468"/>
      <c r="H23" s="468"/>
      <c r="I23" s="468"/>
      <c r="J23" s="469"/>
      <c r="K23" s="23"/>
    </row>
    <row r="24" spans="1:14" ht="28" x14ac:dyDescent="0.3">
      <c r="A24" s="100" t="s">
        <v>86</v>
      </c>
      <c r="B24" s="88" t="s">
        <v>87</v>
      </c>
      <c r="C24" s="88" t="s">
        <v>88</v>
      </c>
      <c r="D24" s="88" t="s">
        <v>89</v>
      </c>
      <c r="E24" s="88" t="s">
        <v>90</v>
      </c>
      <c r="F24" s="88" t="s">
        <v>91</v>
      </c>
      <c r="G24" s="115" t="s">
        <v>84</v>
      </c>
      <c r="H24" s="88" t="s">
        <v>92</v>
      </c>
      <c r="I24" s="88" t="s">
        <v>204</v>
      </c>
      <c r="J24" s="116" t="s">
        <v>205</v>
      </c>
      <c r="K24" s="23"/>
    </row>
    <row r="25" spans="1:14" ht="14.5" thickBot="1" x14ac:dyDescent="0.35">
      <c r="A25" s="117">
        <f>A6</f>
        <v>0</v>
      </c>
      <c r="B25" s="118">
        <f>C9+G9</f>
        <v>50</v>
      </c>
      <c r="C25" s="118">
        <v>0</v>
      </c>
      <c r="D25" s="118">
        <v>0</v>
      </c>
      <c r="E25" s="118">
        <f>C17</f>
        <v>63.691202155796205</v>
      </c>
      <c r="F25" s="118">
        <f>G17</f>
        <v>33.55556664504217</v>
      </c>
      <c r="G25" s="118">
        <v>7</v>
      </c>
      <c r="H25" s="118">
        <f>H6+K9</f>
        <v>0.15</v>
      </c>
      <c r="I25" s="119">
        <f>E25/F25</f>
        <v>1.8980815561702509</v>
      </c>
      <c r="J25" s="120">
        <f>F25/E25</f>
        <v>0.5268477514831843</v>
      </c>
      <c r="K25" s="336"/>
    </row>
    <row r="26" spans="1:14" x14ac:dyDescent="0.3">
      <c r="A26" s="10"/>
      <c r="B26" s="10"/>
      <c r="C26" s="15"/>
      <c r="G26" s="8"/>
    </row>
    <row r="27" spans="1:14" x14ac:dyDescent="0.3">
      <c r="A27" s="10"/>
      <c r="B27" s="5"/>
      <c r="C27" s="15"/>
    </row>
    <row r="28" spans="1:14" x14ac:dyDescent="0.3">
      <c r="A28" s="10"/>
      <c r="C28" s="7"/>
    </row>
    <row r="29" spans="1:14" x14ac:dyDescent="0.3">
      <c r="A29" s="10"/>
      <c r="C29" s="16"/>
    </row>
    <row r="30" spans="1:14" x14ac:dyDescent="0.3">
      <c r="A30" s="10"/>
      <c r="C30" s="16"/>
    </row>
    <row r="31" spans="1:14" x14ac:dyDescent="0.3">
      <c r="A31" s="10"/>
      <c r="C31" s="18"/>
    </row>
    <row r="32" spans="1:14" x14ac:dyDescent="0.3">
      <c r="A32" s="10"/>
      <c r="C32" s="19"/>
    </row>
    <row r="33" spans="1:6" x14ac:dyDescent="0.3">
      <c r="A33" s="10"/>
      <c r="C33" s="6"/>
    </row>
    <row r="34" spans="1:6" x14ac:dyDescent="0.3">
      <c r="A34" s="10"/>
      <c r="C34" s="20"/>
      <c r="F34" s="8"/>
    </row>
    <row r="35" spans="1:6" x14ac:dyDescent="0.3">
      <c r="A35" s="10"/>
      <c r="C35" s="21"/>
      <c r="F35" s="17"/>
    </row>
  </sheetData>
  <mergeCells count="11">
    <mergeCell ref="A1:K1"/>
    <mergeCell ref="A2:K2"/>
    <mergeCell ref="A22:J22"/>
    <mergeCell ref="A23:J23"/>
    <mergeCell ref="A4:H4"/>
    <mergeCell ref="A8:C8"/>
    <mergeCell ref="E8:G8"/>
    <mergeCell ref="I8:K8"/>
    <mergeCell ref="A19:B19"/>
    <mergeCell ref="E19:F19"/>
    <mergeCell ref="I19:J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139E5-7C8D-41FC-917D-6BCF4D5A08E6}">
  <dimension ref="A1:E108"/>
  <sheetViews>
    <sheetView zoomScale="70" zoomScaleNormal="70" zoomScaleSheetLayoutView="50" workbookViewId="0">
      <selection sqref="A1:E1"/>
    </sheetView>
  </sheetViews>
  <sheetFormatPr defaultRowHeight="14" x14ac:dyDescent="0.3"/>
  <cols>
    <col min="1" max="1" width="9.33203125" customWidth="1"/>
    <col min="2" max="2" width="60.1640625" customWidth="1"/>
    <col min="3" max="3" width="8.08203125" style="7" bestFit="1" customWidth="1"/>
    <col min="4" max="4" width="8.58203125" style="7"/>
    <col min="5" max="5" width="34.83203125" bestFit="1" customWidth="1"/>
  </cols>
  <sheetData>
    <row r="1" spans="1:5" ht="18.5" thickBot="1" x14ac:dyDescent="0.45">
      <c r="A1" s="492" t="s">
        <v>224</v>
      </c>
      <c r="B1" s="493"/>
      <c r="C1" s="493"/>
      <c r="D1" s="493"/>
      <c r="E1" s="494"/>
    </row>
    <row r="2" spans="1:5" ht="17.5" x14ac:dyDescent="0.3">
      <c r="A2" s="234" t="s">
        <v>227</v>
      </c>
      <c r="B2" s="498" t="s">
        <v>284</v>
      </c>
      <c r="C2" s="498"/>
      <c r="D2" s="498"/>
      <c r="E2" s="499"/>
    </row>
    <row r="3" spans="1:5" ht="17.5" x14ac:dyDescent="0.3">
      <c r="A3" s="235" t="s">
        <v>226</v>
      </c>
      <c r="B3" s="500" t="s">
        <v>472</v>
      </c>
      <c r="C3" s="500"/>
      <c r="D3" s="500"/>
      <c r="E3" s="501"/>
    </row>
    <row r="4" spans="1:5" ht="17.5" x14ac:dyDescent="0.3">
      <c r="A4" s="236" t="s">
        <v>282</v>
      </c>
      <c r="B4" s="504" t="s">
        <v>473</v>
      </c>
      <c r="C4" s="505"/>
      <c r="D4" s="505"/>
      <c r="E4" s="506"/>
    </row>
    <row r="5" spans="1:5" ht="18" thickBot="1" x14ac:dyDescent="0.35">
      <c r="A5" s="237" t="s">
        <v>225</v>
      </c>
      <c r="B5" s="502" t="s">
        <v>474</v>
      </c>
      <c r="C5" s="502"/>
      <c r="D5" s="502"/>
      <c r="E5" s="503"/>
    </row>
    <row r="6" spans="1:5" ht="18.5" thickBot="1" x14ac:dyDescent="0.35">
      <c r="A6" s="495" t="s">
        <v>176</v>
      </c>
      <c r="B6" s="496"/>
      <c r="C6" s="496"/>
      <c r="D6" s="496"/>
      <c r="E6" s="497"/>
    </row>
    <row r="7" spans="1:5" ht="18.5" thickBot="1" x14ac:dyDescent="0.45">
      <c r="A7" s="495" t="s">
        <v>22</v>
      </c>
      <c r="B7" s="496"/>
      <c r="C7" s="238" t="s">
        <v>23</v>
      </c>
      <c r="D7" s="238" t="s">
        <v>208</v>
      </c>
      <c r="E7" s="239" t="s">
        <v>228</v>
      </c>
    </row>
    <row r="8" spans="1:5" ht="18" x14ac:dyDescent="0.4">
      <c r="A8" s="490" t="s">
        <v>157</v>
      </c>
      <c r="B8" s="491"/>
      <c r="C8" s="315">
        <f>'4.Dosagem de água'!B38</f>
        <v>250</v>
      </c>
      <c r="D8" s="315" t="s">
        <v>171</v>
      </c>
      <c r="E8" s="212"/>
    </row>
    <row r="9" spans="1:5" ht="18" x14ac:dyDescent="0.35">
      <c r="A9" s="481" t="s">
        <v>391</v>
      </c>
      <c r="B9" s="482"/>
      <c r="C9" s="316">
        <f>'3.Calculos'!B6</f>
        <v>18.16</v>
      </c>
      <c r="D9" s="311" t="s">
        <v>27</v>
      </c>
      <c r="E9" s="213"/>
    </row>
    <row r="10" spans="1:5" ht="18" x14ac:dyDescent="0.35">
      <c r="A10" s="481" t="s">
        <v>410</v>
      </c>
      <c r="B10" s="482"/>
      <c r="C10" s="316">
        <f>'3.Calculos'!B8</f>
        <v>3</v>
      </c>
      <c r="D10" s="311" t="s">
        <v>27</v>
      </c>
      <c r="E10" s="213"/>
    </row>
    <row r="11" spans="1:5" ht="17.5" x14ac:dyDescent="0.35">
      <c r="A11" s="477" t="s">
        <v>390</v>
      </c>
      <c r="B11" s="478"/>
      <c r="C11" s="317">
        <f>'3.Calculos'!B102</f>
        <v>3.2687999999999988</v>
      </c>
      <c r="D11" s="318" t="s">
        <v>27</v>
      </c>
      <c r="E11" s="213"/>
    </row>
    <row r="12" spans="1:5" ht="17.5" x14ac:dyDescent="0.35">
      <c r="A12" s="477" t="s">
        <v>392</v>
      </c>
      <c r="B12" s="478"/>
      <c r="C12" s="317">
        <f>'3.Calculos'!B101</f>
        <v>4.7216000000000005</v>
      </c>
      <c r="D12" s="318" t="s">
        <v>27</v>
      </c>
      <c r="E12" s="213"/>
    </row>
    <row r="13" spans="1:5" ht="18" x14ac:dyDescent="0.35">
      <c r="A13" s="481" t="s">
        <v>31</v>
      </c>
      <c r="B13" s="482"/>
      <c r="C13" s="311">
        <f>'3.Calculos'!B10</f>
        <v>21</v>
      </c>
      <c r="D13" s="311" t="s">
        <v>0</v>
      </c>
      <c r="E13" s="213"/>
    </row>
    <row r="14" spans="1:5" ht="18" x14ac:dyDescent="0.35">
      <c r="A14" s="481" t="s">
        <v>411</v>
      </c>
      <c r="B14" s="482"/>
      <c r="C14" s="316">
        <f>((C9-C10)*0.4226)/(0.79)</f>
        <v>8.1096405063291126</v>
      </c>
      <c r="D14" s="311" t="s">
        <v>177</v>
      </c>
      <c r="E14" s="213"/>
    </row>
    <row r="15" spans="1:5" ht="17.5" x14ac:dyDescent="0.35">
      <c r="A15" s="477" t="s">
        <v>393</v>
      </c>
      <c r="B15" s="478"/>
      <c r="C15" s="319">
        <f>'3.Calculos'!B103</f>
        <v>7.1886934683544288</v>
      </c>
      <c r="D15" s="320" t="s">
        <v>177</v>
      </c>
      <c r="E15" s="231"/>
    </row>
    <row r="16" spans="1:5" ht="17.5" x14ac:dyDescent="0.35">
      <c r="A16" s="477" t="s">
        <v>394</v>
      </c>
      <c r="B16" s="478"/>
      <c r="C16" s="319">
        <f>'3.Calculos'!B104</f>
        <v>7.9658495189873424</v>
      </c>
      <c r="D16" s="320" t="s">
        <v>177</v>
      </c>
      <c r="E16" s="231"/>
    </row>
    <row r="17" spans="1:5" ht="18" x14ac:dyDescent="0.35">
      <c r="A17" s="481" t="s">
        <v>183</v>
      </c>
      <c r="B17" s="482"/>
      <c r="C17" s="316">
        <f>'3.Calculos'!B9</f>
        <v>9.85</v>
      </c>
      <c r="D17" s="311" t="s">
        <v>16</v>
      </c>
      <c r="E17" s="213"/>
    </row>
    <row r="18" spans="1:5" ht="17.5" x14ac:dyDescent="0.35">
      <c r="A18" s="479" t="s">
        <v>395</v>
      </c>
      <c r="B18" s="480"/>
      <c r="C18" s="319">
        <f>'3.Calculos'!B71</f>
        <v>5.6380465116279073</v>
      </c>
      <c r="D18" s="320" t="s">
        <v>16</v>
      </c>
      <c r="E18" s="231"/>
    </row>
    <row r="19" spans="1:5" ht="18" x14ac:dyDescent="0.35">
      <c r="A19" s="481" t="s">
        <v>402</v>
      </c>
      <c r="B19" s="482"/>
      <c r="C19" s="324">
        <f>'3.Calculos'!B13</f>
        <v>0.7</v>
      </c>
      <c r="D19" s="311" t="s">
        <v>10</v>
      </c>
      <c r="E19" s="213"/>
    </row>
    <row r="20" spans="1:5" ht="18" x14ac:dyDescent="0.35">
      <c r="A20" s="481" t="s">
        <v>36</v>
      </c>
      <c r="B20" s="482"/>
      <c r="C20" s="316">
        <f>'3.Calculos'!B14</f>
        <v>90</v>
      </c>
      <c r="D20" s="311" t="s">
        <v>37</v>
      </c>
      <c r="E20" s="213"/>
    </row>
    <row r="21" spans="1:5" ht="18" x14ac:dyDescent="0.35">
      <c r="A21" s="485" t="s">
        <v>403</v>
      </c>
      <c r="B21" s="486"/>
      <c r="C21" s="325">
        <f>'3.Calculos'!B15</f>
        <v>0.1</v>
      </c>
      <c r="D21" s="311" t="s">
        <v>39</v>
      </c>
      <c r="E21" s="213"/>
    </row>
    <row r="22" spans="1:5" ht="18" thickBot="1" x14ac:dyDescent="0.4">
      <c r="A22" s="483"/>
      <c r="B22" s="484"/>
      <c r="C22" s="322"/>
      <c r="D22" s="321"/>
      <c r="E22" s="214"/>
    </row>
    <row r="23" spans="1:5" ht="18.5" thickBot="1" x14ac:dyDescent="0.35">
      <c r="A23" s="487" t="s">
        <v>184</v>
      </c>
      <c r="B23" s="488"/>
      <c r="C23" s="488"/>
      <c r="D23" s="488"/>
      <c r="E23" s="489"/>
    </row>
    <row r="24" spans="1:5" ht="18.5" thickBot="1" x14ac:dyDescent="0.45">
      <c r="A24" s="495" t="s">
        <v>230</v>
      </c>
      <c r="B24" s="496"/>
      <c r="C24" s="238" t="s">
        <v>209</v>
      </c>
      <c r="D24" s="238" t="s">
        <v>208</v>
      </c>
      <c r="E24" s="239" t="s">
        <v>228</v>
      </c>
    </row>
    <row r="25" spans="1:5" ht="17.5" x14ac:dyDescent="0.35">
      <c r="A25" s="510" t="s">
        <v>178</v>
      </c>
      <c r="B25" s="511"/>
      <c r="C25" s="217">
        <f>'4.Dosagem de água'!B33</f>
        <v>355.12084920413218</v>
      </c>
      <c r="D25" s="208" t="s">
        <v>171</v>
      </c>
      <c r="E25" s="218"/>
    </row>
    <row r="26" spans="1:5" ht="17.5" x14ac:dyDescent="0.35">
      <c r="A26" s="512" t="s">
        <v>185</v>
      </c>
      <c r="B26" s="513"/>
      <c r="C26" s="210">
        <f>SUM('3.Calculos'!D40:D43)</f>
        <v>64.448801254304357</v>
      </c>
      <c r="D26" s="209" t="s">
        <v>181</v>
      </c>
      <c r="E26" s="213"/>
    </row>
    <row r="27" spans="1:5" ht="17.5" x14ac:dyDescent="0.35">
      <c r="A27" s="512" t="s">
        <v>186</v>
      </c>
      <c r="B27" s="513"/>
      <c r="C27" s="210">
        <f>SUM('3.Calculos'!D44:D47)</f>
        <v>17.13195982709356</v>
      </c>
      <c r="D27" s="209" t="s">
        <v>181</v>
      </c>
      <c r="E27" s="213"/>
    </row>
    <row r="28" spans="1:5" ht="17.5" x14ac:dyDescent="0.35">
      <c r="A28" s="512" t="s">
        <v>187</v>
      </c>
      <c r="B28" s="513"/>
      <c r="C28" s="210">
        <f>SUM('3.Calculos'!E88:E94)</f>
        <v>1118.4579550007311</v>
      </c>
      <c r="D28" s="209" t="s">
        <v>182</v>
      </c>
      <c r="E28" s="213"/>
    </row>
    <row r="29" spans="1:5" ht="18" thickBot="1" x14ac:dyDescent="0.4">
      <c r="A29" s="514" t="s">
        <v>231</v>
      </c>
      <c r="B29" s="515"/>
      <c r="C29" s="226">
        <f>'3.Calculos'!B108</f>
        <v>2270</v>
      </c>
      <c r="D29" s="211" t="s">
        <v>229</v>
      </c>
      <c r="E29" s="214"/>
    </row>
    <row r="30" spans="1:5" ht="18.5" thickBot="1" x14ac:dyDescent="0.35">
      <c r="A30" s="495" t="s">
        <v>175</v>
      </c>
      <c r="B30" s="496"/>
      <c r="C30" s="496"/>
      <c r="D30" s="496"/>
      <c r="E30" s="497"/>
    </row>
    <row r="31" spans="1:5" ht="18.5" thickBot="1" x14ac:dyDescent="0.45">
      <c r="A31" s="495" t="s">
        <v>232</v>
      </c>
      <c r="B31" s="496"/>
      <c r="C31" s="238" t="s">
        <v>209</v>
      </c>
      <c r="D31" s="238" t="s">
        <v>208</v>
      </c>
      <c r="E31" s="239" t="s">
        <v>228</v>
      </c>
    </row>
    <row r="32" spans="1:5" ht="17.5" x14ac:dyDescent="0.35">
      <c r="A32" s="233" t="s">
        <v>179</v>
      </c>
      <c r="B32" s="208"/>
      <c r="C32" s="217">
        <f>'4.Dosagem de água'!B30</f>
        <v>230.05774624954211</v>
      </c>
      <c r="D32" s="208" t="s">
        <v>171</v>
      </c>
      <c r="E32" s="218"/>
    </row>
    <row r="33" spans="1:5" ht="17.5" x14ac:dyDescent="0.35">
      <c r="A33" s="204" t="s">
        <v>180</v>
      </c>
      <c r="B33" s="209"/>
      <c r="C33" s="210">
        <f>'4.Dosagem de água'!B32</f>
        <v>125.06310295459008</v>
      </c>
      <c r="D33" s="209" t="s">
        <v>171</v>
      </c>
      <c r="E33" s="213"/>
    </row>
    <row r="34" spans="1:5" ht="17.5" x14ac:dyDescent="0.35">
      <c r="A34" s="475" t="str">
        <f>'3.Calculos'!A40</f>
        <v>Malte / fermentescível com casca 1</v>
      </c>
      <c r="B34" s="476"/>
      <c r="C34" s="210">
        <f>'3.Calculos'!D40</f>
        <v>45.685226205582836</v>
      </c>
      <c r="D34" s="209" t="s">
        <v>181</v>
      </c>
      <c r="E34" s="213"/>
    </row>
    <row r="35" spans="1:5" ht="17.5" x14ac:dyDescent="0.35">
      <c r="A35" s="475" t="str">
        <f>'3.Calculos'!A41</f>
        <v>Malte / fermentescível com casca 2</v>
      </c>
      <c r="B35" s="476"/>
      <c r="C35" s="210">
        <f>'3.Calculos'!D41</f>
        <v>18.76357504872152</v>
      </c>
      <c r="D35" s="209" t="s">
        <v>181</v>
      </c>
      <c r="E35" s="213"/>
    </row>
    <row r="36" spans="1:5" ht="17.5" x14ac:dyDescent="0.35">
      <c r="A36" s="475" t="str">
        <f>'3.Calculos'!A42</f>
        <v>Malte / fermentescível com casca 3</v>
      </c>
      <c r="B36" s="476"/>
      <c r="C36" s="210">
        <f>'3.Calculos'!D42</f>
        <v>0</v>
      </c>
      <c r="D36" s="209" t="s">
        <v>181</v>
      </c>
      <c r="E36" s="213"/>
    </row>
    <row r="37" spans="1:5" ht="17.5" x14ac:dyDescent="0.35">
      <c r="A37" s="475" t="str">
        <f>'3.Calculos'!A43</f>
        <v>Malte / fermentescível com casca 4</v>
      </c>
      <c r="B37" s="476"/>
      <c r="C37" s="210">
        <f>'3.Calculos'!D43</f>
        <v>0</v>
      </c>
      <c r="D37" s="209" t="s">
        <v>181</v>
      </c>
      <c r="E37" s="213"/>
    </row>
    <row r="38" spans="1:5" ht="17.5" x14ac:dyDescent="0.35">
      <c r="A38" s="475" t="str">
        <f>'3.Calculos'!A44</f>
        <v>Fermentescível sem casca 1</v>
      </c>
      <c r="B38" s="476"/>
      <c r="C38" s="210">
        <f>'3.Calculos'!D44</f>
        <v>12.237114162209686</v>
      </c>
      <c r="D38" s="209" t="s">
        <v>181</v>
      </c>
      <c r="E38" s="213"/>
    </row>
    <row r="39" spans="1:5" ht="17.5" x14ac:dyDescent="0.35">
      <c r="A39" s="204" t="str">
        <f>'3.Calculos'!A45</f>
        <v>Fermentescível sem casca 2</v>
      </c>
      <c r="B39" s="209"/>
      <c r="C39" s="210">
        <f>'3.Calculos'!D45</f>
        <v>0</v>
      </c>
      <c r="D39" s="209" t="s">
        <v>181</v>
      </c>
      <c r="E39" s="213"/>
    </row>
    <row r="40" spans="1:5" ht="17.5" x14ac:dyDescent="0.35">
      <c r="A40" s="204" t="str">
        <f>'3.Calculos'!A46</f>
        <v>Fermentescível de fervura 1</v>
      </c>
      <c r="B40" s="209"/>
      <c r="C40" s="210">
        <f>'3.Calculos'!D46</f>
        <v>4.8948456648838743</v>
      </c>
      <c r="D40" s="209" t="s">
        <v>181</v>
      </c>
      <c r="E40" s="213"/>
    </row>
    <row r="41" spans="1:5" ht="17.5" x14ac:dyDescent="0.35">
      <c r="A41" s="204" t="str">
        <f>'3.Calculos'!A47</f>
        <v>Fermentescivel de fervura 2</v>
      </c>
      <c r="B41" s="209"/>
      <c r="C41" s="210">
        <f>'3.Calculos'!D47</f>
        <v>0</v>
      </c>
      <c r="D41" s="209" t="s">
        <v>181</v>
      </c>
      <c r="E41" s="213"/>
    </row>
    <row r="42" spans="1:5" ht="17.5" x14ac:dyDescent="0.35">
      <c r="A42" s="475" t="str">
        <f>'3.Calculos'!A88</f>
        <v>Lúpulo 1</v>
      </c>
      <c r="B42" s="476"/>
      <c r="C42" s="210">
        <f>'3.Calculos'!E88</f>
        <v>102.97945787609058</v>
      </c>
      <c r="D42" s="209" t="s">
        <v>182</v>
      </c>
      <c r="E42" s="213"/>
    </row>
    <row r="43" spans="1:5" ht="17.5" x14ac:dyDescent="0.35">
      <c r="A43" s="475" t="str">
        <f>'3.Calculos'!A89</f>
        <v>Lúpulo 2</v>
      </c>
      <c r="B43" s="476"/>
      <c r="C43" s="210">
        <f>'3.Calculos'!E89</f>
        <v>188.26112336968177</v>
      </c>
      <c r="D43" s="209" t="s">
        <v>182</v>
      </c>
      <c r="E43" s="213"/>
    </row>
    <row r="44" spans="1:5" ht="17.5" x14ac:dyDescent="0.35">
      <c r="A44" s="475" t="str">
        <f>'3.Calculos'!A90</f>
        <v>Lúpulo 3</v>
      </c>
      <c r="B44" s="476"/>
      <c r="C44" s="210">
        <f>'3.Calculos'!E90</f>
        <v>170.04230497906738</v>
      </c>
      <c r="D44" s="209" t="s">
        <v>182</v>
      </c>
      <c r="E44" s="231"/>
    </row>
    <row r="45" spans="1:5" ht="17.5" x14ac:dyDescent="0.35">
      <c r="A45" s="475" t="str">
        <f>'3.Calculos'!A91</f>
        <v>Lúpulo 4</v>
      </c>
      <c r="B45" s="476"/>
      <c r="C45" s="210">
        <f>'3.Calculos'!E91</f>
        <v>169.32263829038274</v>
      </c>
      <c r="D45" s="209" t="s">
        <v>182</v>
      </c>
      <c r="E45" s="231"/>
    </row>
    <row r="46" spans="1:5" ht="17.5" x14ac:dyDescent="0.35">
      <c r="A46" s="475" t="str">
        <f>'3.Calculos'!A92</f>
        <v>Lúpulo 5</v>
      </c>
      <c r="B46" s="476"/>
      <c r="C46" s="210">
        <f>'3.Calculos'!E92</f>
        <v>152.93657652034574</v>
      </c>
      <c r="D46" s="209" t="s">
        <v>182</v>
      </c>
      <c r="E46" s="231"/>
    </row>
    <row r="47" spans="1:5" ht="17.5" x14ac:dyDescent="0.35">
      <c r="A47" s="475" t="str">
        <f>'3.Calculos'!A93</f>
        <v>Lúpulo 6</v>
      </c>
      <c r="B47" s="476"/>
      <c r="C47" s="210">
        <f>'3.Calculos'!E93</f>
        <v>175.97273682915343</v>
      </c>
      <c r="D47" s="209" t="s">
        <v>182</v>
      </c>
      <c r="E47" s="231"/>
    </row>
    <row r="48" spans="1:5" ht="17.5" x14ac:dyDescent="0.35">
      <c r="A48" s="475" t="str">
        <f>'3.Calculos'!A94</f>
        <v>Lupulo 7</v>
      </c>
      <c r="B48" s="476"/>
      <c r="C48" s="210">
        <f>'3.Calculos'!E94</f>
        <v>158.94311713600956</v>
      </c>
      <c r="D48" s="209" t="s">
        <v>182</v>
      </c>
      <c r="E48" s="231"/>
    </row>
    <row r="49" spans="1:5" ht="18" thickBot="1" x14ac:dyDescent="0.4">
      <c r="A49" s="205" t="s">
        <v>289</v>
      </c>
      <c r="B49" s="211"/>
      <c r="C49" s="232">
        <v>1</v>
      </c>
      <c r="D49" s="207" t="s">
        <v>484</v>
      </c>
      <c r="E49" s="214" t="s">
        <v>485</v>
      </c>
    </row>
    <row r="50" spans="1:5" ht="18" thickBot="1" x14ac:dyDescent="0.4">
      <c r="A50" s="121"/>
      <c r="B50" s="121"/>
      <c r="C50" s="122"/>
      <c r="D50" s="121"/>
      <c r="E50" s="123"/>
    </row>
    <row r="51" spans="1:5" ht="18.5" thickBot="1" x14ac:dyDescent="0.45">
      <c r="A51" s="507" t="s">
        <v>305</v>
      </c>
      <c r="B51" s="508"/>
      <c r="C51" s="508"/>
      <c r="D51" s="508"/>
      <c r="E51" s="509"/>
    </row>
    <row r="52" spans="1:5" ht="18.5" thickBot="1" x14ac:dyDescent="0.45">
      <c r="A52" s="240" t="s">
        <v>223</v>
      </c>
      <c r="B52" s="241" t="s">
        <v>210</v>
      </c>
      <c r="C52" s="215" t="s">
        <v>209</v>
      </c>
      <c r="D52" s="215" t="s">
        <v>208</v>
      </c>
      <c r="E52" s="216" t="s">
        <v>233</v>
      </c>
    </row>
    <row r="53" spans="1:5" ht="17.5" x14ac:dyDescent="0.35">
      <c r="A53" s="242"/>
      <c r="B53" s="245" t="s">
        <v>475</v>
      </c>
      <c r="C53" s="229">
        <f>C32</f>
        <v>230.05774624954211</v>
      </c>
      <c r="D53" s="208" t="s">
        <v>171</v>
      </c>
      <c r="E53" s="218"/>
    </row>
    <row r="54" spans="1:5" ht="17.5" x14ac:dyDescent="0.35">
      <c r="A54" s="242"/>
      <c r="B54" s="245" t="s">
        <v>290</v>
      </c>
      <c r="C54" s="217">
        <f>'5.Ajustes Agua'!C19*'6.Receita'!C53</f>
        <v>30.379586104730553</v>
      </c>
      <c r="D54" s="208" t="s">
        <v>182</v>
      </c>
      <c r="E54" s="218"/>
    </row>
    <row r="55" spans="1:5" ht="17.5" x14ac:dyDescent="0.35">
      <c r="A55" s="242"/>
      <c r="B55" s="245" t="s">
        <v>291</v>
      </c>
      <c r="C55" s="217">
        <f>'5.Ajustes Agua'!G19*C53</f>
        <v>13.836229204493785</v>
      </c>
      <c r="D55" s="208" t="s">
        <v>182</v>
      </c>
      <c r="E55" s="218"/>
    </row>
    <row r="56" spans="1:5" ht="17.5" x14ac:dyDescent="0.35">
      <c r="A56" s="242"/>
      <c r="B56" s="245" t="s">
        <v>292</v>
      </c>
      <c r="C56" s="229" t="s">
        <v>293</v>
      </c>
      <c r="D56" s="208" t="s">
        <v>84</v>
      </c>
      <c r="E56" s="218"/>
    </row>
    <row r="57" spans="1:5" ht="17.5" x14ac:dyDescent="0.35">
      <c r="A57" s="243"/>
      <c r="B57" s="246" t="s">
        <v>191</v>
      </c>
      <c r="C57" s="206">
        <v>55</v>
      </c>
      <c r="D57" s="209" t="s">
        <v>188</v>
      </c>
      <c r="E57" s="213"/>
    </row>
    <row r="58" spans="1:5" ht="17.5" x14ac:dyDescent="0.35">
      <c r="A58" s="243"/>
      <c r="B58" s="246" t="s">
        <v>294</v>
      </c>
      <c r="C58" s="210" t="s">
        <v>293</v>
      </c>
      <c r="D58" s="209" t="s">
        <v>181</v>
      </c>
      <c r="E58" s="213"/>
    </row>
    <row r="59" spans="1:5" ht="17.5" x14ac:dyDescent="0.35">
      <c r="A59" s="243"/>
      <c r="B59" s="246" t="s">
        <v>189</v>
      </c>
      <c r="C59" s="206">
        <v>55</v>
      </c>
      <c r="D59" s="209" t="s">
        <v>188</v>
      </c>
      <c r="E59" s="213"/>
    </row>
    <row r="60" spans="1:5" ht="17.5" x14ac:dyDescent="0.35">
      <c r="A60" s="243"/>
      <c r="B60" s="246" t="s">
        <v>295</v>
      </c>
      <c r="C60" s="209" t="s">
        <v>293</v>
      </c>
      <c r="D60" s="209" t="s">
        <v>84</v>
      </c>
      <c r="E60" s="213"/>
    </row>
    <row r="61" spans="1:5" ht="17.5" x14ac:dyDescent="0.35">
      <c r="A61" s="243"/>
      <c r="B61" s="246" t="s">
        <v>190</v>
      </c>
      <c r="C61" s="206">
        <v>5</v>
      </c>
      <c r="D61" s="209" t="s">
        <v>37</v>
      </c>
      <c r="E61" s="213"/>
    </row>
    <row r="62" spans="1:5" ht="17.5" x14ac:dyDescent="0.35">
      <c r="A62" s="243"/>
      <c r="B62" s="246" t="s">
        <v>192</v>
      </c>
      <c r="C62" s="206">
        <v>62</v>
      </c>
      <c r="D62" s="209" t="s">
        <v>188</v>
      </c>
      <c r="E62" s="213"/>
    </row>
    <row r="63" spans="1:5" ht="17.5" x14ac:dyDescent="0.35">
      <c r="A63" s="243"/>
      <c r="B63" s="246" t="s">
        <v>193</v>
      </c>
      <c r="C63" s="206">
        <v>10</v>
      </c>
      <c r="D63" s="209" t="s">
        <v>37</v>
      </c>
      <c r="E63" s="213"/>
    </row>
    <row r="64" spans="1:5" ht="17.5" x14ac:dyDescent="0.35">
      <c r="A64" s="243"/>
      <c r="B64" s="246" t="s">
        <v>296</v>
      </c>
      <c r="C64" s="206">
        <v>72</v>
      </c>
      <c r="D64" s="209" t="s">
        <v>188</v>
      </c>
      <c r="E64" s="213"/>
    </row>
    <row r="65" spans="1:5" ht="17.5" x14ac:dyDescent="0.35">
      <c r="A65" s="243"/>
      <c r="B65" s="246" t="s">
        <v>297</v>
      </c>
      <c r="C65" s="206">
        <v>40</v>
      </c>
      <c r="D65" s="209" t="s">
        <v>37</v>
      </c>
      <c r="E65" s="213"/>
    </row>
    <row r="66" spans="1:5" ht="17.5" x14ac:dyDescent="0.35">
      <c r="A66" s="243"/>
      <c r="B66" s="246" t="s">
        <v>211</v>
      </c>
      <c r="C66" s="206">
        <v>77</v>
      </c>
      <c r="D66" s="209" t="s">
        <v>188</v>
      </c>
      <c r="E66" s="213"/>
    </row>
    <row r="67" spans="1:5" ht="17.5" x14ac:dyDescent="0.35">
      <c r="A67" s="243"/>
      <c r="B67" s="246" t="s">
        <v>212</v>
      </c>
      <c r="C67" s="206">
        <v>5</v>
      </c>
      <c r="D67" s="209" t="s">
        <v>37</v>
      </c>
      <c r="E67" s="213"/>
    </row>
    <row r="68" spans="1:5" ht="17.5" x14ac:dyDescent="0.35">
      <c r="A68" s="243"/>
      <c r="B68" s="246" t="s">
        <v>299</v>
      </c>
      <c r="C68" s="230">
        <f>C33</f>
        <v>125.06310295459008</v>
      </c>
      <c r="D68" s="209" t="s">
        <v>171</v>
      </c>
      <c r="E68" s="213"/>
    </row>
    <row r="69" spans="1:5" ht="17.5" x14ac:dyDescent="0.35">
      <c r="A69" s="243"/>
      <c r="B69" s="245" t="s">
        <v>290</v>
      </c>
      <c r="C69" s="314">
        <f>'5.Ajustes Agua'!C19*'6.Receita'!C68</f>
        <v>16.514833195890763</v>
      </c>
      <c r="D69" s="209" t="s">
        <v>182</v>
      </c>
      <c r="E69" s="213"/>
    </row>
    <row r="70" spans="1:5" ht="17.5" x14ac:dyDescent="0.35">
      <c r="A70" s="243"/>
      <c r="B70" s="245" t="s">
        <v>291</v>
      </c>
      <c r="C70" s="314">
        <f>'5.Ajustes Agua'!G19*C68</f>
        <v>7.5215974498331262</v>
      </c>
      <c r="D70" s="209" t="s">
        <v>182</v>
      </c>
      <c r="E70" s="213"/>
    </row>
    <row r="71" spans="1:5" ht="17.5" x14ac:dyDescent="0.35">
      <c r="A71" s="243"/>
      <c r="B71" s="246" t="s">
        <v>298</v>
      </c>
      <c r="C71" s="209" t="s">
        <v>293</v>
      </c>
      <c r="D71" s="209" t="s">
        <v>84</v>
      </c>
      <c r="E71" s="213"/>
    </row>
    <row r="72" spans="1:5" ht="17.5" x14ac:dyDescent="0.35">
      <c r="A72" s="243"/>
      <c r="B72" s="246" t="s">
        <v>476</v>
      </c>
      <c r="C72" s="206">
        <v>80</v>
      </c>
      <c r="D72" s="209" t="s">
        <v>188</v>
      </c>
      <c r="E72" s="213"/>
    </row>
    <row r="73" spans="1:5" ht="17.5" x14ac:dyDescent="0.35">
      <c r="A73" s="243"/>
      <c r="B73" s="246" t="s">
        <v>477</v>
      </c>
      <c r="C73" s="206">
        <v>78</v>
      </c>
      <c r="D73" s="209" t="s">
        <v>188</v>
      </c>
      <c r="E73" s="213"/>
    </row>
    <row r="74" spans="1:5" ht="17.5" x14ac:dyDescent="0.35">
      <c r="A74" s="243"/>
      <c r="B74" s="246" t="s">
        <v>478</v>
      </c>
      <c r="C74" s="209" t="s">
        <v>293</v>
      </c>
      <c r="D74" s="209" t="s">
        <v>480</v>
      </c>
      <c r="E74" s="213"/>
    </row>
    <row r="75" spans="1:5" ht="17.5" x14ac:dyDescent="0.35">
      <c r="A75" s="243"/>
      <c r="B75" s="246" t="s">
        <v>479</v>
      </c>
      <c r="C75" s="386">
        <v>5</v>
      </c>
      <c r="D75" s="209" t="s">
        <v>37</v>
      </c>
      <c r="E75" s="213"/>
    </row>
    <row r="76" spans="1:5" ht="17.5" x14ac:dyDescent="0.35">
      <c r="A76" s="243"/>
      <c r="B76" s="246" t="s">
        <v>481</v>
      </c>
      <c r="C76" s="209" t="s">
        <v>293</v>
      </c>
      <c r="D76" s="209" t="s">
        <v>480</v>
      </c>
      <c r="E76" s="213"/>
    </row>
    <row r="77" spans="1:5" ht="17.5" x14ac:dyDescent="0.35">
      <c r="A77" s="243"/>
      <c r="B77" s="246" t="s">
        <v>482</v>
      </c>
      <c r="C77" s="209" t="s">
        <v>293</v>
      </c>
      <c r="D77" s="209" t="s">
        <v>480</v>
      </c>
      <c r="E77" s="213"/>
    </row>
    <row r="78" spans="1:5" ht="17.5" x14ac:dyDescent="0.35">
      <c r="A78" s="243"/>
      <c r="B78" s="246" t="s">
        <v>213</v>
      </c>
      <c r="C78" s="206">
        <v>77</v>
      </c>
      <c r="D78" s="209" t="s">
        <v>188</v>
      </c>
      <c r="E78" s="213"/>
    </row>
    <row r="79" spans="1:5" ht="17.5" x14ac:dyDescent="0.35">
      <c r="A79" s="243"/>
      <c r="B79" s="246" t="s">
        <v>399</v>
      </c>
      <c r="C79" s="209">
        <f>'4.Dosagem de água'!B34</f>
        <v>287.5</v>
      </c>
      <c r="D79" s="209" t="s">
        <v>171</v>
      </c>
      <c r="E79" s="213"/>
    </row>
    <row r="80" spans="1:5" ht="17.5" x14ac:dyDescent="0.35">
      <c r="A80" s="243"/>
      <c r="B80" s="246" t="s">
        <v>400</v>
      </c>
      <c r="C80" s="314">
        <f>'4.Dosagem de água'!B36</f>
        <v>15.927323443933894</v>
      </c>
      <c r="D80" s="209" t="s">
        <v>27</v>
      </c>
      <c r="E80" s="213"/>
    </row>
    <row r="81" spans="1:5" ht="17.5" x14ac:dyDescent="0.35">
      <c r="A81" s="243"/>
      <c r="B81" s="246" t="s">
        <v>483</v>
      </c>
      <c r="C81" s="209">
        <v>100</v>
      </c>
      <c r="D81" s="209" t="s">
        <v>188</v>
      </c>
      <c r="E81" s="213"/>
    </row>
    <row r="82" spans="1:5" ht="17.5" x14ac:dyDescent="0.35">
      <c r="A82" s="243"/>
      <c r="B82" s="246" t="s">
        <v>214</v>
      </c>
      <c r="C82" s="230">
        <f>'3.Calculos'!B14</f>
        <v>90</v>
      </c>
      <c r="D82" s="209" t="s">
        <v>37</v>
      </c>
      <c r="E82" s="213"/>
    </row>
    <row r="83" spans="1:5" ht="17.5" x14ac:dyDescent="0.35">
      <c r="A83" s="243"/>
      <c r="B83" s="246" t="s">
        <v>215</v>
      </c>
      <c r="C83" s="209">
        <f>'3.Calculos'!B88</f>
        <v>60</v>
      </c>
      <c r="D83" s="209" t="s">
        <v>37</v>
      </c>
      <c r="E83" s="213"/>
    </row>
    <row r="84" spans="1:5" ht="17.5" x14ac:dyDescent="0.35">
      <c r="A84" s="243"/>
      <c r="B84" s="246" t="str">
        <f>'3.Calculos'!A88</f>
        <v>Lúpulo 1</v>
      </c>
      <c r="C84" s="230">
        <f>'3.Calculos'!E88</f>
        <v>102.97945787609058</v>
      </c>
      <c r="D84" s="209" t="s">
        <v>182</v>
      </c>
      <c r="E84" s="213"/>
    </row>
    <row r="85" spans="1:5" ht="17.5" x14ac:dyDescent="0.35">
      <c r="A85" s="243"/>
      <c r="B85" s="246" t="s">
        <v>217</v>
      </c>
      <c r="C85" s="209">
        <f>'3.Calculos'!B89</f>
        <v>20</v>
      </c>
      <c r="D85" s="209" t="s">
        <v>37</v>
      </c>
      <c r="E85" s="213"/>
    </row>
    <row r="86" spans="1:5" ht="17.5" x14ac:dyDescent="0.35">
      <c r="A86" s="243"/>
      <c r="B86" s="246" t="str">
        <f>'3.Calculos'!A89</f>
        <v>Lúpulo 2</v>
      </c>
      <c r="C86" s="230">
        <f>'3.Calculos'!E89</f>
        <v>188.26112336968177</v>
      </c>
      <c r="D86" s="209" t="s">
        <v>182</v>
      </c>
      <c r="E86" s="213"/>
    </row>
    <row r="87" spans="1:5" ht="17.5" x14ac:dyDescent="0.35">
      <c r="A87" s="243"/>
      <c r="B87" s="246" t="s">
        <v>300</v>
      </c>
      <c r="C87" s="230">
        <f>'3.Calculos'!B90</f>
        <v>20</v>
      </c>
      <c r="D87" s="209" t="s">
        <v>37</v>
      </c>
      <c r="E87" s="213"/>
    </row>
    <row r="88" spans="1:5" ht="17.5" x14ac:dyDescent="0.35">
      <c r="A88" s="243"/>
      <c r="B88" s="246" t="str">
        <f>'3.Calculos'!A90</f>
        <v>Lúpulo 3</v>
      </c>
      <c r="C88" s="230">
        <f>'3.Calculos'!E90</f>
        <v>170.04230497906738</v>
      </c>
      <c r="D88" s="209" t="s">
        <v>182</v>
      </c>
      <c r="E88" s="213"/>
    </row>
    <row r="89" spans="1:5" ht="17.5" x14ac:dyDescent="0.35">
      <c r="A89" s="243"/>
      <c r="B89" s="246" t="s">
        <v>301</v>
      </c>
      <c r="C89" s="230">
        <f>'3.Calculos'!B91</f>
        <v>10</v>
      </c>
      <c r="D89" s="209" t="s">
        <v>37</v>
      </c>
      <c r="E89" s="213"/>
    </row>
    <row r="90" spans="1:5" ht="17.5" x14ac:dyDescent="0.35">
      <c r="A90" s="243"/>
      <c r="B90" s="246" t="str">
        <f>'3.Calculos'!A91</f>
        <v>Lúpulo 4</v>
      </c>
      <c r="C90" s="230">
        <f>'3.Calculos'!E91</f>
        <v>169.32263829038274</v>
      </c>
      <c r="D90" s="209" t="s">
        <v>182</v>
      </c>
      <c r="E90" s="213"/>
    </row>
    <row r="91" spans="1:5" ht="17.5" x14ac:dyDescent="0.35">
      <c r="A91" s="243"/>
      <c r="B91" s="246" t="s">
        <v>302</v>
      </c>
      <c r="C91" s="210">
        <f>'3.Calculos'!B92</f>
        <v>10</v>
      </c>
      <c r="D91" s="209" t="s">
        <v>37</v>
      </c>
      <c r="E91" s="213"/>
    </row>
    <row r="92" spans="1:5" ht="17.5" x14ac:dyDescent="0.35">
      <c r="A92" s="243"/>
      <c r="B92" s="246" t="str">
        <f>'3.Calculos'!A92</f>
        <v>Lúpulo 5</v>
      </c>
      <c r="C92" s="230">
        <f>'3.Calculos'!E92</f>
        <v>152.93657652034574</v>
      </c>
      <c r="D92" s="209" t="s">
        <v>182</v>
      </c>
      <c r="E92" s="213"/>
    </row>
    <row r="93" spans="1:5" ht="17.5" x14ac:dyDescent="0.35">
      <c r="A93" s="243"/>
      <c r="B93" s="246" t="s">
        <v>303</v>
      </c>
      <c r="C93" s="210">
        <f>'3.Calculos'!B93</f>
        <v>5</v>
      </c>
      <c r="D93" s="209" t="s">
        <v>37</v>
      </c>
      <c r="E93" s="213"/>
    </row>
    <row r="94" spans="1:5" ht="17.5" x14ac:dyDescent="0.35">
      <c r="A94" s="243"/>
      <c r="B94" s="246" t="str">
        <f>'3.Calculos'!A93</f>
        <v>Lúpulo 6</v>
      </c>
      <c r="C94" s="230">
        <f>'3.Calculos'!E93</f>
        <v>175.97273682915343</v>
      </c>
      <c r="D94" s="209" t="s">
        <v>182</v>
      </c>
      <c r="E94" s="213"/>
    </row>
    <row r="95" spans="1:5" ht="17.5" x14ac:dyDescent="0.35">
      <c r="A95" s="243"/>
      <c r="B95" s="246" t="s">
        <v>304</v>
      </c>
      <c r="C95" s="210">
        <f>'3.Calculos'!B94</f>
        <v>5</v>
      </c>
      <c r="D95" s="209" t="s">
        <v>37</v>
      </c>
      <c r="E95" s="213"/>
    </row>
    <row r="96" spans="1:5" ht="17.5" x14ac:dyDescent="0.35">
      <c r="A96" s="243"/>
      <c r="B96" s="246" t="str">
        <f>'3.Calculos'!A94</f>
        <v>Lupulo 7</v>
      </c>
      <c r="C96" s="230">
        <f>'3.Calculos'!E94</f>
        <v>158.94311713600956</v>
      </c>
      <c r="D96" s="209" t="s">
        <v>182</v>
      </c>
      <c r="E96" s="213"/>
    </row>
    <row r="97" spans="1:5" ht="17.5" x14ac:dyDescent="0.35">
      <c r="A97" s="243"/>
      <c r="B97" s="246" t="s">
        <v>398</v>
      </c>
      <c r="C97" s="323">
        <v>5</v>
      </c>
      <c r="D97" s="209" t="s">
        <v>37</v>
      </c>
      <c r="E97" s="213"/>
    </row>
    <row r="98" spans="1:5" ht="17.5" x14ac:dyDescent="0.35">
      <c r="A98" s="243"/>
      <c r="B98" s="246" t="s">
        <v>409</v>
      </c>
      <c r="C98" s="323">
        <v>5</v>
      </c>
      <c r="D98" s="209" t="s">
        <v>37</v>
      </c>
      <c r="E98" s="213"/>
    </row>
    <row r="99" spans="1:5" ht="17.5" x14ac:dyDescent="0.35">
      <c r="A99" s="243"/>
      <c r="B99" s="246" t="s">
        <v>396</v>
      </c>
      <c r="C99" s="323">
        <v>5</v>
      </c>
      <c r="D99" s="209" t="s">
        <v>37</v>
      </c>
      <c r="E99" s="213"/>
    </row>
    <row r="100" spans="1:5" ht="17.5" x14ac:dyDescent="0.35">
      <c r="A100" s="243"/>
      <c r="B100" s="246" t="s">
        <v>397</v>
      </c>
      <c r="C100" s="314">
        <f>'5.Ajustes Agua'!K20</f>
        <v>0.57866009077908576</v>
      </c>
      <c r="D100" s="209" t="s">
        <v>182</v>
      </c>
      <c r="E100" s="213"/>
    </row>
    <row r="101" spans="1:5" ht="17.5" x14ac:dyDescent="0.35">
      <c r="A101" s="243"/>
      <c r="B101" s="246" t="s">
        <v>218</v>
      </c>
      <c r="C101" s="323">
        <v>5</v>
      </c>
      <c r="D101" s="209" t="s">
        <v>37</v>
      </c>
      <c r="E101" s="213"/>
    </row>
    <row r="102" spans="1:5" ht="17.5" x14ac:dyDescent="0.35">
      <c r="A102" s="243"/>
      <c r="B102" s="246" t="s">
        <v>219</v>
      </c>
      <c r="C102" s="206">
        <v>20</v>
      </c>
      <c r="D102" s="209" t="s">
        <v>37</v>
      </c>
      <c r="E102" s="213"/>
    </row>
    <row r="103" spans="1:5" ht="17.5" x14ac:dyDescent="0.35">
      <c r="A103" s="243"/>
      <c r="B103" s="246" t="s">
        <v>32</v>
      </c>
      <c r="C103" s="209">
        <f>'4.Dosagem de água'!B38</f>
        <v>250</v>
      </c>
      <c r="D103" s="209" t="s">
        <v>171</v>
      </c>
      <c r="E103" s="213"/>
    </row>
    <row r="104" spans="1:5" ht="17.5" x14ac:dyDescent="0.35">
      <c r="A104" s="243"/>
      <c r="B104" s="246" t="s">
        <v>401</v>
      </c>
      <c r="C104" s="209">
        <f>'4.Dosagem de água'!B40</f>
        <v>18.16</v>
      </c>
      <c r="D104" s="209" t="s">
        <v>27</v>
      </c>
      <c r="E104" s="213"/>
    </row>
    <row r="105" spans="1:5" ht="17.5" x14ac:dyDescent="0.35">
      <c r="A105" s="243"/>
      <c r="B105" s="246" t="s">
        <v>486</v>
      </c>
      <c r="C105" s="206">
        <v>22</v>
      </c>
      <c r="D105" s="209" t="s">
        <v>188</v>
      </c>
      <c r="E105" s="213"/>
    </row>
    <row r="106" spans="1:5" ht="17.5" x14ac:dyDescent="0.35">
      <c r="A106" s="243"/>
      <c r="B106" s="246" t="s">
        <v>220</v>
      </c>
      <c r="C106" s="206">
        <v>16</v>
      </c>
      <c r="D106" s="209" t="s">
        <v>188</v>
      </c>
      <c r="E106" s="213"/>
    </row>
    <row r="107" spans="1:5" ht="17.5" x14ac:dyDescent="0.35">
      <c r="A107" s="243"/>
      <c r="B107" s="246" t="s">
        <v>221</v>
      </c>
      <c r="C107" s="206">
        <v>1</v>
      </c>
      <c r="D107" s="209" t="s">
        <v>216</v>
      </c>
      <c r="E107" s="213"/>
    </row>
    <row r="108" spans="1:5" ht="18" thickBot="1" x14ac:dyDescent="0.4">
      <c r="A108" s="244"/>
      <c r="B108" s="247" t="s">
        <v>222</v>
      </c>
      <c r="C108" s="207">
        <v>18</v>
      </c>
      <c r="D108" s="211" t="s">
        <v>188</v>
      </c>
      <c r="E108" s="214"/>
    </row>
  </sheetData>
  <mergeCells count="44">
    <mergeCell ref="A51:E51"/>
    <mergeCell ref="A24:B24"/>
    <mergeCell ref="A25:B25"/>
    <mergeCell ref="A26:B26"/>
    <mergeCell ref="A27:B27"/>
    <mergeCell ref="A28:B28"/>
    <mergeCell ref="A29:B29"/>
    <mergeCell ref="A30:E30"/>
    <mergeCell ref="A31:B31"/>
    <mergeCell ref="A42:B42"/>
    <mergeCell ref="A43:B43"/>
    <mergeCell ref="A44:B44"/>
    <mergeCell ref="A45:B45"/>
    <mergeCell ref="A46:B46"/>
    <mergeCell ref="A47:B47"/>
    <mergeCell ref="A48:B48"/>
    <mergeCell ref="A8:B8"/>
    <mergeCell ref="A1:E1"/>
    <mergeCell ref="A6:E6"/>
    <mergeCell ref="B2:E2"/>
    <mergeCell ref="B3:E3"/>
    <mergeCell ref="B5:E5"/>
    <mergeCell ref="A7:B7"/>
    <mergeCell ref="B4:E4"/>
    <mergeCell ref="A9:B9"/>
    <mergeCell ref="A10:B10"/>
    <mergeCell ref="A13:B13"/>
    <mergeCell ref="A14:B14"/>
    <mergeCell ref="A17:B17"/>
    <mergeCell ref="A38:B38"/>
    <mergeCell ref="A34:B34"/>
    <mergeCell ref="A36:B36"/>
    <mergeCell ref="A37:B37"/>
    <mergeCell ref="A11:B11"/>
    <mergeCell ref="A12:B12"/>
    <mergeCell ref="A16:B16"/>
    <mergeCell ref="A15:B15"/>
    <mergeCell ref="A18:B18"/>
    <mergeCell ref="A19:B19"/>
    <mergeCell ref="A22:B22"/>
    <mergeCell ref="A20:B20"/>
    <mergeCell ref="A21:B21"/>
    <mergeCell ref="A23:E23"/>
    <mergeCell ref="A35:B35"/>
  </mergeCells>
  <pageMargins left="0.7" right="0.7" top="0.75" bottom="0.75" header="0.3" footer="0.3"/>
  <pageSetup paperSize="9" scale="64" orientation="portrait" r:id="rId1"/>
  <rowBreaks count="1" manualBreakCount="1">
    <brk id="50" max="16383" man="1"/>
  </rowBreaks>
  <colBreaks count="1" manualBreakCount="1">
    <brk id="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8067C-85BF-4A5C-AC26-153B6ADD51D9}">
  <dimension ref="A1:C114"/>
  <sheetViews>
    <sheetView zoomScale="80" zoomScaleNormal="80" zoomScaleSheetLayoutView="40" workbookViewId="0">
      <selection activeCell="A81" sqref="A81"/>
    </sheetView>
  </sheetViews>
  <sheetFormatPr defaultRowHeight="14" x14ac:dyDescent="0.3"/>
  <cols>
    <col min="1" max="1" width="52.58203125" customWidth="1"/>
    <col min="2" max="2" width="11.58203125" style="7" bestFit="1" customWidth="1"/>
    <col min="3" max="3" width="53.33203125" bestFit="1" customWidth="1"/>
  </cols>
  <sheetData>
    <row r="1" spans="1:3" ht="14.5" thickBot="1" x14ac:dyDescent="0.35">
      <c r="A1" s="516" t="s">
        <v>207</v>
      </c>
      <c r="B1" s="517"/>
      <c r="C1" s="518"/>
    </row>
    <row r="2" spans="1:3" ht="14.5" thickBot="1" x14ac:dyDescent="0.35">
      <c r="A2" s="249" t="s">
        <v>169</v>
      </c>
      <c r="B2" s="250" t="s">
        <v>306</v>
      </c>
      <c r="C2" s="251" t="s">
        <v>307</v>
      </c>
    </row>
    <row r="3" spans="1:3" ht="28" x14ac:dyDescent="0.3">
      <c r="A3" s="270" t="s">
        <v>363</v>
      </c>
      <c r="B3" s="254"/>
      <c r="C3" s="255"/>
    </row>
    <row r="4" spans="1:3" x14ac:dyDescent="0.3">
      <c r="A4" s="271" t="s">
        <v>368</v>
      </c>
      <c r="B4" s="274"/>
      <c r="C4" s="275"/>
    </row>
    <row r="5" spans="1:3" x14ac:dyDescent="0.3">
      <c r="A5" s="271" t="s">
        <v>365</v>
      </c>
      <c r="B5" s="274"/>
      <c r="C5" s="275"/>
    </row>
    <row r="6" spans="1:3" x14ac:dyDescent="0.3">
      <c r="A6" s="271" t="s">
        <v>366</v>
      </c>
      <c r="B6" s="274"/>
      <c r="C6" s="275"/>
    </row>
    <row r="7" spans="1:3" x14ac:dyDescent="0.3">
      <c r="A7" s="271" t="s">
        <v>367</v>
      </c>
      <c r="B7" s="274"/>
      <c r="C7" s="275"/>
    </row>
    <row r="8" spans="1:3" ht="28" x14ac:dyDescent="0.3">
      <c r="A8" s="272" t="s">
        <v>415</v>
      </c>
      <c r="B8" s="274"/>
      <c r="C8" s="275"/>
    </row>
    <row r="9" spans="1:3" ht="28" x14ac:dyDescent="0.3">
      <c r="A9" s="272" t="s">
        <v>370</v>
      </c>
      <c r="B9" s="274"/>
      <c r="C9" s="275"/>
    </row>
    <row r="10" spans="1:3" x14ac:dyDescent="0.3">
      <c r="A10" s="271" t="s">
        <v>371</v>
      </c>
      <c r="B10" s="274"/>
      <c r="C10" s="275"/>
    </row>
    <row r="11" spans="1:3" ht="28" x14ac:dyDescent="0.3">
      <c r="A11" s="272" t="s">
        <v>369</v>
      </c>
      <c r="B11" s="274"/>
      <c r="C11" s="275"/>
    </row>
    <row r="12" spans="1:3" ht="28" x14ac:dyDescent="0.3">
      <c r="A12" s="272" t="s">
        <v>375</v>
      </c>
      <c r="B12" s="274"/>
      <c r="C12" s="275"/>
    </row>
    <row r="13" spans="1:3" x14ac:dyDescent="0.3">
      <c r="A13" s="273" t="s">
        <v>372</v>
      </c>
      <c r="B13" s="256"/>
      <c r="C13" s="257"/>
    </row>
    <row r="14" spans="1:3" x14ac:dyDescent="0.3">
      <c r="A14" s="273" t="s">
        <v>373</v>
      </c>
      <c r="B14" s="256"/>
      <c r="C14" s="257"/>
    </row>
    <row r="15" spans="1:3" x14ac:dyDescent="0.3">
      <c r="A15" s="273" t="s">
        <v>374</v>
      </c>
      <c r="B15" s="256"/>
      <c r="C15" s="257"/>
    </row>
    <row r="16" spans="1:3" ht="14.5" thickBot="1" x14ac:dyDescent="0.35">
      <c r="A16" s="273" t="s">
        <v>376</v>
      </c>
      <c r="B16" s="256"/>
      <c r="C16" s="257"/>
    </row>
    <row r="17" spans="1:3" x14ac:dyDescent="0.3">
      <c r="A17" s="252" t="s">
        <v>364</v>
      </c>
      <c r="B17" s="254"/>
      <c r="C17" s="255"/>
    </row>
    <row r="18" spans="1:3" x14ac:dyDescent="0.3">
      <c r="A18" s="268" t="s">
        <v>332</v>
      </c>
      <c r="B18" s="256"/>
      <c r="C18" s="257"/>
    </row>
    <row r="19" spans="1:3" x14ac:dyDescent="0.3">
      <c r="A19" s="268" t="s">
        <v>333</v>
      </c>
      <c r="B19" s="256"/>
      <c r="C19" s="257"/>
    </row>
    <row r="20" spans="1:3" x14ac:dyDescent="0.3">
      <c r="A20" s="268" t="s">
        <v>335</v>
      </c>
      <c r="B20" s="258"/>
      <c r="C20" s="259"/>
    </row>
    <row r="21" spans="1:3" x14ac:dyDescent="0.3">
      <c r="A21" s="268" t="s">
        <v>334</v>
      </c>
      <c r="B21" s="256"/>
      <c r="C21" s="257"/>
    </row>
    <row r="22" spans="1:3" ht="28" x14ac:dyDescent="0.3">
      <c r="A22" s="268" t="s">
        <v>336</v>
      </c>
      <c r="B22" s="256"/>
      <c r="C22" s="260"/>
    </row>
    <row r="23" spans="1:3" ht="42" x14ac:dyDescent="0.3">
      <c r="A23" s="268" t="s">
        <v>343</v>
      </c>
      <c r="B23" s="266"/>
      <c r="C23" s="267"/>
    </row>
    <row r="24" spans="1:3" x14ac:dyDescent="0.3">
      <c r="A24" s="268" t="s">
        <v>337</v>
      </c>
      <c r="B24" s="266"/>
      <c r="C24" s="267"/>
    </row>
    <row r="25" spans="1:3" ht="28" x14ac:dyDescent="0.3">
      <c r="A25" s="268" t="s">
        <v>338</v>
      </c>
      <c r="B25" s="266"/>
      <c r="C25" s="267"/>
    </row>
    <row r="26" spans="1:3" x14ac:dyDescent="0.3">
      <c r="A26" s="268" t="s">
        <v>341</v>
      </c>
      <c r="B26" s="266"/>
      <c r="C26" s="267"/>
    </row>
    <row r="27" spans="1:3" ht="42" x14ac:dyDescent="0.3">
      <c r="A27" s="268" t="s">
        <v>344</v>
      </c>
      <c r="B27" s="266"/>
      <c r="C27" s="267"/>
    </row>
    <row r="28" spans="1:3" x14ac:dyDescent="0.3">
      <c r="A28" s="268" t="s">
        <v>339</v>
      </c>
      <c r="B28" s="266"/>
      <c r="C28" s="267"/>
    </row>
    <row r="29" spans="1:3" ht="28" x14ac:dyDescent="0.3">
      <c r="A29" s="268" t="s">
        <v>340</v>
      </c>
      <c r="B29" s="266"/>
      <c r="C29" s="267"/>
    </row>
    <row r="30" spans="1:3" x14ac:dyDescent="0.3">
      <c r="A30" s="268" t="s">
        <v>342</v>
      </c>
      <c r="B30" s="266"/>
      <c r="C30" s="267"/>
    </row>
    <row r="31" spans="1:3" ht="42" x14ac:dyDescent="0.3">
      <c r="A31" s="268" t="s">
        <v>345</v>
      </c>
      <c r="B31" s="266"/>
      <c r="C31" s="267"/>
    </row>
    <row r="32" spans="1:3" ht="28" x14ac:dyDescent="0.3">
      <c r="A32" s="268" t="s">
        <v>346</v>
      </c>
      <c r="B32" s="266"/>
      <c r="C32" s="267"/>
    </row>
    <row r="33" spans="1:3" x14ac:dyDescent="0.3">
      <c r="A33" s="268" t="s">
        <v>342</v>
      </c>
      <c r="B33" s="266"/>
      <c r="C33" s="267"/>
    </row>
    <row r="34" spans="1:3" x14ac:dyDescent="0.3">
      <c r="A34" s="268" t="s">
        <v>347</v>
      </c>
      <c r="B34" s="266"/>
      <c r="C34" s="267"/>
    </row>
    <row r="35" spans="1:3" ht="28" x14ac:dyDescent="0.3">
      <c r="A35" s="269" t="s">
        <v>348</v>
      </c>
      <c r="B35" s="266"/>
      <c r="C35" s="267"/>
    </row>
    <row r="36" spans="1:3" ht="28" x14ac:dyDescent="0.3">
      <c r="A36" s="269" t="s">
        <v>349</v>
      </c>
      <c r="B36" s="266"/>
      <c r="C36" s="267"/>
    </row>
    <row r="37" spans="1:3" ht="28" x14ac:dyDescent="0.3">
      <c r="A37" s="269" t="s">
        <v>350</v>
      </c>
      <c r="B37" s="266"/>
      <c r="C37" s="267"/>
    </row>
    <row r="38" spans="1:3" ht="28" x14ac:dyDescent="0.3">
      <c r="A38" s="269" t="s">
        <v>351</v>
      </c>
      <c r="B38" s="266"/>
      <c r="C38" s="267"/>
    </row>
    <row r="39" spans="1:3" ht="28" x14ac:dyDescent="0.3">
      <c r="A39" s="269" t="s">
        <v>356</v>
      </c>
      <c r="B39" s="266"/>
      <c r="C39" s="267"/>
    </row>
    <row r="40" spans="1:3" ht="28" x14ac:dyDescent="0.3">
      <c r="A40" s="269" t="s">
        <v>352</v>
      </c>
      <c r="B40" s="266"/>
      <c r="C40" s="267"/>
    </row>
    <row r="41" spans="1:3" ht="28" x14ac:dyDescent="0.3">
      <c r="A41" s="269" t="s">
        <v>353</v>
      </c>
      <c r="B41" s="266"/>
      <c r="C41" s="267"/>
    </row>
    <row r="42" spans="1:3" x14ac:dyDescent="0.3">
      <c r="A42" s="269" t="s">
        <v>354</v>
      </c>
      <c r="B42" s="266"/>
      <c r="C42" s="267"/>
    </row>
    <row r="43" spans="1:3" ht="28" x14ac:dyDescent="0.3">
      <c r="A43" s="269" t="s">
        <v>355</v>
      </c>
      <c r="B43" s="266"/>
      <c r="C43" s="267"/>
    </row>
    <row r="44" spans="1:3" ht="28" x14ac:dyDescent="0.3">
      <c r="A44" s="269" t="s">
        <v>357</v>
      </c>
      <c r="B44" s="266"/>
      <c r="C44" s="267"/>
    </row>
    <row r="45" spans="1:3" x14ac:dyDescent="0.3">
      <c r="A45" s="269" t="s">
        <v>358</v>
      </c>
      <c r="B45" s="266"/>
      <c r="C45" s="267"/>
    </row>
    <row r="46" spans="1:3" ht="28" x14ac:dyDescent="0.3">
      <c r="A46" s="268" t="s">
        <v>359</v>
      </c>
      <c r="B46" s="256"/>
      <c r="C46" s="260"/>
    </row>
    <row r="47" spans="1:3" ht="42" x14ac:dyDescent="0.3">
      <c r="A47" s="269" t="s">
        <v>360</v>
      </c>
      <c r="B47" s="266"/>
      <c r="C47" s="267"/>
    </row>
    <row r="48" spans="1:3" ht="42" x14ac:dyDescent="0.3">
      <c r="A48" s="269" t="s">
        <v>361</v>
      </c>
      <c r="B48" s="266"/>
      <c r="C48" s="267"/>
    </row>
    <row r="49" spans="1:3" x14ac:dyDescent="0.3">
      <c r="A49" s="269" t="s">
        <v>362</v>
      </c>
      <c r="B49" s="266"/>
      <c r="C49" s="267"/>
    </row>
    <row r="50" spans="1:3" ht="28.5" thickBot="1" x14ac:dyDescent="0.35">
      <c r="A50" s="269" t="s">
        <v>357</v>
      </c>
      <c r="B50" s="266"/>
      <c r="C50" s="267"/>
    </row>
    <row r="51" spans="1:3" x14ac:dyDescent="0.3">
      <c r="A51" s="252" t="s">
        <v>308</v>
      </c>
      <c r="B51" s="254"/>
      <c r="C51" s="255"/>
    </row>
    <row r="52" spans="1:3" x14ac:dyDescent="0.3">
      <c r="A52" s="110" t="s">
        <v>309</v>
      </c>
      <c r="B52" s="256"/>
      <c r="C52" s="257"/>
    </row>
    <row r="53" spans="1:3" x14ac:dyDescent="0.3">
      <c r="A53" s="110" t="s">
        <v>310</v>
      </c>
      <c r="B53" s="258"/>
      <c r="C53" s="259"/>
    </row>
    <row r="54" spans="1:3" x14ac:dyDescent="0.3">
      <c r="A54" s="110" t="s">
        <v>413</v>
      </c>
      <c r="B54" s="256"/>
      <c r="C54" s="257"/>
    </row>
    <row r="55" spans="1:3" x14ac:dyDescent="0.3">
      <c r="A55" s="110" t="s">
        <v>311</v>
      </c>
      <c r="B55" s="256"/>
      <c r="C55" s="260"/>
    </row>
    <row r="56" spans="1:3" x14ac:dyDescent="0.3">
      <c r="A56" s="110" t="s">
        <v>414</v>
      </c>
      <c r="B56" s="266"/>
      <c r="C56" s="267"/>
    </row>
    <row r="57" spans="1:3" x14ac:dyDescent="0.3">
      <c r="A57" s="265" t="s">
        <v>312</v>
      </c>
      <c r="B57" s="266"/>
      <c r="C57" s="267"/>
    </row>
    <row r="58" spans="1:3" x14ac:dyDescent="0.3">
      <c r="A58" s="265" t="s">
        <v>313</v>
      </c>
      <c r="B58" s="266"/>
      <c r="C58" s="267"/>
    </row>
    <row r="59" spans="1:3" ht="14.5" thickBot="1" x14ac:dyDescent="0.35">
      <c r="A59" s="253" t="s">
        <v>314</v>
      </c>
      <c r="B59" s="261"/>
      <c r="C59" s="262"/>
    </row>
    <row r="60" spans="1:3" x14ac:dyDescent="0.3">
      <c r="A60" s="252" t="s">
        <v>138</v>
      </c>
      <c r="B60" s="254"/>
      <c r="C60" s="255"/>
    </row>
    <row r="61" spans="1:3" x14ac:dyDescent="0.3">
      <c r="A61" s="110" t="s">
        <v>316</v>
      </c>
      <c r="B61" s="256"/>
      <c r="C61" s="257"/>
    </row>
    <row r="62" spans="1:3" x14ac:dyDescent="0.3">
      <c r="A62" s="110" t="s">
        <v>139</v>
      </c>
      <c r="B62" s="256"/>
      <c r="C62" s="257"/>
    </row>
    <row r="63" spans="1:3" x14ac:dyDescent="0.3">
      <c r="A63" s="110" t="s">
        <v>170</v>
      </c>
      <c r="B63" s="258"/>
      <c r="C63" s="259"/>
    </row>
    <row r="64" spans="1:3" x14ac:dyDescent="0.3">
      <c r="A64" s="110" t="s">
        <v>140</v>
      </c>
      <c r="B64" s="256"/>
      <c r="C64" s="257"/>
    </row>
    <row r="65" spans="1:3" x14ac:dyDescent="0.3">
      <c r="A65" s="110" t="s">
        <v>149</v>
      </c>
      <c r="B65" s="256"/>
      <c r="C65" s="260"/>
    </row>
    <row r="66" spans="1:3" x14ac:dyDescent="0.3">
      <c r="A66" s="265" t="s">
        <v>315</v>
      </c>
      <c r="B66" s="266"/>
      <c r="C66" s="267"/>
    </row>
    <row r="67" spans="1:3" ht="14.5" thickBot="1" x14ac:dyDescent="0.35">
      <c r="A67" s="253" t="s">
        <v>141</v>
      </c>
      <c r="B67" s="261"/>
      <c r="C67" s="262"/>
    </row>
    <row r="68" spans="1:3" x14ac:dyDescent="0.3">
      <c r="A68" s="252" t="s">
        <v>142</v>
      </c>
      <c r="B68" s="254"/>
      <c r="C68" s="255"/>
    </row>
    <row r="69" spans="1:3" x14ac:dyDescent="0.3">
      <c r="A69" s="110" t="s">
        <v>317</v>
      </c>
      <c r="B69" s="256"/>
      <c r="C69" s="257"/>
    </row>
    <row r="70" spans="1:3" x14ac:dyDescent="0.3">
      <c r="A70" s="110" t="s">
        <v>147</v>
      </c>
      <c r="B70" s="256"/>
      <c r="C70" s="257"/>
    </row>
    <row r="71" spans="1:3" x14ac:dyDescent="0.3">
      <c r="A71" s="110" t="s">
        <v>170</v>
      </c>
      <c r="B71" s="258"/>
      <c r="C71" s="259"/>
    </row>
    <row r="72" spans="1:3" x14ac:dyDescent="0.3">
      <c r="A72" s="110" t="s">
        <v>148</v>
      </c>
      <c r="B72" s="256"/>
      <c r="C72" s="257"/>
    </row>
    <row r="73" spans="1:3" x14ac:dyDescent="0.3">
      <c r="A73" s="110" t="s">
        <v>150</v>
      </c>
      <c r="B73" s="256"/>
      <c r="C73" s="257"/>
    </row>
    <row r="74" spans="1:3" x14ac:dyDescent="0.3">
      <c r="A74" s="110" t="s">
        <v>159</v>
      </c>
      <c r="B74" s="256"/>
      <c r="C74" s="260"/>
    </row>
    <row r="75" spans="1:3" x14ac:dyDescent="0.3">
      <c r="A75" s="110" t="s">
        <v>174</v>
      </c>
      <c r="B75" s="258"/>
      <c r="C75" s="260"/>
    </row>
    <row r="76" spans="1:3" x14ac:dyDescent="0.3">
      <c r="A76" s="110" t="s">
        <v>144</v>
      </c>
      <c r="B76" s="258"/>
      <c r="C76" s="260"/>
    </row>
    <row r="77" spans="1:3" x14ac:dyDescent="0.3">
      <c r="A77" s="110" t="s">
        <v>143</v>
      </c>
      <c r="B77" s="256"/>
      <c r="C77" s="260"/>
    </row>
    <row r="78" spans="1:3" x14ac:dyDescent="0.3">
      <c r="A78" s="110" t="s">
        <v>145</v>
      </c>
      <c r="B78" s="256"/>
      <c r="C78" s="260"/>
    </row>
    <row r="79" spans="1:3" x14ac:dyDescent="0.3">
      <c r="A79" s="265" t="s">
        <v>319</v>
      </c>
      <c r="B79" s="266"/>
      <c r="C79" s="267"/>
    </row>
    <row r="80" spans="1:3" x14ac:dyDescent="0.3">
      <c r="A80" s="265" t="s">
        <v>318</v>
      </c>
      <c r="B80" s="266"/>
      <c r="C80" s="267"/>
    </row>
    <row r="81" spans="1:3" ht="14.5" thickBot="1" x14ac:dyDescent="0.35">
      <c r="A81" s="253" t="s">
        <v>322</v>
      </c>
      <c r="B81" s="261"/>
      <c r="C81" s="262"/>
    </row>
    <row r="82" spans="1:3" ht="14.5" thickBot="1" x14ac:dyDescent="0.35">
      <c r="A82" s="253" t="s">
        <v>146</v>
      </c>
      <c r="B82" s="261"/>
      <c r="C82" s="263"/>
    </row>
    <row r="83" spans="1:3" x14ac:dyDescent="0.3">
      <c r="A83" s="252" t="s">
        <v>154</v>
      </c>
      <c r="B83" s="254"/>
      <c r="C83" s="255"/>
    </row>
    <row r="84" spans="1:3" x14ac:dyDescent="0.3">
      <c r="A84" s="110" t="s">
        <v>172</v>
      </c>
      <c r="B84" s="256"/>
      <c r="C84" s="257"/>
    </row>
    <row r="85" spans="1:3" x14ac:dyDescent="0.3">
      <c r="A85" s="110" t="s">
        <v>170</v>
      </c>
      <c r="B85" s="258"/>
      <c r="C85" s="259"/>
    </row>
    <row r="86" spans="1:3" x14ac:dyDescent="0.3">
      <c r="A86" s="110" t="s">
        <v>173</v>
      </c>
      <c r="B86" s="258"/>
      <c r="C86" s="259"/>
    </row>
    <row r="87" spans="1:3" x14ac:dyDescent="0.3">
      <c r="A87" s="110" t="s">
        <v>321</v>
      </c>
      <c r="B87" s="258"/>
      <c r="C87" s="259"/>
    </row>
    <row r="88" spans="1:3" x14ac:dyDescent="0.3">
      <c r="A88" s="110" t="s">
        <v>151</v>
      </c>
      <c r="B88" s="256"/>
      <c r="C88" s="260"/>
    </row>
    <row r="89" spans="1:3" x14ac:dyDescent="0.3">
      <c r="A89" s="110" t="s">
        <v>152</v>
      </c>
      <c r="B89" s="256"/>
      <c r="C89" s="260"/>
    </row>
    <row r="90" spans="1:3" x14ac:dyDescent="0.3">
      <c r="A90" s="110" t="s">
        <v>153</v>
      </c>
      <c r="B90" s="256"/>
      <c r="C90" s="260"/>
    </row>
    <row r="91" spans="1:3" x14ac:dyDescent="0.3">
      <c r="A91" s="110" t="s">
        <v>320</v>
      </c>
      <c r="B91" s="256"/>
      <c r="C91" s="260"/>
    </row>
    <row r="92" spans="1:3" x14ac:dyDescent="0.3">
      <c r="A92" s="110" t="s">
        <v>155</v>
      </c>
      <c r="B92" s="256"/>
      <c r="C92" s="260"/>
    </row>
    <row r="93" spans="1:3" x14ac:dyDescent="0.3">
      <c r="A93" s="110" t="s">
        <v>156</v>
      </c>
      <c r="B93" s="256"/>
      <c r="C93" s="260"/>
    </row>
    <row r="94" spans="1:3" x14ac:dyDescent="0.3">
      <c r="A94" s="265" t="s">
        <v>323</v>
      </c>
      <c r="B94" s="266"/>
      <c r="C94" s="267"/>
    </row>
    <row r="95" spans="1:3" x14ac:dyDescent="0.3">
      <c r="A95" s="265" t="s">
        <v>324</v>
      </c>
      <c r="B95" s="266"/>
      <c r="C95" s="267"/>
    </row>
    <row r="96" spans="1:3" x14ac:dyDescent="0.3">
      <c r="A96" s="110" t="s">
        <v>157</v>
      </c>
      <c r="B96" s="256"/>
      <c r="C96" s="260"/>
    </row>
    <row r="97" spans="1:3" ht="14.5" thickBot="1" x14ac:dyDescent="0.35">
      <c r="A97" s="253" t="s">
        <v>330</v>
      </c>
      <c r="B97" s="261"/>
      <c r="C97" s="263"/>
    </row>
    <row r="98" spans="1:3" x14ac:dyDescent="0.3">
      <c r="A98" s="264" t="s">
        <v>160</v>
      </c>
      <c r="B98" s="254"/>
      <c r="C98" s="255"/>
    </row>
    <row r="99" spans="1:3" x14ac:dyDescent="0.3">
      <c r="A99" s="110" t="s">
        <v>161</v>
      </c>
      <c r="B99" s="256"/>
      <c r="C99" s="260"/>
    </row>
    <row r="100" spans="1:3" x14ac:dyDescent="0.3">
      <c r="A100" s="110" t="s">
        <v>325</v>
      </c>
      <c r="B100" s="256"/>
      <c r="C100" s="260"/>
    </row>
    <row r="101" spans="1:3" x14ac:dyDescent="0.3">
      <c r="A101" s="110" t="s">
        <v>326</v>
      </c>
      <c r="B101" s="256"/>
      <c r="C101" s="260"/>
    </row>
    <row r="102" spans="1:3" x14ac:dyDescent="0.3">
      <c r="A102" s="110" t="s">
        <v>327</v>
      </c>
      <c r="B102" s="256"/>
      <c r="C102" s="260"/>
    </row>
    <row r="103" spans="1:3" x14ac:dyDescent="0.3">
      <c r="A103" s="110" t="s">
        <v>328</v>
      </c>
      <c r="B103" s="256"/>
      <c r="C103" s="260"/>
    </row>
    <row r="104" spans="1:3" x14ac:dyDescent="0.3">
      <c r="A104" s="110" t="s">
        <v>329</v>
      </c>
      <c r="B104" s="256"/>
      <c r="C104" s="260"/>
    </row>
    <row r="105" spans="1:3" x14ac:dyDescent="0.3">
      <c r="A105" s="110" t="s">
        <v>162</v>
      </c>
      <c r="B105" s="256"/>
      <c r="C105" s="260"/>
    </row>
    <row r="106" spans="1:3" x14ac:dyDescent="0.3">
      <c r="A106" s="110" t="s">
        <v>163</v>
      </c>
      <c r="B106" s="256"/>
      <c r="C106" s="260"/>
    </row>
    <row r="107" spans="1:3" x14ac:dyDescent="0.3">
      <c r="A107" s="110" t="s">
        <v>164</v>
      </c>
      <c r="B107" s="256"/>
      <c r="C107" s="260"/>
    </row>
    <row r="108" spans="1:3" x14ac:dyDescent="0.3">
      <c r="A108" s="265" t="s">
        <v>165</v>
      </c>
      <c r="B108" s="266"/>
      <c r="C108" s="267"/>
    </row>
    <row r="109" spans="1:3" ht="14.5" thickBot="1" x14ac:dyDescent="0.35">
      <c r="A109" s="253" t="s">
        <v>158</v>
      </c>
      <c r="B109" s="261"/>
      <c r="C109" s="263"/>
    </row>
    <row r="110" spans="1:3" x14ac:dyDescent="0.3">
      <c r="A110" s="264" t="s">
        <v>166</v>
      </c>
      <c r="B110" s="254"/>
      <c r="C110" s="255"/>
    </row>
    <row r="111" spans="1:3" x14ac:dyDescent="0.3">
      <c r="A111" s="110" t="s">
        <v>167</v>
      </c>
      <c r="B111" s="256"/>
      <c r="C111" s="260"/>
    </row>
    <row r="112" spans="1:3" x14ac:dyDescent="0.3">
      <c r="A112" s="110" t="s">
        <v>168</v>
      </c>
      <c r="B112" s="256"/>
      <c r="C112" s="260"/>
    </row>
    <row r="113" spans="1:3" x14ac:dyDescent="0.3">
      <c r="A113" s="265" t="s">
        <v>331</v>
      </c>
      <c r="B113" s="266"/>
      <c r="C113" s="267"/>
    </row>
    <row r="114" spans="1:3" ht="14.5" thickBot="1" x14ac:dyDescent="0.35">
      <c r="A114" s="253" t="s">
        <v>158</v>
      </c>
      <c r="B114" s="261"/>
      <c r="C114" s="263"/>
    </row>
  </sheetData>
  <mergeCells count="1">
    <mergeCell ref="A1:C1"/>
  </mergeCells>
  <pageMargins left="0.511811024" right="0.511811024" top="0.78740157499999996" bottom="0.78740157499999996" header="0.31496062000000002" footer="0.31496062000000002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78DAE-4898-43CF-A78F-2ED5D13AE429}">
  <dimension ref="A1:I40"/>
  <sheetViews>
    <sheetView zoomScale="80" zoomScaleNormal="80" zoomScaleSheetLayoutView="40" workbookViewId="0">
      <selection activeCell="N13" sqref="N13"/>
    </sheetView>
  </sheetViews>
  <sheetFormatPr defaultRowHeight="14" x14ac:dyDescent="0.3"/>
  <cols>
    <col min="1" max="1" width="10.58203125" bestFit="1" customWidth="1"/>
    <col min="2" max="2" width="4.83203125" bestFit="1" customWidth="1"/>
    <col min="4" max="4" width="10.08203125" bestFit="1" customWidth="1"/>
    <col min="5" max="5" width="10.5" bestFit="1" customWidth="1"/>
    <col min="6" max="6" width="6.33203125" customWidth="1"/>
    <col min="7" max="7" width="14.83203125" bestFit="1" customWidth="1"/>
    <col min="8" max="8" width="11.33203125" bestFit="1" customWidth="1"/>
    <col min="9" max="9" width="40.25" customWidth="1"/>
  </cols>
  <sheetData>
    <row r="1" spans="1:9" ht="20.5" thickBot="1" x14ac:dyDescent="0.45">
      <c r="A1" s="522" t="s">
        <v>206</v>
      </c>
      <c r="B1" s="523"/>
      <c r="C1" s="523"/>
      <c r="D1" s="523"/>
      <c r="E1" s="523"/>
      <c r="F1" s="523"/>
      <c r="G1" s="523"/>
      <c r="H1" s="523"/>
      <c r="I1" s="524"/>
    </row>
    <row r="2" spans="1:9" ht="18" x14ac:dyDescent="0.3">
      <c r="A2" s="286" t="s">
        <v>379</v>
      </c>
      <c r="B2" s="525" t="s">
        <v>284</v>
      </c>
      <c r="C2" s="525"/>
      <c r="D2" s="525"/>
      <c r="E2" s="525"/>
      <c r="F2" s="525"/>
      <c r="G2" s="525"/>
      <c r="H2" s="525"/>
      <c r="I2" s="526"/>
    </row>
    <row r="3" spans="1:9" ht="18" x14ac:dyDescent="0.3">
      <c r="A3" s="287" t="s">
        <v>380</v>
      </c>
      <c r="B3" s="500" t="s">
        <v>285</v>
      </c>
      <c r="C3" s="500"/>
      <c r="D3" s="500"/>
      <c r="E3" s="500"/>
      <c r="F3" s="500"/>
      <c r="G3" s="500"/>
      <c r="H3" s="500"/>
      <c r="I3" s="501"/>
    </row>
    <row r="4" spans="1:9" ht="18" x14ac:dyDescent="0.3">
      <c r="A4" s="287" t="s">
        <v>381</v>
      </c>
      <c r="B4" s="500" t="s">
        <v>283</v>
      </c>
      <c r="C4" s="500"/>
      <c r="D4" s="500"/>
      <c r="E4" s="500"/>
      <c r="F4" s="500"/>
      <c r="G4" s="500"/>
      <c r="H4" s="500"/>
      <c r="I4" s="501"/>
    </row>
    <row r="5" spans="1:9" ht="18" x14ac:dyDescent="0.3">
      <c r="A5" s="287" t="s">
        <v>383</v>
      </c>
      <c r="B5" s="500" t="s">
        <v>377</v>
      </c>
      <c r="C5" s="500"/>
      <c r="D5" s="500"/>
      <c r="E5" s="500"/>
      <c r="F5" s="500"/>
      <c r="G5" s="500"/>
      <c r="H5" s="500"/>
      <c r="I5" s="501"/>
    </row>
    <row r="6" spans="1:9" ht="18" x14ac:dyDescent="0.3">
      <c r="A6" s="287" t="s">
        <v>382</v>
      </c>
      <c r="B6" s="500" t="s">
        <v>378</v>
      </c>
      <c r="C6" s="500"/>
      <c r="D6" s="500"/>
      <c r="E6" s="500"/>
      <c r="F6" s="500"/>
      <c r="G6" s="500"/>
      <c r="H6" s="500"/>
      <c r="I6" s="501"/>
    </row>
    <row r="7" spans="1:9" ht="18.5" thickBot="1" x14ac:dyDescent="0.35">
      <c r="A7" s="288" t="s">
        <v>384</v>
      </c>
      <c r="B7" s="502" t="s">
        <v>385</v>
      </c>
      <c r="C7" s="502"/>
      <c r="D7" s="502"/>
      <c r="E7" s="502"/>
      <c r="F7" s="502"/>
      <c r="G7" s="502"/>
      <c r="H7" s="502"/>
      <c r="I7" s="503"/>
    </row>
    <row r="8" spans="1:9" ht="14.5" thickBot="1" x14ac:dyDescent="0.35">
      <c r="A8" s="519"/>
      <c r="B8" s="520"/>
      <c r="C8" s="520"/>
      <c r="D8" s="520"/>
      <c r="E8" s="520"/>
      <c r="F8" s="520"/>
      <c r="G8" s="520"/>
      <c r="H8" s="520"/>
      <c r="I8" s="521"/>
    </row>
    <row r="9" spans="1:9" ht="18" x14ac:dyDescent="0.3">
      <c r="A9" s="276" t="s">
        <v>126</v>
      </c>
      <c r="B9" s="277" t="s">
        <v>119</v>
      </c>
      <c r="C9" s="277" t="s">
        <v>120</v>
      </c>
      <c r="D9" s="277" t="s">
        <v>386</v>
      </c>
      <c r="E9" s="277" t="s">
        <v>127</v>
      </c>
      <c r="F9" s="277" t="s">
        <v>122</v>
      </c>
      <c r="G9" s="277" t="s">
        <v>125</v>
      </c>
      <c r="H9" s="277" t="s">
        <v>123</v>
      </c>
      <c r="I9" s="278" t="s">
        <v>124</v>
      </c>
    </row>
    <row r="10" spans="1:9" ht="17.5" x14ac:dyDescent="0.3">
      <c r="A10" s="279"/>
      <c r="B10" s="248"/>
      <c r="C10" s="280"/>
      <c r="D10" s="280"/>
      <c r="E10" s="280"/>
      <c r="F10" s="280"/>
      <c r="G10" s="280"/>
      <c r="H10" s="248"/>
      <c r="I10" s="281"/>
    </row>
    <row r="11" spans="1:9" ht="17.5" x14ac:dyDescent="0.3">
      <c r="A11" s="279"/>
      <c r="B11" s="248"/>
      <c r="C11" s="280"/>
      <c r="D11" s="280"/>
      <c r="E11" s="280"/>
      <c r="F11" s="280"/>
      <c r="G11" s="280"/>
      <c r="H11" s="248"/>
      <c r="I11" s="281"/>
    </row>
    <row r="12" spans="1:9" ht="17.5" x14ac:dyDescent="0.3">
      <c r="A12" s="279"/>
      <c r="B12" s="248"/>
      <c r="C12" s="280"/>
      <c r="D12" s="280"/>
      <c r="E12" s="280"/>
      <c r="F12" s="280"/>
      <c r="G12" s="280"/>
      <c r="H12" s="248"/>
      <c r="I12" s="281"/>
    </row>
    <row r="13" spans="1:9" ht="17.5" x14ac:dyDescent="0.3">
      <c r="A13" s="279"/>
      <c r="B13" s="248"/>
      <c r="C13" s="280"/>
      <c r="D13" s="280"/>
      <c r="E13" s="280"/>
      <c r="F13" s="280"/>
      <c r="G13" s="280"/>
      <c r="H13" s="248"/>
      <c r="I13" s="281"/>
    </row>
    <row r="14" spans="1:9" ht="17.5" x14ac:dyDescent="0.3">
      <c r="A14" s="279"/>
      <c r="B14" s="248"/>
      <c r="C14" s="280"/>
      <c r="D14" s="280"/>
      <c r="E14" s="280"/>
      <c r="F14" s="280"/>
      <c r="G14" s="280"/>
      <c r="H14" s="248"/>
      <c r="I14" s="281"/>
    </row>
    <row r="15" spans="1:9" ht="17.5" x14ac:dyDescent="0.3">
      <c r="A15" s="279"/>
      <c r="B15" s="248"/>
      <c r="C15" s="280"/>
      <c r="D15" s="280"/>
      <c r="E15" s="280"/>
      <c r="F15" s="280"/>
      <c r="G15" s="280"/>
      <c r="H15" s="248"/>
      <c r="I15" s="281"/>
    </row>
    <row r="16" spans="1:9" ht="17.5" x14ac:dyDescent="0.3">
      <c r="A16" s="279"/>
      <c r="B16" s="248"/>
      <c r="C16" s="280"/>
      <c r="D16" s="280"/>
      <c r="E16" s="280"/>
      <c r="F16" s="280"/>
      <c r="G16" s="280"/>
      <c r="H16" s="248"/>
      <c r="I16" s="281"/>
    </row>
    <row r="17" spans="1:9" ht="17.5" x14ac:dyDescent="0.3">
      <c r="A17" s="279"/>
      <c r="B17" s="248"/>
      <c r="C17" s="280"/>
      <c r="D17" s="280"/>
      <c r="E17" s="280"/>
      <c r="F17" s="280"/>
      <c r="G17" s="280"/>
      <c r="H17" s="248"/>
      <c r="I17" s="282"/>
    </row>
    <row r="18" spans="1:9" ht="17.5" x14ac:dyDescent="0.3">
      <c r="A18" s="279"/>
      <c r="B18" s="248"/>
      <c r="C18" s="280"/>
      <c r="D18" s="280"/>
      <c r="E18" s="280"/>
      <c r="F18" s="280"/>
      <c r="G18" s="280"/>
      <c r="H18" s="248"/>
      <c r="I18" s="281"/>
    </row>
    <row r="19" spans="1:9" ht="17.5" x14ac:dyDescent="0.3">
      <c r="A19" s="283"/>
      <c r="B19" s="248"/>
      <c r="C19" s="248"/>
      <c r="D19" s="248"/>
      <c r="E19" s="248"/>
      <c r="F19" s="248"/>
      <c r="G19" s="248"/>
      <c r="H19" s="248"/>
      <c r="I19" s="282"/>
    </row>
    <row r="20" spans="1:9" ht="17.5" x14ac:dyDescent="0.3">
      <c r="A20" s="283"/>
      <c r="B20" s="248"/>
      <c r="C20" s="248"/>
      <c r="D20" s="248"/>
      <c r="E20" s="248"/>
      <c r="F20" s="248"/>
      <c r="G20" s="248"/>
      <c r="H20" s="248"/>
      <c r="I20" s="282"/>
    </row>
    <row r="21" spans="1:9" ht="17.5" x14ac:dyDescent="0.3">
      <c r="A21" s="283"/>
      <c r="B21" s="248"/>
      <c r="C21" s="248"/>
      <c r="D21" s="248"/>
      <c r="E21" s="248"/>
      <c r="F21" s="248"/>
      <c r="G21" s="248"/>
      <c r="H21" s="248"/>
      <c r="I21" s="282"/>
    </row>
    <row r="22" spans="1:9" ht="17.5" x14ac:dyDescent="0.3">
      <c r="A22" s="283"/>
      <c r="B22" s="248"/>
      <c r="C22" s="248"/>
      <c r="D22" s="248"/>
      <c r="E22" s="248"/>
      <c r="F22" s="248"/>
      <c r="G22" s="248"/>
      <c r="H22" s="248"/>
      <c r="I22" s="282"/>
    </row>
    <row r="23" spans="1:9" ht="17.5" x14ac:dyDescent="0.3">
      <c r="A23" s="283"/>
      <c r="B23" s="248"/>
      <c r="C23" s="248"/>
      <c r="D23" s="248"/>
      <c r="E23" s="248"/>
      <c r="F23" s="248"/>
      <c r="G23" s="248"/>
      <c r="H23" s="248"/>
      <c r="I23" s="282"/>
    </row>
    <row r="24" spans="1:9" ht="17.5" x14ac:dyDescent="0.35">
      <c r="A24" s="243"/>
      <c r="B24" s="284"/>
      <c r="C24" s="284"/>
      <c r="D24" s="284"/>
      <c r="E24" s="284"/>
      <c r="F24" s="284"/>
      <c r="G24" s="284"/>
      <c r="H24" s="284"/>
      <c r="I24" s="213"/>
    </row>
    <row r="25" spans="1:9" ht="17.5" x14ac:dyDescent="0.35">
      <c r="A25" s="243"/>
      <c r="B25" s="284"/>
      <c r="C25" s="284"/>
      <c r="D25" s="284"/>
      <c r="E25" s="284"/>
      <c r="F25" s="284"/>
      <c r="G25" s="284"/>
      <c r="H25" s="284"/>
      <c r="I25" s="213"/>
    </row>
    <row r="26" spans="1:9" ht="17.5" x14ac:dyDescent="0.35">
      <c r="A26" s="243"/>
      <c r="B26" s="284"/>
      <c r="C26" s="284"/>
      <c r="D26" s="284"/>
      <c r="E26" s="284"/>
      <c r="F26" s="284"/>
      <c r="G26" s="284"/>
      <c r="H26" s="284"/>
      <c r="I26" s="213"/>
    </row>
    <row r="27" spans="1:9" ht="17.5" x14ac:dyDescent="0.35">
      <c r="A27" s="243"/>
      <c r="B27" s="284"/>
      <c r="C27" s="284"/>
      <c r="D27" s="284"/>
      <c r="E27" s="284"/>
      <c r="F27" s="284"/>
      <c r="G27" s="284"/>
      <c r="H27" s="284"/>
      <c r="I27" s="213"/>
    </row>
    <row r="28" spans="1:9" ht="17.5" x14ac:dyDescent="0.35">
      <c r="A28" s="243"/>
      <c r="B28" s="284"/>
      <c r="C28" s="284"/>
      <c r="D28" s="284"/>
      <c r="E28" s="284"/>
      <c r="F28" s="284"/>
      <c r="G28" s="284"/>
      <c r="H28" s="284"/>
      <c r="I28" s="213"/>
    </row>
    <row r="29" spans="1:9" ht="17.5" x14ac:dyDescent="0.35">
      <c r="A29" s="243"/>
      <c r="B29" s="284"/>
      <c r="C29" s="284"/>
      <c r="D29" s="284"/>
      <c r="E29" s="284"/>
      <c r="F29" s="284"/>
      <c r="G29" s="284"/>
      <c r="H29" s="284"/>
      <c r="I29" s="213"/>
    </row>
    <row r="30" spans="1:9" ht="17.5" x14ac:dyDescent="0.35">
      <c r="A30" s="243"/>
      <c r="B30" s="284"/>
      <c r="C30" s="284"/>
      <c r="D30" s="284"/>
      <c r="E30" s="284"/>
      <c r="F30" s="284"/>
      <c r="G30" s="284"/>
      <c r="H30" s="284"/>
      <c r="I30" s="213"/>
    </row>
    <row r="31" spans="1:9" ht="17.5" x14ac:dyDescent="0.35">
      <c r="A31" s="243"/>
      <c r="B31" s="284"/>
      <c r="C31" s="284"/>
      <c r="D31" s="284"/>
      <c r="E31" s="284"/>
      <c r="F31" s="284"/>
      <c r="G31" s="284"/>
      <c r="H31" s="284"/>
      <c r="I31" s="213"/>
    </row>
    <row r="32" spans="1:9" ht="17.5" x14ac:dyDescent="0.35">
      <c r="A32" s="243"/>
      <c r="B32" s="284"/>
      <c r="C32" s="284"/>
      <c r="D32" s="284"/>
      <c r="E32" s="284"/>
      <c r="F32" s="284"/>
      <c r="G32" s="284"/>
      <c r="H32" s="284"/>
      <c r="I32" s="213"/>
    </row>
    <row r="33" spans="1:9" ht="17.5" x14ac:dyDescent="0.35">
      <c r="A33" s="243"/>
      <c r="B33" s="284"/>
      <c r="C33" s="284"/>
      <c r="D33" s="284"/>
      <c r="E33" s="284"/>
      <c r="F33" s="284"/>
      <c r="G33" s="284"/>
      <c r="H33" s="284"/>
      <c r="I33" s="213"/>
    </row>
    <row r="34" spans="1:9" ht="17.5" x14ac:dyDescent="0.35">
      <c r="A34" s="243"/>
      <c r="B34" s="284"/>
      <c r="C34" s="284"/>
      <c r="D34" s="284"/>
      <c r="E34" s="284"/>
      <c r="F34" s="284"/>
      <c r="G34" s="284"/>
      <c r="H34" s="284"/>
      <c r="I34" s="213"/>
    </row>
    <row r="35" spans="1:9" ht="17.5" x14ac:dyDescent="0.35">
      <c r="A35" s="243"/>
      <c r="B35" s="284"/>
      <c r="C35" s="284"/>
      <c r="D35" s="284"/>
      <c r="E35" s="284"/>
      <c r="F35" s="284"/>
      <c r="G35" s="284"/>
      <c r="H35" s="284"/>
      <c r="I35" s="213"/>
    </row>
    <row r="36" spans="1:9" ht="17.5" x14ac:dyDescent="0.35">
      <c r="A36" s="243"/>
      <c r="B36" s="284"/>
      <c r="C36" s="284"/>
      <c r="D36" s="284"/>
      <c r="E36" s="284"/>
      <c r="F36" s="284"/>
      <c r="G36" s="284"/>
      <c r="H36" s="284"/>
      <c r="I36" s="213"/>
    </row>
    <row r="37" spans="1:9" ht="17.5" x14ac:dyDescent="0.35">
      <c r="A37" s="243"/>
      <c r="B37" s="284"/>
      <c r="C37" s="284"/>
      <c r="D37" s="284"/>
      <c r="E37" s="284"/>
      <c r="F37" s="284"/>
      <c r="G37" s="284"/>
      <c r="H37" s="284"/>
      <c r="I37" s="213"/>
    </row>
    <row r="38" spans="1:9" ht="17.5" x14ac:dyDescent="0.35">
      <c r="A38" s="243"/>
      <c r="B38" s="284"/>
      <c r="C38" s="284"/>
      <c r="D38" s="284"/>
      <c r="E38" s="284"/>
      <c r="F38" s="284"/>
      <c r="G38" s="284"/>
      <c r="H38" s="284"/>
      <c r="I38" s="213"/>
    </row>
    <row r="39" spans="1:9" ht="17.5" x14ac:dyDescent="0.35">
      <c r="A39" s="243"/>
      <c r="B39" s="284"/>
      <c r="C39" s="284"/>
      <c r="D39" s="284"/>
      <c r="E39" s="284"/>
      <c r="F39" s="284"/>
      <c r="G39" s="284"/>
      <c r="H39" s="284"/>
      <c r="I39" s="213"/>
    </row>
    <row r="40" spans="1:9" ht="18" thickBot="1" x14ac:dyDescent="0.4">
      <c r="A40" s="244"/>
      <c r="B40" s="285"/>
      <c r="C40" s="285"/>
      <c r="D40" s="285"/>
      <c r="E40" s="285"/>
      <c r="F40" s="285"/>
      <c r="G40" s="285"/>
      <c r="H40" s="285"/>
      <c r="I40" s="214"/>
    </row>
  </sheetData>
  <mergeCells count="8">
    <mergeCell ref="A8:I8"/>
    <mergeCell ref="A1:I1"/>
    <mergeCell ref="B2:I2"/>
    <mergeCell ref="B3:I3"/>
    <mergeCell ref="B4:I4"/>
    <mergeCell ref="B5:I5"/>
    <mergeCell ref="B6:I6"/>
    <mergeCell ref="B7:I7"/>
  </mergeCells>
  <pageMargins left="0.25" right="0.25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5</vt:i4>
      </vt:variant>
    </vt:vector>
  </HeadingPairs>
  <TitlesOfParts>
    <vt:vector size="18" baseType="lpstr">
      <vt:lpstr>0.Notas de Revisão</vt:lpstr>
      <vt:lpstr>1.Estudo Maltes</vt:lpstr>
      <vt:lpstr>2.Estudo Lupulos</vt:lpstr>
      <vt:lpstr>3.Calculos</vt:lpstr>
      <vt:lpstr>4.Dosagem de água</vt:lpstr>
      <vt:lpstr>5.Ajustes Agua</vt:lpstr>
      <vt:lpstr>6.Receita</vt:lpstr>
      <vt:lpstr>7.Acomp. Brassagem</vt:lpstr>
      <vt:lpstr>8.Acomp. Fermentação</vt:lpstr>
      <vt:lpstr>9.Ferramentas</vt:lpstr>
      <vt:lpstr>10.Rodas Maltes</vt:lpstr>
      <vt:lpstr>11.Tabela Goldiner</vt:lpstr>
      <vt:lpstr>12.Tabelas IBU</vt:lpstr>
      <vt:lpstr>'0.Notas de Revisão'!Area_de_impressao</vt:lpstr>
      <vt:lpstr>'3.Calculos'!Area_de_impressao</vt:lpstr>
      <vt:lpstr>'4.Dosagem de água'!Area_de_impressao</vt:lpstr>
      <vt:lpstr>'5.Ajustes Agua'!Area_de_impressao</vt:lpstr>
      <vt:lpstr>'6.Receita'!Area_de_impressao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Martini</dc:creator>
  <cp:lastModifiedBy>Mauricio Grille</cp:lastModifiedBy>
  <cp:lastPrinted>2024-02-12T21:26:57Z</cp:lastPrinted>
  <dcterms:created xsi:type="dcterms:W3CDTF">2015-06-05T18:19:34Z</dcterms:created>
  <dcterms:modified xsi:type="dcterms:W3CDTF">2024-02-26T14:09:40Z</dcterms:modified>
</cp:coreProperties>
</file>