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nny\Documents\H\"/>
    </mc:Choice>
  </mc:AlternateContent>
  <xr:revisionPtr revIDLastSave="0" documentId="13_ncr:1_{07D124B4-60BF-4BDC-8A48-6A9D38861920}" xr6:coauthVersionLast="47" xr6:coauthVersionMax="47" xr10:uidLastSave="{00000000-0000-0000-0000-000000000000}"/>
  <bookViews>
    <workbookView minimized="1" xWindow="19380" yWindow="4485" windowWidth="2400" windowHeight="585" firstSheet="6" activeTab="6" xr2:uid="{64B8716B-A58A-47AB-86D8-7CE349191BAE}"/>
  </bookViews>
  <sheets>
    <sheet name="Summary Budget" sheetId="12" r:id="rId1"/>
    <sheet name="Executive Budget" sheetId="1" r:id="rId2"/>
    <sheet name="Lodging and Land" sheetId="2" r:id="rId3"/>
    <sheet name="Marketing.Promotions" sheetId="3" r:id="rId4"/>
    <sheet name="Engagement" sheetId="6" r:id="rId5"/>
    <sheet name="Sea Expeditions" sheetId="9" r:id="rId6"/>
    <sheet name="Vessel" sheetId="5" r:id="rId7"/>
  </sheets>
  <definedNames>
    <definedName name="_xlnm.Print_Area" localSheetId="4">Engagement!$A$2:$F$28</definedName>
    <definedName name="_xlnm.Print_Area" localSheetId="1">'Executive Budget'!$A$1:$Q$41</definedName>
    <definedName name="_xlnm.Print_Area" localSheetId="0">'Summary Budget'!$A$1:$G$14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7" i="9"/>
  <c r="H6" i="9"/>
  <c r="H5" i="9"/>
  <c r="F4" i="2"/>
  <c r="E4" i="2"/>
  <c r="D4" i="2"/>
  <c r="C9" i="2"/>
  <c r="E5" i="1"/>
  <c r="F5" i="1" s="1"/>
  <c r="D9" i="1"/>
  <c r="E9" i="1" s="1"/>
  <c r="F9" i="1" s="1"/>
  <c r="D5" i="1"/>
  <c r="C9" i="1"/>
  <c r="C8" i="1"/>
  <c r="D8" i="1" s="1"/>
  <c r="E8" i="1" s="1"/>
  <c r="F8" i="1" s="1"/>
  <c r="C7" i="1"/>
  <c r="D7" i="1" s="1"/>
  <c r="E7" i="1" s="1"/>
  <c r="F7" i="1" s="1"/>
  <c r="C6" i="1"/>
  <c r="D6" i="1" s="1"/>
  <c r="E6" i="1" s="1"/>
  <c r="F6" i="1" s="1"/>
  <c r="C5" i="1"/>
  <c r="B14" i="6"/>
  <c r="B16" i="6"/>
  <c r="F5" i="12"/>
  <c r="E5" i="12"/>
  <c r="D5" i="12"/>
  <c r="C5" i="12"/>
  <c r="B5" i="12"/>
  <c r="E8" i="6"/>
  <c r="F8" i="6"/>
  <c r="D8" i="6"/>
  <c r="C8" i="6"/>
  <c r="B4" i="12" l="1"/>
  <c r="B8" i="12"/>
  <c r="B7" i="5"/>
  <c r="L4" i="9" l="1"/>
  <c r="H4" i="9"/>
  <c r="F6" i="5"/>
  <c r="F7" i="5" s="1"/>
  <c r="F8" i="12" s="1"/>
  <c r="E6" i="5"/>
  <c r="E7" i="5" s="1"/>
  <c r="E8" i="12" s="1"/>
  <c r="D6" i="5"/>
  <c r="D7" i="5" s="1"/>
  <c r="D8" i="12" s="1"/>
  <c r="C6" i="5"/>
  <c r="C7" i="5" s="1"/>
  <c r="E6" i="9"/>
  <c r="F6" i="9"/>
  <c r="G6" i="9"/>
  <c r="E7" i="9"/>
  <c r="F7" i="9"/>
  <c r="G7" i="9"/>
  <c r="D6" i="9"/>
  <c r="D7" i="9"/>
  <c r="C6" i="9"/>
  <c r="C5" i="9"/>
  <c r="C7" i="9"/>
  <c r="C4" i="9"/>
  <c r="F5" i="9"/>
  <c r="F4" i="9"/>
  <c r="G5" i="9"/>
  <c r="G4" i="9"/>
  <c r="D14" i="6"/>
  <c r="D6" i="12" s="1"/>
  <c r="B6" i="12"/>
  <c r="C14" i="6"/>
  <c r="C6" i="12" s="1"/>
  <c r="E14" i="6"/>
  <c r="E6" i="12" s="1"/>
  <c r="F14" i="6"/>
  <c r="F6" i="12" s="1"/>
  <c r="C16" i="6" l="1"/>
  <c r="C8" i="12"/>
  <c r="D16" i="6"/>
  <c r="F16" i="6"/>
  <c r="E16" i="6"/>
  <c r="I7" i="9"/>
  <c r="L7" i="9" s="1"/>
  <c r="I6" i="9"/>
  <c r="L6" i="9" s="1"/>
  <c r="B18" i="9" l="1"/>
  <c r="B21" i="9" s="1"/>
  <c r="E5" i="9"/>
  <c r="D5" i="9"/>
  <c r="I5" i="9" s="1"/>
  <c r="L5" i="9" s="1"/>
  <c r="E4" i="9"/>
  <c r="D4" i="9"/>
  <c r="I4" i="9" s="1"/>
  <c r="B7" i="3"/>
  <c r="B11" i="3" s="1"/>
  <c r="C7" i="3"/>
  <c r="D5" i="3"/>
  <c r="E5" i="3" s="1"/>
  <c r="F5" i="3" s="1"/>
  <c r="D6" i="3"/>
  <c r="E6" i="3" s="1"/>
  <c r="F6" i="3" s="1"/>
  <c r="D4" i="3"/>
  <c r="E4" i="3" s="1"/>
  <c r="B19" i="2"/>
  <c r="F19" i="2"/>
  <c r="D19" i="2"/>
  <c r="E19" i="2"/>
  <c r="C17" i="2"/>
  <c r="C19" i="2" s="1"/>
  <c r="D9" i="2"/>
  <c r="E9" i="2" s="1"/>
  <c r="F9" i="2" s="1"/>
  <c r="B6" i="2"/>
  <c r="C6" i="2"/>
  <c r="C8" i="2" s="1"/>
  <c r="C11" i="2" s="1"/>
  <c r="D6" i="2"/>
  <c r="B31" i="1"/>
  <c r="C27" i="1"/>
  <c r="D27" i="1" s="1"/>
  <c r="E27" i="1" s="1"/>
  <c r="F27" i="1" s="1"/>
  <c r="C30" i="1"/>
  <c r="D30" i="1" s="1"/>
  <c r="E30" i="1" s="1"/>
  <c r="F30" i="1" s="1"/>
  <c r="F22" i="1"/>
  <c r="C22" i="1"/>
  <c r="D22" i="1"/>
  <c r="E22" i="1"/>
  <c r="B22" i="1"/>
  <c r="C20" i="1"/>
  <c r="B20" i="1"/>
  <c r="C13" i="1"/>
  <c r="D13" i="1" s="1"/>
  <c r="E13" i="1" s="1"/>
  <c r="F13" i="1" s="1"/>
  <c r="F4" i="3" l="1"/>
  <c r="F7" i="3" s="1"/>
  <c r="E7" i="3"/>
  <c r="D7" i="3"/>
  <c r="B10" i="1"/>
  <c r="B12" i="1" s="1"/>
  <c r="K7" i="9"/>
  <c r="F7" i="12" s="1"/>
  <c r="K4" i="9"/>
  <c r="K5" i="9"/>
  <c r="D7" i="12" s="1"/>
  <c r="K6" i="9"/>
  <c r="C11" i="3"/>
  <c r="C21" i="2"/>
  <c r="C4" i="12" s="1"/>
  <c r="D8" i="2"/>
  <c r="D11" i="2" s="1"/>
  <c r="D21" i="2" s="1"/>
  <c r="B8" i="2"/>
  <c r="B11" i="2" s="1"/>
  <c r="B21" i="2" s="1"/>
  <c r="C7" i="12"/>
  <c r="D31" i="1"/>
  <c r="C31" i="1"/>
  <c r="F20" i="1"/>
  <c r="C10" i="1" l="1"/>
  <c r="C12" i="1" s="1"/>
  <c r="C15" i="1" s="1"/>
  <c r="D11" i="3"/>
  <c r="E6" i="2"/>
  <c r="F6" i="2"/>
  <c r="E7" i="12"/>
  <c r="D20" i="1"/>
  <c r="E20" i="1"/>
  <c r="F31" i="1"/>
  <c r="E31" i="1"/>
  <c r="B15" i="1"/>
  <c r="B33" i="1" l="1"/>
  <c r="B3" i="12" s="1"/>
  <c r="B9" i="12" s="1"/>
  <c r="C33" i="1"/>
  <c r="C3" i="12" s="1"/>
  <c r="C9" i="12" s="1"/>
  <c r="D10" i="1"/>
  <c r="D12" i="1" s="1"/>
  <c r="D15" i="1" s="1"/>
  <c r="F11" i="3"/>
  <c r="E11" i="3"/>
  <c r="F8" i="2"/>
  <c r="F11" i="2" s="1"/>
  <c r="F21" i="2" s="1"/>
  <c r="F4" i="12" s="1"/>
  <c r="E8" i="2"/>
  <c r="E11" i="2" s="1"/>
  <c r="E21" i="2" s="1"/>
  <c r="E4" i="12" s="1"/>
  <c r="D33" i="1" l="1"/>
  <c r="D3" i="12" s="1"/>
  <c r="D9" i="12" s="1"/>
  <c r="F10" i="1"/>
  <c r="F12" i="1" s="1"/>
  <c r="F15" i="1" s="1"/>
  <c r="E10" i="1"/>
  <c r="E12" i="1" s="1"/>
  <c r="E15" i="1" s="1"/>
  <c r="F33" i="1" l="1"/>
  <c r="F3" i="12" s="1"/>
  <c r="F9" i="12" s="1"/>
  <c r="E33" i="1"/>
  <c r="E3" i="12" s="1"/>
  <c r="E9" i="12" s="1"/>
  <c r="G9" i="12" l="1"/>
</calcChain>
</file>

<file path=xl/sharedStrings.xml><?xml version="1.0" encoding="utf-8"?>
<sst xmlns="http://schemas.openxmlformats.org/spreadsheetml/2006/main" count="184" uniqueCount="119">
  <si>
    <t xml:space="preserve">Hi -SEAS Executive Budget </t>
  </si>
  <si>
    <t xml:space="preserve">Salaries </t>
  </si>
  <si>
    <t>Founder/CEO</t>
  </si>
  <si>
    <t xml:space="preserve">Executive Director </t>
  </si>
  <si>
    <t xml:space="preserve">Director of Operations </t>
  </si>
  <si>
    <t>Director of Client Engagement</t>
  </si>
  <si>
    <t>Total Salaries</t>
  </si>
  <si>
    <t>Payroll Taxes</t>
  </si>
  <si>
    <t>Health Insurance</t>
  </si>
  <si>
    <t>Total Executive Salary and Taxes</t>
  </si>
  <si>
    <t xml:space="preserve">Professional Fees </t>
  </si>
  <si>
    <t xml:space="preserve">Legal </t>
  </si>
  <si>
    <t xml:space="preserve">Independent Audit </t>
  </si>
  <si>
    <t xml:space="preserve">Total Professional Fees </t>
  </si>
  <si>
    <t xml:space="preserve">Travel, Meals, Loding </t>
  </si>
  <si>
    <t>Expenses</t>
  </si>
  <si>
    <t xml:space="preserve">Liability insurance for vessels </t>
  </si>
  <si>
    <t xml:space="preserve">liability insurance for employees </t>
  </si>
  <si>
    <t>office supplies</t>
  </si>
  <si>
    <t>postage and shipping</t>
  </si>
  <si>
    <t>internet/phones/security/web maintenace</t>
  </si>
  <si>
    <t>Total office cost</t>
  </si>
  <si>
    <t>Total Operating</t>
  </si>
  <si>
    <t xml:space="preserve">Hi -SEAS Lodging and Land Budget </t>
  </si>
  <si>
    <t xml:space="preserve">Hi -SEAS Marketing Budget </t>
  </si>
  <si>
    <t xml:space="preserve">Hi -SEAS Vessel Budget </t>
  </si>
  <si>
    <t>Maintenance</t>
  </si>
  <si>
    <t>Facilities Manager</t>
  </si>
  <si>
    <t>Total Payroll</t>
  </si>
  <si>
    <t xml:space="preserve">Cleaning Supplies </t>
  </si>
  <si>
    <t xml:space="preserve">Office Supplies </t>
  </si>
  <si>
    <t>Office Equipment</t>
  </si>
  <si>
    <t xml:space="preserve">Total Expenses </t>
  </si>
  <si>
    <t>Total Land Operating Costs</t>
  </si>
  <si>
    <t xml:space="preserve">Expenses </t>
  </si>
  <si>
    <t xml:space="preserve">Information packets </t>
  </si>
  <si>
    <t>office equipment</t>
  </si>
  <si>
    <t xml:space="preserve">tshirts/mugs </t>
  </si>
  <si>
    <t>total marketing</t>
  </si>
  <si>
    <t>Contracted Marketing</t>
  </si>
  <si>
    <t>Total marketing</t>
  </si>
  <si>
    <t>Trips Per Year</t>
  </si>
  <si>
    <t xml:space="preserve">Participants </t>
  </si>
  <si>
    <t>Per Trip</t>
  </si>
  <si>
    <t>Total Labor</t>
  </si>
  <si>
    <t>Food</t>
  </si>
  <si>
    <t>Liability Insurance</t>
  </si>
  <si>
    <t xml:space="preserve">Supplies for activity </t>
  </si>
  <si>
    <t>Participant Cost</t>
  </si>
  <si>
    <t>Total</t>
  </si>
  <si>
    <t xml:space="preserve"> </t>
  </si>
  <si>
    <t>Total Expenses</t>
  </si>
  <si>
    <t>Notes:</t>
  </si>
  <si>
    <t>Hi-SEAS Engagement Budget</t>
  </si>
  <si>
    <t>Apps/programs</t>
  </si>
  <si>
    <t>Postage</t>
  </si>
  <si>
    <t>Miscellaneous</t>
  </si>
  <si>
    <t>Total Engagement Expenses</t>
  </si>
  <si>
    <t>Intro Pack/$500 per ac</t>
  </si>
  <si>
    <t>Pack</t>
  </si>
  <si>
    <t>Blanket</t>
  </si>
  <si>
    <t>Wool Cap</t>
  </si>
  <si>
    <t>Executive Budget</t>
  </si>
  <si>
    <t>Engagement</t>
  </si>
  <si>
    <t xml:space="preserve">Insurance increases by 5% every year </t>
  </si>
  <si>
    <t>Assistant of Director of Finance</t>
  </si>
  <si>
    <t>office equipment/computers/software</t>
  </si>
  <si>
    <t xml:space="preserve">2028 added boat with 6 participants per month </t>
  </si>
  <si>
    <t>Captain</t>
  </si>
  <si>
    <t>Mate</t>
  </si>
  <si>
    <t>Boat Mama</t>
  </si>
  <si>
    <t>Lead Counselor (contract price)</t>
  </si>
  <si>
    <t>10 days times 25 dollars</t>
  </si>
  <si>
    <t>Contract Price</t>
  </si>
  <si>
    <t>$1000 increase to each contract per trip for travel</t>
  </si>
  <si>
    <t xml:space="preserve">Safety Refit </t>
  </si>
  <si>
    <t xml:space="preserve">Fuel </t>
  </si>
  <si>
    <t>Total Vessel Budget</t>
  </si>
  <si>
    <t>Misc. programs materials</t>
  </si>
  <si>
    <t>Notes*</t>
  </si>
  <si>
    <t xml:space="preserve">Payroll taxes 8% of salaries </t>
  </si>
  <si>
    <t>Lodging and Land</t>
  </si>
  <si>
    <t>https://www.glassdoor.com/Salaries/executive-director-non-profit-salary-SRCH_KO0,29.htm</t>
  </si>
  <si>
    <t>https://www.ziprecruiter.com/Salaries/Nonprofit-Finance-Director-Salary</t>
  </si>
  <si>
    <t>https://www.glassdoor.com/Salaries/assistant-director-of-finance-salary-SRCH_KO0,29.htm</t>
  </si>
  <si>
    <t>8% of salaries</t>
  </si>
  <si>
    <t>https://www.peoplekeep.com/blog/cost-of-employer-sponsored-health-insurance</t>
  </si>
  <si>
    <t>https://www.growthforce.com/blog/how-much-does-a-nonprofit-audit-cost</t>
  </si>
  <si>
    <t>5 directors estiamted at 1500 for 10 months a year</t>
  </si>
  <si>
    <t>Best guesstiamte (won't know until we sign up for insurance)</t>
  </si>
  <si>
    <t>Insurance on A Frames</t>
  </si>
  <si>
    <t xml:space="preserve">Best guess, won't know true cost until it is evaluated by insurance company </t>
  </si>
  <si>
    <t>Director of Finance</t>
  </si>
  <si>
    <t>Insurance based on 5 executive officers (Founder not taking insurance)</t>
  </si>
  <si>
    <t>Vessel</t>
  </si>
  <si>
    <t>Sea Expeditions</t>
  </si>
  <si>
    <t>Marketing and Promotion</t>
  </si>
  <si>
    <t>Counselor for Guests</t>
  </si>
  <si>
    <t>Price Per Adventure Guest</t>
  </si>
  <si>
    <t>Captain, mate, boat mama and counselor for guests double in 2028 and 2029 because we have two boats</t>
  </si>
  <si>
    <t>Adventure Guests Travel,lodging, meals</t>
  </si>
  <si>
    <t xml:space="preserve"># of Adventure Guests Serviced </t>
  </si>
  <si>
    <t>Adventure Guests Intro Pack</t>
  </si>
  <si>
    <t>for 7 months for sea excursions</t>
  </si>
  <si>
    <t>*Included in Summary Budget</t>
  </si>
  <si>
    <t>Land/Lodge Purchase*</t>
  </si>
  <si>
    <t xml:space="preserve">500 per particpants, 6 for 2025 and 2026, 12 for 2028 and 2029 </t>
  </si>
  <si>
    <t>Lead Counselor is a set contract price for year, others are per trip (will considering a full time hire Director of Adventure Counseling)</t>
  </si>
  <si>
    <t>Sailboat *</t>
  </si>
  <si>
    <t>*Purchase of vessels is in Summary Budget</t>
  </si>
  <si>
    <t>Year 1</t>
  </si>
  <si>
    <t>Year 2</t>
  </si>
  <si>
    <t>Year 3</t>
  </si>
  <si>
    <t>Year 4</t>
  </si>
  <si>
    <t>Year 5</t>
  </si>
  <si>
    <t>Year 6</t>
  </si>
  <si>
    <t>Year 1 is a year of prepatory work before first trip</t>
  </si>
  <si>
    <t>Hi -SEAS Summary Budgeted Operating Expenses</t>
  </si>
  <si>
    <t>Salaries increase by 3% every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</si>
</sst>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theme="4"/>
      </top>
      <bottom style="thick">
        <color theme="7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medium">
        <color auto="1"/>
      </right>
      <top/>
      <bottom style="medium">
        <color theme="4" tint="0.3999755851924192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/>
      </top>
      <bottom style="medium">
        <color theme="7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67">
    <xf numFmtId="0" fontId="0" fillId="0" borderId="0" xfId="0"/>
    <xf numFmtId="0" fontId="2" fillId="0" borderId="1" xfId="2"/>
    <xf numFmtId="0" fontId="3" fillId="0" borderId="2" xfId="3"/>
    <xf numFmtId="0" fontId="4" fillId="0" borderId="3" xfId="4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4" xfId="0" applyBorder="1"/>
    <xf numFmtId="164" fontId="0" fillId="0" borderId="0" xfId="1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44" fontId="0" fillId="0" borderId="6" xfId="1" applyFont="1" applyBorder="1"/>
    <xf numFmtId="0" fontId="5" fillId="0" borderId="0" xfId="0" applyFont="1"/>
    <xf numFmtId="164" fontId="0" fillId="0" borderId="8" xfId="1" applyNumberFormat="1" applyFont="1" applyBorder="1"/>
    <xf numFmtId="0" fontId="5" fillId="0" borderId="0" xfId="0" applyFont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9" xfId="1" applyFont="1" applyBorder="1"/>
    <xf numFmtId="44" fontId="0" fillId="0" borderId="12" xfId="1" applyFont="1" applyBorder="1"/>
    <xf numFmtId="44" fontId="0" fillId="0" borderId="12" xfId="1" applyFont="1" applyBorder="1" applyAlignment="1">
      <alignment horizontal="center"/>
    </xf>
    <xf numFmtId="44" fontId="5" fillId="0" borderId="0" xfId="1" applyFont="1" applyBorder="1"/>
    <xf numFmtId="44" fontId="0" fillId="0" borderId="10" xfId="1" applyFont="1" applyBorder="1"/>
    <xf numFmtId="0" fontId="0" fillId="0" borderId="11" xfId="0" applyBorder="1"/>
    <xf numFmtId="0" fontId="5" fillId="0" borderId="5" xfId="0" applyFont="1" applyBorder="1" applyAlignment="1">
      <alignment horizontal="center"/>
    </xf>
    <xf numFmtId="44" fontId="5" fillId="0" borderId="14" xfId="1" applyFont="1" applyBorder="1"/>
    <xf numFmtId="44" fontId="5" fillId="0" borderId="12" xfId="0" applyNumberFormat="1" applyFont="1" applyBorder="1"/>
    <xf numFmtId="44" fontId="5" fillId="0" borderId="13" xfId="0" applyNumberFormat="1" applyFont="1" applyBorder="1"/>
    <xf numFmtId="44" fontId="5" fillId="0" borderId="13" xfId="0" applyNumberFormat="1" applyFont="1" applyBorder="1" applyAlignment="1">
      <alignment horizontal="center"/>
    </xf>
    <xf numFmtId="165" fontId="5" fillId="0" borderId="7" xfId="0" applyNumberFormat="1" applyFont="1" applyBorder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7" fillId="0" borderId="0" xfId="0" applyFont="1"/>
    <xf numFmtId="0" fontId="3" fillId="0" borderId="0" xfId="3" applyBorder="1" applyAlignment="1"/>
    <xf numFmtId="44" fontId="5" fillId="0" borderId="0" xfId="1" applyFont="1" applyFill="1" applyBorder="1"/>
    <xf numFmtId="44" fontId="0" fillId="0" borderId="9" xfId="1" applyFont="1" applyFill="1" applyBorder="1"/>
    <xf numFmtId="42" fontId="0" fillId="0" borderId="0" xfId="1" applyNumberFormat="1" applyFont="1"/>
    <xf numFmtId="0" fontId="0" fillId="2" borderId="0" xfId="0" applyFill="1"/>
    <xf numFmtId="0" fontId="0" fillId="3" borderId="0" xfId="0" applyFill="1"/>
    <xf numFmtId="164" fontId="0" fillId="3" borderId="0" xfId="1" applyNumberFormat="1" applyFont="1" applyFill="1"/>
    <xf numFmtId="44" fontId="0" fillId="3" borderId="0" xfId="0" applyNumberFormat="1" applyFill="1"/>
    <xf numFmtId="164" fontId="0" fillId="3" borderId="0" xfId="0" applyNumberFormat="1" applyFill="1"/>
    <xf numFmtId="44" fontId="0" fillId="0" borderId="0" xfId="0" applyNumberFormat="1"/>
    <xf numFmtId="44" fontId="5" fillId="0" borderId="0" xfId="1" applyFont="1"/>
    <xf numFmtId="44" fontId="1" fillId="0" borderId="0" xfId="1" applyFont="1"/>
    <xf numFmtId="44" fontId="5" fillId="0" borderId="5" xfId="1" applyFont="1" applyBorder="1" applyAlignment="1">
      <alignment horizontal="center"/>
    </xf>
    <xf numFmtId="44" fontId="5" fillId="0" borderId="6" xfId="1" applyFont="1" applyBorder="1" applyAlignment="1">
      <alignment horizontal="center"/>
    </xf>
    <xf numFmtId="44" fontId="5" fillId="0" borderId="7" xfId="1" applyFont="1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horizontal="center"/>
    </xf>
    <xf numFmtId="44" fontId="0" fillId="0" borderId="18" xfId="1" applyFont="1" applyFill="1" applyBorder="1"/>
    <xf numFmtId="0" fontId="0" fillId="0" borderId="19" xfId="0" applyBorder="1"/>
    <xf numFmtId="0" fontId="4" fillId="0" borderId="3" xfId="4" applyFill="1"/>
    <xf numFmtId="0" fontId="4" fillId="3" borderId="0" xfId="4" applyFill="1" applyBorder="1"/>
    <xf numFmtId="0" fontId="4" fillId="3" borderId="3" xfId="4" applyFill="1"/>
    <xf numFmtId="0" fontId="3" fillId="0" borderId="2" xfId="3" applyAlignment="1">
      <alignment horizontal="center"/>
    </xf>
    <xf numFmtId="0" fontId="3" fillId="0" borderId="20" xfId="3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3" borderId="15" xfId="3" applyFill="1" applyBorder="1" applyAlignment="1">
      <alignment horizontal="center"/>
    </xf>
    <xf numFmtId="0" fontId="9" fillId="0" borderId="0" xfId="0" applyFont="1"/>
    <xf numFmtId="164" fontId="9" fillId="0" borderId="0" xfId="1" applyNumberFormat="1" applyFont="1"/>
    <xf numFmtId="5" fontId="0" fillId="0" borderId="0" xfId="1" applyNumberFormat="1" applyFont="1"/>
    <xf numFmtId="0" fontId="6" fillId="0" borderId="0" xfId="0" applyFont="1" applyAlignment="1">
      <alignment horizontal="left"/>
    </xf>
    <xf numFmtId="0" fontId="3" fillId="0" borderId="0" xfId="3" applyBorder="1" applyAlignment="1">
      <alignment horizontal="center"/>
    </xf>
    <xf numFmtId="0" fontId="2" fillId="0" borderId="0" xfId="2" applyBorder="1" applyAlignment="1">
      <alignment horizontal="center" vertical="center"/>
    </xf>
  </cellXfs>
  <cellStyles count="5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B601-7351-4D5D-A74B-CAB54BB41163}">
  <dimension ref="A1:U19"/>
  <sheetViews>
    <sheetView view="pageBreakPreview" zoomScale="60" zoomScaleNormal="100" workbookViewId="0">
      <selection activeCell="D17" sqref="D17"/>
    </sheetView>
  </sheetViews>
  <sheetFormatPr defaultColWidth="8.85546875" defaultRowHeight="15" x14ac:dyDescent="0.25"/>
  <cols>
    <col min="1" max="1" width="33.42578125" bestFit="1" customWidth="1"/>
    <col min="2" max="2" width="15.140625" bestFit="1" customWidth="1"/>
    <col min="3" max="3" width="15.42578125" bestFit="1" customWidth="1"/>
    <col min="4" max="4" width="14.5703125" bestFit="1" customWidth="1"/>
    <col min="5" max="6" width="15.28515625" bestFit="1" customWidth="1"/>
    <col min="7" max="7" width="14.42578125" bestFit="1" customWidth="1"/>
  </cols>
  <sheetData>
    <row r="1" spans="1:21" ht="20.25" thickBot="1" x14ac:dyDescent="0.35">
      <c r="A1" s="1" t="s">
        <v>117</v>
      </c>
      <c r="B1" s="1"/>
      <c r="C1" s="1"/>
      <c r="D1" s="1"/>
      <c r="E1" s="1"/>
      <c r="F1" s="1"/>
    </row>
    <row r="2" spans="1:21" ht="18.75" thickTop="1" thickBot="1" x14ac:dyDescent="0.35">
      <c r="B2" s="58" t="s">
        <v>110</v>
      </c>
      <c r="C2" s="58" t="s">
        <v>111</v>
      </c>
      <c r="D2" s="58" t="s">
        <v>112</v>
      </c>
      <c r="E2" s="58" t="s">
        <v>113</v>
      </c>
      <c r="F2" s="58" t="s">
        <v>114</v>
      </c>
    </row>
    <row r="3" spans="1:21" s="39" customFormat="1" x14ac:dyDescent="0.25">
      <c r="A3" s="40" t="s">
        <v>62</v>
      </c>
      <c r="B3" s="41">
        <f>'Executive Budget'!B33</f>
        <v>803372</v>
      </c>
      <c r="C3" s="41">
        <f>'Executive Budget'!C33</f>
        <v>824057.8</v>
      </c>
      <c r="D3" s="41">
        <f>'Executive Budget'!D33</f>
        <v>844901.674</v>
      </c>
      <c r="E3" s="41">
        <f>'Executive Budget'!E33</f>
        <v>866425.98921999999</v>
      </c>
      <c r="F3" s="41">
        <f>'Executive Budget'!F33</f>
        <v>888653.91514659999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s="39" customFormat="1" x14ac:dyDescent="0.25">
      <c r="A4" s="40" t="s">
        <v>81</v>
      </c>
      <c r="B4" s="41">
        <f>'Lodging and Land'!B23</f>
        <v>690000</v>
      </c>
      <c r="C4" s="41">
        <f>'Lodging and Land'!C21</f>
        <v>137900</v>
      </c>
      <c r="D4" s="41">
        <v>652090</v>
      </c>
      <c r="E4" s="41">
        <f>'Lodging and Land'!E21</f>
        <v>142286.21</v>
      </c>
      <c r="F4" s="41">
        <f>'Lodging and Land'!F21</f>
        <v>144590.17129999999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s="39" customFormat="1" x14ac:dyDescent="0.25">
      <c r="A5" s="40" t="s">
        <v>96</v>
      </c>
      <c r="B5" s="41">
        <f>SUM(Marketing.Promotions!B11)</f>
        <v>80000</v>
      </c>
      <c r="C5" s="41">
        <f>SUM(Marketing.Promotions!C11)</f>
        <v>81000</v>
      </c>
      <c r="D5" s="41">
        <f>SUM(Marketing.Promotions!D11)</f>
        <v>82600</v>
      </c>
      <c r="E5" s="41">
        <f>SUM(Marketing.Promotions!E11)</f>
        <v>84360</v>
      </c>
      <c r="F5" s="41">
        <f>SUM(Marketing.Promotions!F11)</f>
        <v>86296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39" customFormat="1" x14ac:dyDescent="0.25">
      <c r="A6" s="40" t="s">
        <v>63</v>
      </c>
      <c r="B6" s="41">
        <f>Engagement!B14</f>
        <v>15000</v>
      </c>
      <c r="C6" s="41">
        <f>Engagement!C14</f>
        <v>252000</v>
      </c>
      <c r="D6" s="41">
        <f>Engagement!D14</f>
        <v>252000</v>
      </c>
      <c r="E6" s="41">
        <f>Engagement!E14</f>
        <v>480000</v>
      </c>
      <c r="F6" s="41">
        <f>Engagement!F14</f>
        <v>488000</v>
      </c>
      <c r="G6" s="42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s="39" customFormat="1" x14ac:dyDescent="0.25">
      <c r="A7" s="40" t="s">
        <v>95</v>
      </c>
      <c r="B7" s="41">
        <v>0</v>
      </c>
      <c r="C7" s="41">
        <f>'Sea Expeditions'!L4</f>
        <v>226000</v>
      </c>
      <c r="D7" s="41">
        <f>'Sea Expeditions'!L5</f>
        <v>227260</v>
      </c>
      <c r="E7" s="41">
        <f>'Sea Expeditions'!L6</f>
        <v>410557.8</v>
      </c>
      <c r="F7" s="41">
        <f>'Sea Expeditions'!L7</f>
        <v>411894.53399999999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s="39" customFormat="1" x14ac:dyDescent="0.25">
      <c r="A8" s="40" t="s">
        <v>94</v>
      </c>
      <c r="B8" s="43">
        <f>Vessel!B7</f>
        <v>360000</v>
      </c>
      <c r="C8" s="43">
        <f>Vessel!C7</f>
        <v>25500</v>
      </c>
      <c r="D8" s="43">
        <f>Vessel!D7</f>
        <v>25500</v>
      </c>
      <c r="E8" s="43">
        <f>Vessel!E7</f>
        <v>411000</v>
      </c>
      <c r="F8" s="43">
        <f>Vessel!F7</f>
        <v>51000</v>
      </c>
      <c r="G8" s="40"/>
      <c r="H8" s="40"/>
      <c r="I8" s="40"/>
      <c r="J8" s="40"/>
      <c r="K8" s="40"/>
      <c r="L8" s="40" t="s">
        <v>50</v>
      </c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25">
      <c r="A9" s="40" t="s">
        <v>49</v>
      </c>
      <c r="B9" s="6">
        <f>SUM(B3:B8)</f>
        <v>1948372</v>
      </c>
      <c r="C9" s="41">
        <f>SUM(C3:C8)</f>
        <v>1546457.8</v>
      </c>
      <c r="D9" s="6">
        <f>SUM(D3:D8)</f>
        <v>2084351.6740000001</v>
      </c>
      <c r="E9" s="41">
        <f>SUM(E3:E8)</f>
        <v>2394629.9992199996</v>
      </c>
      <c r="F9" s="41">
        <f>SUM(F3:F8)</f>
        <v>2070434.6204466</v>
      </c>
      <c r="G9" s="43">
        <f>SUM(B9:F9)</f>
        <v>10044246.093666598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x14ac:dyDescent="0.25">
      <c r="B10" s="41" t="s">
        <v>50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x14ac:dyDescent="0.25">
      <c r="B11" s="6"/>
    </row>
    <row r="12" spans="1:21" x14ac:dyDescent="0.25">
      <c r="B12" s="6" t="s">
        <v>50</v>
      </c>
    </row>
    <row r="13" spans="1:21" x14ac:dyDescent="0.25">
      <c r="B13" s="5" t="s">
        <v>50</v>
      </c>
      <c r="C13" s="5"/>
      <c r="D13" s="5"/>
      <c r="E13" s="5"/>
      <c r="F13" s="5"/>
    </row>
    <row r="14" spans="1:21" x14ac:dyDescent="0.25">
      <c r="B14" s="5"/>
      <c r="C14" s="5"/>
      <c r="D14" s="43" t="s">
        <v>50</v>
      </c>
      <c r="E14" s="5"/>
      <c r="F14" s="5"/>
    </row>
    <row r="15" spans="1:21" x14ac:dyDescent="0.25">
      <c r="B15" s="63"/>
      <c r="C15" s="5"/>
      <c r="D15" s="5"/>
      <c r="E15" s="5"/>
      <c r="F15" s="5"/>
    </row>
    <row r="16" spans="1:21" x14ac:dyDescent="0.25">
      <c r="B16" s="5"/>
      <c r="C16" s="5"/>
      <c r="D16" s="5"/>
      <c r="E16" s="5"/>
      <c r="F16" s="5"/>
    </row>
    <row r="19" spans="2:2" x14ac:dyDescent="0.25">
      <c r="B19" s="6" t="s">
        <v>50</v>
      </c>
    </row>
  </sheetData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93F8-5E9A-4762-B9CB-54064752815C}">
  <dimension ref="A1:H41"/>
  <sheetViews>
    <sheetView view="pageBreakPreview" topLeftCell="A18" zoomScaleNormal="100" zoomScaleSheetLayoutView="100" workbookViewId="0">
      <selection activeCell="A42" sqref="A42"/>
    </sheetView>
  </sheetViews>
  <sheetFormatPr defaultColWidth="8.85546875" defaultRowHeight="15" x14ac:dyDescent="0.25"/>
  <cols>
    <col min="1" max="1" width="33.42578125" bestFit="1" customWidth="1"/>
    <col min="2" max="6" width="13.7109375" bestFit="1" customWidth="1"/>
  </cols>
  <sheetData>
    <row r="1" spans="1:8" ht="20.25" thickBot="1" x14ac:dyDescent="0.35">
      <c r="A1" s="1" t="s">
        <v>0</v>
      </c>
      <c r="B1" s="1"/>
      <c r="C1" s="1"/>
      <c r="D1" s="1"/>
      <c r="E1" s="1"/>
      <c r="F1" s="1"/>
    </row>
    <row r="2" spans="1:8" ht="18.75" thickTop="1" thickBot="1" x14ac:dyDescent="0.35">
      <c r="B2" s="57" t="s">
        <v>110</v>
      </c>
      <c r="C2" s="57" t="s">
        <v>111</v>
      </c>
      <c r="D2" s="57" t="s">
        <v>112</v>
      </c>
      <c r="E2" s="57" t="s">
        <v>113</v>
      </c>
      <c r="F2" s="57" t="s">
        <v>114</v>
      </c>
    </row>
    <row r="3" spans="1:8" ht="16.5" thickTop="1" thickBot="1" x14ac:dyDescent="0.3">
      <c r="A3" s="3" t="s">
        <v>1</v>
      </c>
    </row>
    <row r="4" spans="1:8" x14ac:dyDescent="0.25">
      <c r="A4" t="s">
        <v>2</v>
      </c>
      <c r="B4" s="6">
        <v>26400</v>
      </c>
      <c r="C4" s="6">
        <v>26400</v>
      </c>
      <c r="D4" s="6">
        <v>26400</v>
      </c>
      <c r="E4" s="6">
        <v>26400</v>
      </c>
      <c r="F4" s="6">
        <v>26400</v>
      </c>
    </row>
    <row r="5" spans="1:8" x14ac:dyDescent="0.25">
      <c r="A5" t="s">
        <v>3</v>
      </c>
      <c r="B5" s="6">
        <v>140000</v>
      </c>
      <c r="C5" s="6">
        <f t="shared" ref="C5:F9" si="0">B5*1.03</f>
        <v>144200</v>
      </c>
      <c r="D5" s="6">
        <f t="shared" si="0"/>
        <v>148526</v>
      </c>
      <c r="E5" s="6">
        <f t="shared" si="0"/>
        <v>152981.78</v>
      </c>
      <c r="F5" s="6">
        <f t="shared" si="0"/>
        <v>157571.2334</v>
      </c>
      <c r="G5" t="s">
        <v>82</v>
      </c>
    </row>
    <row r="6" spans="1:8" x14ac:dyDescent="0.25">
      <c r="A6" t="s">
        <v>92</v>
      </c>
      <c r="B6" s="6">
        <v>110000</v>
      </c>
      <c r="C6" s="6">
        <f t="shared" si="0"/>
        <v>113300</v>
      </c>
      <c r="D6" s="6">
        <f t="shared" si="0"/>
        <v>116699</v>
      </c>
      <c r="E6" s="6">
        <f t="shared" si="0"/>
        <v>120199.97</v>
      </c>
      <c r="F6" s="6">
        <f t="shared" si="0"/>
        <v>123805.9691</v>
      </c>
      <c r="G6" t="s">
        <v>83</v>
      </c>
    </row>
    <row r="7" spans="1:8" x14ac:dyDescent="0.25">
      <c r="A7" t="s">
        <v>65</v>
      </c>
      <c r="B7" s="6">
        <v>77000</v>
      </c>
      <c r="C7" s="6">
        <f t="shared" si="0"/>
        <v>79310</v>
      </c>
      <c r="D7" s="6">
        <f t="shared" si="0"/>
        <v>81689.3</v>
      </c>
      <c r="E7" s="6">
        <f t="shared" si="0"/>
        <v>84139.979000000007</v>
      </c>
      <c r="F7" s="6">
        <f t="shared" si="0"/>
        <v>86664.178370000009</v>
      </c>
      <c r="G7" t="s">
        <v>84</v>
      </c>
    </row>
    <row r="8" spans="1:8" x14ac:dyDescent="0.25">
      <c r="A8" t="s">
        <v>4</v>
      </c>
      <c r="B8" s="6">
        <v>110000</v>
      </c>
      <c r="C8" s="6">
        <f t="shared" si="0"/>
        <v>113300</v>
      </c>
      <c r="D8" s="6">
        <f t="shared" si="0"/>
        <v>116699</v>
      </c>
      <c r="E8" s="6">
        <f t="shared" si="0"/>
        <v>120199.97</v>
      </c>
      <c r="F8" s="6">
        <f t="shared" si="0"/>
        <v>123805.9691</v>
      </c>
      <c r="G8" t="s">
        <v>84</v>
      </c>
    </row>
    <row r="9" spans="1:8" ht="15.75" thickBot="1" x14ac:dyDescent="0.3">
      <c r="A9" t="s">
        <v>5</v>
      </c>
      <c r="B9" s="6">
        <v>105000</v>
      </c>
      <c r="C9" s="6">
        <f t="shared" si="0"/>
        <v>108150</v>
      </c>
      <c r="D9" s="6">
        <f t="shared" si="0"/>
        <v>111394.5</v>
      </c>
      <c r="E9" s="6">
        <f t="shared" si="0"/>
        <v>114736.33500000001</v>
      </c>
      <c r="F9" s="6">
        <f t="shared" si="0"/>
        <v>118178.42505000001</v>
      </c>
      <c r="G9" t="s">
        <v>84</v>
      </c>
    </row>
    <row r="10" spans="1:8" ht="15.75" thickBot="1" x14ac:dyDescent="0.3">
      <c r="A10" s="9" t="s">
        <v>6</v>
      </c>
      <c r="B10" s="10">
        <f>SUM(B4:B9)</f>
        <v>568400</v>
      </c>
      <c r="C10" s="10">
        <f>SUM(C4:C9)</f>
        <v>584660</v>
      </c>
      <c r="D10" s="10">
        <f>SUM(D4:D9)</f>
        <v>601407.80000000005</v>
      </c>
      <c r="E10" s="10">
        <f>SUM(E4:E9)</f>
        <v>618658.03399999999</v>
      </c>
      <c r="F10" s="10">
        <f>SUM(F4:F9)</f>
        <v>636425.77501999994</v>
      </c>
      <c r="H10" s="61"/>
    </row>
    <row r="12" spans="1:8" x14ac:dyDescent="0.25">
      <c r="A12" t="s">
        <v>7</v>
      </c>
      <c r="B12" s="6">
        <f>B10*0.08</f>
        <v>45472</v>
      </c>
      <c r="C12" s="6">
        <f t="shared" ref="C12:F12" si="1">C10*0.08</f>
        <v>46772.800000000003</v>
      </c>
      <c r="D12" s="6">
        <f t="shared" si="1"/>
        <v>48112.624000000003</v>
      </c>
      <c r="E12" s="6">
        <f t="shared" si="1"/>
        <v>49492.642720000003</v>
      </c>
      <c r="F12" s="6">
        <f t="shared" si="1"/>
        <v>50914.062001599996</v>
      </c>
      <c r="G12" t="s">
        <v>85</v>
      </c>
    </row>
    <row r="13" spans="1:8" x14ac:dyDescent="0.25">
      <c r="A13" t="s">
        <v>8</v>
      </c>
      <c r="B13" s="5">
        <f>5*625*12</f>
        <v>37500</v>
      </c>
      <c r="C13" s="5">
        <f>B13*1.05</f>
        <v>39375</v>
      </c>
      <c r="D13" s="5">
        <f t="shared" ref="D13:F13" si="2">C13*1.05</f>
        <v>41343.75</v>
      </c>
      <c r="E13" s="5">
        <f t="shared" si="2"/>
        <v>43410.9375</v>
      </c>
      <c r="F13" s="5">
        <f t="shared" si="2"/>
        <v>45581.484375</v>
      </c>
      <c r="G13" t="s">
        <v>86</v>
      </c>
    </row>
    <row r="14" spans="1:8" ht="15.75" thickBot="1" x14ac:dyDescent="0.3"/>
    <row r="15" spans="1:8" ht="15.75" thickBot="1" x14ac:dyDescent="0.3">
      <c r="A15" s="9" t="s">
        <v>9</v>
      </c>
      <c r="B15" s="10">
        <f t="shared" ref="B15:F15" si="3">B10+B12+B13</f>
        <v>651372</v>
      </c>
      <c r="C15" s="10">
        <f t="shared" si="3"/>
        <v>670807.80000000005</v>
      </c>
      <c r="D15" s="10">
        <f t="shared" si="3"/>
        <v>690864.174</v>
      </c>
      <c r="E15" s="10">
        <f t="shared" si="3"/>
        <v>711561.61421999999</v>
      </c>
      <c r="F15" s="11">
        <f t="shared" si="3"/>
        <v>732921.32139659999</v>
      </c>
    </row>
    <row r="17" spans="1:7" x14ac:dyDescent="0.25">
      <c r="A17" s="34" t="s">
        <v>10</v>
      </c>
    </row>
    <row r="18" spans="1:7" x14ac:dyDescent="0.25">
      <c r="A18" t="s">
        <v>11</v>
      </c>
      <c r="B18" s="5">
        <v>15000</v>
      </c>
      <c r="C18" s="5">
        <v>5000</v>
      </c>
      <c r="D18" s="5">
        <v>5000</v>
      </c>
      <c r="E18" s="5">
        <v>5000</v>
      </c>
      <c r="F18" s="5">
        <v>5000</v>
      </c>
    </row>
    <row r="19" spans="1:7" ht="15.75" thickBot="1" x14ac:dyDescent="0.3">
      <c r="A19" t="s">
        <v>12</v>
      </c>
      <c r="B19" s="5">
        <v>10000</v>
      </c>
      <c r="C19" s="5">
        <v>10000</v>
      </c>
      <c r="D19" s="5">
        <v>10000</v>
      </c>
      <c r="E19" s="5">
        <v>10000</v>
      </c>
      <c r="F19" s="5">
        <v>10000</v>
      </c>
      <c r="G19" t="s">
        <v>87</v>
      </c>
    </row>
    <row r="20" spans="1:7" ht="15.75" thickBot="1" x14ac:dyDescent="0.3">
      <c r="A20" s="9" t="s">
        <v>13</v>
      </c>
      <c r="B20" s="12">
        <f>SUM(B18:B19)</f>
        <v>25000</v>
      </c>
      <c r="C20" s="12">
        <f>SUM(C18:C19)</f>
        <v>15000</v>
      </c>
      <c r="D20" s="12">
        <f>SUM(D18:D19)</f>
        <v>15000</v>
      </c>
      <c r="E20" s="12">
        <f>SUM(E18:E19)</f>
        <v>15000</v>
      </c>
      <c r="F20" s="12">
        <f>SUM(F18:F19)</f>
        <v>15000</v>
      </c>
    </row>
    <row r="21" spans="1:7" ht="15.75" thickBot="1" x14ac:dyDescent="0.3"/>
    <row r="22" spans="1:7" ht="15.75" thickBot="1" x14ac:dyDescent="0.3">
      <c r="A22" s="9" t="s">
        <v>14</v>
      </c>
      <c r="B22" s="14">
        <f>5*1500*10</f>
        <v>75000</v>
      </c>
      <c r="C22" s="14">
        <f t="shared" ref="C22:F22" si="4">5*1500*10</f>
        <v>75000</v>
      </c>
      <c r="D22" s="14">
        <f t="shared" si="4"/>
        <v>75000</v>
      </c>
      <c r="E22" s="14">
        <f t="shared" si="4"/>
        <v>75000</v>
      </c>
      <c r="F22" s="14">
        <f t="shared" si="4"/>
        <v>75000</v>
      </c>
      <c r="G22" t="s">
        <v>88</v>
      </c>
    </row>
    <row r="24" spans="1:7" x14ac:dyDescent="0.25">
      <c r="A24" s="15" t="s">
        <v>15</v>
      </c>
    </row>
    <row r="25" spans="1:7" x14ac:dyDescent="0.25">
      <c r="A25" t="s">
        <v>16</v>
      </c>
      <c r="B25" s="5">
        <v>20000</v>
      </c>
      <c r="C25" s="5">
        <v>40000</v>
      </c>
      <c r="D25" s="5">
        <v>40000</v>
      </c>
      <c r="E25" s="5">
        <v>40000</v>
      </c>
      <c r="F25" s="5">
        <v>40000</v>
      </c>
      <c r="G25" t="s">
        <v>89</v>
      </c>
    </row>
    <row r="26" spans="1:7" x14ac:dyDescent="0.25">
      <c r="A26" t="s">
        <v>17</v>
      </c>
      <c r="B26" s="5">
        <v>5000</v>
      </c>
      <c r="C26" s="5">
        <v>5000</v>
      </c>
      <c r="D26" s="5">
        <v>5000</v>
      </c>
      <c r="E26" s="5">
        <v>5000</v>
      </c>
      <c r="F26" s="5">
        <v>5000</v>
      </c>
      <c r="G26" t="s">
        <v>89</v>
      </c>
    </row>
    <row r="27" spans="1:7" x14ac:dyDescent="0.25">
      <c r="A27" t="s">
        <v>18</v>
      </c>
      <c r="B27" s="5">
        <v>5000</v>
      </c>
      <c r="C27" s="5">
        <f t="shared" ref="C27:F27" si="5">B27*1.05</f>
        <v>5250</v>
      </c>
      <c r="D27" s="5">
        <f t="shared" si="5"/>
        <v>5512.5</v>
      </c>
      <c r="E27" s="5">
        <f t="shared" si="5"/>
        <v>5788.125</v>
      </c>
      <c r="F27" s="5">
        <f t="shared" si="5"/>
        <v>6077.53125</v>
      </c>
    </row>
    <row r="28" spans="1:7" x14ac:dyDescent="0.25">
      <c r="A28" t="s">
        <v>66</v>
      </c>
      <c r="B28" s="5">
        <v>10000</v>
      </c>
      <c r="C28" s="5">
        <v>2000</v>
      </c>
      <c r="D28" s="5">
        <v>2000</v>
      </c>
      <c r="E28" s="5">
        <v>2000</v>
      </c>
      <c r="F28" s="5">
        <v>2000</v>
      </c>
    </row>
    <row r="29" spans="1:7" x14ac:dyDescent="0.25">
      <c r="A29" t="s">
        <v>19</v>
      </c>
      <c r="B29" s="5">
        <v>2000</v>
      </c>
      <c r="C29" s="5">
        <v>500</v>
      </c>
      <c r="D29" s="5">
        <v>500</v>
      </c>
      <c r="E29" s="5">
        <v>500</v>
      </c>
      <c r="F29" s="5">
        <v>500</v>
      </c>
    </row>
    <row r="30" spans="1:7" ht="15.75" thickBot="1" x14ac:dyDescent="0.3">
      <c r="A30" t="s">
        <v>20</v>
      </c>
      <c r="B30" s="5">
        <v>10000</v>
      </c>
      <c r="C30" s="5">
        <f>B30*1.05</f>
        <v>10500</v>
      </c>
      <c r="D30" s="5">
        <f t="shared" ref="D30:F30" si="6">C30*1.05</f>
        <v>11025</v>
      </c>
      <c r="E30" s="5">
        <f t="shared" si="6"/>
        <v>11576.25</v>
      </c>
      <c r="F30" s="5">
        <f t="shared" si="6"/>
        <v>12155.0625</v>
      </c>
    </row>
    <row r="31" spans="1:7" ht="15.75" thickBot="1" x14ac:dyDescent="0.3">
      <c r="A31" s="9" t="s">
        <v>21</v>
      </c>
      <c r="B31" s="10">
        <f t="shared" ref="B31:F31" si="7">SUM(B25:B30)</f>
        <v>52000</v>
      </c>
      <c r="C31" s="10">
        <f t="shared" si="7"/>
        <v>63250</v>
      </c>
      <c r="D31" s="10">
        <f t="shared" si="7"/>
        <v>64037.5</v>
      </c>
      <c r="E31" s="10">
        <f t="shared" si="7"/>
        <v>64864.375</v>
      </c>
      <c r="F31" s="11">
        <f t="shared" si="7"/>
        <v>65732.59375</v>
      </c>
    </row>
    <row r="33" spans="1:6" x14ac:dyDescent="0.25">
      <c r="A33" t="s">
        <v>22</v>
      </c>
      <c r="B33" s="6">
        <f>SUM(B15,B20,B22,B31)</f>
        <v>803372</v>
      </c>
      <c r="C33" s="6">
        <f>SUM(C15,C20,C22,C31)</f>
        <v>824057.8</v>
      </c>
      <c r="D33" s="6">
        <f>SUM(D15,D20,D22,D31)</f>
        <v>844901.674</v>
      </c>
      <c r="E33" s="6">
        <f>SUM(E15,E20,E22,E31)</f>
        <v>866425.98921999999</v>
      </c>
      <c r="F33" s="6">
        <f>SUM(F15,F20,F22,F31)</f>
        <v>888653.91514659999</v>
      </c>
    </row>
    <row r="34" spans="1:6" x14ac:dyDescent="0.25">
      <c r="B34" s="61"/>
    </row>
    <row r="37" spans="1:6" x14ac:dyDescent="0.25">
      <c r="A37" t="s">
        <v>79</v>
      </c>
    </row>
    <row r="38" spans="1:6" x14ac:dyDescent="0.25">
      <c r="A38" t="s">
        <v>118</v>
      </c>
    </row>
    <row r="39" spans="1:6" x14ac:dyDescent="0.25">
      <c r="A39" t="s">
        <v>80</v>
      </c>
    </row>
    <row r="40" spans="1:6" x14ac:dyDescent="0.25">
      <c r="A40" t="s">
        <v>64</v>
      </c>
    </row>
    <row r="41" spans="1:6" x14ac:dyDescent="0.25">
      <c r="A41" t="s">
        <v>93</v>
      </c>
    </row>
  </sheetData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FA12-B7AD-4E0D-B357-AE890A022D3A}">
  <sheetPr>
    <pageSetUpPr fitToPage="1"/>
  </sheetPr>
  <dimension ref="A1:G25"/>
  <sheetViews>
    <sheetView view="pageBreakPreview" zoomScaleNormal="100" zoomScaleSheetLayoutView="100" workbookViewId="0">
      <selection activeCell="J9" sqref="J9"/>
    </sheetView>
  </sheetViews>
  <sheetFormatPr defaultColWidth="8.85546875" defaultRowHeight="15" x14ac:dyDescent="0.25"/>
  <cols>
    <col min="1" max="1" width="43.28515625" bestFit="1" customWidth="1"/>
    <col min="2" max="2" width="18.85546875" customWidth="1"/>
    <col min="3" max="3" width="13.7109375" bestFit="1" customWidth="1"/>
    <col min="4" max="4" width="18.7109375" bestFit="1" customWidth="1"/>
    <col min="5" max="6" width="13.7109375" bestFit="1" customWidth="1"/>
  </cols>
  <sheetData>
    <row r="1" spans="1:6" ht="20.25" thickBot="1" x14ac:dyDescent="0.35">
      <c r="A1" s="1" t="s">
        <v>23</v>
      </c>
      <c r="B1" s="1"/>
      <c r="C1" s="1"/>
      <c r="D1" s="1"/>
      <c r="E1" s="1"/>
      <c r="F1" s="1"/>
    </row>
    <row r="2" spans="1:6" ht="18.75" thickTop="1" thickBot="1" x14ac:dyDescent="0.35">
      <c r="B2" s="57" t="s">
        <v>110</v>
      </c>
      <c r="C2" s="57" t="s">
        <v>111</v>
      </c>
      <c r="D2" s="57" t="s">
        <v>112</v>
      </c>
      <c r="E2" s="57" t="s">
        <v>113</v>
      </c>
      <c r="F2" s="57" t="s">
        <v>114</v>
      </c>
    </row>
    <row r="3" spans="1:6" ht="16.5" thickTop="1" thickBot="1" x14ac:dyDescent="0.3">
      <c r="A3" s="3" t="s">
        <v>1</v>
      </c>
      <c r="B3" s="5"/>
      <c r="C3" s="5"/>
      <c r="D3" s="5"/>
      <c r="E3" s="5"/>
      <c r="F3" s="5"/>
    </row>
    <row r="4" spans="1:6" x14ac:dyDescent="0.25">
      <c r="A4" t="s">
        <v>27</v>
      </c>
      <c r="B4" s="5">
        <v>0</v>
      </c>
      <c r="C4" s="5">
        <v>55000</v>
      </c>
      <c r="D4" s="5">
        <f>C4*1.03</f>
        <v>56650</v>
      </c>
      <c r="E4" s="5">
        <f>D4*1.03</f>
        <v>58349.5</v>
      </c>
      <c r="F4" s="5">
        <f>E4*1.03</f>
        <v>60099.985000000001</v>
      </c>
    </row>
    <row r="5" spans="1:6" x14ac:dyDescent="0.25">
      <c r="B5" s="5"/>
      <c r="C5" s="5"/>
      <c r="D5" s="5"/>
      <c r="E5" s="5"/>
      <c r="F5" s="5"/>
    </row>
    <row r="6" spans="1:6" x14ac:dyDescent="0.25">
      <c r="A6" t="s">
        <v>6</v>
      </c>
      <c r="B6" s="5">
        <f t="shared" ref="B6:F6" si="0">SUM(B4:B4)</f>
        <v>0</v>
      </c>
      <c r="C6" s="5">
        <f t="shared" si="0"/>
        <v>55000</v>
      </c>
      <c r="D6" s="5">
        <f t="shared" si="0"/>
        <v>56650</v>
      </c>
      <c r="E6" s="5">
        <f t="shared" si="0"/>
        <v>58349.5</v>
      </c>
      <c r="F6" s="5">
        <f t="shared" si="0"/>
        <v>60099.985000000001</v>
      </c>
    </row>
    <row r="7" spans="1:6" x14ac:dyDescent="0.25">
      <c r="B7" s="5"/>
      <c r="C7" s="5"/>
      <c r="D7" s="5"/>
      <c r="E7" s="5"/>
      <c r="F7" s="5"/>
    </row>
    <row r="8" spans="1:6" x14ac:dyDescent="0.25">
      <c r="A8" t="s">
        <v>7</v>
      </c>
      <c r="B8" s="5">
        <f t="shared" ref="B8:F8" si="1">B6*0.08</f>
        <v>0</v>
      </c>
      <c r="C8" s="5">
        <f t="shared" si="1"/>
        <v>4400</v>
      </c>
      <c r="D8" s="5">
        <f t="shared" si="1"/>
        <v>4532</v>
      </c>
      <c r="E8" s="5">
        <f t="shared" si="1"/>
        <v>4667.96</v>
      </c>
      <c r="F8" s="5">
        <f t="shared" si="1"/>
        <v>4807.9988000000003</v>
      </c>
    </row>
    <row r="9" spans="1:6" x14ac:dyDescent="0.25">
      <c r="A9" t="s">
        <v>8</v>
      </c>
      <c r="B9" s="5">
        <v>0</v>
      </c>
      <c r="C9" s="41">
        <f>1*625*12</f>
        <v>7500</v>
      </c>
      <c r="D9" s="41">
        <f>C9*1.05</f>
        <v>7875</v>
      </c>
      <c r="E9" s="41">
        <f t="shared" ref="E9:F9" si="2">D9*1.05</f>
        <v>8268.75</v>
      </c>
      <c r="F9" s="41">
        <f t="shared" si="2"/>
        <v>8682.1875</v>
      </c>
    </row>
    <row r="10" spans="1:6" ht="15.75" thickBot="1" x14ac:dyDescent="0.3">
      <c r="B10" s="5"/>
      <c r="C10" s="62" t="s">
        <v>50</v>
      </c>
      <c r="D10" s="5"/>
      <c r="E10" s="5"/>
      <c r="F10" s="5"/>
    </row>
    <row r="11" spans="1:6" ht="15.75" thickBot="1" x14ac:dyDescent="0.3">
      <c r="A11" s="9" t="s">
        <v>28</v>
      </c>
      <c r="B11" s="12">
        <f t="shared" ref="B11:E11" si="3">B6+B8+B9</f>
        <v>0</v>
      </c>
      <c r="C11" s="12">
        <f t="shared" si="3"/>
        <v>66900</v>
      </c>
      <c r="D11" s="12">
        <f t="shared" si="3"/>
        <v>69057</v>
      </c>
      <c r="E11" s="12">
        <f t="shared" si="3"/>
        <v>71286.209999999992</v>
      </c>
      <c r="F11" s="13">
        <f>F6+F8+F9</f>
        <v>73590.171300000002</v>
      </c>
    </row>
    <row r="13" spans="1:6" ht="18" thickBot="1" x14ac:dyDescent="0.35">
      <c r="A13" s="15" t="s">
        <v>15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</row>
    <row r="14" spans="1:6" ht="15.75" thickTop="1" x14ac:dyDescent="0.25">
      <c r="A14" t="s">
        <v>29</v>
      </c>
      <c r="B14" s="5">
        <v>0</v>
      </c>
      <c r="C14" s="5">
        <v>10000</v>
      </c>
      <c r="D14" s="5">
        <v>10000</v>
      </c>
      <c r="E14" s="5">
        <v>10000</v>
      </c>
      <c r="F14" s="5">
        <v>10000</v>
      </c>
    </row>
    <row r="15" spans="1:6" x14ac:dyDescent="0.25">
      <c r="A15" t="s">
        <v>30</v>
      </c>
      <c r="B15" s="5">
        <v>0</v>
      </c>
      <c r="C15" s="5">
        <v>2400</v>
      </c>
      <c r="D15" s="5">
        <v>2400</v>
      </c>
      <c r="E15" s="5">
        <v>2400</v>
      </c>
      <c r="F15" s="5">
        <v>2400</v>
      </c>
    </row>
    <row r="16" spans="1:6" x14ac:dyDescent="0.25">
      <c r="A16" t="s">
        <v>31</v>
      </c>
      <c r="B16" s="5">
        <v>0</v>
      </c>
      <c r="C16" s="5">
        <v>1000</v>
      </c>
      <c r="D16" s="5">
        <v>1000</v>
      </c>
      <c r="E16" s="5">
        <v>1000</v>
      </c>
      <c r="F16" s="5">
        <v>1000</v>
      </c>
    </row>
    <row r="17" spans="1:7" x14ac:dyDescent="0.25">
      <c r="A17" t="s">
        <v>90</v>
      </c>
      <c r="B17" s="5">
        <v>0</v>
      </c>
      <c r="C17" s="5">
        <f>16*300*12</f>
        <v>57600</v>
      </c>
      <c r="D17" s="5">
        <v>57600</v>
      </c>
      <c r="E17" s="5">
        <v>57600</v>
      </c>
      <c r="F17" s="5">
        <v>57600</v>
      </c>
      <c r="G17" t="s">
        <v>91</v>
      </c>
    </row>
    <row r="19" spans="1:7" x14ac:dyDescent="0.25">
      <c r="A19" t="s">
        <v>32</v>
      </c>
      <c r="B19" s="6">
        <f t="shared" ref="B19:F19" si="4">SUM(B14:B17)</f>
        <v>0</v>
      </c>
      <c r="C19" s="6">
        <f t="shared" si="4"/>
        <v>71000</v>
      </c>
      <c r="D19" s="6">
        <f t="shared" si="4"/>
        <v>71000</v>
      </c>
      <c r="E19" s="6">
        <f t="shared" si="4"/>
        <v>71000</v>
      </c>
      <c r="F19" s="6">
        <f t="shared" si="4"/>
        <v>71000</v>
      </c>
    </row>
    <row r="21" spans="1:7" x14ac:dyDescent="0.25">
      <c r="A21" t="s">
        <v>33</v>
      </c>
      <c r="B21" s="6">
        <f t="shared" ref="B21:F21" si="5">SUM(B11,B19)</f>
        <v>0</v>
      </c>
      <c r="C21" s="6">
        <f t="shared" si="5"/>
        <v>137900</v>
      </c>
      <c r="D21" s="6">
        <f t="shared" si="5"/>
        <v>140057</v>
      </c>
      <c r="E21" s="6">
        <f t="shared" si="5"/>
        <v>142286.21</v>
      </c>
      <c r="F21" s="6">
        <f t="shared" si="5"/>
        <v>144590.17129999999</v>
      </c>
    </row>
    <row r="23" spans="1:7" x14ac:dyDescent="0.25">
      <c r="A23" s="15" t="s">
        <v>105</v>
      </c>
      <c r="B23" s="45">
        <v>690000</v>
      </c>
      <c r="D23" s="45">
        <v>500000</v>
      </c>
    </row>
    <row r="24" spans="1:7" x14ac:dyDescent="0.25">
      <c r="B24" s="6"/>
    </row>
    <row r="25" spans="1:7" x14ac:dyDescent="0.25">
      <c r="B25" t="s">
        <v>104</v>
      </c>
    </row>
  </sheetData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F3C9-795F-4488-916B-C88DF5C05931}">
  <dimension ref="A1:F11"/>
  <sheetViews>
    <sheetView zoomScaleNormal="100" workbookViewId="0">
      <selection activeCell="F11" sqref="F11"/>
    </sheetView>
  </sheetViews>
  <sheetFormatPr defaultColWidth="8.85546875" defaultRowHeight="15" x14ac:dyDescent="0.25"/>
  <cols>
    <col min="1" max="1" width="34.140625" bestFit="1" customWidth="1"/>
    <col min="2" max="6" width="11.42578125" bestFit="1" customWidth="1"/>
  </cols>
  <sheetData>
    <row r="1" spans="1:6" ht="20.25" thickBot="1" x14ac:dyDescent="0.35">
      <c r="A1" s="1" t="s">
        <v>24</v>
      </c>
      <c r="B1" s="1"/>
      <c r="C1" s="1"/>
      <c r="D1" s="1"/>
      <c r="E1" s="1"/>
      <c r="F1" s="1"/>
    </row>
    <row r="2" spans="1:6" ht="18.75" thickTop="1" thickBot="1" x14ac:dyDescent="0.35"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</row>
    <row r="3" spans="1:6" ht="15.75" thickTop="1" x14ac:dyDescent="0.25">
      <c r="A3" s="7" t="s">
        <v>34</v>
      </c>
      <c r="B3" s="5"/>
      <c r="C3" s="5"/>
      <c r="D3" s="5"/>
      <c r="E3" s="5"/>
      <c r="F3" s="5"/>
    </row>
    <row r="4" spans="1:6" x14ac:dyDescent="0.25">
      <c r="A4" t="s">
        <v>35</v>
      </c>
      <c r="B4" s="5">
        <v>10000</v>
      </c>
      <c r="C4" s="5">
        <v>10000</v>
      </c>
      <c r="D4" s="5">
        <f>C4*1.1</f>
        <v>11000</v>
      </c>
      <c r="E4" s="5">
        <f t="shared" ref="E4:F4" si="0">D4*1.1</f>
        <v>12100.000000000002</v>
      </c>
      <c r="F4" s="5">
        <f t="shared" si="0"/>
        <v>13310.000000000004</v>
      </c>
    </row>
    <row r="5" spans="1:6" x14ac:dyDescent="0.25">
      <c r="A5" t="s">
        <v>36</v>
      </c>
      <c r="B5" s="5">
        <v>0</v>
      </c>
      <c r="C5" s="5">
        <v>1000</v>
      </c>
      <c r="D5" s="5">
        <f t="shared" ref="D5:F6" si="1">C5*1.1</f>
        <v>1100</v>
      </c>
      <c r="E5" s="5">
        <f t="shared" si="1"/>
        <v>1210</v>
      </c>
      <c r="F5" s="5">
        <f t="shared" si="1"/>
        <v>1331</v>
      </c>
    </row>
    <row r="6" spans="1:6" ht="15.75" thickBot="1" x14ac:dyDescent="0.3">
      <c r="A6" t="s">
        <v>37</v>
      </c>
      <c r="B6" s="5">
        <v>5000</v>
      </c>
      <c r="C6" s="5">
        <v>5000</v>
      </c>
      <c r="D6" s="5">
        <f t="shared" si="1"/>
        <v>5500</v>
      </c>
      <c r="E6" s="5">
        <f t="shared" si="1"/>
        <v>6050.0000000000009</v>
      </c>
      <c r="F6" s="5">
        <f t="shared" si="1"/>
        <v>6655.0000000000018</v>
      </c>
    </row>
    <row r="7" spans="1:6" ht="15.75" thickBot="1" x14ac:dyDescent="0.3">
      <c r="A7" s="9" t="s">
        <v>38</v>
      </c>
      <c r="B7" s="12">
        <f t="shared" ref="B7:F7" si="2">SUM(B4:B6)</f>
        <v>15000</v>
      </c>
      <c r="C7" s="12">
        <f t="shared" si="2"/>
        <v>16000</v>
      </c>
      <c r="D7" s="12">
        <f t="shared" si="2"/>
        <v>17600</v>
      </c>
      <c r="E7" s="12">
        <f t="shared" si="2"/>
        <v>19360.000000000004</v>
      </c>
      <c r="F7" s="13">
        <f t="shared" si="2"/>
        <v>21296.000000000007</v>
      </c>
    </row>
    <row r="8" spans="1:6" x14ac:dyDescent="0.25">
      <c r="B8" s="5"/>
      <c r="C8" s="5"/>
      <c r="D8" s="5"/>
      <c r="E8" s="5"/>
      <c r="F8" s="5"/>
    </row>
    <row r="9" spans="1:6" x14ac:dyDescent="0.25">
      <c r="A9" t="s">
        <v>39</v>
      </c>
      <c r="B9" s="5">
        <v>65000</v>
      </c>
      <c r="C9" s="5">
        <v>65000</v>
      </c>
      <c r="D9" s="5">
        <v>65000</v>
      </c>
      <c r="E9" s="5">
        <v>65000</v>
      </c>
      <c r="F9" s="5">
        <v>65000</v>
      </c>
    </row>
    <row r="10" spans="1:6" x14ac:dyDescent="0.25">
      <c r="B10" s="5"/>
      <c r="C10" s="5"/>
      <c r="D10" s="5"/>
      <c r="E10" s="5"/>
      <c r="F10" s="5"/>
    </row>
    <row r="11" spans="1:6" x14ac:dyDescent="0.25">
      <c r="A11" t="s">
        <v>40</v>
      </c>
      <c r="B11" s="5">
        <f>B7+B9</f>
        <v>80000</v>
      </c>
      <c r="C11" s="5">
        <f t="shared" ref="C11:F11" si="3">C7+C9</f>
        <v>81000</v>
      </c>
      <c r="D11" s="5">
        <f t="shared" si="3"/>
        <v>82600</v>
      </c>
      <c r="E11" s="5">
        <f t="shared" si="3"/>
        <v>84360</v>
      </c>
      <c r="F11" s="5">
        <f t="shared" si="3"/>
        <v>86296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C12F-2A90-41BD-8D1A-762316A2C8CC}">
  <dimension ref="A2:I28"/>
  <sheetViews>
    <sheetView zoomScaleNormal="100" workbookViewId="0">
      <selection activeCell="G18" sqref="G18"/>
    </sheetView>
  </sheetViews>
  <sheetFormatPr defaultColWidth="8.85546875" defaultRowHeight="15" x14ac:dyDescent="0.25"/>
  <cols>
    <col min="1" max="1" width="50.42578125" bestFit="1" customWidth="1"/>
    <col min="2" max="2" width="16.85546875" bestFit="1" customWidth="1"/>
    <col min="3" max="6" width="18.7109375" bestFit="1" customWidth="1"/>
    <col min="8" max="8" width="11.5703125" bestFit="1" customWidth="1"/>
  </cols>
  <sheetData>
    <row r="2" spans="1:8" ht="19.5" thickBot="1" x14ac:dyDescent="0.35">
      <c r="A2" s="64" t="s">
        <v>53</v>
      </c>
      <c r="B2" s="64"/>
      <c r="C2" s="64"/>
      <c r="D2" s="64"/>
      <c r="E2" s="64"/>
      <c r="F2" s="64"/>
    </row>
    <row r="3" spans="1:8" ht="15.75" thickBot="1" x14ac:dyDescent="0.3">
      <c r="A3" s="24"/>
      <c r="B3" s="47"/>
      <c r="C3" s="48"/>
      <c r="D3" s="48"/>
      <c r="E3" s="48"/>
      <c r="F3" s="49"/>
    </row>
    <row r="4" spans="1:8" ht="18" thickBot="1" x14ac:dyDescent="0.35">
      <c r="A4" s="51" t="s">
        <v>15</v>
      </c>
      <c r="B4" s="2" t="s">
        <v>110</v>
      </c>
      <c r="C4" s="2" t="s">
        <v>111</v>
      </c>
      <c r="D4" s="2" t="s">
        <v>112</v>
      </c>
      <c r="E4" s="2" t="s">
        <v>113</v>
      </c>
      <c r="F4" s="2" t="s">
        <v>114</v>
      </c>
      <c r="G4" s="2" t="s">
        <v>50</v>
      </c>
    </row>
    <row r="5" spans="1:8" x14ac:dyDescent="0.25">
      <c r="A5" s="15" t="s">
        <v>54</v>
      </c>
      <c r="B5" s="37">
        <v>0</v>
      </c>
      <c r="C5" s="37">
        <v>1000</v>
      </c>
      <c r="D5" s="37">
        <v>1000</v>
      </c>
      <c r="E5" s="18">
        <v>1000</v>
      </c>
      <c r="F5" s="23">
        <v>1000</v>
      </c>
    </row>
    <row r="6" spans="1:8" x14ac:dyDescent="0.25">
      <c r="A6" s="15" t="s">
        <v>50</v>
      </c>
      <c r="B6" s="37"/>
      <c r="C6" s="37"/>
      <c r="D6" s="37"/>
      <c r="E6" s="18"/>
      <c r="F6" s="19"/>
    </row>
    <row r="7" spans="1:8" x14ac:dyDescent="0.25">
      <c r="A7" s="15" t="s">
        <v>100</v>
      </c>
      <c r="B7" s="37">
        <v>0</v>
      </c>
      <c r="C7" s="37">
        <v>210000</v>
      </c>
      <c r="D7" s="37">
        <v>210000</v>
      </c>
      <c r="E7" s="18">
        <v>420000</v>
      </c>
      <c r="F7" s="19">
        <v>420000</v>
      </c>
    </row>
    <row r="8" spans="1:8" x14ac:dyDescent="0.25">
      <c r="A8" s="15" t="s">
        <v>102</v>
      </c>
      <c r="B8" s="37">
        <v>0</v>
      </c>
      <c r="C8" s="37">
        <f>500*6*7</f>
        <v>21000</v>
      </c>
      <c r="D8" s="37">
        <f>500*6*7</f>
        <v>21000</v>
      </c>
      <c r="E8" s="37">
        <f>500*12*7</f>
        <v>42000</v>
      </c>
      <c r="F8" s="37">
        <f>500*12*7</f>
        <v>42000</v>
      </c>
    </row>
    <row r="9" spans="1:8" x14ac:dyDescent="0.25">
      <c r="A9" s="15" t="s">
        <v>50</v>
      </c>
      <c r="B9" s="37"/>
      <c r="C9" s="37"/>
      <c r="D9" s="37"/>
      <c r="E9" s="18"/>
      <c r="F9" s="19"/>
    </row>
    <row r="10" spans="1:8" x14ac:dyDescent="0.25">
      <c r="A10" s="15" t="s">
        <v>55</v>
      </c>
      <c r="B10" s="37">
        <v>10000</v>
      </c>
      <c r="C10" s="37">
        <v>15000</v>
      </c>
      <c r="D10" s="37">
        <v>15000</v>
      </c>
      <c r="E10" s="18">
        <v>12000</v>
      </c>
      <c r="F10" s="19">
        <v>20000</v>
      </c>
    </row>
    <row r="11" spans="1:8" x14ac:dyDescent="0.25">
      <c r="B11" s="37"/>
      <c r="C11" s="37"/>
      <c r="D11" s="37"/>
      <c r="E11" s="18"/>
      <c r="F11" s="19"/>
      <c r="H11" s="50"/>
    </row>
    <row r="12" spans="1:8" x14ac:dyDescent="0.25">
      <c r="A12" s="15" t="s">
        <v>56</v>
      </c>
      <c r="B12" s="37">
        <v>5000</v>
      </c>
      <c r="C12" s="37">
        <v>5000</v>
      </c>
      <c r="D12" s="37">
        <v>5000</v>
      </c>
      <c r="E12" s="18">
        <v>5000</v>
      </c>
      <c r="F12" s="19">
        <v>5000</v>
      </c>
      <c r="H12" s="52"/>
    </row>
    <row r="13" spans="1:8" ht="15.75" thickBot="1" x14ac:dyDescent="0.3">
      <c r="B13" s="19"/>
      <c r="C13" s="20"/>
      <c r="D13" s="20"/>
      <c r="E13" s="21"/>
      <c r="F13" s="20"/>
      <c r="H13" s="44"/>
    </row>
    <row r="14" spans="1:8" ht="15.75" thickBot="1" x14ac:dyDescent="0.3">
      <c r="A14" s="25" t="s">
        <v>51</v>
      </c>
      <c r="B14" s="26">
        <f>SUM(B5:B13)</f>
        <v>15000</v>
      </c>
      <c r="C14" s="27">
        <f>SUM(C5:C13)</f>
        <v>252000</v>
      </c>
      <c r="D14" s="28">
        <f>SUM(D5:D13)</f>
        <v>252000</v>
      </c>
      <c r="E14" s="29">
        <f>SUM(E5:E13)</f>
        <v>480000</v>
      </c>
      <c r="F14" s="30">
        <f>SUM(F5:F13)</f>
        <v>488000</v>
      </c>
    </row>
    <row r="15" spans="1:8" x14ac:dyDescent="0.25">
      <c r="A15" s="31" t="s">
        <v>50</v>
      </c>
      <c r="B15" s="31"/>
      <c r="C15" s="31"/>
      <c r="D15" s="31"/>
      <c r="E15" s="32"/>
      <c r="F15" s="33"/>
    </row>
    <row r="16" spans="1:8" x14ac:dyDescent="0.25">
      <c r="A16" s="31" t="s">
        <v>57</v>
      </c>
      <c r="B16" s="31">
        <f>B14</f>
        <v>15000</v>
      </c>
      <c r="C16" s="31">
        <f t="shared" ref="C16:F16" si="0">C14</f>
        <v>252000</v>
      </c>
      <c r="D16" s="31">
        <f t="shared" si="0"/>
        <v>252000</v>
      </c>
      <c r="E16" s="31">
        <f t="shared" si="0"/>
        <v>480000</v>
      </c>
      <c r="F16" s="31">
        <f t="shared" si="0"/>
        <v>488000</v>
      </c>
    </row>
    <row r="17" spans="1:9" x14ac:dyDescent="0.25">
      <c r="A17" s="22" t="s">
        <v>101</v>
      </c>
      <c r="B17" s="22">
        <v>0</v>
      </c>
      <c r="C17" s="17">
        <v>42</v>
      </c>
      <c r="D17" s="17">
        <v>42</v>
      </c>
      <c r="E17" s="17">
        <v>84</v>
      </c>
      <c r="F17" s="17">
        <v>84</v>
      </c>
      <c r="I17" s="17"/>
    </row>
    <row r="18" spans="1:9" x14ac:dyDescent="0.25">
      <c r="A18" t="s">
        <v>50</v>
      </c>
      <c r="C18" t="s">
        <v>50</v>
      </c>
      <c r="D18" t="s">
        <v>50</v>
      </c>
      <c r="E18" t="s">
        <v>50</v>
      </c>
    </row>
    <row r="19" spans="1:9" x14ac:dyDescent="0.25">
      <c r="A19" s="36" t="s">
        <v>52</v>
      </c>
    </row>
    <row r="20" spans="1:9" x14ac:dyDescent="0.25">
      <c r="A20" s="15" t="s">
        <v>58</v>
      </c>
      <c r="B20" s="33"/>
    </row>
    <row r="21" spans="1:9" x14ac:dyDescent="0.25">
      <c r="A21" t="s">
        <v>59</v>
      </c>
    </row>
    <row r="22" spans="1:9" x14ac:dyDescent="0.25">
      <c r="A22" t="s">
        <v>60</v>
      </c>
    </row>
    <row r="23" spans="1:9" x14ac:dyDescent="0.25">
      <c r="A23" t="s">
        <v>61</v>
      </c>
    </row>
    <row r="26" spans="1:9" x14ac:dyDescent="0.25">
      <c r="A26" t="s">
        <v>67</v>
      </c>
    </row>
    <row r="27" spans="1:9" x14ac:dyDescent="0.25">
      <c r="A27" t="s">
        <v>103</v>
      </c>
    </row>
    <row r="28" spans="1:9" x14ac:dyDescent="0.25">
      <c r="A28" t="s">
        <v>106</v>
      </c>
    </row>
  </sheetData>
  <mergeCells count="1">
    <mergeCell ref="A2:F2"/>
  </mergeCells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078E-13E5-46FF-932B-46F3B64D1BF8}">
  <dimension ref="A1:L25"/>
  <sheetViews>
    <sheetView view="pageBreakPreview" zoomScaleNormal="120" zoomScaleSheetLayoutView="100" workbookViewId="0">
      <selection activeCell="H19" sqref="H19"/>
    </sheetView>
  </sheetViews>
  <sheetFormatPr defaultColWidth="8.85546875" defaultRowHeight="15" x14ac:dyDescent="0.25"/>
  <cols>
    <col min="1" max="1" width="37.140625" customWidth="1"/>
    <col min="2" max="2" width="18.140625" customWidth="1"/>
    <col min="3" max="3" width="12.5703125" customWidth="1"/>
    <col min="4" max="4" width="11" customWidth="1"/>
    <col min="5" max="6" width="11.140625" bestFit="1" customWidth="1"/>
    <col min="7" max="7" width="20.5703125" bestFit="1" customWidth="1"/>
    <col min="8" max="8" width="30.140625" bestFit="1" customWidth="1"/>
    <col min="9" max="9" width="12.140625" bestFit="1" customWidth="1"/>
    <col min="10" max="10" width="12.140625" customWidth="1"/>
    <col min="11" max="11" width="13.85546875" bestFit="1" customWidth="1"/>
    <col min="12" max="12" width="12.140625" bestFit="1" customWidth="1"/>
  </cols>
  <sheetData>
    <row r="1" spans="1:12" ht="15" customHeight="1" x14ac:dyDescent="0.25">
      <c r="A1" s="66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.75" thickBot="1" x14ac:dyDescent="0.3">
      <c r="A3" s="3" t="s">
        <v>50</v>
      </c>
      <c r="B3" s="3" t="s">
        <v>41</v>
      </c>
      <c r="C3" s="3" t="s">
        <v>42</v>
      </c>
      <c r="D3" s="3" t="s">
        <v>68</v>
      </c>
      <c r="E3" s="3" t="s">
        <v>69</v>
      </c>
      <c r="F3" s="54" t="s">
        <v>70</v>
      </c>
      <c r="G3" s="3" t="s">
        <v>97</v>
      </c>
      <c r="H3" s="55" t="s">
        <v>71</v>
      </c>
      <c r="I3" s="56" t="s">
        <v>44</v>
      </c>
      <c r="J3" s="56" t="s">
        <v>78</v>
      </c>
      <c r="K3" s="56" t="s">
        <v>48</v>
      </c>
      <c r="L3" s="56" t="s">
        <v>49</v>
      </c>
    </row>
    <row r="4" spans="1:12" x14ac:dyDescent="0.25">
      <c r="A4" s="15" t="s">
        <v>111</v>
      </c>
      <c r="B4">
        <v>7</v>
      </c>
      <c r="C4">
        <f>6*B4</f>
        <v>42</v>
      </c>
      <c r="D4" s="5">
        <f>B4*$B$12</f>
        <v>28000</v>
      </c>
      <c r="E4" s="5">
        <f>B4*$B$13</f>
        <v>24500</v>
      </c>
      <c r="F4" s="5">
        <f>$B$14*B4</f>
        <v>21000</v>
      </c>
      <c r="G4" s="5">
        <f>$B$15*B4</f>
        <v>24500</v>
      </c>
      <c r="H4" s="5">
        <f>6000*7</f>
        <v>42000</v>
      </c>
      <c r="I4" s="5">
        <f>SUM(D4:H4)</f>
        <v>140000</v>
      </c>
      <c r="J4" s="5">
        <v>2000</v>
      </c>
      <c r="K4" s="5">
        <f>C4*$B$21</f>
        <v>84000</v>
      </c>
      <c r="L4" s="5">
        <f>I4+K4+J4</f>
        <v>226000</v>
      </c>
    </row>
    <row r="5" spans="1:12" x14ac:dyDescent="0.25">
      <c r="A5" s="15" t="s">
        <v>112</v>
      </c>
      <c r="B5">
        <v>7</v>
      </c>
      <c r="C5">
        <f t="shared" ref="C5:C7" si="0">6*B5</f>
        <v>42</v>
      </c>
      <c r="D5" s="5">
        <f>B5*$B$12</f>
        <v>28000</v>
      </c>
      <c r="E5" s="5">
        <f>B5*$B$13</f>
        <v>24500</v>
      </c>
      <c r="F5" s="5">
        <f t="shared" ref="F5" si="1">$B$14*B5</f>
        <v>21000</v>
      </c>
      <c r="G5" s="5">
        <f t="shared" ref="G5" si="2">$B$15*B5</f>
        <v>24500</v>
      </c>
      <c r="H5" s="5">
        <f>H4*1.03</f>
        <v>43260</v>
      </c>
      <c r="I5" s="5">
        <f>SUM(D5:H5)</f>
        <v>141260</v>
      </c>
      <c r="J5" s="5">
        <v>2000</v>
      </c>
      <c r="K5" s="5">
        <f>C5*$B$21</f>
        <v>84000</v>
      </c>
      <c r="L5" s="5">
        <f t="shared" ref="L5:L7" si="3">I5+K5+J5</f>
        <v>227260</v>
      </c>
    </row>
    <row r="6" spans="1:12" x14ac:dyDescent="0.25">
      <c r="A6" s="15" t="s">
        <v>113</v>
      </c>
      <c r="B6">
        <v>14</v>
      </c>
      <c r="C6">
        <f>6*B6</f>
        <v>84</v>
      </c>
      <c r="D6" s="5">
        <f t="shared" ref="D6:D7" si="4">B6*$B$12</f>
        <v>56000</v>
      </c>
      <c r="E6" s="5">
        <f t="shared" ref="E6:E7" si="5">B6*$B$13</f>
        <v>49000</v>
      </c>
      <c r="F6" s="5">
        <f t="shared" ref="F6:F7" si="6">$B$14*B6</f>
        <v>42000</v>
      </c>
      <c r="G6" s="5">
        <f t="shared" ref="G6:G7" si="7">$B$15*B6</f>
        <v>49000</v>
      </c>
      <c r="H6" s="5">
        <f>H5*1.03</f>
        <v>44557.8</v>
      </c>
      <c r="I6" s="5">
        <f>SUM(D6:H6)</f>
        <v>240557.8</v>
      </c>
      <c r="J6" s="5">
        <v>2000</v>
      </c>
      <c r="K6" s="5">
        <f>C6*$B$21</f>
        <v>168000</v>
      </c>
      <c r="L6" s="5">
        <f t="shared" si="3"/>
        <v>410557.8</v>
      </c>
    </row>
    <row r="7" spans="1:12" x14ac:dyDescent="0.25">
      <c r="A7" s="15" t="s">
        <v>114</v>
      </c>
      <c r="B7">
        <v>14</v>
      </c>
      <c r="C7">
        <f t="shared" si="0"/>
        <v>84</v>
      </c>
      <c r="D7" s="5">
        <f t="shared" si="4"/>
        <v>56000</v>
      </c>
      <c r="E7" s="5">
        <f t="shared" si="5"/>
        <v>49000</v>
      </c>
      <c r="F7" s="5">
        <f t="shared" si="6"/>
        <v>42000</v>
      </c>
      <c r="G7" s="5">
        <f t="shared" si="7"/>
        <v>49000</v>
      </c>
      <c r="H7" s="5">
        <f>H6*1.03</f>
        <v>45894.534000000007</v>
      </c>
      <c r="I7" s="5">
        <f>SUM(D7:H7)</f>
        <v>241894.53400000001</v>
      </c>
      <c r="J7" s="5">
        <v>2000</v>
      </c>
      <c r="K7" s="5">
        <f>C7*$B$21</f>
        <v>168000</v>
      </c>
      <c r="L7" s="5">
        <f t="shared" si="3"/>
        <v>411894.53399999999</v>
      </c>
    </row>
    <row r="9" spans="1:12" x14ac:dyDescent="0.25">
      <c r="A9" s="15" t="s">
        <v>116</v>
      </c>
    </row>
    <row r="10" spans="1:12" ht="18" thickBot="1" x14ac:dyDescent="0.35">
      <c r="A10" s="2"/>
      <c r="B10" s="2" t="s">
        <v>73</v>
      </c>
      <c r="C10" s="2"/>
    </row>
    <row r="11" spans="1:12" ht="15.75" thickTop="1" x14ac:dyDescent="0.25">
      <c r="B11" t="s">
        <v>43</v>
      </c>
    </row>
    <row r="12" spans="1:12" x14ac:dyDescent="0.25">
      <c r="A12" t="s">
        <v>68</v>
      </c>
      <c r="B12" s="5">
        <v>4000</v>
      </c>
      <c r="D12" t="s">
        <v>74</v>
      </c>
    </row>
    <row r="13" spans="1:12" x14ac:dyDescent="0.25">
      <c r="A13" t="s">
        <v>69</v>
      </c>
      <c r="B13" s="5">
        <v>3500</v>
      </c>
    </row>
    <row r="14" spans="1:12" x14ac:dyDescent="0.25">
      <c r="A14" t="s">
        <v>70</v>
      </c>
      <c r="B14" s="38">
        <v>3000</v>
      </c>
      <c r="E14" s="5"/>
    </row>
    <row r="15" spans="1:12" x14ac:dyDescent="0.25">
      <c r="A15" t="s">
        <v>97</v>
      </c>
      <c r="B15" s="5">
        <v>3500</v>
      </c>
      <c r="I15" s="53"/>
    </row>
    <row r="16" spans="1:12" ht="17.25" x14ac:dyDescent="0.3">
      <c r="C16" s="35"/>
    </row>
    <row r="17" spans="1:7" ht="17.25" x14ac:dyDescent="0.3">
      <c r="A17" s="65" t="s">
        <v>98</v>
      </c>
      <c r="B17" s="65"/>
      <c r="C17" s="65"/>
      <c r="G17" t="s">
        <v>50</v>
      </c>
    </row>
    <row r="18" spans="1:7" x14ac:dyDescent="0.25">
      <c r="A18" t="s">
        <v>45</v>
      </c>
      <c r="B18" s="5">
        <f>10*25</f>
        <v>250</v>
      </c>
      <c r="C18" t="s">
        <v>72</v>
      </c>
    </row>
    <row r="19" spans="1:7" x14ac:dyDescent="0.25">
      <c r="A19" t="s">
        <v>46</v>
      </c>
      <c r="B19" s="5">
        <v>750</v>
      </c>
    </row>
    <row r="20" spans="1:7" x14ac:dyDescent="0.25">
      <c r="A20" t="s">
        <v>47</v>
      </c>
      <c r="B20" s="8">
        <v>1000</v>
      </c>
    </row>
    <row r="21" spans="1:7" ht="15.75" thickBot="1" x14ac:dyDescent="0.3">
      <c r="B21" s="16">
        <f>SUM(B18:B20)</f>
        <v>2000</v>
      </c>
    </row>
    <row r="22" spans="1:7" ht="15.75" thickTop="1" x14ac:dyDescent="0.25"/>
    <row r="23" spans="1:7" x14ac:dyDescent="0.25">
      <c r="A23" t="s">
        <v>52</v>
      </c>
    </row>
    <row r="24" spans="1:7" x14ac:dyDescent="0.25">
      <c r="A24" t="s">
        <v>107</v>
      </c>
    </row>
    <row r="25" spans="1:7" x14ac:dyDescent="0.25">
      <c r="A25" t="s">
        <v>99</v>
      </c>
    </row>
  </sheetData>
  <mergeCells count="2">
    <mergeCell ref="A17:C17"/>
    <mergeCell ref="A1:L2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484F-2DB5-45AC-8C8A-07AE520C7E21}">
  <dimension ref="A1:F10"/>
  <sheetViews>
    <sheetView tabSelected="1" zoomScaleNormal="100" workbookViewId="0">
      <selection activeCell="E13" sqref="E13"/>
    </sheetView>
  </sheetViews>
  <sheetFormatPr defaultColWidth="8.85546875" defaultRowHeight="15" x14ac:dyDescent="0.25"/>
  <cols>
    <col min="1" max="1" width="26.28515625" bestFit="1" customWidth="1"/>
    <col min="2" max="2" width="16.85546875" customWidth="1"/>
    <col min="3" max="3" width="11.7109375" bestFit="1" customWidth="1"/>
    <col min="4" max="4" width="12.7109375" bestFit="1" customWidth="1"/>
    <col min="5" max="5" width="12.140625" bestFit="1" customWidth="1"/>
    <col min="6" max="6" width="12.7109375" bestFit="1" customWidth="1"/>
  </cols>
  <sheetData>
    <row r="1" spans="1:6" ht="20.25" thickBot="1" x14ac:dyDescent="0.35">
      <c r="A1" s="1" t="s">
        <v>25</v>
      </c>
      <c r="B1" s="1"/>
      <c r="C1" s="1"/>
      <c r="D1" s="1"/>
      <c r="E1" s="1"/>
      <c r="F1" s="1"/>
    </row>
    <row r="2" spans="1:6" ht="18.75" thickTop="1" thickBot="1" x14ac:dyDescent="0.35">
      <c r="B2" s="59" t="s">
        <v>110</v>
      </c>
      <c r="C2" s="57" t="s">
        <v>111</v>
      </c>
      <c r="D2" s="60" t="s">
        <v>112</v>
      </c>
      <c r="E2" s="57" t="s">
        <v>113</v>
      </c>
      <c r="F2" s="57" t="s">
        <v>114</v>
      </c>
    </row>
    <row r="3" spans="1:6" ht="15.75" thickTop="1" x14ac:dyDescent="0.25">
      <c r="A3" t="s">
        <v>108</v>
      </c>
      <c r="B3" s="4">
        <v>300000</v>
      </c>
      <c r="C3" s="5">
        <v>0</v>
      </c>
      <c r="D3" s="5">
        <v>0</v>
      </c>
      <c r="E3" s="5">
        <v>300000</v>
      </c>
      <c r="F3" s="5">
        <v>0</v>
      </c>
    </row>
    <row r="4" spans="1:6" x14ac:dyDescent="0.25">
      <c r="A4" t="s">
        <v>26</v>
      </c>
      <c r="B4" s="4"/>
      <c r="C4" s="5">
        <v>15000</v>
      </c>
      <c r="D4" s="5">
        <v>15000</v>
      </c>
      <c r="E4" s="5">
        <v>30000</v>
      </c>
      <c r="F4" s="5">
        <v>30000</v>
      </c>
    </row>
    <row r="5" spans="1:6" x14ac:dyDescent="0.25">
      <c r="A5" t="s">
        <v>75</v>
      </c>
      <c r="B5" s="4">
        <v>60000</v>
      </c>
      <c r="C5" s="5">
        <v>0</v>
      </c>
      <c r="D5" s="5"/>
      <c r="E5" s="5">
        <v>60000</v>
      </c>
      <c r="F5" s="5"/>
    </row>
    <row r="6" spans="1:6" x14ac:dyDescent="0.25">
      <c r="A6" t="s">
        <v>76</v>
      </c>
      <c r="B6" s="4"/>
      <c r="C6" s="5">
        <f>1500*7</f>
        <v>10500</v>
      </c>
      <c r="D6" s="5">
        <f>1500*7</f>
        <v>10500</v>
      </c>
      <c r="E6" s="5">
        <f>1500*14</f>
        <v>21000</v>
      </c>
      <c r="F6" s="5">
        <f>1500*14</f>
        <v>21000</v>
      </c>
    </row>
    <row r="7" spans="1:6" x14ac:dyDescent="0.25">
      <c r="A7" s="15" t="s">
        <v>77</v>
      </c>
      <c r="B7" s="46">
        <f>SUM(B3:B6)</f>
        <v>360000</v>
      </c>
      <c r="C7" s="6">
        <f>SUM(C3:C6)</f>
        <v>25500</v>
      </c>
      <c r="D7" s="6">
        <f>SUM(D3:D6)</f>
        <v>25500</v>
      </c>
      <c r="E7" s="6">
        <f>SUM(E3:E6)</f>
        <v>411000</v>
      </c>
      <c r="F7" s="6">
        <f>SUM(F3:F6)</f>
        <v>51000</v>
      </c>
    </row>
    <row r="10" spans="1:6" x14ac:dyDescent="0.25">
      <c r="A10" t="s">
        <v>109</v>
      </c>
    </row>
  </sheetData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 Budget</vt:lpstr>
      <vt:lpstr>Executive Budget</vt:lpstr>
      <vt:lpstr>Lodging and Land</vt:lpstr>
      <vt:lpstr>Marketing.Promotions</vt:lpstr>
      <vt:lpstr>Engagement</vt:lpstr>
      <vt:lpstr>Sea Expeditions</vt:lpstr>
      <vt:lpstr>Vessel</vt:lpstr>
      <vt:lpstr>Engagement!Print_Area</vt:lpstr>
      <vt:lpstr>'Executive Budget'!Print_Area</vt:lpstr>
      <vt:lpstr>'Summary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Cate</dc:creator>
  <cp:lastModifiedBy>Nancy Garner</cp:lastModifiedBy>
  <cp:lastPrinted>2025-06-04T21:41:51Z</cp:lastPrinted>
  <dcterms:created xsi:type="dcterms:W3CDTF">2025-03-16T16:24:32Z</dcterms:created>
  <dcterms:modified xsi:type="dcterms:W3CDTF">2025-06-06T22:22:39Z</dcterms:modified>
</cp:coreProperties>
</file>