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indel\OneDrive - Benchmark Hospitality International, Inc\Desktop\SLTTID,LTVA\"/>
    </mc:Choice>
  </mc:AlternateContent>
  <xr:revisionPtr revIDLastSave="0" documentId="13_ncr:1_{52A5DAA2-BA44-4470-ABD6-DCF78543794C}" xr6:coauthVersionLast="45" xr6:coauthVersionMax="45" xr10:uidLastSave="{00000000-0000-0000-0000-000000000000}"/>
  <bookViews>
    <workbookView xWindow="-110" yWindow="-110" windowWidth="19420" windowHeight="10420" xr2:uid="{DBF7EC47-2604-4E65-8604-2BF0D0C0815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1" l="1"/>
  <c r="C6" i="1" l="1"/>
  <c r="D6" i="1"/>
  <c r="E6" i="1"/>
  <c r="F6" i="1"/>
  <c r="G6" i="1"/>
  <c r="H6" i="1"/>
  <c r="I6" i="1"/>
  <c r="J6" i="1"/>
  <c r="K6" i="1"/>
  <c r="L6" i="1"/>
  <c r="M6" i="1"/>
  <c r="C7" i="1"/>
  <c r="D7" i="1"/>
  <c r="E7" i="1"/>
  <c r="F7" i="1"/>
  <c r="G7" i="1"/>
  <c r="H7" i="1"/>
  <c r="I7" i="1"/>
  <c r="J7" i="1"/>
  <c r="K7" i="1"/>
  <c r="L7" i="1"/>
  <c r="M7" i="1"/>
  <c r="B7" i="1"/>
  <c r="B6" i="1"/>
  <c r="F41" i="1" l="1"/>
  <c r="G41" i="1"/>
  <c r="H41" i="1"/>
  <c r="I41" i="1"/>
  <c r="J41" i="1"/>
  <c r="K41" i="1"/>
  <c r="L41" i="1"/>
  <c r="M41" i="1"/>
  <c r="E41" i="1"/>
  <c r="D41" i="1"/>
  <c r="C41" i="1"/>
  <c r="B41" i="1"/>
  <c r="D33" i="1"/>
  <c r="D39" i="1" s="1"/>
  <c r="E33" i="1"/>
  <c r="E39" i="1" s="1"/>
  <c r="F33" i="1"/>
  <c r="F39" i="1" s="1"/>
  <c r="G33" i="1"/>
  <c r="G39" i="1" s="1"/>
  <c r="H33" i="1"/>
  <c r="H39" i="1" s="1"/>
  <c r="I33" i="1"/>
  <c r="I39" i="1" s="1"/>
  <c r="J33" i="1"/>
  <c r="J39" i="1" s="1"/>
  <c r="K33" i="1"/>
  <c r="K39" i="1" s="1"/>
  <c r="L33" i="1"/>
  <c r="L39" i="1" s="1"/>
  <c r="M33" i="1"/>
  <c r="M39" i="1" s="1"/>
  <c r="C33" i="1"/>
  <c r="C39" i="1" s="1"/>
  <c r="B33" i="1"/>
  <c r="B39" i="1" s="1"/>
  <c r="H35" i="1"/>
  <c r="I35" i="1"/>
  <c r="J35" i="1"/>
  <c r="K35" i="1"/>
  <c r="L35" i="1"/>
  <c r="M35" i="1"/>
  <c r="G35" i="1"/>
  <c r="N35" i="1" l="1"/>
  <c r="F36" i="1"/>
  <c r="F37" i="1" s="1"/>
  <c r="E36" i="1" l="1"/>
  <c r="E37" i="1" s="1"/>
  <c r="D36" i="1" l="1"/>
  <c r="D37" i="1" s="1"/>
  <c r="B36" i="1" l="1"/>
  <c r="B37" i="1" s="1"/>
  <c r="C36" i="1" l="1"/>
  <c r="C37" i="1" s="1"/>
  <c r="C12" i="1" l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C16" i="1"/>
  <c r="D16" i="1"/>
  <c r="E16" i="1"/>
  <c r="F16" i="1"/>
  <c r="G16" i="1"/>
  <c r="H16" i="1"/>
  <c r="I16" i="1"/>
  <c r="J16" i="1"/>
  <c r="K16" i="1"/>
  <c r="L16" i="1"/>
  <c r="M16" i="1"/>
  <c r="C17" i="1"/>
  <c r="D17" i="1"/>
  <c r="E17" i="1"/>
  <c r="F17" i="1"/>
  <c r="G17" i="1"/>
  <c r="H17" i="1"/>
  <c r="I17" i="1"/>
  <c r="J17" i="1"/>
  <c r="K17" i="1"/>
  <c r="L17" i="1"/>
  <c r="M17" i="1"/>
  <c r="C18" i="1"/>
  <c r="D18" i="1"/>
  <c r="E18" i="1"/>
  <c r="F18" i="1"/>
  <c r="G18" i="1"/>
  <c r="H18" i="1"/>
  <c r="I18" i="1"/>
  <c r="J18" i="1"/>
  <c r="K18" i="1"/>
  <c r="L18" i="1"/>
  <c r="M18" i="1"/>
  <c r="B18" i="1"/>
  <c r="B16" i="1"/>
  <c r="B15" i="1"/>
  <c r="B14" i="1"/>
  <c r="B13" i="1"/>
  <c r="B12" i="1"/>
  <c r="B11" i="1"/>
  <c r="C11" i="1"/>
  <c r="D11" i="1"/>
  <c r="E11" i="1"/>
  <c r="F11" i="1"/>
  <c r="G11" i="1"/>
  <c r="H11" i="1"/>
  <c r="I11" i="1"/>
  <c r="J11" i="1"/>
  <c r="K11" i="1"/>
  <c r="L11" i="1"/>
  <c r="M11" i="1"/>
  <c r="B17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M21" i="1"/>
  <c r="M22" i="1"/>
  <c r="N41" i="1" l="1"/>
  <c r="N18" i="1"/>
  <c r="H12" i="2"/>
  <c r="I12" i="2"/>
  <c r="J12" i="2"/>
  <c r="K12" i="2"/>
  <c r="L12" i="2"/>
  <c r="M12" i="2"/>
  <c r="F12" i="2"/>
  <c r="G12" i="2"/>
  <c r="E12" i="2"/>
  <c r="C12" i="2"/>
  <c r="D12" i="2"/>
  <c r="B12" i="2"/>
  <c r="N12" i="2" l="1"/>
  <c r="N12" i="1" l="1"/>
  <c r="N13" i="1"/>
  <c r="N14" i="1"/>
  <c r="N15" i="1"/>
  <c r="N16" i="1"/>
  <c r="N11" i="1"/>
  <c r="N7" i="1"/>
  <c r="N6" i="1"/>
  <c r="M19" i="1"/>
  <c r="I19" i="1"/>
  <c r="E19" i="1"/>
  <c r="K19" i="1"/>
  <c r="G19" i="1"/>
  <c r="C19" i="1"/>
  <c r="J19" i="1"/>
  <c r="F19" i="1"/>
  <c r="H19" i="1"/>
  <c r="D19" i="1"/>
  <c r="L19" i="1"/>
  <c r="N8" i="1" l="1"/>
  <c r="D23" i="1" l="1"/>
  <c r="D28" i="1" s="1"/>
  <c r="D26" i="1" s="1"/>
  <c r="L23" i="1"/>
  <c r="H23" i="1"/>
  <c r="H28" i="1" s="1"/>
  <c r="H27" i="1" s="1"/>
  <c r="I23" i="1"/>
  <c r="I28" i="1" s="1"/>
  <c r="I26" i="1" s="1"/>
  <c r="B23" i="1"/>
  <c r="B28" i="1" s="1"/>
  <c r="B27" i="1" s="1"/>
  <c r="J23" i="1"/>
  <c r="J28" i="1" s="1"/>
  <c r="J26" i="1" s="1"/>
  <c r="E23" i="1"/>
  <c r="E28" i="1" s="1"/>
  <c r="F23" i="1"/>
  <c r="F28" i="1" s="1"/>
  <c r="F26" i="1" s="1"/>
  <c r="C23" i="1"/>
  <c r="C28" i="1" s="1"/>
  <c r="K23" i="1"/>
  <c r="G23" i="1"/>
  <c r="G28" i="1" s="1"/>
  <c r="G26" i="1" s="1"/>
  <c r="K28" i="1"/>
  <c r="K27" i="1" s="1"/>
  <c r="L28" i="1"/>
  <c r="M23" i="1"/>
  <c r="M28" i="1" s="1"/>
  <c r="M27" i="1" s="1"/>
  <c r="G27" i="1" l="1"/>
  <c r="E26" i="1"/>
  <c r="E27" i="1"/>
  <c r="L27" i="1"/>
  <c r="L26" i="1"/>
  <c r="C26" i="1"/>
  <c r="C27" i="1"/>
  <c r="J27" i="1"/>
  <c r="F27" i="1"/>
  <c r="D27" i="1"/>
  <c r="I27" i="1"/>
  <c r="K26" i="1"/>
  <c r="H26" i="1"/>
  <c r="M26" i="1"/>
  <c r="N28" i="1"/>
  <c r="B26" i="1"/>
  <c r="N17" i="1"/>
  <c r="N19" i="1" s="1"/>
  <c r="B19" i="1"/>
</calcChain>
</file>

<file path=xl/sharedStrings.xml><?xml version="1.0" encoding="utf-8"?>
<sst xmlns="http://schemas.openxmlformats.org/spreadsheetml/2006/main" count="53" uniqueCount="37">
  <si>
    <t>Revenue Generated in TID Assessments</t>
  </si>
  <si>
    <t>Expenditures</t>
  </si>
  <si>
    <t>Marketing Programs: Advertising, Fam Trips, Marketing Programs</t>
  </si>
  <si>
    <t>Communications and Public Relations</t>
  </si>
  <si>
    <t>Special Events Funding</t>
  </si>
  <si>
    <t>Visitor Center Operations: Payroll, Benefits, Operation Costs</t>
  </si>
  <si>
    <t>Administrative/Operations: Payroll, Benefits Operation Costs</t>
  </si>
  <si>
    <t>Administrative Fee to City of South Lake Tahoe (1%)</t>
  </si>
  <si>
    <t>Credit Card Fee Reimbursements to City of South Lake Tahoe</t>
  </si>
  <si>
    <t>Contingency/TID Renewal Costs</t>
  </si>
  <si>
    <t xml:space="preserve"> </t>
  </si>
  <si>
    <t>Total</t>
  </si>
  <si>
    <t>Total Revenues</t>
  </si>
  <si>
    <t>Total Programs and Expenses</t>
  </si>
  <si>
    <t>Aug-19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</si>
  <si>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</si>
  <si>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</si>
  <si>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</si>
  <si>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</si>
  <si>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</si>
  <si>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</si>
  <si>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</si>
  <si>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</si>
  <si>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*</t>
  </si>
  <si>
    <t>*Contingency/TID Renewal Costs plus Credit Card Fee Reimbursements to City of SLT equal 5% total Contingency Noted on Management District Plan</t>
  </si>
  <si>
    <t>Difference to Budget</t>
  </si>
  <si>
    <t>Total FY2020</t>
  </si>
  <si>
    <t>Actuals/Forecast</t>
  </si>
  <si>
    <t>FY 2021</t>
  </si>
  <si>
    <t>Actual % Difference to Budget</t>
  </si>
  <si>
    <t>*TID Increase of $1.00 POR effective 12/18/2020</t>
  </si>
  <si>
    <t>*If Hotels Open Prior to Mem Day Weekend w/limited occupancy</t>
  </si>
  <si>
    <t>Total FY2021</t>
  </si>
  <si>
    <r>
      <t xml:space="preserve">Estimate % </t>
    </r>
    <r>
      <rPr>
        <b/>
        <sz val="11"/>
        <color rgb="FFFF0000"/>
        <rFont val="Calibri"/>
        <family val="2"/>
        <scheme val="minor"/>
      </rPr>
      <t>Decrease</t>
    </r>
    <r>
      <rPr>
        <sz val="11"/>
        <color rgb="FFFF0000"/>
        <rFont val="Calibri"/>
        <family val="2"/>
        <scheme val="minor"/>
      </rPr>
      <t xml:space="preserve"> from FY2020 Budget</t>
    </r>
  </si>
  <si>
    <t>SLTTID FY2021 Budget</t>
  </si>
  <si>
    <t>Hotel/Motel Assessment at $3.00 POR, Changing to $4.00 POR on 12/18/20</t>
  </si>
  <si>
    <t>VHR/Timeshare Assessment at $4.50 POR, Changing to $5.50 POR on 12/18/20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</si>
</sst>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\-yy;@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2" borderId="1" xfId="1" applyNumberFormat="1" applyFont="1" applyFill="1" applyBorder="1"/>
    <xf numFmtId="9" fontId="2" fillId="0" borderId="0" xfId="2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6" fontId="2" fillId="0" borderId="0" xfId="2" applyNumberFormat="1" applyFont="1" applyAlignment="1"/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0" fillId="3" borderId="2" xfId="0" applyFill="1" applyBorder="1"/>
    <xf numFmtId="165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right"/>
    </xf>
    <xf numFmtId="9" fontId="8" fillId="3" borderId="2" xfId="2" applyFont="1" applyFill="1" applyBorder="1" applyAlignment="1">
      <alignment horizontal="center"/>
    </xf>
    <xf numFmtId="0" fontId="5" fillId="3" borderId="2" xfId="0" applyFont="1" applyFill="1" applyBorder="1"/>
    <xf numFmtId="44" fontId="2" fillId="3" borderId="2" xfId="1" applyFont="1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166" fontId="2" fillId="3" borderId="2" xfId="2" applyNumberFormat="1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0" fontId="6" fillId="3" borderId="2" xfId="0" applyFont="1" applyFill="1" applyBorder="1"/>
    <xf numFmtId="166" fontId="2" fillId="0" borderId="0" xfId="2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F910-0628-46C3-9EC2-9FCC6E34F4C1}">
  <sheetPr>
    <pageSetUpPr fitToPage="1"/>
  </sheetPr>
  <dimension ref="A1:P44"/>
  <sheetViews>
    <sheetView tabSelected="1" workbookViewId="0">
      <selection activeCell="A10" sqref="A10"/>
    </sheetView>
  </sheetViews>
  <sheetFormatPr defaultRowHeight="15.5" x14ac:dyDescent="0.35"/>
  <cols>
    <col min="1" max="1" width="66.90625" customWidth="1"/>
    <col min="2" max="12" width="13.7265625" style="5" customWidth="1"/>
    <col min="13" max="13" width="13.7265625" style="1" customWidth="1"/>
    <col min="14" max="14" width="13.7265625" style="5" customWidth="1"/>
    <col min="15" max="15" width="7.453125" style="15" customWidth="1"/>
    <col min="16" max="16" width="2.1796875" customWidth="1"/>
  </cols>
  <sheetData>
    <row r="1" spans="1:15" ht="22" customHeight="1" x14ac:dyDescent="0.4">
      <c r="A1" s="4" t="s">
        <v>34</v>
      </c>
    </row>
    <row r="2" spans="1:15" ht="22" customHeight="1" x14ac:dyDescent="0.4">
      <c r="A2" s="4" t="s">
        <v>10</v>
      </c>
    </row>
    <row r="3" spans="1:15" ht="22" customHeight="1" x14ac:dyDescent="0.35"/>
    <row r="4" spans="1:15" ht="22" customHeight="1" x14ac:dyDescent="0.35">
      <c r="B4" s="6">
        <v>44105</v>
      </c>
      <c r="C4" s="6">
        <v>44153</v>
      </c>
      <c r="D4" s="6">
        <v>44170</v>
      </c>
      <c r="E4" s="6">
        <v>44201</v>
      </c>
      <c r="F4" s="6">
        <v>44249</v>
      </c>
      <c r="G4" s="6">
        <v>44265</v>
      </c>
      <c r="H4" s="6">
        <v>44313</v>
      </c>
      <c r="I4" s="6">
        <v>44329</v>
      </c>
      <c r="J4" s="6">
        <v>44377</v>
      </c>
      <c r="K4" s="6">
        <v>44394</v>
      </c>
      <c r="L4" s="6">
        <v>44428</v>
      </c>
      <c r="M4" s="6">
        <v>44446</v>
      </c>
      <c r="N4" s="7" t="s">
        <v>11</v>
      </c>
    </row>
    <row r="5" spans="1:15" ht="22" customHeight="1" x14ac:dyDescent="0.35">
      <c r="A5" s="2" t="s">
        <v>0</v>
      </c>
      <c r="N5" s="17"/>
    </row>
    <row r="6" spans="1:15" ht="22" customHeight="1" x14ac:dyDescent="0.35">
      <c r="A6" t="s">
        <v>35</v>
      </c>
      <c r="B6" s="9">
        <f>SUM(B8*0.78)</f>
        <v>120877.97033066332</v>
      </c>
      <c r="C6" s="9">
        <f t="shared" ref="C6:M6" si="0">SUM(C8*0.78)</f>
        <v>89564.5662209812</v>
      </c>
      <c r="D6" s="9">
        <f t="shared" si="0"/>
        <v>153060.98482902933</v>
      </c>
      <c r="E6" s="9">
        <f t="shared" si="0"/>
        <v>172388.27222142962</v>
      </c>
      <c r="F6" s="9">
        <f t="shared" si="0"/>
        <v>165475.79461327498</v>
      </c>
      <c r="G6" s="9">
        <f t="shared" si="0"/>
        <v>147408.58499389674</v>
      </c>
      <c r="H6" s="9">
        <f t="shared" si="0"/>
        <v>106998.31456070085</v>
      </c>
      <c r="I6" s="9">
        <f t="shared" si="0"/>
        <v>133917.10904007772</v>
      </c>
      <c r="J6" s="9">
        <f t="shared" si="0"/>
        <v>231291.06276623931</v>
      </c>
      <c r="K6" s="9">
        <f t="shared" si="0"/>
        <v>322079.39833451097</v>
      </c>
      <c r="L6" s="9">
        <f t="shared" si="0"/>
        <v>255425.45472289596</v>
      </c>
      <c r="M6" s="9">
        <f t="shared" si="0"/>
        <v>190491.71660246354</v>
      </c>
      <c r="N6" s="35">
        <f>SUM(B6:M6)</f>
        <v>2088979.2292361637</v>
      </c>
    </row>
    <row r="7" spans="1:15" ht="22" customHeight="1" x14ac:dyDescent="0.35">
      <c r="A7" t="s">
        <v>36</v>
      </c>
      <c r="B7" s="9">
        <f>SUM(B8*0.22)</f>
        <v>34093.786503520423</v>
      </c>
      <c r="C7" s="9">
        <f t="shared" ref="C7:M7" si="1">SUM(C8*0.22)</f>
        <v>25261.800728994698</v>
      </c>
      <c r="D7" s="9">
        <f t="shared" si="1"/>
        <v>43171.047003059553</v>
      </c>
      <c r="E7" s="9">
        <f t="shared" si="1"/>
        <v>48622.333190659636</v>
      </c>
      <c r="F7" s="9">
        <f t="shared" si="1"/>
        <v>46672.660019128838</v>
      </c>
      <c r="G7" s="9">
        <f t="shared" si="1"/>
        <v>41576.78038289395</v>
      </c>
      <c r="H7" s="9">
        <f t="shared" si="1"/>
        <v>30179.011799172033</v>
      </c>
      <c r="I7" s="9">
        <f t="shared" si="1"/>
        <v>37771.492293355252</v>
      </c>
      <c r="J7" s="9">
        <f t="shared" si="1"/>
        <v>65235.940780221346</v>
      </c>
      <c r="K7" s="9">
        <f t="shared" si="1"/>
        <v>90842.907222554379</v>
      </c>
      <c r="L7" s="9">
        <f t="shared" si="1"/>
        <v>72043.076973124495</v>
      </c>
      <c r="M7" s="9">
        <f t="shared" si="1"/>
        <v>53728.432887874333</v>
      </c>
      <c r="N7" s="35">
        <f t="shared" ref="N7:N17" si="2">SUM(B7:M7)</f>
        <v>589199.26978455891</v>
      </c>
      <c r="O7" s="39">
        <f>SUM(N7/N8)</f>
        <v>0.22</v>
      </c>
    </row>
    <row r="8" spans="1:15" ht="22" customHeight="1" thickBot="1" x14ac:dyDescent="0.4">
      <c r="A8" s="3" t="s">
        <v>12</v>
      </c>
      <c r="B8" s="10">
        <v>154971.75683418373</v>
      </c>
      <c r="C8" s="10">
        <v>114826.3669499759</v>
      </c>
      <c r="D8" s="10">
        <v>196232.03183208889</v>
      </c>
      <c r="E8" s="10">
        <v>221010.60541208924</v>
      </c>
      <c r="F8" s="10">
        <v>212148.45463240379</v>
      </c>
      <c r="G8" s="10">
        <v>188985.36537679069</v>
      </c>
      <c r="H8" s="10">
        <v>137177.32635987288</v>
      </c>
      <c r="I8" s="10">
        <v>171688.60133343295</v>
      </c>
      <c r="J8" s="10">
        <v>296527.00354646065</v>
      </c>
      <c r="K8" s="10">
        <v>412922.30555706535</v>
      </c>
      <c r="L8" s="10">
        <v>327468.53169602045</v>
      </c>
      <c r="M8" s="10">
        <v>244220.14949033788</v>
      </c>
      <c r="N8" s="36">
        <f t="shared" si="2"/>
        <v>2678178.4990207222</v>
      </c>
    </row>
    <row r="9" spans="1:15" ht="22" customHeight="1" thickTop="1" x14ac:dyDescent="0.3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35"/>
    </row>
    <row r="10" spans="1:15" ht="22" customHeight="1" x14ac:dyDescent="0.35">
      <c r="A10" s="2" t="s">
        <v>1</v>
      </c>
      <c r="B10" s="9" t="s">
        <v>10</v>
      </c>
      <c r="C10" s="39" t="s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35" t="s">
        <v>10</v>
      </c>
    </row>
    <row r="11" spans="1:15" ht="22" customHeight="1" x14ac:dyDescent="0.35">
      <c r="A11" t="s">
        <v>2</v>
      </c>
      <c r="B11" s="9">
        <f>SUM(B$8*$O$11)</f>
        <v>97632.206805535752</v>
      </c>
      <c r="C11" s="9">
        <f t="shared" ref="C11:M11" si="3">SUM(C8*$O$11)</f>
        <v>72340.611178484818</v>
      </c>
      <c r="D11" s="9">
        <f t="shared" si="3"/>
        <v>123626.18005421601</v>
      </c>
      <c r="E11" s="9">
        <f t="shared" si="3"/>
        <v>139236.68140961623</v>
      </c>
      <c r="F11" s="9">
        <f t="shared" si="3"/>
        <v>133653.5264184144</v>
      </c>
      <c r="G11" s="9">
        <f t="shared" si="3"/>
        <v>119060.78018737814</v>
      </c>
      <c r="H11" s="9">
        <f t="shared" si="3"/>
        <v>86421.71560671991</v>
      </c>
      <c r="I11" s="9">
        <f t="shared" si="3"/>
        <v>108163.81884006276</v>
      </c>
      <c r="J11" s="9">
        <f t="shared" si="3"/>
        <v>186812.01223427022</v>
      </c>
      <c r="K11" s="9">
        <f t="shared" si="3"/>
        <v>260141.05250095116</v>
      </c>
      <c r="L11" s="9">
        <f t="shared" si="3"/>
        <v>206305.17496849288</v>
      </c>
      <c r="M11" s="9">
        <f t="shared" si="3"/>
        <v>153858.69417891288</v>
      </c>
      <c r="N11" s="35">
        <f t="shared" si="2"/>
        <v>1687252.454383055</v>
      </c>
      <c r="O11" s="16">
        <v>0.63</v>
      </c>
    </row>
    <row r="12" spans="1:15" ht="22" customHeight="1" x14ac:dyDescent="0.35">
      <c r="A12" t="s">
        <v>3</v>
      </c>
      <c r="B12" s="9">
        <f>SUM(B$8*$O$12)</f>
        <v>6198.870273367349</v>
      </c>
      <c r="C12" s="9">
        <f t="shared" ref="C12:M12" si="4">SUM(C$8*$O$12)</f>
        <v>4593.0546779990364</v>
      </c>
      <c r="D12" s="9">
        <f t="shared" si="4"/>
        <v>7849.2812732835555</v>
      </c>
      <c r="E12" s="9">
        <f t="shared" si="4"/>
        <v>8840.4242164835705</v>
      </c>
      <c r="F12" s="9">
        <f t="shared" si="4"/>
        <v>8485.9381852961524</v>
      </c>
      <c r="G12" s="9">
        <f t="shared" si="4"/>
        <v>7559.4146150716278</v>
      </c>
      <c r="H12" s="9">
        <f t="shared" si="4"/>
        <v>5487.0930543949153</v>
      </c>
      <c r="I12" s="9">
        <f t="shared" si="4"/>
        <v>6867.5440533373185</v>
      </c>
      <c r="J12" s="9">
        <f t="shared" si="4"/>
        <v>11861.080141858427</v>
      </c>
      <c r="K12" s="9">
        <f t="shared" si="4"/>
        <v>16516.892222282615</v>
      </c>
      <c r="L12" s="9">
        <f t="shared" si="4"/>
        <v>13098.741267840818</v>
      </c>
      <c r="M12" s="9">
        <f t="shared" si="4"/>
        <v>9768.8059796135149</v>
      </c>
      <c r="N12" s="35">
        <f t="shared" si="2"/>
        <v>107127.13996082889</v>
      </c>
      <c r="O12" s="16">
        <v>0.04</v>
      </c>
    </row>
    <row r="13" spans="1:15" ht="22" customHeight="1" x14ac:dyDescent="0.35">
      <c r="A13" t="s">
        <v>4</v>
      </c>
      <c r="B13" s="9">
        <f>SUM(B$8*$O$13)</f>
        <v>20146.328388443886</v>
      </c>
      <c r="C13" s="9">
        <f t="shared" ref="C13:M13" si="5">SUM(C$8*$O$13)</f>
        <v>14927.427703496867</v>
      </c>
      <c r="D13" s="9">
        <f t="shared" si="5"/>
        <v>25510.164138171556</v>
      </c>
      <c r="E13" s="9">
        <f t="shared" si="5"/>
        <v>28731.378703571601</v>
      </c>
      <c r="F13" s="9">
        <f t="shared" si="5"/>
        <v>27579.299102212495</v>
      </c>
      <c r="G13" s="9">
        <f t="shared" si="5"/>
        <v>24568.097498982792</v>
      </c>
      <c r="H13" s="9">
        <f t="shared" si="5"/>
        <v>17833.052426783473</v>
      </c>
      <c r="I13" s="9">
        <f t="shared" si="5"/>
        <v>22319.518173346285</v>
      </c>
      <c r="J13" s="9">
        <f t="shared" si="5"/>
        <v>38548.510461039885</v>
      </c>
      <c r="K13" s="9">
        <f t="shared" si="5"/>
        <v>53679.8997224185</v>
      </c>
      <c r="L13" s="9">
        <f t="shared" si="5"/>
        <v>42570.909120482662</v>
      </c>
      <c r="M13" s="9">
        <f t="shared" si="5"/>
        <v>31748.619433743926</v>
      </c>
      <c r="N13" s="35">
        <f t="shared" si="2"/>
        <v>348163.20487269398</v>
      </c>
      <c r="O13" s="16">
        <v>0.13</v>
      </c>
    </row>
    <row r="14" spans="1:15" ht="22" customHeight="1" x14ac:dyDescent="0.35">
      <c r="A14" t="s">
        <v>5</v>
      </c>
      <c r="B14" s="9">
        <f>SUM(B$8*$O$14)</f>
        <v>7748.5878417091872</v>
      </c>
      <c r="C14" s="9">
        <f t="shared" ref="C14:M14" si="6">SUM(C$8*$O$14)</f>
        <v>5741.3183474987954</v>
      </c>
      <c r="D14" s="9">
        <f t="shared" si="6"/>
        <v>9811.6015916044453</v>
      </c>
      <c r="E14" s="9">
        <f t="shared" si="6"/>
        <v>11050.530270604462</v>
      </c>
      <c r="F14" s="9">
        <f t="shared" si="6"/>
        <v>10607.42273162019</v>
      </c>
      <c r="G14" s="9">
        <f t="shared" si="6"/>
        <v>9449.2682688395344</v>
      </c>
      <c r="H14" s="9">
        <f t="shared" si="6"/>
        <v>6858.8663179936448</v>
      </c>
      <c r="I14" s="9">
        <f t="shared" si="6"/>
        <v>8584.4300666716481</v>
      </c>
      <c r="J14" s="9">
        <f t="shared" si="6"/>
        <v>14826.350177323033</v>
      </c>
      <c r="K14" s="9">
        <f t="shared" si="6"/>
        <v>20646.115277853271</v>
      </c>
      <c r="L14" s="9">
        <f t="shared" si="6"/>
        <v>16373.426584801024</v>
      </c>
      <c r="M14" s="9">
        <f t="shared" si="6"/>
        <v>12211.007474516895</v>
      </c>
      <c r="N14" s="35">
        <f t="shared" si="2"/>
        <v>133908.92495103614</v>
      </c>
      <c r="O14" s="16">
        <v>0.05</v>
      </c>
    </row>
    <row r="15" spans="1:15" ht="22" customHeight="1" x14ac:dyDescent="0.35">
      <c r="A15" t="s">
        <v>6</v>
      </c>
      <c r="B15" s="9">
        <f>SUM(B$8*$O$15)</f>
        <v>13947.458115076535</v>
      </c>
      <c r="C15" s="9">
        <f t="shared" ref="C15:M15" si="7">SUM(C$8*$O$15)</f>
        <v>10334.373025497831</v>
      </c>
      <c r="D15" s="9">
        <f t="shared" si="7"/>
        <v>17660.882864888001</v>
      </c>
      <c r="E15" s="9">
        <f t="shared" si="7"/>
        <v>19890.954487088031</v>
      </c>
      <c r="F15" s="9">
        <f t="shared" si="7"/>
        <v>19093.360916916339</v>
      </c>
      <c r="G15" s="9">
        <f t="shared" si="7"/>
        <v>17008.682883911162</v>
      </c>
      <c r="H15" s="9">
        <f t="shared" si="7"/>
        <v>12345.959372388559</v>
      </c>
      <c r="I15" s="9">
        <f t="shared" si="7"/>
        <v>15451.974120008965</v>
      </c>
      <c r="J15" s="9">
        <f t="shared" si="7"/>
        <v>26687.430319181458</v>
      </c>
      <c r="K15" s="9">
        <f t="shared" si="7"/>
        <v>37163.007500135878</v>
      </c>
      <c r="L15" s="9">
        <f t="shared" si="7"/>
        <v>29472.16785264184</v>
      </c>
      <c r="M15" s="9">
        <f t="shared" si="7"/>
        <v>21979.81345413041</v>
      </c>
      <c r="N15" s="35">
        <f t="shared" si="2"/>
        <v>241036.06491186502</v>
      </c>
      <c r="O15" s="16">
        <v>0.09</v>
      </c>
    </row>
    <row r="16" spans="1:15" ht="22" customHeight="1" x14ac:dyDescent="0.35">
      <c r="A16" t="s">
        <v>7</v>
      </c>
      <c r="B16" s="9">
        <f>SUM(B$8*$O$16)</f>
        <v>1549.7175683418373</v>
      </c>
      <c r="C16" s="9">
        <f t="shared" ref="C16:M16" si="8">SUM(C$8*$O$16)</f>
        <v>1148.2636694997591</v>
      </c>
      <c r="D16" s="9">
        <f t="shared" si="8"/>
        <v>1962.3203183208889</v>
      </c>
      <c r="E16" s="9">
        <f t="shared" si="8"/>
        <v>2210.1060541208926</v>
      </c>
      <c r="F16" s="9">
        <f t="shared" si="8"/>
        <v>2121.4845463240381</v>
      </c>
      <c r="G16" s="9">
        <f t="shared" si="8"/>
        <v>1889.853653767907</v>
      </c>
      <c r="H16" s="9">
        <f t="shared" si="8"/>
        <v>1371.7732635987288</v>
      </c>
      <c r="I16" s="9">
        <f t="shared" si="8"/>
        <v>1716.8860133343296</v>
      </c>
      <c r="J16" s="9">
        <f t="shared" si="8"/>
        <v>2965.2700354646067</v>
      </c>
      <c r="K16" s="9">
        <f t="shared" si="8"/>
        <v>4129.2230555706537</v>
      </c>
      <c r="L16" s="9">
        <f t="shared" si="8"/>
        <v>3274.6853169602045</v>
      </c>
      <c r="M16" s="9">
        <f t="shared" si="8"/>
        <v>2442.2014949033787</v>
      </c>
      <c r="N16" s="35">
        <f t="shared" si="2"/>
        <v>26781.784990207223</v>
      </c>
      <c r="O16" s="16">
        <v>0.01</v>
      </c>
    </row>
    <row r="17" spans="1:16" ht="22" customHeight="1" x14ac:dyDescent="0.35">
      <c r="A17" t="s">
        <v>8</v>
      </c>
      <c r="B17" s="9">
        <f>SUM(B8*$O$17)</f>
        <v>619.88702733673495</v>
      </c>
      <c r="C17" s="9">
        <f t="shared" ref="C17:M17" si="9">SUM(C8*$O$17)</f>
        <v>459.30546779990362</v>
      </c>
      <c r="D17" s="9">
        <f t="shared" si="9"/>
        <v>784.92812732835557</v>
      </c>
      <c r="E17" s="9">
        <f t="shared" si="9"/>
        <v>884.04242164835694</v>
      </c>
      <c r="F17" s="9">
        <f t="shared" si="9"/>
        <v>848.59381852961519</v>
      </c>
      <c r="G17" s="9">
        <f t="shared" si="9"/>
        <v>755.94146150716278</v>
      </c>
      <c r="H17" s="9">
        <f t="shared" si="9"/>
        <v>548.70930543949157</v>
      </c>
      <c r="I17" s="9">
        <f t="shared" si="9"/>
        <v>686.75440533373182</v>
      </c>
      <c r="J17" s="9">
        <f t="shared" si="9"/>
        <v>1186.1080141858426</v>
      </c>
      <c r="K17" s="9">
        <f t="shared" si="9"/>
        <v>1651.6892222282615</v>
      </c>
      <c r="L17" s="9">
        <f t="shared" si="9"/>
        <v>1309.8741267840819</v>
      </c>
      <c r="M17" s="9">
        <f t="shared" si="9"/>
        <v>976.88059796135155</v>
      </c>
      <c r="N17" s="35">
        <f t="shared" si="2"/>
        <v>10712.71399608289</v>
      </c>
      <c r="O17" s="16">
        <v>4.0000000000000001E-3</v>
      </c>
      <c r="P17" t="s">
        <v>23</v>
      </c>
    </row>
    <row r="18" spans="1:16" ht="22" customHeight="1" x14ac:dyDescent="0.35">
      <c r="A18" t="s">
        <v>9</v>
      </c>
      <c r="B18" s="9">
        <f>SUM(B$8*$O$18)</f>
        <v>7128.7008143724515</v>
      </c>
      <c r="C18" s="9">
        <f t="shared" ref="C18:M18" si="10">SUM(C$8*$O$18)</f>
        <v>5282.0128796988911</v>
      </c>
      <c r="D18" s="9">
        <f t="shared" si="10"/>
        <v>9026.6734642760894</v>
      </c>
      <c r="E18" s="9">
        <f t="shared" si="10"/>
        <v>10166.487848956105</v>
      </c>
      <c r="F18" s="9">
        <f t="shared" si="10"/>
        <v>9758.8289130905741</v>
      </c>
      <c r="G18" s="9">
        <f t="shared" si="10"/>
        <v>8693.3268073323725</v>
      </c>
      <c r="H18" s="9">
        <f t="shared" si="10"/>
        <v>6310.1570125541521</v>
      </c>
      <c r="I18" s="9">
        <f t="shared" si="10"/>
        <v>7897.6756613379157</v>
      </c>
      <c r="J18" s="9">
        <f t="shared" si="10"/>
        <v>13640.242163137189</v>
      </c>
      <c r="K18" s="9">
        <f t="shared" si="10"/>
        <v>18994.426055625005</v>
      </c>
      <c r="L18" s="9">
        <f t="shared" si="10"/>
        <v>15063.55245801694</v>
      </c>
      <c r="M18" s="9">
        <f t="shared" si="10"/>
        <v>11234.126876555541</v>
      </c>
      <c r="N18" s="35">
        <f>SUM(B18:M18)</f>
        <v>123196.21095495323</v>
      </c>
      <c r="O18" s="16">
        <v>4.5999999999999999E-2</v>
      </c>
      <c r="P18" t="s">
        <v>23</v>
      </c>
    </row>
    <row r="19" spans="1:16" ht="22" customHeight="1" thickBot="1" x14ac:dyDescent="0.4">
      <c r="A19" s="3" t="s">
        <v>13</v>
      </c>
      <c r="B19" s="10">
        <f>SUM(B11:B18)</f>
        <v>154971.7568341837</v>
      </c>
      <c r="C19" s="10">
        <f t="shared" ref="C19:M19" si="11">SUM(C11:C18)</f>
        <v>114826.3669499759</v>
      </c>
      <c r="D19" s="10">
        <f t="shared" si="11"/>
        <v>196232.03183208889</v>
      </c>
      <c r="E19" s="10">
        <f t="shared" si="11"/>
        <v>221010.60541208927</v>
      </c>
      <c r="F19" s="10">
        <f t="shared" si="11"/>
        <v>212148.45463240385</v>
      </c>
      <c r="G19" s="10">
        <f t="shared" si="11"/>
        <v>188985.36537679069</v>
      </c>
      <c r="H19" s="10">
        <f t="shared" si="11"/>
        <v>137177.32635987288</v>
      </c>
      <c r="I19" s="10">
        <f t="shared" si="11"/>
        <v>171688.60133343295</v>
      </c>
      <c r="J19" s="10">
        <f t="shared" si="11"/>
        <v>296527.00354646071</v>
      </c>
      <c r="K19" s="10">
        <f t="shared" si="11"/>
        <v>412922.30555706535</v>
      </c>
      <c r="L19" s="10">
        <f t="shared" si="11"/>
        <v>327468.53169602045</v>
      </c>
      <c r="M19" s="10">
        <f t="shared" si="11"/>
        <v>244220.14949033788</v>
      </c>
      <c r="N19" s="36">
        <f>SUM(N11+N12+N13+N14+N15+N16++N17+N18)</f>
        <v>2678178.4990207227</v>
      </c>
    </row>
    <row r="20" spans="1:16" ht="22" customHeight="1" thickTop="1" x14ac:dyDescent="0.35"/>
    <row r="21" spans="1:16" hidden="1" x14ac:dyDescent="0.35">
      <c r="B21" s="5">
        <f>SUM(B6/B8)</f>
        <v>0.78</v>
      </c>
      <c r="C21" s="5">
        <f t="shared" ref="C21:M21" si="12">SUM(C6/C8)</f>
        <v>0.78</v>
      </c>
      <c r="D21" s="5">
        <f t="shared" si="12"/>
        <v>0.78</v>
      </c>
      <c r="E21" s="5">
        <f t="shared" si="12"/>
        <v>0.78</v>
      </c>
      <c r="F21" s="5">
        <f t="shared" si="12"/>
        <v>0.78000000000000014</v>
      </c>
      <c r="G21" s="5">
        <f t="shared" si="12"/>
        <v>0.78</v>
      </c>
      <c r="H21" s="5">
        <f t="shared" si="12"/>
        <v>0.78</v>
      </c>
      <c r="I21" s="5">
        <f t="shared" si="12"/>
        <v>0.78000000000000014</v>
      </c>
      <c r="J21" s="5">
        <f t="shared" si="12"/>
        <v>0.78</v>
      </c>
      <c r="K21" s="5">
        <f t="shared" si="12"/>
        <v>0.78</v>
      </c>
      <c r="L21" s="5">
        <f t="shared" si="12"/>
        <v>0.78</v>
      </c>
      <c r="M21" s="5">
        <f t="shared" si="12"/>
        <v>0.78</v>
      </c>
    </row>
    <row r="22" spans="1:16" hidden="1" x14ac:dyDescent="0.35">
      <c r="B22" s="5">
        <f>SUM(B7/B8)</f>
        <v>0.22</v>
      </c>
      <c r="C22" s="5">
        <f t="shared" ref="C22:M22" si="13">SUM(C7/C8)</f>
        <v>0.22</v>
      </c>
      <c r="D22" s="5">
        <f t="shared" si="13"/>
        <v>0.21999999999999997</v>
      </c>
      <c r="E22" s="5">
        <f t="shared" si="13"/>
        <v>0.22000000000000003</v>
      </c>
      <c r="F22" s="5">
        <f t="shared" si="13"/>
        <v>0.22000000000000003</v>
      </c>
      <c r="G22" s="5">
        <f t="shared" si="13"/>
        <v>0.22</v>
      </c>
      <c r="H22" s="5">
        <f t="shared" si="13"/>
        <v>0.22</v>
      </c>
      <c r="I22" s="5">
        <f t="shared" si="13"/>
        <v>0.22000000000000003</v>
      </c>
      <c r="J22" s="5">
        <f t="shared" si="13"/>
        <v>0.22</v>
      </c>
      <c r="K22" s="5">
        <f t="shared" si="13"/>
        <v>0.22</v>
      </c>
      <c r="L22" s="5">
        <f t="shared" si="13"/>
        <v>0.21999999999999997</v>
      </c>
      <c r="M22" s="5">
        <f t="shared" si="13"/>
        <v>0.22</v>
      </c>
    </row>
    <row r="23" spans="1:16" hidden="1" x14ac:dyDescent="0.35">
      <c r="B23" s="5">
        <f>SUM(B8/$N$8)</f>
        <v>5.7864610925242387E-2</v>
      </c>
      <c r="C23" s="5">
        <f t="shared" ref="C23:M23" si="14">SUM(C8/$N$8)</f>
        <v>4.2874799790963238E-2</v>
      </c>
      <c r="D23" s="5">
        <f t="shared" si="14"/>
        <v>7.3270706901665164E-2</v>
      </c>
      <c r="E23" s="5">
        <f t="shared" si="14"/>
        <v>8.2522731585255388E-2</v>
      </c>
      <c r="F23" s="5">
        <f t="shared" si="14"/>
        <v>7.9213709881539265E-2</v>
      </c>
      <c r="G23" s="5">
        <f t="shared" si="14"/>
        <v>7.0564887831745832E-2</v>
      </c>
      <c r="H23" s="5">
        <f t="shared" si="14"/>
        <v>5.122038221501362E-2</v>
      </c>
      <c r="I23" s="5">
        <f t="shared" si="14"/>
        <v>6.4106481848096017E-2</v>
      </c>
      <c r="J23" s="5">
        <f t="shared" si="14"/>
        <v>0.11071965653330648</v>
      </c>
      <c r="K23" s="5">
        <f t="shared" si="14"/>
        <v>0.15418027801658876</v>
      </c>
      <c r="L23" s="5">
        <f t="shared" si="14"/>
        <v>0.12227285515724944</v>
      </c>
      <c r="M23" s="5">
        <f t="shared" si="14"/>
        <v>9.1188899313334473E-2</v>
      </c>
    </row>
    <row r="24" spans="1:16" hidden="1" x14ac:dyDescent="0.35"/>
    <row r="25" spans="1:16" hidden="1" x14ac:dyDescent="0.35"/>
    <row r="26" spans="1:16" hidden="1" x14ac:dyDescent="0.35">
      <c r="B26" s="9">
        <f>SUM(B21*B28)</f>
        <v>122088.54259116892</v>
      </c>
      <c r="C26" s="9">
        <f t="shared" ref="C26:M26" si="15">SUM(C21*C28)</f>
        <v>90461.540078953345</v>
      </c>
      <c r="D26" s="9">
        <f t="shared" si="15"/>
        <v>154593.86449182333</v>
      </c>
      <c r="E26" s="9">
        <f t="shared" si="15"/>
        <v>174114.71137173034</v>
      </c>
      <c r="F26" s="9">
        <f t="shared" si="15"/>
        <v>167133.00647905972</v>
      </c>
      <c r="G26" s="9">
        <f t="shared" si="15"/>
        <v>148884.85683620055</v>
      </c>
      <c r="H26" s="9">
        <f t="shared" si="15"/>
        <v>108069.88443545725</v>
      </c>
      <c r="I26" s="9">
        <f t="shared" si="15"/>
        <v>135258.2660512978</v>
      </c>
      <c r="J26" s="9">
        <f t="shared" si="15"/>
        <v>233607.40331962335</v>
      </c>
      <c r="K26" s="9">
        <f t="shared" si="15"/>
        <v>325304.96858720068</v>
      </c>
      <c r="L26" s="9">
        <f t="shared" si="15"/>
        <v>257983.49709628057</v>
      </c>
      <c r="M26" s="9">
        <f t="shared" si="15"/>
        <v>192399.45866120441</v>
      </c>
      <c r="N26" s="5">
        <v>2705000</v>
      </c>
    </row>
    <row r="27" spans="1:16" hidden="1" x14ac:dyDescent="0.35">
      <c r="B27" s="9">
        <f>SUM(B22*B28)</f>
        <v>34435.229961611745</v>
      </c>
      <c r="C27" s="9">
        <f t="shared" ref="C27:M27" si="16">SUM(C22*C28)</f>
        <v>25514.793355602225</v>
      </c>
      <c r="D27" s="9">
        <f t="shared" si="16"/>
        <v>43603.397677180932</v>
      </c>
      <c r="E27" s="9">
        <f t="shared" si="16"/>
        <v>49109.277566385492</v>
      </c>
      <c r="F27" s="9">
        <f t="shared" si="16"/>
        <v>47140.078750504021</v>
      </c>
      <c r="G27" s="9">
        <f t="shared" si="16"/>
        <v>41993.164748671945</v>
      </c>
      <c r="H27" s="9">
        <f t="shared" si="16"/>
        <v>30481.249456154608</v>
      </c>
      <c r="I27" s="9">
        <f t="shared" si="16"/>
        <v>38149.767347801942</v>
      </c>
      <c r="J27" s="9">
        <f t="shared" si="16"/>
        <v>65889.267602970693</v>
      </c>
      <c r="K27" s="9">
        <f t="shared" si="16"/>
        <v>91752.683447671981</v>
      </c>
      <c r="L27" s="9">
        <f t="shared" si="16"/>
        <v>72764.576104079126</v>
      </c>
      <c r="M27" s="9">
        <f t="shared" si="16"/>
        <v>54266.513981365344</v>
      </c>
    </row>
    <row r="28" spans="1:16" hidden="1" x14ac:dyDescent="0.35">
      <c r="B28" s="14">
        <f>SUM(B23*$N$26)</f>
        <v>156523.77255278066</v>
      </c>
      <c r="C28" s="14">
        <f t="shared" ref="C28:M28" si="17">SUM(C23*$N$26)</f>
        <v>115976.33343455556</v>
      </c>
      <c r="D28" s="14">
        <f t="shared" si="17"/>
        <v>198197.26216900427</v>
      </c>
      <c r="E28" s="14">
        <f t="shared" si="17"/>
        <v>223223.98893811583</v>
      </c>
      <c r="F28" s="14">
        <f t="shared" si="17"/>
        <v>214273.0852295637</v>
      </c>
      <c r="G28" s="14">
        <f t="shared" si="17"/>
        <v>190878.02158487248</v>
      </c>
      <c r="H28" s="14">
        <f t="shared" si="17"/>
        <v>138551.13389161185</v>
      </c>
      <c r="I28" s="14">
        <f t="shared" si="17"/>
        <v>173408.03339909972</v>
      </c>
      <c r="J28" s="14">
        <f t="shared" si="17"/>
        <v>299496.67092259403</v>
      </c>
      <c r="K28" s="14">
        <f t="shared" si="17"/>
        <v>417057.65203487262</v>
      </c>
      <c r="L28" s="14">
        <f t="shared" si="17"/>
        <v>330748.07320035971</v>
      </c>
      <c r="M28" s="14">
        <f t="shared" si="17"/>
        <v>246665.97264256974</v>
      </c>
      <c r="N28" s="14">
        <f>SUM(B28:M28)</f>
        <v>2705000</v>
      </c>
    </row>
    <row r="29" spans="1:16" hidden="1" x14ac:dyDescent="0.35"/>
    <row r="30" spans="1:16" hidden="1" x14ac:dyDescent="0.35"/>
    <row r="31" spans="1:16" hidden="1" x14ac:dyDescent="0.35">
      <c r="A31" t="s">
        <v>24</v>
      </c>
    </row>
    <row r="32" spans="1:16" hidden="1" x14ac:dyDescent="0.35">
      <c r="I32" s="18" t="s">
        <v>31</v>
      </c>
    </row>
    <row r="33" spans="1:15" s="19" customFormat="1" hidden="1" x14ac:dyDescent="0.35">
      <c r="A33" s="24"/>
      <c r="B33" s="25">
        <f>B4</f>
        <v>44105</v>
      </c>
      <c r="C33" s="25">
        <f>C4</f>
        <v>44153</v>
      </c>
      <c r="D33" s="25">
        <f t="shared" ref="D33:M33" si="18">D4</f>
        <v>44170</v>
      </c>
      <c r="E33" s="25">
        <f t="shared" si="18"/>
        <v>44201</v>
      </c>
      <c r="F33" s="25">
        <f t="shared" si="18"/>
        <v>44249</v>
      </c>
      <c r="G33" s="25">
        <f t="shared" si="18"/>
        <v>44265</v>
      </c>
      <c r="H33" s="25">
        <f t="shared" si="18"/>
        <v>44313</v>
      </c>
      <c r="I33" s="25">
        <f t="shared" si="18"/>
        <v>44329</v>
      </c>
      <c r="J33" s="25">
        <f t="shared" si="18"/>
        <v>44377</v>
      </c>
      <c r="K33" s="25">
        <f t="shared" si="18"/>
        <v>44394</v>
      </c>
      <c r="L33" s="25">
        <f t="shared" si="18"/>
        <v>44428</v>
      </c>
      <c r="M33" s="25">
        <f t="shared" si="18"/>
        <v>44446</v>
      </c>
      <c r="N33" s="26" t="s">
        <v>26</v>
      </c>
      <c r="O33" s="21"/>
    </row>
    <row r="34" spans="1:15" s="19" customFormat="1" hidden="1" x14ac:dyDescent="0.35">
      <c r="A34" s="38" t="s">
        <v>33</v>
      </c>
      <c r="B34" s="26"/>
      <c r="C34" s="26"/>
      <c r="D34" s="26"/>
      <c r="E34" s="26" t="s">
        <v>10</v>
      </c>
      <c r="F34" s="27" t="s">
        <v>10</v>
      </c>
      <c r="G34" s="28">
        <v>0.7</v>
      </c>
      <c r="H34" s="28">
        <v>1</v>
      </c>
      <c r="I34" s="28">
        <v>0.9</v>
      </c>
      <c r="J34" s="28">
        <v>0.75</v>
      </c>
      <c r="K34" s="28">
        <v>0.5</v>
      </c>
      <c r="L34" s="28">
        <v>0.4</v>
      </c>
      <c r="M34" s="28">
        <v>0.25</v>
      </c>
      <c r="N34" s="26" t="s">
        <v>10</v>
      </c>
      <c r="O34" s="21"/>
    </row>
    <row r="35" spans="1:15" s="19" customFormat="1" hidden="1" x14ac:dyDescent="0.35">
      <c r="A35" s="29" t="s">
        <v>27</v>
      </c>
      <c r="B35" s="30">
        <v>187622.18</v>
      </c>
      <c r="C35" s="30">
        <v>147917.13</v>
      </c>
      <c r="D35" s="30">
        <v>214255</v>
      </c>
      <c r="E35" s="30">
        <v>239094.51</v>
      </c>
      <c r="F35" s="30">
        <v>220547.9</v>
      </c>
      <c r="G35" s="31">
        <f>SUM(G8*(SUM(1-G34)))</f>
        <v>56695.609613037217</v>
      </c>
      <c r="H35" s="31">
        <f t="shared" ref="H35:M35" si="19">SUM(H8*(SUM(1-H34)))</f>
        <v>0</v>
      </c>
      <c r="I35" s="31">
        <f t="shared" si="19"/>
        <v>17168.860133343293</v>
      </c>
      <c r="J35" s="31">
        <f t="shared" si="19"/>
        <v>74131.750886615162</v>
      </c>
      <c r="K35" s="31">
        <f t="shared" si="19"/>
        <v>206461.15277853268</v>
      </c>
      <c r="L35" s="31">
        <f t="shared" si="19"/>
        <v>196481.11901761228</v>
      </c>
      <c r="M35" s="31">
        <f t="shared" si="19"/>
        <v>183165.11211775342</v>
      </c>
      <c r="N35" s="37">
        <f>SUM(B35:M35)</f>
        <v>1743540.3245468941</v>
      </c>
      <c r="O35" s="21"/>
    </row>
    <row r="36" spans="1:15" s="19" customFormat="1" hidden="1" x14ac:dyDescent="0.35">
      <c r="A36" s="24" t="s">
        <v>25</v>
      </c>
      <c r="B36" s="31">
        <f>SUM(B35-B8)</f>
        <v>32650.423165816261</v>
      </c>
      <c r="C36" s="31">
        <f>SUM(C35-C8)</f>
        <v>33090.763050024107</v>
      </c>
      <c r="D36" s="31">
        <f>SUM(D35-D8)</f>
        <v>18022.968167911109</v>
      </c>
      <c r="E36" s="31">
        <f>SUM(E35-E8)</f>
        <v>18083.904587910773</v>
      </c>
      <c r="F36" s="31">
        <f>SUM(F35-F8)</f>
        <v>8399.4453675961995</v>
      </c>
      <c r="G36" s="26"/>
      <c r="H36" s="26"/>
      <c r="I36" s="26"/>
      <c r="J36" s="26"/>
      <c r="K36" s="26"/>
      <c r="L36" s="26"/>
      <c r="M36" s="26"/>
      <c r="N36" s="26"/>
      <c r="O36" s="21"/>
    </row>
    <row r="37" spans="1:15" s="19" customFormat="1" hidden="1" x14ac:dyDescent="0.35">
      <c r="A37" s="24" t="s">
        <v>29</v>
      </c>
      <c r="B37" s="32">
        <f>SUM(B36/B8)</f>
        <v>0.21068628137675094</v>
      </c>
      <c r="C37" s="32">
        <f>SUM(C36/C8)</f>
        <v>0.28818087630030215</v>
      </c>
      <c r="D37" s="32">
        <f>SUM(D36/D8)</f>
        <v>9.1845189593373511E-2</v>
      </c>
      <c r="E37" s="32">
        <f>SUM(E36/E8)</f>
        <v>8.1823695990480227E-2</v>
      </c>
      <c r="F37" s="32">
        <f>SUM(F36/F8)</f>
        <v>3.9592300505559556E-2</v>
      </c>
      <c r="G37" s="26"/>
      <c r="H37" s="26"/>
      <c r="I37" s="26"/>
      <c r="J37" s="26"/>
      <c r="K37" s="26"/>
      <c r="L37" s="26"/>
      <c r="M37" s="26"/>
      <c r="N37" s="26"/>
      <c r="O37" s="21"/>
    </row>
    <row r="38" spans="1:15" s="19" customFormat="1" hidden="1" x14ac:dyDescent="0.3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1"/>
    </row>
    <row r="39" spans="1:15" s="19" customFormat="1" hidden="1" x14ac:dyDescent="0.35">
      <c r="A39" s="24"/>
      <c r="B39" s="25">
        <f>B33+366</f>
        <v>44471</v>
      </c>
      <c r="C39" s="25">
        <f>C33+366</f>
        <v>44519</v>
      </c>
      <c r="D39" s="25">
        <f t="shared" ref="D39:M39" si="20">D33+366</f>
        <v>44536</v>
      </c>
      <c r="E39" s="25">
        <f t="shared" si="20"/>
        <v>44567</v>
      </c>
      <c r="F39" s="25">
        <f t="shared" si="20"/>
        <v>44615</v>
      </c>
      <c r="G39" s="25">
        <f t="shared" si="20"/>
        <v>44631</v>
      </c>
      <c r="H39" s="25">
        <f t="shared" si="20"/>
        <v>44679</v>
      </c>
      <c r="I39" s="25">
        <f t="shared" si="20"/>
        <v>44695</v>
      </c>
      <c r="J39" s="25">
        <f t="shared" si="20"/>
        <v>44743</v>
      </c>
      <c r="K39" s="25">
        <f t="shared" si="20"/>
        <v>44760</v>
      </c>
      <c r="L39" s="25">
        <f t="shared" si="20"/>
        <v>44794</v>
      </c>
      <c r="M39" s="25">
        <f t="shared" si="20"/>
        <v>44812</v>
      </c>
      <c r="N39" s="26" t="s">
        <v>32</v>
      </c>
      <c r="O39" s="21"/>
    </row>
    <row r="40" spans="1:15" s="19" customFormat="1" hidden="1" x14ac:dyDescent="0.35">
      <c r="A40" s="38" t="s">
        <v>33</v>
      </c>
      <c r="B40" s="28">
        <v>0.25</v>
      </c>
      <c r="C40" s="28">
        <v>0.25</v>
      </c>
      <c r="D40" s="28">
        <v>0.3</v>
      </c>
      <c r="E40" s="28">
        <v>0.3</v>
      </c>
      <c r="F40" s="28">
        <v>0.3</v>
      </c>
      <c r="G40" s="28">
        <v>0.3</v>
      </c>
      <c r="H40" s="28">
        <v>0.25</v>
      </c>
      <c r="I40" s="28">
        <v>0.15</v>
      </c>
      <c r="J40" s="28">
        <v>0.1</v>
      </c>
      <c r="K40" s="28">
        <v>0.05</v>
      </c>
      <c r="L40" s="28">
        <v>0.05</v>
      </c>
      <c r="M40" s="28">
        <v>0.05</v>
      </c>
      <c r="N40" s="26" t="s">
        <v>10</v>
      </c>
      <c r="O40" s="21"/>
    </row>
    <row r="41" spans="1:15" s="19" customFormat="1" hidden="1" x14ac:dyDescent="0.35">
      <c r="A41" s="29" t="s">
        <v>28</v>
      </c>
      <c r="B41" s="30">
        <f>SUM(B8*(SUM(1-B40)))</f>
        <v>116228.81762563781</v>
      </c>
      <c r="C41" s="30">
        <f t="shared" ref="C41" si="21">SUM(C8*(SUM(1-C40)))</f>
        <v>86119.775212481924</v>
      </c>
      <c r="D41" s="30">
        <f>SUM(D8*(SUM(1-D40)))*1.2</f>
        <v>164834.90673895465</v>
      </c>
      <c r="E41" s="30">
        <f>SUM(E8*(SUM(1-E40)))*1.25</f>
        <v>193384.27973557805</v>
      </c>
      <c r="F41" s="30">
        <f t="shared" ref="F41:M41" si="22">SUM(F8*(SUM(1-F40)))*1.25</f>
        <v>185629.89780335332</v>
      </c>
      <c r="G41" s="30">
        <f t="shared" si="22"/>
        <v>165362.19470469188</v>
      </c>
      <c r="H41" s="30">
        <f t="shared" si="22"/>
        <v>128603.74346238082</v>
      </c>
      <c r="I41" s="30">
        <f t="shared" si="22"/>
        <v>182419.1389167725</v>
      </c>
      <c r="J41" s="30">
        <f t="shared" si="22"/>
        <v>333592.87898976821</v>
      </c>
      <c r="K41" s="30">
        <f t="shared" si="22"/>
        <v>490345.2378490151</v>
      </c>
      <c r="L41" s="30">
        <f t="shared" si="22"/>
        <v>388868.88138902426</v>
      </c>
      <c r="M41" s="30">
        <f t="shared" si="22"/>
        <v>290011.42751977622</v>
      </c>
      <c r="N41" s="37">
        <f>SUM(B41:M41)</f>
        <v>2725401.1799474349</v>
      </c>
      <c r="O41" s="21"/>
    </row>
    <row r="42" spans="1:15" s="19" customFormat="1" hidden="1" x14ac:dyDescent="0.35">
      <c r="B42" s="22"/>
      <c r="C42" s="22"/>
      <c r="D42" s="23" t="s">
        <v>30</v>
      </c>
      <c r="E42" s="22"/>
      <c r="F42" s="22"/>
      <c r="G42" s="22"/>
      <c r="H42" s="22"/>
      <c r="I42" s="22"/>
      <c r="J42" s="22"/>
      <c r="K42" s="22"/>
      <c r="L42" s="22"/>
      <c r="M42" s="20"/>
      <c r="N42" s="22"/>
      <c r="O42" s="21"/>
    </row>
    <row r="43" spans="1:15" s="19" customFormat="1" hidden="1" x14ac:dyDescent="0.35">
      <c r="B43" s="22"/>
      <c r="C43" s="22"/>
      <c r="D43" s="22" t="s">
        <v>10</v>
      </c>
      <c r="E43" s="22"/>
      <c r="F43" s="22"/>
      <c r="G43" s="22"/>
      <c r="H43" s="22"/>
      <c r="I43" s="22"/>
      <c r="J43" s="22"/>
      <c r="K43" s="22"/>
      <c r="L43" s="22"/>
      <c r="M43" s="20"/>
      <c r="N43" s="22"/>
      <c r="O43" s="21"/>
    </row>
    <row r="44" spans="1:15" s="19" customFormat="1" hidden="1" x14ac:dyDescent="0.3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0"/>
      <c r="N44" s="22"/>
      <c r="O44" s="21"/>
    </row>
  </sheetData>
  <pageMargins left="0.25" right="0.25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C193-ABF9-47AE-B4F7-617CE9D684B0}">
  <dimension ref="A5:N13"/>
  <sheetViews>
    <sheetView workbookViewId="0">
      <selection activeCell="A9" sqref="A9:N13"/>
    </sheetView>
  </sheetViews>
  <sheetFormatPr defaultRowHeight="14.5" x14ac:dyDescent="0.35"/>
  <cols>
    <col min="1" max="1" width="66.81640625" customWidth="1"/>
    <col min="2" max="13" width="13.7265625" customWidth="1"/>
    <col min="14" max="14" width="15.7265625" customWidth="1"/>
  </cols>
  <sheetData>
    <row r="5" spans="1:14" ht="15.5" hidden="1" x14ac:dyDescent="0.35">
      <c r="B5" s="6">
        <v>43374</v>
      </c>
      <c r="C5" s="6">
        <v>43422</v>
      </c>
      <c r="D5" s="6">
        <v>43452</v>
      </c>
      <c r="E5" s="6">
        <v>43484</v>
      </c>
      <c r="F5" s="6">
        <v>43515</v>
      </c>
      <c r="G5" s="6">
        <v>43543</v>
      </c>
      <c r="H5" s="6">
        <v>43574</v>
      </c>
      <c r="I5" s="6">
        <v>43604</v>
      </c>
      <c r="J5" s="6">
        <v>43635</v>
      </c>
      <c r="K5" s="6">
        <v>43665</v>
      </c>
      <c r="L5" s="6">
        <v>43696</v>
      </c>
      <c r="M5" s="6">
        <v>43727</v>
      </c>
      <c r="N5" s="7" t="s">
        <v>11</v>
      </c>
    </row>
    <row r="6" spans="1:14" ht="15.5" hidden="1" x14ac:dyDescent="0.35">
      <c r="A6" s="2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8"/>
    </row>
    <row r="7" spans="1:14" ht="16" hidden="1" thickBot="1" x14ac:dyDescent="0.4">
      <c r="A7" s="3" t="s">
        <v>12</v>
      </c>
      <c r="B7" s="10">
        <v>184916</v>
      </c>
      <c r="C7" s="10">
        <v>152954.1</v>
      </c>
      <c r="D7" s="10">
        <v>227360</v>
      </c>
      <c r="E7" s="10">
        <v>252339.84000000003</v>
      </c>
      <c r="F7" s="10">
        <v>242221.44</v>
      </c>
      <c r="G7" s="10">
        <v>215774.88</v>
      </c>
      <c r="H7" s="10">
        <v>146181.29999999999</v>
      </c>
      <c r="I7" s="10">
        <v>161433.35999999999</v>
      </c>
      <c r="J7" s="10">
        <v>263325.24</v>
      </c>
      <c r="K7" s="10">
        <v>347388.54000000004</v>
      </c>
      <c r="L7" s="10">
        <v>275496.90000000002</v>
      </c>
      <c r="M7" s="10">
        <v>205460.64</v>
      </c>
      <c r="N7" s="11">
        <v>2702390.04</v>
      </c>
    </row>
    <row r="10" spans="1:14" ht="15.5" x14ac:dyDescent="0.35">
      <c r="B10" s="6">
        <v>43665</v>
      </c>
      <c r="C10" s="13" t="s">
        <v>14</v>
      </c>
      <c r="D10" s="6">
        <v>43727</v>
      </c>
      <c r="E10" s="13">
        <v>43757</v>
      </c>
      <c r="F10" s="13" t="s">
        <v>15</v>
      </c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13" t="s">
        <v>21</v>
      </c>
      <c r="M10" s="13" t="s">
        <v>22</v>
      </c>
      <c r="N10" s="7" t="s">
        <v>11</v>
      </c>
    </row>
    <row r="11" spans="1:14" ht="15.5" x14ac:dyDescent="0.35">
      <c r="A11" s="2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"/>
      <c r="N11" s="8"/>
    </row>
    <row r="12" spans="1:14" ht="16" thickBot="1" x14ac:dyDescent="0.4">
      <c r="A12" s="3" t="s">
        <v>12</v>
      </c>
      <c r="B12" s="10">
        <f>SUM(K7*1.02)</f>
        <v>354336.31080000004</v>
      </c>
      <c r="C12" s="10">
        <f t="shared" ref="C12:D12" si="0">SUM(L7*1.02)</f>
        <v>281006.83800000005</v>
      </c>
      <c r="D12" s="10">
        <f t="shared" si="0"/>
        <v>209569.85280000002</v>
      </c>
      <c r="E12" s="10">
        <f>SUM(B7*1.02)</f>
        <v>188614.32</v>
      </c>
      <c r="F12" s="10">
        <f t="shared" ref="F12:H12" si="1">SUM(C7*1.02)</f>
        <v>156013.182</v>
      </c>
      <c r="G12" s="10">
        <f t="shared" si="1"/>
        <v>231907.20000000001</v>
      </c>
      <c r="H12" s="10">
        <f t="shared" si="1"/>
        <v>257386.63680000004</v>
      </c>
      <c r="I12" s="10">
        <f t="shared" ref="I12" si="2">SUM(F7*1.02)</f>
        <v>247065.8688</v>
      </c>
      <c r="J12" s="10">
        <f t="shared" ref="J12:K12" si="3">SUM(G7*1.02)</f>
        <v>220090.37760000001</v>
      </c>
      <c r="K12" s="10">
        <f t="shared" si="3"/>
        <v>149104.92599999998</v>
      </c>
      <c r="L12" s="10">
        <f t="shared" ref="L12" si="4">SUM(I7*1.02)</f>
        <v>164662.02719999998</v>
      </c>
      <c r="M12" s="10">
        <f t="shared" ref="M12" si="5">SUM(J7*1.02)</f>
        <v>268591.74479999999</v>
      </c>
      <c r="N12" s="11">
        <f>SUM(B12:M12)</f>
        <v>2728349.2848</v>
      </c>
    </row>
    <row r="13" spans="1:1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Bindel, Jerry</dc:creator>
  <cp:lastModifiedBy>Bindel, Jerry</cp:lastModifiedBy>
  <cp:lastPrinted>2020-10-06T18:43:10Z</cp:lastPrinted>
  <dcterms:created xsi:type="dcterms:W3CDTF">2018-08-13T18:52:10Z</dcterms:created>
  <dcterms:modified xsi:type="dcterms:W3CDTF">2020-10-06T18:43:58Z</dcterms:modified>
</cp:coreProperties>
</file>