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nchmarkhospitality-my.sharepoint.com/personal/jbindel_usa-bhi_com/Documents/Desktop/SLTTID,LTVA/"/>
    </mc:Choice>
  </mc:AlternateContent>
  <xr:revisionPtr revIDLastSave="0" documentId="8_{338B2000-E59C-4443-BA77-F5033E5AFDA7}" xr6:coauthVersionLast="47" xr6:coauthVersionMax="47" xr10:uidLastSave="{00000000-0000-0000-0000-000000000000}"/>
  <bookViews>
    <workbookView xWindow="-110" yWindow="-110" windowWidth="19420" windowHeight="10420" xr2:uid="{DBF7EC47-2604-4E65-8604-2BF0D0C0815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C6" i="1"/>
  <c r="D6" i="1"/>
  <c r="E6" i="1"/>
  <c r="F6" i="1"/>
  <c r="G6" i="1"/>
  <c r="H6" i="1"/>
  <c r="I6" i="1"/>
  <c r="J6" i="1"/>
  <c r="K6" i="1"/>
  <c r="L6" i="1"/>
  <c r="M6" i="1"/>
  <c r="B6" i="1"/>
  <c r="B5" i="1"/>
  <c r="F40" i="1" l="1"/>
  <c r="G40" i="1"/>
  <c r="H40" i="1"/>
  <c r="I40" i="1"/>
  <c r="J40" i="1"/>
  <c r="K40" i="1"/>
  <c r="L40" i="1"/>
  <c r="M40" i="1"/>
  <c r="E40" i="1"/>
  <c r="D40" i="1"/>
  <c r="C40" i="1"/>
  <c r="B40" i="1"/>
  <c r="D32" i="1"/>
  <c r="D38" i="1" s="1"/>
  <c r="E32" i="1"/>
  <c r="E38" i="1" s="1"/>
  <c r="F32" i="1"/>
  <c r="F38" i="1" s="1"/>
  <c r="G32" i="1"/>
  <c r="G38" i="1" s="1"/>
  <c r="H32" i="1"/>
  <c r="H38" i="1" s="1"/>
  <c r="I32" i="1"/>
  <c r="I38" i="1" s="1"/>
  <c r="J32" i="1"/>
  <c r="J38" i="1" s="1"/>
  <c r="K32" i="1"/>
  <c r="K38" i="1" s="1"/>
  <c r="L32" i="1"/>
  <c r="L38" i="1" s="1"/>
  <c r="M32" i="1"/>
  <c r="M38" i="1" s="1"/>
  <c r="C32" i="1"/>
  <c r="C38" i="1" s="1"/>
  <c r="B32" i="1"/>
  <c r="B38" i="1" s="1"/>
  <c r="H34" i="1"/>
  <c r="I34" i="1"/>
  <c r="J34" i="1"/>
  <c r="K34" i="1"/>
  <c r="L34" i="1"/>
  <c r="M34" i="1"/>
  <c r="G34" i="1"/>
  <c r="N34" i="1" l="1"/>
  <c r="F35" i="1"/>
  <c r="F36" i="1" s="1"/>
  <c r="E35" i="1" l="1"/>
  <c r="E36" i="1" s="1"/>
  <c r="D35" i="1" l="1"/>
  <c r="D36" i="1" s="1"/>
  <c r="B35" i="1" l="1"/>
  <c r="B36" i="1" s="1"/>
  <c r="C35" i="1" l="1"/>
  <c r="C36" i="1" s="1"/>
  <c r="C11" i="1" l="1"/>
  <c r="D11" i="1"/>
  <c r="E11" i="1"/>
  <c r="F11" i="1"/>
  <c r="G11" i="1"/>
  <c r="H11" i="1"/>
  <c r="I11" i="1"/>
  <c r="J11" i="1"/>
  <c r="K11" i="1"/>
  <c r="L11" i="1"/>
  <c r="M11" i="1"/>
  <c r="C12" i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C16" i="1"/>
  <c r="D16" i="1"/>
  <c r="E16" i="1"/>
  <c r="F16" i="1"/>
  <c r="G16" i="1"/>
  <c r="H16" i="1"/>
  <c r="I16" i="1"/>
  <c r="J16" i="1"/>
  <c r="K16" i="1"/>
  <c r="L16" i="1"/>
  <c r="M16" i="1"/>
  <c r="C17" i="1"/>
  <c r="D17" i="1"/>
  <c r="E17" i="1"/>
  <c r="F17" i="1"/>
  <c r="G17" i="1"/>
  <c r="H17" i="1"/>
  <c r="I17" i="1"/>
  <c r="J17" i="1"/>
  <c r="K17" i="1"/>
  <c r="L17" i="1"/>
  <c r="M17" i="1"/>
  <c r="B17" i="1"/>
  <c r="B15" i="1"/>
  <c r="B14" i="1"/>
  <c r="B13" i="1"/>
  <c r="B12" i="1"/>
  <c r="B11" i="1"/>
  <c r="B10" i="1"/>
  <c r="C10" i="1"/>
  <c r="D10" i="1"/>
  <c r="E10" i="1"/>
  <c r="F10" i="1"/>
  <c r="G10" i="1"/>
  <c r="H10" i="1"/>
  <c r="I10" i="1"/>
  <c r="J10" i="1"/>
  <c r="K10" i="1"/>
  <c r="L10" i="1"/>
  <c r="M10" i="1"/>
  <c r="B16" i="1"/>
  <c r="B20" i="1"/>
  <c r="C20" i="1"/>
  <c r="D20" i="1"/>
  <c r="E20" i="1"/>
  <c r="F20" i="1"/>
  <c r="G20" i="1"/>
  <c r="H20" i="1"/>
  <c r="I20" i="1"/>
  <c r="J20" i="1"/>
  <c r="K20" i="1"/>
  <c r="L20" i="1"/>
  <c r="B21" i="1"/>
  <c r="C21" i="1"/>
  <c r="D21" i="1"/>
  <c r="E21" i="1"/>
  <c r="F21" i="1"/>
  <c r="G21" i="1"/>
  <c r="H21" i="1"/>
  <c r="I21" i="1"/>
  <c r="J21" i="1"/>
  <c r="K21" i="1"/>
  <c r="L21" i="1"/>
  <c r="M20" i="1"/>
  <c r="M21" i="1"/>
  <c r="N40" i="1" l="1"/>
  <c r="N17" i="1"/>
  <c r="H12" i="2"/>
  <c r="I12" i="2"/>
  <c r="J12" i="2"/>
  <c r="K12" i="2"/>
  <c r="L12" i="2"/>
  <c r="M12" i="2"/>
  <c r="F12" i="2"/>
  <c r="G12" i="2"/>
  <c r="E12" i="2"/>
  <c r="C12" i="2"/>
  <c r="D12" i="2"/>
  <c r="B12" i="2"/>
  <c r="N12" i="2" l="1"/>
  <c r="N11" i="1" l="1"/>
  <c r="N12" i="1"/>
  <c r="N13" i="1"/>
  <c r="N14" i="1"/>
  <c r="N15" i="1"/>
  <c r="N10" i="1"/>
  <c r="N6" i="1"/>
  <c r="N5" i="1"/>
  <c r="M18" i="1"/>
  <c r="I18" i="1"/>
  <c r="E18" i="1"/>
  <c r="K18" i="1"/>
  <c r="G18" i="1"/>
  <c r="C18" i="1"/>
  <c r="J18" i="1"/>
  <c r="F18" i="1"/>
  <c r="H18" i="1"/>
  <c r="D18" i="1"/>
  <c r="L18" i="1"/>
  <c r="O5" i="1" l="1"/>
  <c r="N7" i="1"/>
  <c r="O6" i="1" s="1"/>
  <c r="D22" i="1" l="1"/>
  <c r="D27" i="1" s="1"/>
  <c r="D25" i="1" s="1"/>
  <c r="L22" i="1"/>
  <c r="L27" i="1" s="1"/>
  <c r="H22" i="1"/>
  <c r="H27" i="1" s="1"/>
  <c r="H26" i="1" s="1"/>
  <c r="I22" i="1"/>
  <c r="I27" i="1" s="1"/>
  <c r="I25" i="1" s="1"/>
  <c r="B22" i="1"/>
  <c r="B27" i="1" s="1"/>
  <c r="B26" i="1" s="1"/>
  <c r="J22" i="1"/>
  <c r="J27" i="1" s="1"/>
  <c r="J25" i="1" s="1"/>
  <c r="E22" i="1"/>
  <c r="E27" i="1" s="1"/>
  <c r="F22" i="1"/>
  <c r="F27" i="1" s="1"/>
  <c r="F25" i="1" s="1"/>
  <c r="C22" i="1"/>
  <c r="C27" i="1" s="1"/>
  <c r="K22" i="1"/>
  <c r="K27" i="1" s="1"/>
  <c r="K26" i="1" s="1"/>
  <c r="G22" i="1"/>
  <c r="G27" i="1" s="1"/>
  <c r="G25" i="1" s="1"/>
  <c r="M22" i="1"/>
  <c r="M27" i="1" s="1"/>
  <c r="M26" i="1" s="1"/>
  <c r="G26" i="1" l="1"/>
  <c r="E25" i="1"/>
  <c r="E26" i="1"/>
  <c r="L26" i="1"/>
  <c r="L25" i="1"/>
  <c r="C25" i="1"/>
  <c r="C26" i="1"/>
  <c r="J26" i="1"/>
  <c r="F26" i="1"/>
  <c r="D26" i="1"/>
  <c r="I26" i="1"/>
  <c r="K25" i="1"/>
  <c r="H25" i="1"/>
  <c r="M25" i="1"/>
  <c r="N27" i="1"/>
  <c r="B25" i="1"/>
  <c r="N16" i="1"/>
  <c r="N18" i="1" s="1"/>
  <c r="B18" i="1"/>
</calcChain>
</file>

<file path=xl/sharedStrings.xml><?xml version="1.0" encoding="utf-8"?>
<sst xmlns="http://schemas.openxmlformats.org/spreadsheetml/2006/main" count="52" uniqueCount="37">
  <si>
    <t>Revenue Generated in TID Assessments</t>
  </si>
  <si>
    <t>Expenditures</t>
  </si>
  <si>
    <t>Marketing Programs: Advertising, Fam Trips, Marketing Programs</t>
  </si>
  <si>
    <t>Communications and Public Relations</t>
  </si>
  <si>
    <t>Special Events Funding</t>
  </si>
  <si>
    <t>Visitor Center Operations: Payroll, Benefits, Operation Costs</t>
  </si>
  <si>
    <t>Administrative/Operations: Payroll, Benefits Operation Costs</t>
  </si>
  <si>
    <t>Administrative Fee to City of South Lake Tahoe (1%)</t>
  </si>
  <si>
    <t>Credit Card Fee Reimbursements to City of South Lake Tahoe</t>
  </si>
  <si>
    <t>Contingency/TID Renewal Costs</t>
  </si>
  <si>
    <t xml:space="preserve"> </t>
  </si>
  <si>
    <t>Total</t>
  </si>
  <si>
    <t>Total Revenues</t>
  </si>
  <si>
    <t>Total Programs and Expenses</t>
  </si>
  <si>
    <t>Aug-19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</si>
  <si>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</si>
  <si>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</si>
  <si>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</si>
  <si>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</si>
  <si>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</si>
  <si>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</si>
  <si>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</si>
  <si>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</si>
  <si>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*</t>
  </si>
  <si>
    <t>*Contingency/TID Renewal Costs plus Credit Card Fee Reimbursements to City of SLT equal 5% total Contingency Noted on Management District Plan</t>
  </si>
  <si>
    <t>Difference to Budget</t>
  </si>
  <si>
    <t>Total FY2020</t>
  </si>
  <si>
    <t>Actuals/Forecast</t>
  </si>
  <si>
    <t>FY 2021</t>
  </si>
  <si>
    <t>Actual % Difference to Budget</t>
  </si>
  <si>
    <t>*TID Increase of $1.00 POR effective 12/18/2020</t>
  </si>
  <si>
    <t>*If Hotels Open Prior to Mem Day Weekend w/limited occupancy</t>
  </si>
  <si>
    <t>Total FY2021</t>
  </si>
  <si>
    <r>
      <t xml:space="preserve">Estimate % </t>
    </r>
    <r>
      <rPr>
        <b/>
        <sz val="11"/>
        <color rgb="FFFF0000"/>
        <rFont val="Calibri"/>
        <family val="2"/>
        <scheme val="minor"/>
      </rPr>
      <t>Decrease</t>
    </r>
    <r>
      <rPr>
        <sz val="11"/>
        <color rgb="FFFF0000"/>
        <rFont val="Calibri"/>
        <family val="2"/>
        <scheme val="minor"/>
      </rPr>
      <t xml:space="preserve"> from FY2020 Budget</t>
    </r>
  </si>
  <si>
    <t>SLTTID FY2022 Budget</t>
  </si>
  <si>
    <t>Hotel/Motel Assessment at $4.00 POR</t>
  </si>
  <si>
    <t>VHR/Timeshare Assessment at $5.50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</si>
</sst>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\-yy;@"/>
    <numFmt numFmtId="166" formatCode="0.0%"/>
    <numFmt numFmtId="167" formatCode="0.00;[Red]0.00"/>
    <numFmt numFmtId="168" formatCode="&quot;$&quot;#,##0.00;[Red]&quot;$&quot;#,##0.00"/>
    <numFmt numFmtId="169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2" borderId="1" xfId="1" applyNumberFormat="1" applyFont="1" applyFill="1" applyBorder="1"/>
    <xf numFmtId="9" fontId="2" fillId="0" borderId="0" xfId="2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6" fontId="2" fillId="0" borderId="0" xfId="2" applyNumberFormat="1" applyFont="1" applyAlignment="1"/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0" fillId="3" borderId="2" xfId="0" applyFill="1" applyBorder="1"/>
    <xf numFmtId="165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right"/>
    </xf>
    <xf numFmtId="9" fontId="8" fillId="3" borderId="2" xfId="2" applyFont="1" applyFill="1" applyBorder="1" applyAlignment="1">
      <alignment horizontal="center"/>
    </xf>
    <xf numFmtId="0" fontId="5" fillId="3" borderId="2" xfId="0" applyFont="1" applyFill="1" applyBorder="1"/>
    <xf numFmtId="44" fontId="2" fillId="3" borderId="2" xfId="1" applyFont="1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166" fontId="2" fillId="3" borderId="2" xfId="2" applyNumberFormat="1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0" fontId="6" fillId="3" borderId="2" xfId="0" applyFont="1" applyFill="1" applyBorder="1"/>
    <xf numFmtId="166" fontId="2" fillId="0" borderId="0" xfId="2" applyNumberFormat="1" applyFont="1" applyAlignment="1">
      <alignment horizontal="center"/>
    </xf>
    <xf numFmtId="0" fontId="0" fillId="0" borderId="0" xfId="0" applyFill="1"/>
    <xf numFmtId="44" fontId="2" fillId="0" borderId="0" xfId="1" applyFont="1" applyFill="1" applyAlignment="1">
      <alignment horizontal="center"/>
    </xf>
    <xf numFmtId="4" fontId="12" fillId="0" borderId="0" xfId="0" applyNumberFormat="1" applyFont="1" applyFill="1"/>
    <xf numFmtId="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168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6" fontId="2" fillId="0" borderId="0" xfId="2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/>
    <xf numFmtId="169" fontId="11" fillId="0" borderId="0" xfId="0" applyNumberFormat="1" applyFont="1" applyFill="1" applyAlignment="1">
      <alignment horizontal="center"/>
    </xf>
    <xf numFmtId="4" fontId="1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F910-0628-46C3-9EC2-9FCC6E34F4C1}">
  <sheetPr>
    <pageSetUpPr fitToPage="1"/>
  </sheetPr>
  <dimension ref="A1:P50"/>
  <sheetViews>
    <sheetView tabSelected="1" topLeftCell="A8" workbookViewId="0">
      <selection activeCell="A44" sqref="A44:XFD44"/>
    </sheetView>
  </sheetViews>
  <sheetFormatPr defaultRowHeight="15.5" x14ac:dyDescent="0.35"/>
  <cols>
    <col min="1" max="1" width="66.90625" customWidth="1"/>
    <col min="2" max="2" width="13.7265625" style="5" customWidth="1"/>
    <col min="3" max="3" width="14.90625" style="5" customWidth="1"/>
    <col min="4" max="12" width="13.7265625" style="5" customWidth="1"/>
    <col min="13" max="13" width="13.7265625" style="1" customWidth="1"/>
    <col min="14" max="14" width="15.81640625" style="5" customWidth="1"/>
    <col min="15" max="15" width="7.453125" style="15" customWidth="1"/>
    <col min="16" max="16" width="2.1796875" customWidth="1"/>
  </cols>
  <sheetData>
    <row r="1" spans="1:16" ht="22" customHeight="1" x14ac:dyDescent="0.4">
      <c r="A1" s="4" t="s">
        <v>34</v>
      </c>
    </row>
    <row r="2" spans="1:16" ht="22" customHeight="1" x14ac:dyDescent="0.35"/>
    <row r="3" spans="1:16" ht="22" customHeight="1" x14ac:dyDescent="0.35">
      <c r="B3" s="6">
        <v>44470</v>
      </c>
      <c r="C3" s="6">
        <v>44518</v>
      </c>
      <c r="D3" s="6">
        <v>44535</v>
      </c>
      <c r="E3" s="6">
        <v>44566</v>
      </c>
      <c r="F3" s="6">
        <v>44614</v>
      </c>
      <c r="G3" s="6">
        <v>44630</v>
      </c>
      <c r="H3" s="6">
        <v>44678</v>
      </c>
      <c r="I3" s="6">
        <v>44694</v>
      </c>
      <c r="J3" s="6">
        <v>44742</v>
      </c>
      <c r="K3" s="6">
        <v>44759</v>
      </c>
      <c r="L3" s="6">
        <v>44793</v>
      </c>
      <c r="M3" s="6">
        <v>44811</v>
      </c>
      <c r="N3" s="7" t="s">
        <v>11</v>
      </c>
    </row>
    <row r="4" spans="1:16" ht="22" customHeight="1" x14ac:dyDescent="0.35">
      <c r="A4" s="2" t="s">
        <v>0</v>
      </c>
      <c r="N4" s="17"/>
    </row>
    <row r="5" spans="1:16" ht="22" customHeight="1" x14ac:dyDescent="0.35">
      <c r="A5" t="s">
        <v>35</v>
      </c>
      <c r="B5" s="9">
        <f>SUM(B7*0.82)</f>
        <v>177813.02873999998</v>
      </c>
      <c r="C5" s="9">
        <f t="shared" ref="C5:M5" si="0">SUM(C7*0.82)</f>
        <v>128978.32110999998</v>
      </c>
      <c r="D5" s="9">
        <f t="shared" si="0"/>
        <v>94110.709559999988</v>
      </c>
      <c r="E5" s="9">
        <f t="shared" si="0"/>
        <v>181193.60050999999</v>
      </c>
      <c r="F5" s="9">
        <f t="shared" si="0"/>
        <v>257035.23322999998</v>
      </c>
      <c r="G5" s="9">
        <f t="shared" si="0"/>
        <v>223413.42963999993</v>
      </c>
      <c r="H5" s="9">
        <f t="shared" si="0"/>
        <v>198145.66099999999</v>
      </c>
      <c r="I5" s="9">
        <f t="shared" si="0"/>
        <v>220090.78430999999</v>
      </c>
      <c r="J5" s="9">
        <f t="shared" si="0"/>
        <v>230994.53576269286</v>
      </c>
      <c r="K5" s="9">
        <f t="shared" si="0"/>
        <v>321666.47602895391</v>
      </c>
      <c r="L5" s="9">
        <f t="shared" si="0"/>
        <v>255097.98619119989</v>
      </c>
      <c r="M5" s="9">
        <f t="shared" si="0"/>
        <v>190247.4964529732</v>
      </c>
      <c r="N5" s="35">
        <f>SUM(B5:M5)</f>
        <v>2478787.2625358198</v>
      </c>
      <c r="O5" s="39">
        <f>SUM(N5/N7)</f>
        <v>0.82</v>
      </c>
    </row>
    <row r="6" spans="1:16" ht="22" customHeight="1" x14ac:dyDescent="0.35">
      <c r="A6" t="s">
        <v>36</v>
      </c>
      <c r="B6" s="9">
        <f>SUM(B7*0.18)</f>
        <v>39032.128259999998</v>
      </c>
      <c r="C6" s="9">
        <f t="shared" ref="C6:M6" si="1">SUM(C7*0.18)</f>
        <v>28312.314389999996</v>
      </c>
      <c r="D6" s="9">
        <f t="shared" si="1"/>
        <v>20658.44844</v>
      </c>
      <c r="E6" s="9">
        <f t="shared" si="1"/>
        <v>39774.204989999998</v>
      </c>
      <c r="F6" s="9">
        <f t="shared" si="1"/>
        <v>56422.368269999999</v>
      </c>
      <c r="G6" s="9">
        <f t="shared" si="1"/>
        <v>49041.972359999985</v>
      </c>
      <c r="H6" s="9">
        <f t="shared" si="1"/>
        <v>43495.388999999996</v>
      </c>
      <c r="I6" s="9">
        <f t="shared" si="1"/>
        <v>48312.611189999996</v>
      </c>
      <c r="J6" s="9">
        <f t="shared" si="1"/>
        <v>50706.117606444779</v>
      </c>
      <c r="K6" s="9">
        <f t="shared" si="1"/>
        <v>70609.71425025817</v>
      </c>
      <c r="L6" s="9">
        <f t="shared" si="1"/>
        <v>55997.118920019486</v>
      </c>
      <c r="M6" s="9">
        <f t="shared" si="1"/>
        <v>41761.645562847778</v>
      </c>
      <c r="N6" s="35">
        <f t="shared" ref="N6:N16" si="2">SUM(B6:M6)</f>
        <v>544124.0332395701</v>
      </c>
      <c r="O6" s="39">
        <f>SUM(N6/N7)</f>
        <v>0.17999999999999997</v>
      </c>
    </row>
    <row r="7" spans="1:16" ht="22" customHeight="1" thickBot="1" x14ac:dyDescent="0.4">
      <c r="A7" s="3" t="s">
        <v>12</v>
      </c>
      <c r="B7" s="10">
        <v>216845.15699999998</v>
      </c>
      <c r="C7" s="10">
        <v>157290.63549999997</v>
      </c>
      <c r="D7" s="10">
        <v>114769.158</v>
      </c>
      <c r="E7" s="10">
        <v>220967.80549999999</v>
      </c>
      <c r="F7" s="10">
        <v>313457.60149999999</v>
      </c>
      <c r="G7" s="10">
        <v>272455.40199999994</v>
      </c>
      <c r="H7" s="10">
        <v>241641.05</v>
      </c>
      <c r="I7" s="10">
        <v>268403.39549999998</v>
      </c>
      <c r="J7" s="10">
        <v>281700.65336913767</v>
      </c>
      <c r="K7" s="10">
        <v>392276.19027921208</v>
      </c>
      <c r="L7" s="10">
        <v>311095.1051112194</v>
      </c>
      <c r="M7" s="10">
        <v>232009.14201582098</v>
      </c>
      <c r="N7" s="36">
        <f t="shared" si="2"/>
        <v>3022911.2957753902</v>
      </c>
    </row>
    <row r="8" spans="1:16" ht="22" customHeight="1" thickTop="1" x14ac:dyDescent="0.3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35"/>
    </row>
    <row r="9" spans="1:16" ht="22" customHeight="1" x14ac:dyDescent="0.35">
      <c r="A9" s="2" t="s">
        <v>1</v>
      </c>
      <c r="B9" s="9" t="s">
        <v>10</v>
      </c>
      <c r="C9" s="39" t="s">
        <v>10</v>
      </c>
      <c r="D9" s="9"/>
      <c r="E9" s="9"/>
      <c r="F9" s="9"/>
      <c r="G9" s="9"/>
      <c r="H9" s="9"/>
      <c r="I9" s="9"/>
      <c r="J9" s="9"/>
      <c r="K9" s="9"/>
      <c r="L9" s="9"/>
      <c r="M9" s="9"/>
      <c r="N9" s="35" t="s">
        <v>10</v>
      </c>
    </row>
    <row r="10" spans="1:16" ht="22" customHeight="1" x14ac:dyDescent="0.35">
      <c r="A10" t="s">
        <v>2</v>
      </c>
      <c r="B10" s="9">
        <f>SUM(B$7*$O$10)</f>
        <v>136612.44890999998</v>
      </c>
      <c r="C10" s="9">
        <f t="shared" ref="C10:M10" si="3">SUM(C7*$O$10)</f>
        <v>99093.100364999991</v>
      </c>
      <c r="D10" s="9">
        <f t="shared" si="3"/>
        <v>72304.569539999997</v>
      </c>
      <c r="E10" s="9">
        <f t="shared" si="3"/>
        <v>139209.71746499999</v>
      </c>
      <c r="F10" s="9">
        <f t="shared" si="3"/>
        <v>197478.28894500001</v>
      </c>
      <c r="G10" s="9">
        <f t="shared" si="3"/>
        <v>171646.90325999996</v>
      </c>
      <c r="H10" s="9">
        <f t="shared" si="3"/>
        <v>152233.8615</v>
      </c>
      <c r="I10" s="9">
        <f t="shared" si="3"/>
        <v>169094.139165</v>
      </c>
      <c r="J10" s="9">
        <f t="shared" si="3"/>
        <v>177471.41162255674</v>
      </c>
      <c r="K10" s="9">
        <f t="shared" si="3"/>
        <v>247133.99987590362</v>
      </c>
      <c r="L10" s="9">
        <f t="shared" si="3"/>
        <v>195989.91622006823</v>
      </c>
      <c r="M10" s="9">
        <f t="shared" si="3"/>
        <v>146165.75946996722</v>
      </c>
      <c r="N10" s="35">
        <f t="shared" si="2"/>
        <v>1904434.1163384956</v>
      </c>
      <c r="O10" s="16">
        <v>0.63</v>
      </c>
    </row>
    <row r="11" spans="1:16" ht="22" customHeight="1" x14ac:dyDescent="0.35">
      <c r="A11" t="s">
        <v>3</v>
      </c>
      <c r="B11" s="9">
        <f>SUM(B$7*$O$11)</f>
        <v>8673.8062799999989</v>
      </c>
      <c r="C11" s="9">
        <f t="shared" ref="C11:M11" si="4">SUM(C$7*$O$11)</f>
        <v>6291.6254199999994</v>
      </c>
      <c r="D11" s="9">
        <f t="shared" si="4"/>
        <v>4590.7663199999997</v>
      </c>
      <c r="E11" s="9">
        <f t="shared" si="4"/>
        <v>8838.7122199999994</v>
      </c>
      <c r="F11" s="9">
        <f t="shared" si="4"/>
        <v>12538.30406</v>
      </c>
      <c r="G11" s="9">
        <f t="shared" si="4"/>
        <v>10898.216079999998</v>
      </c>
      <c r="H11" s="9">
        <f t="shared" si="4"/>
        <v>9665.6419999999998</v>
      </c>
      <c r="I11" s="9">
        <f t="shared" si="4"/>
        <v>10736.13582</v>
      </c>
      <c r="J11" s="9">
        <f t="shared" si="4"/>
        <v>11268.026134765507</v>
      </c>
      <c r="K11" s="9">
        <f t="shared" si="4"/>
        <v>15691.047611168484</v>
      </c>
      <c r="L11" s="9">
        <f t="shared" si="4"/>
        <v>12443.804204448776</v>
      </c>
      <c r="M11" s="9">
        <f t="shared" si="4"/>
        <v>9280.3656806328399</v>
      </c>
      <c r="N11" s="35">
        <f t="shared" si="2"/>
        <v>120916.4518310156</v>
      </c>
      <c r="O11" s="16">
        <v>0.04</v>
      </c>
    </row>
    <row r="12" spans="1:16" ht="22" customHeight="1" x14ac:dyDescent="0.35">
      <c r="A12" t="s">
        <v>4</v>
      </c>
      <c r="B12" s="9">
        <f>SUM(B$7*$O$12)</f>
        <v>28189.87041</v>
      </c>
      <c r="C12" s="9">
        <f t="shared" ref="C12:M12" si="5">SUM(C$7*$O$12)</f>
        <v>20447.782614999996</v>
      </c>
      <c r="D12" s="9">
        <f t="shared" si="5"/>
        <v>14919.990540000001</v>
      </c>
      <c r="E12" s="9">
        <f t="shared" si="5"/>
        <v>28725.814715</v>
      </c>
      <c r="F12" s="9">
        <f t="shared" si="5"/>
        <v>40749.488194999998</v>
      </c>
      <c r="G12" s="9">
        <f t="shared" si="5"/>
        <v>35419.202259999991</v>
      </c>
      <c r="H12" s="9">
        <f t="shared" si="5"/>
        <v>31413.336500000001</v>
      </c>
      <c r="I12" s="9">
        <f t="shared" si="5"/>
        <v>34892.441415000001</v>
      </c>
      <c r="J12" s="9">
        <f t="shared" si="5"/>
        <v>36621.0849379879</v>
      </c>
      <c r="K12" s="9">
        <f t="shared" si="5"/>
        <v>50995.904736297569</v>
      </c>
      <c r="L12" s="9">
        <f t="shared" si="5"/>
        <v>40442.36366445852</v>
      </c>
      <c r="M12" s="9">
        <f t="shared" si="5"/>
        <v>30161.188462056729</v>
      </c>
      <c r="N12" s="35">
        <f t="shared" si="2"/>
        <v>392978.46845080069</v>
      </c>
      <c r="O12" s="16">
        <v>0.13</v>
      </c>
    </row>
    <row r="13" spans="1:16" ht="22" customHeight="1" x14ac:dyDescent="0.35">
      <c r="A13" t="s">
        <v>5</v>
      </c>
      <c r="B13" s="9">
        <f>SUM(B$7*$O$13)</f>
        <v>10842.25785</v>
      </c>
      <c r="C13" s="9">
        <f t="shared" ref="C13:M13" si="6">SUM(C$7*$O$13)</f>
        <v>7864.5317749999995</v>
      </c>
      <c r="D13" s="9">
        <f t="shared" si="6"/>
        <v>5738.4579000000003</v>
      </c>
      <c r="E13" s="9">
        <f t="shared" si="6"/>
        <v>11048.390275</v>
      </c>
      <c r="F13" s="9">
        <f t="shared" si="6"/>
        <v>15672.880075000001</v>
      </c>
      <c r="G13" s="9">
        <f t="shared" si="6"/>
        <v>13622.770099999998</v>
      </c>
      <c r="H13" s="9">
        <f t="shared" si="6"/>
        <v>12082.0525</v>
      </c>
      <c r="I13" s="9">
        <f t="shared" si="6"/>
        <v>13420.169775</v>
      </c>
      <c r="J13" s="9">
        <f t="shared" si="6"/>
        <v>14085.032668456884</v>
      </c>
      <c r="K13" s="9">
        <f t="shared" si="6"/>
        <v>19613.809513960605</v>
      </c>
      <c r="L13" s="9">
        <f t="shared" si="6"/>
        <v>15554.755255560971</v>
      </c>
      <c r="M13" s="9">
        <f t="shared" si="6"/>
        <v>11600.457100791049</v>
      </c>
      <c r="N13" s="35">
        <f t="shared" si="2"/>
        <v>151145.56478876949</v>
      </c>
      <c r="O13" s="16">
        <v>0.05</v>
      </c>
    </row>
    <row r="14" spans="1:16" ht="22" customHeight="1" x14ac:dyDescent="0.35">
      <c r="A14" t="s">
        <v>6</v>
      </c>
      <c r="B14" s="9">
        <f>SUM(B$7*$O$14)</f>
        <v>19516.064129999999</v>
      </c>
      <c r="C14" s="9">
        <f t="shared" ref="C14:M14" si="7">SUM(C$7*$O$14)</f>
        <v>14156.157194999998</v>
      </c>
      <c r="D14" s="9">
        <f t="shared" si="7"/>
        <v>10329.22422</v>
      </c>
      <c r="E14" s="9">
        <f t="shared" si="7"/>
        <v>19887.102494999999</v>
      </c>
      <c r="F14" s="9">
        <f t="shared" si="7"/>
        <v>28211.184135</v>
      </c>
      <c r="G14" s="9">
        <f t="shared" si="7"/>
        <v>24520.986179999993</v>
      </c>
      <c r="H14" s="9">
        <f t="shared" si="7"/>
        <v>21747.694499999998</v>
      </c>
      <c r="I14" s="9">
        <f t="shared" si="7"/>
        <v>24156.305594999998</v>
      </c>
      <c r="J14" s="9">
        <f t="shared" si="7"/>
        <v>25353.05880322239</v>
      </c>
      <c r="K14" s="9">
        <f t="shared" si="7"/>
        <v>35304.857125129085</v>
      </c>
      <c r="L14" s="9">
        <f t="shared" si="7"/>
        <v>27998.559460009743</v>
      </c>
      <c r="M14" s="9">
        <f t="shared" si="7"/>
        <v>20880.822781423889</v>
      </c>
      <c r="N14" s="35">
        <f t="shared" si="2"/>
        <v>272062.01661978505</v>
      </c>
      <c r="O14" s="16">
        <v>0.09</v>
      </c>
    </row>
    <row r="15" spans="1:16" ht="22" customHeight="1" x14ac:dyDescent="0.35">
      <c r="A15" t="s">
        <v>7</v>
      </c>
      <c r="B15" s="9">
        <f>SUM(B$7*$O$15)</f>
        <v>2168.4515699999997</v>
      </c>
      <c r="C15" s="9">
        <f t="shared" ref="C15:M15" si="8">SUM(C$7*$O$15)</f>
        <v>1572.9063549999998</v>
      </c>
      <c r="D15" s="9">
        <f t="shared" si="8"/>
        <v>1147.6915799999999</v>
      </c>
      <c r="E15" s="9">
        <f t="shared" si="8"/>
        <v>2209.6780549999999</v>
      </c>
      <c r="F15" s="9">
        <f t="shared" si="8"/>
        <v>3134.5760150000001</v>
      </c>
      <c r="G15" s="9">
        <f t="shared" si="8"/>
        <v>2724.5540199999996</v>
      </c>
      <c r="H15" s="9">
        <f t="shared" si="8"/>
        <v>2416.4105</v>
      </c>
      <c r="I15" s="9">
        <f t="shared" si="8"/>
        <v>2684.0339549999999</v>
      </c>
      <c r="J15" s="9">
        <f t="shared" si="8"/>
        <v>2817.0065336913767</v>
      </c>
      <c r="K15" s="9">
        <f t="shared" si="8"/>
        <v>3922.761902792121</v>
      </c>
      <c r="L15" s="9">
        <f t="shared" si="8"/>
        <v>3110.9510511121939</v>
      </c>
      <c r="M15" s="9">
        <f t="shared" si="8"/>
        <v>2320.09142015821</v>
      </c>
      <c r="N15" s="35">
        <f t="shared" si="2"/>
        <v>30229.1129577539</v>
      </c>
      <c r="O15" s="16">
        <v>0.01</v>
      </c>
    </row>
    <row r="16" spans="1:16" ht="22" customHeight="1" x14ac:dyDescent="0.35">
      <c r="A16" t="s">
        <v>8</v>
      </c>
      <c r="B16" s="9">
        <f>SUM(B7*$O$16)</f>
        <v>867.38062799999989</v>
      </c>
      <c r="C16" s="9">
        <f t="shared" ref="C16:M16" si="9">SUM(C7*$O$16)</f>
        <v>629.16254199999992</v>
      </c>
      <c r="D16" s="9">
        <f t="shared" si="9"/>
        <v>459.07663200000002</v>
      </c>
      <c r="E16" s="9">
        <f t="shared" si="9"/>
        <v>883.87122199999999</v>
      </c>
      <c r="F16" s="9">
        <f t="shared" si="9"/>
        <v>1253.830406</v>
      </c>
      <c r="G16" s="9">
        <f t="shared" si="9"/>
        <v>1089.8216079999997</v>
      </c>
      <c r="H16" s="9">
        <f t="shared" si="9"/>
        <v>966.56420000000003</v>
      </c>
      <c r="I16" s="9">
        <f t="shared" si="9"/>
        <v>1073.613582</v>
      </c>
      <c r="J16" s="9">
        <f t="shared" si="9"/>
        <v>1126.8026134765507</v>
      </c>
      <c r="K16" s="9">
        <f t="shared" si="9"/>
        <v>1569.1047611168483</v>
      </c>
      <c r="L16" s="9">
        <f t="shared" si="9"/>
        <v>1244.3804204448777</v>
      </c>
      <c r="M16" s="9">
        <f t="shared" si="9"/>
        <v>928.03656806328399</v>
      </c>
      <c r="N16" s="35">
        <f t="shared" si="2"/>
        <v>12091.64518310156</v>
      </c>
      <c r="O16" s="16">
        <v>4.0000000000000001E-3</v>
      </c>
      <c r="P16" t="s">
        <v>23</v>
      </c>
    </row>
    <row r="17" spans="1:16" ht="22" customHeight="1" x14ac:dyDescent="0.35">
      <c r="A17" t="s">
        <v>9</v>
      </c>
      <c r="B17" s="9">
        <f>SUM(B$7*$O$17)</f>
        <v>9974.8772219999992</v>
      </c>
      <c r="C17" s="9">
        <f t="shared" ref="C17:M17" si="10">SUM(C$7*$O$17)</f>
        <v>7235.3692329999985</v>
      </c>
      <c r="D17" s="9">
        <f t="shared" si="10"/>
        <v>5279.3812680000001</v>
      </c>
      <c r="E17" s="9">
        <f t="shared" si="10"/>
        <v>10164.519053</v>
      </c>
      <c r="F17" s="9">
        <f t="shared" si="10"/>
        <v>14419.049669</v>
      </c>
      <c r="G17" s="9">
        <f t="shared" si="10"/>
        <v>12532.948491999998</v>
      </c>
      <c r="H17" s="9">
        <f t="shared" si="10"/>
        <v>11115.488299999999</v>
      </c>
      <c r="I17" s="9">
        <f t="shared" si="10"/>
        <v>12346.556192999999</v>
      </c>
      <c r="J17" s="9">
        <f t="shared" si="10"/>
        <v>12958.230054980333</v>
      </c>
      <c r="K17" s="9">
        <f t="shared" si="10"/>
        <v>18044.704752843754</v>
      </c>
      <c r="L17" s="9">
        <f t="shared" si="10"/>
        <v>14310.374835116092</v>
      </c>
      <c r="M17" s="9">
        <f t="shared" si="10"/>
        <v>10672.420532727765</v>
      </c>
      <c r="N17" s="35">
        <f>SUM(B17:M17)</f>
        <v>139053.91960566794</v>
      </c>
      <c r="O17" s="16">
        <v>4.5999999999999999E-2</v>
      </c>
      <c r="P17" t="s">
        <v>23</v>
      </c>
    </row>
    <row r="18" spans="1:16" ht="22" customHeight="1" thickBot="1" x14ac:dyDescent="0.4">
      <c r="A18" s="3" t="s">
        <v>13</v>
      </c>
      <c r="B18" s="10">
        <f>SUM(B10:B17)</f>
        <v>216845.15700000001</v>
      </c>
      <c r="C18" s="10">
        <f t="shared" ref="C18:M18" si="11">SUM(C10:C17)</f>
        <v>157290.63550000003</v>
      </c>
      <c r="D18" s="10">
        <f t="shared" si="11"/>
        <v>114769.15799999998</v>
      </c>
      <c r="E18" s="10">
        <f t="shared" si="11"/>
        <v>220967.80549999996</v>
      </c>
      <c r="F18" s="10">
        <f t="shared" si="11"/>
        <v>313457.60149999999</v>
      </c>
      <c r="G18" s="10">
        <f t="shared" si="11"/>
        <v>272455.40199999994</v>
      </c>
      <c r="H18" s="10">
        <f t="shared" si="11"/>
        <v>241641.05</v>
      </c>
      <c r="I18" s="10">
        <f t="shared" si="11"/>
        <v>268403.39549999998</v>
      </c>
      <c r="J18" s="10">
        <f t="shared" si="11"/>
        <v>281700.65336913761</v>
      </c>
      <c r="K18" s="10">
        <f t="shared" si="11"/>
        <v>392276.19027921214</v>
      </c>
      <c r="L18" s="10">
        <f t="shared" si="11"/>
        <v>311095.1051112194</v>
      </c>
      <c r="M18" s="10">
        <f t="shared" si="11"/>
        <v>232009.14201582098</v>
      </c>
      <c r="N18" s="36">
        <f>SUM(N10+N11+N12+N13+N14+N15++N16+N17)</f>
        <v>3022911.2957753902</v>
      </c>
    </row>
    <row r="19" spans="1:16" ht="22" customHeight="1" thickTop="1" x14ac:dyDescent="0.35"/>
    <row r="20" spans="1:16" hidden="1" x14ac:dyDescent="0.35">
      <c r="B20" s="5">
        <f>SUM(B5/B7)</f>
        <v>0.82</v>
      </c>
      <c r="C20" s="5">
        <f t="shared" ref="C20:M20" si="12">SUM(C5/C7)</f>
        <v>0.82</v>
      </c>
      <c r="D20" s="5">
        <f t="shared" si="12"/>
        <v>0.82</v>
      </c>
      <c r="E20" s="5">
        <f t="shared" si="12"/>
        <v>0.82</v>
      </c>
      <c r="F20" s="5">
        <f t="shared" si="12"/>
        <v>0.82</v>
      </c>
      <c r="G20" s="5">
        <f t="shared" si="12"/>
        <v>0.82</v>
      </c>
      <c r="H20" s="5">
        <f t="shared" si="12"/>
        <v>0.82000000000000006</v>
      </c>
      <c r="I20" s="5">
        <f t="shared" si="12"/>
        <v>0.82</v>
      </c>
      <c r="J20" s="5">
        <f t="shared" si="12"/>
        <v>0.82</v>
      </c>
      <c r="K20" s="5">
        <f t="shared" si="12"/>
        <v>0.82000000000000006</v>
      </c>
      <c r="L20" s="5">
        <f t="shared" si="12"/>
        <v>0.82</v>
      </c>
      <c r="M20" s="5">
        <f t="shared" si="12"/>
        <v>0.82</v>
      </c>
    </row>
    <row r="21" spans="1:16" hidden="1" x14ac:dyDescent="0.35">
      <c r="B21" s="5">
        <f>SUM(B6/B7)</f>
        <v>0.18000000000000002</v>
      </c>
      <c r="C21" s="5">
        <f t="shared" ref="C21:M21" si="13">SUM(C6/C7)</f>
        <v>0.18</v>
      </c>
      <c r="D21" s="5">
        <f t="shared" si="13"/>
        <v>0.18000000000000002</v>
      </c>
      <c r="E21" s="5">
        <f t="shared" si="13"/>
        <v>0.18</v>
      </c>
      <c r="F21" s="5">
        <f t="shared" si="13"/>
        <v>0.18</v>
      </c>
      <c r="G21" s="5">
        <f t="shared" si="13"/>
        <v>0.18</v>
      </c>
      <c r="H21" s="5">
        <f t="shared" si="13"/>
        <v>0.18</v>
      </c>
      <c r="I21" s="5">
        <f t="shared" si="13"/>
        <v>0.18</v>
      </c>
      <c r="J21" s="5">
        <f t="shared" si="13"/>
        <v>0.18</v>
      </c>
      <c r="K21" s="5">
        <f t="shared" si="13"/>
        <v>0.18</v>
      </c>
      <c r="L21" s="5">
        <f t="shared" si="13"/>
        <v>0.18</v>
      </c>
      <c r="M21" s="5">
        <f t="shared" si="13"/>
        <v>0.18</v>
      </c>
    </row>
    <row r="22" spans="1:16" hidden="1" x14ac:dyDescent="0.35">
      <c r="B22" s="5">
        <f>SUM(B7/$N$7)</f>
        <v>7.1733880283899709E-2</v>
      </c>
      <c r="C22" s="5">
        <f t="shared" ref="C22:M22" si="14">SUM(C7/$N$7)</f>
        <v>5.2032831965601635E-2</v>
      </c>
      <c r="D22" s="5">
        <f t="shared" si="14"/>
        <v>3.7966432610971206E-2</v>
      </c>
      <c r="E22" s="5">
        <f t="shared" si="14"/>
        <v>7.3097680970265047E-2</v>
      </c>
      <c r="F22" s="5">
        <f t="shared" si="14"/>
        <v>0.10369394627558752</v>
      </c>
      <c r="G22" s="5">
        <f t="shared" si="14"/>
        <v>9.0130134609230708E-2</v>
      </c>
      <c r="H22" s="5">
        <f t="shared" si="14"/>
        <v>7.9936533479398039E-2</v>
      </c>
      <c r="I22" s="5">
        <f t="shared" si="14"/>
        <v>8.8789702785887839E-2</v>
      </c>
      <c r="J22" s="5">
        <f t="shared" si="14"/>
        <v>9.3188527815163763E-2</v>
      </c>
      <c r="K22" s="5">
        <f t="shared" si="14"/>
        <v>0.1297676815153094</v>
      </c>
      <c r="L22" s="5">
        <f t="shared" si="14"/>
        <v>0.1029124161023131</v>
      </c>
      <c r="M22" s="5">
        <f t="shared" si="14"/>
        <v>7.6750231586371967E-2</v>
      </c>
    </row>
    <row r="23" spans="1:16" hidden="1" x14ac:dyDescent="0.35"/>
    <row r="24" spans="1:16" hidden="1" x14ac:dyDescent="0.35"/>
    <row r="25" spans="1:16" hidden="1" x14ac:dyDescent="0.35">
      <c r="B25" s="9">
        <f>SUM(B20*B27)</f>
        <v>159112.91985771793</v>
      </c>
      <c r="C25" s="9">
        <f t="shared" ref="C25:M25" si="15">SUM(C20*C27)</f>
        <v>115414.02458290098</v>
      </c>
      <c r="D25" s="9">
        <f t="shared" si="15"/>
        <v>84213.344174395228</v>
      </c>
      <c r="E25" s="9">
        <f t="shared" si="15"/>
        <v>162137.96616014489</v>
      </c>
      <c r="F25" s="9">
        <f t="shared" si="15"/>
        <v>230003.54223388067</v>
      </c>
      <c r="G25" s="9">
        <f t="shared" si="15"/>
        <v>199917.65157673461</v>
      </c>
      <c r="H25" s="9">
        <f t="shared" si="15"/>
        <v>177307.22491065279</v>
      </c>
      <c r="I25" s="9">
        <f t="shared" si="15"/>
        <v>196944.43974937778</v>
      </c>
      <c r="J25" s="9">
        <f t="shared" si="15"/>
        <v>206701.47354681473</v>
      </c>
      <c r="K25" s="9">
        <f t="shared" si="15"/>
        <v>287837.69436910778</v>
      </c>
      <c r="L25" s="9">
        <f t="shared" si="15"/>
        <v>228270.03015654068</v>
      </c>
      <c r="M25" s="9">
        <f t="shared" si="15"/>
        <v>170239.68868173164</v>
      </c>
      <c r="N25" s="5">
        <v>2705000</v>
      </c>
    </row>
    <row r="26" spans="1:16" hidden="1" x14ac:dyDescent="0.35">
      <c r="B26" s="9">
        <f>SUM(B21*B27)</f>
        <v>34927.226310230777</v>
      </c>
      <c r="C26" s="9">
        <f t="shared" ref="C26:M26" si="16">SUM(C21*C27)</f>
        <v>25334.785884051435</v>
      </c>
      <c r="D26" s="9">
        <f t="shared" si="16"/>
        <v>18485.856038281883</v>
      </c>
      <c r="E26" s="9">
        <f t="shared" si="16"/>
        <v>35591.260864422053</v>
      </c>
      <c r="F26" s="9">
        <f t="shared" si="16"/>
        <v>50488.58244158356</v>
      </c>
      <c r="G26" s="9">
        <f t="shared" si="16"/>
        <v>43884.362541234426</v>
      </c>
      <c r="H26" s="9">
        <f t="shared" si="16"/>
        <v>38921.098151118902</v>
      </c>
      <c r="I26" s="9">
        <f t="shared" si="16"/>
        <v>43231.706286448782</v>
      </c>
      <c r="J26" s="9">
        <f t="shared" si="16"/>
        <v>45373.494193203238</v>
      </c>
      <c r="K26" s="9">
        <f t="shared" si="16"/>
        <v>63183.884129804144</v>
      </c>
      <c r="L26" s="9">
        <f t="shared" si="16"/>
        <v>50108.055400216246</v>
      </c>
      <c r="M26" s="9">
        <f t="shared" si="16"/>
        <v>37369.687759404507</v>
      </c>
    </row>
    <row r="27" spans="1:16" hidden="1" x14ac:dyDescent="0.35">
      <c r="B27" s="14">
        <f>SUM(B22*$N$25)</f>
        <v>194040.14616794873</v>
      </c>
      <c r="C27" s="14">
        <f t="shared" ref="C27:M27" si="17">SUM(C22*$N$25)</f>
        <v>140748.81046695242</v>
      </c>
      <c r="D27" s="14">
        <f t="shared" si="17"/>
        <v>102699.20021267711</v>
      </c>
      <c r="E27" s="14">
        <f t="shared" si="17"/>
        <v>197729.22702456696</v>
      </c>
      <c r="F27" s="14">
        <f t="shared" si="17"/>
        <v>280492.12467546423</v>
      </c>
      <c r="G27" s="14">
        <f t="shared" si="17"/>
        <v>243802.01411796905</v>
      </c>
      <c r="H27" s="14">
        <f t="shared" si="17"/>
        <v>216228.32306177169</v>
      </c>
      <c r="I27" s="14">
        <f t="shared" si="17"/>
        <v>240176.14603582659</v>
      </c>
      <c r="J27" s="14">
        <f t="shared" si="17"/>
        <v>252074.96774001798</v>
      </c>
      <c r="K27" s="14">
        <f t="shared" si="17"/>
        <v>351021.57849891193</v>
      </c>
      <c r="L27" s="14">
        <f t="shared" si="17"/>
        <v>278378.08555675694</v>
      </c>
      <c r="M27" s="14">
        <f t="shared" si="17"/>
        <v>207609.37644113618</v>
      </c>
      <c r="N27" s="14">
        <f>SUM(B27:M27)</f>
        <v>2704999.9999999991</v>
      </c>
    </row>
    <row r="28" spans="1:16" hidden="1" x14ac:dyDescent="0.35"/>
    <row r="29" spans="1:16" hidden="1" x14ac:dyDescent="0.35"/>
    <row r="30" spans="1:16" hidden="1" x14ac:dyDescent="0.35">
      <c r="A30" t="s">
        <v>24</v>
      </c>
    </row>
    <row r="31" spans="1:16" hidden="1" x14ac:dyDescent="0.35">
      <c r="I31" s="18" t="s">
        <v>31</v>
      </c>
    </row>
    <row r="32" spans="1:16" s="19" customFormat="1" hidden="1" x14ac:dyDescent="0.35">
      <c r="A32" s="24"/>
      <c r="B32" s="25">
        <f>B3</f>
        <v>44470</v>
      </c>
      <c r="C32" s="25">
        <f>C3</f>
        <v>44518</v>
      </c>
      <c r="D32" s="25">
        <f t="shared" ref="D32:M32" si="18">D3</f>
        <v>44535</v>
      </c>
      <c r="E32" s="25">
        <f t="shared" si="18"/>
        <v>44566</v>
      </c>
      <c r="F32" s="25">
        <f t="shared" si="18"/>
        <v>44614</v>
      </c>
      <c r="G32" s="25">
        <f t="shared" si="18"/>
        <v>44630</v>
      </c>
      <c r="H32" s="25">
        <f t="shared" si="18"/>
        <v>44678</v>
      </c>
      <c r="I32" s="25">
        <f t="shared" si="18"/>
        <v>44694</v>
      </c>
      <c r="J32" s="25">
        <f t="shared" si="18"/>
        <v>44742</v>
      </c>
      <c r="K32" s="25">
        <f t="shared" si="18"/>
        <v>44759</v>
      </c>
      <c r="L32" s="25">
        <f t="shared" si="18"/>
        <v>44793</v>
      </c>
      <c r="M32" s="25">
        <f t="shared" si="18"/>
        <v>44811</v>
      </c>
      <c r="N32" s="26" t="s">
        <v>26</v>
      </c>
      <c r="O32" s="21"/>
    </row>
    <row r="33" spans="1:15" s="19" customFormat="1" hidden="1" x14ac:dyDescent="0.35">
      <c r="A33" s="38" t="s">
        <v>33</v>
      </c>
      <c r="B33" s="26"/>
      <c r="C33" s="26"/>
      <c r="D33" s="26"/>
      <c r="E33" s="26" t="s">
        <v>10</v>
      </c>
      <c r="F33" s="27" t="s">
        <v>10</v>
      </c>
      <c r="G33" s="28">
        <v>0.7</v>
      </c>
      <c r="H33" s="28">
        <v>1</v>
      </c>
      <c r="I33" s="28">
        <v>0.9</v>
      </c>
      <c r="J33" s="28">
        <v>0.75</v>
      </c>
      <c r="K33" s="28">
        <v>0.5</v>
      </c>
      <c r="L33" s="28">
        <v>0.4</v>
      </c>
      <c r="M33" s="28">
        <v>0.25</v>
      </c>
      <c r="N33" s="26" t="s">
        <v>10</v>
      </c>
      <c r="O33" s="21"/>
    </row>
    <row r="34" spans="1:15" s="19" customFormat="1" hidden="1" x14ac:dyDescent="0.35">
      <c r="A34" s="29" t="s">
        <v>27</v>
      </c>
      <c r="B34" s="30">
        <v>187622.18</v>
      </c>
      <c r="C34" s="30">
        <v>147917.13</v>
      </c>
      <c r="D34" s="30">
        <v>214255</v>
      </c>
      <c r="E34" s="30">
        <v>239094.51</v>
      </c>
      <c r="F34" s="30">
        <v>220547.9</v>
      </c>
      <c r="G34" s="31">
        <f>SUM(G7*(SUM(1-G33)))</f>
        <v>81736.620599999995</v>
      </c>
      <c r="H34" s="31">
        <f t="shared" ref="H34:M34" si="19">SUM(H7*(SUM(1-H33)))</f>
        <v>0</v>
      </c>
      <c r="I34" s="31">
        <f t="shared" si="19"/>
        <v>26840.339549999993</v>
      </c>
      <c r="J34" s="31">
        <f t="shared" si="19"/>
        <v>70425.163342284417</v>
      </c>
      <c r="K34" s="31">
        <f t="shared" si="19"/>
        <v>196138.09513960604</v>
      </c>
      <c r="L34" s="31">
        <f t="shared" si="19"/>
        <v>186657.06306673164</v>
      </c>
      <c r="M34" s="31">
        <f t="shared" si="19"/>
        <v>174006.85651186574</v>
      </c>
      <c r="N34" s="37">
        <f>SUM(B34:M34)</f>
        <v>1745240.8582104878</v>
      </c>
      <c r="O34" s="21"/>
    </row>
    <row r="35" spans="1:15" s="19" customFormat="1" hidden="1" x14ac:dyDescent="0.35">
      <c r="A35" s="24" t="s">
        <v>25</v>
      </c>
      <c r="B35" s="31">
        <f>SUM(B34-B7)</f>
        <v>-29222.976999999984</v>
      </c>
      <c r="C35" s="31">
        <f>SUM(C34-C7)</f>
        <v>-9373.5054999999702</v>
      </c>
      <c r="D35" s="31">
        <f>SUM(D34-D7)</f>
        <v>99485.842000000004</v>
      </c>
      <c r="E35" s="31">
        <f>SUM(E34-E7)</f>
        <v>18126.704500000022</v>
      </c>
      <c r="F35" s="31">
        <f>SUM(F34-F7)</f>
        <v>-92909.701499999996</v>
      </c>
      <c r="G35" s="26"/>
      <c r="H35" s="26"/>
      <c r="I35" s="26"/>
      <c r="J35" s="26"/>
      <c r="K35" s="26"/>
      <c r="L35" s="26"/>
      <c r="M35" s="26"/>
      <c r="N35" s="26"/>
      <c r="O35" s="21"/>
    </row>
    <row r="36" spans="1:15" s="19" customFormat="1" hidden="1" x14ac:dyDescent="0.35">
      <c r="A36" s="24" t="s">
        <v>29</v>
      </c>
      <c r="B36" s="32">
        <f>SUM(B35/B7)</f>
        <v>-0.13476425945726789</v>
      </c>
      <c r="C36" s="32">
        <f>SUM(C35/C7)</f>
        <v>-5.9593538230697601E-2</v>
      </c>
      <c r="D36" s="32">
        <f>SUM(D35/D7)</f>
        <v>0.86683429358260178</v>
      </c>
      <c r="E36" s="32">
        <f>SUM(E35/E7)</f>
        <v>8.2033237642847576E-2</v>
      </c>
      <c r="F36" s="32">
        <f>SUM(F35/F7)</f>
        <v>-0.29640277043975277</v>
      </c>
      <c r="G36" s="26"/>
      <c r="H36" s="26"/>
      <c r="I36" s="26"/>
      <c r="J36" s="26"/>
      <c r="K36" s="26"/>
      <c r="L36" s="26"/>
      <c r="M36" s="26"/>
      <c r="N36" s="26"/>
      <c r="O36" s="21"/>
    </row>
    <row r="37" spans="1:15" s="19" customFormat="1" hidden="1" x14ac:dyDescent="0.3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1"/>
    </row>
    <row r="38" spans="1:15" s="19" customFormat="1" hidden="1" x14ac:dyDescent="0.35">
      <c r="A38" s="24"/>
      <c r="B38" s="25">
        <f>B32+366</f>
        <v>44836</v>
      </c>
      <c r="C38" s="25">
        <f>C32+366</f>
        <v>44884</v>
      </c>
      <c r="D38" s="25">
        <f t="shared" ref="D38:M38" si="20">D32+366</f>
        <v>44901</v>
      </c>
      <c r="E38" s="25">
        <f t="shared" si="20"/>
        <v>44932</v>
      </c>
      <c r="F38" s="25">
        <f t="shared" si="20"/>
        <v>44980</v>
      </c>
      <c r="G38" s="25">
        <f t="shared" si="20"/>
        <v>44996</v>
      </c>
      <c r="H38" s="25">
        <f t="shared" si="20"/>
        <v>45044</v>
      </c>
      <c r="I38" s="25">
        <f t="shared" si="20"/>
        <v>45060</v>
      </c>
      <c r="J38" s="25">
        <f t="shared" si="20"/>
        <v>45108</v>
      </c>
      <c r="K38" s="25">
        <f t="shared" si="20"/>
        <v>45125</v>
      </c>
      <c r="L38" s="25">
        <f t="shared" si="20"/>
        <v>45159</v>
      </c>
      <c r="M38" s="25">
        <f t="shared" si="20"/>
        <v>45177</v>
      </c>
      <c r="N38" s="26" t="s">
        <v>32</v>
      </c>
      <c r="O38" s="21"/>
    </row>
    <row r="39" spans="1:15" s="19" customFormat="1" hidden="1" x14ac:dyDescent="0.35">
      <c r="A39" s="38" t="s">
        <v>33</v>
      </c>
      <c r="B39" s="28">
        <v>0.25</v>
      </c>
      <c r="C39" s="28">
        <v>0.25</v>
      </c>
      <c r="D39" s="28">
        <v>0.3</v>
      </c>
      <c r="E39" s="28">
        <v>0.3</v>
      </c>
      <c r="F39" s="28">
        <v>0.3</v>
      </c>
      <c r="G39" s="28">
        <v>0.3</v>
      </c>
      <c r="H39" s="28">
        <v>0.25</v>
      </c>
      <c r="I39" s="28">
        <v>0.15</v>
      </c>
      <c r="J39" s="28">
        <v>0.1</v>
      </c>
      <c r="K39" s="28">
        <v>0.05</v>
      </c>
      <c r="L39" s="28">
        <v>0.05</v>
      </c>
      <c r="M39" s="28">
        <v>0.05</v>
      </c>
      <c r="N39" s="26" t="s">
        <v>10</v>
      </c>
      <c r="O39" s="21"/>
    </row>
    <row r="40" spans="1:15" s="19" customFormat="1" hidden="1" x14ac:dyDescent="0.35">
      <c r="A40" s="29" t="s">
        <v>28</v>
      </c>
      <c r="B40" s="30">
        <f>SUM(B7*(SUM(1-B39)))</f>
        <v>162633.86774999998</v>
      </c>
      <c r="C40" s="30">
        <f t="shared" ref="C40" si="21">SUM(C7*(SUM(1-C39)))</f>
        <v>117967.97662499998</v>
      </c>
      <c r="D40" s="30">
        <f>SUM(D7*(SUM(1-D39)))*1.2</f>
        <v>96406.092719999986</v>
      </c>
      <c r="E40" s="30">
        <f>SUM(E7*(SUM(1-E39)))*1.25</f>
        <v>193346.82981249996</v>
      </c>
      <c r="F40" s="30">
        <f t="shared" ref="F40:M40" si="22">SUM(F7*(SUM(1-F39)))*1.25</f>
        <v>274275.40131249995</v>
      </c>
      <c r="G40" s="30">
        <f t="shared" si="22"/>
        <v>238398.47674999994</v>
      </c>
      <c r="H40" s="30">
        <f t="shared" si="22"/>
        <v>226538.48437499997</v>
      </c>
      <c r="I40" s="30">
        <f t="shared" si="22"/>
        <v>285178.60771875002</v>
      </c>
      <c r="J40" s="30">
        <f t="shared" si="22"/>
        <v>316913.23504027986</v>
      </c>
      <c r="K40" s="30">
        <f t="shared" si="22"/>
        <v>465827.9759565643</v>
      </c>
      <c r="L40" s="30">
        <f t="shared" si="22"/>
        <v>369425.43731957301</v>
      </c>
      <c r="M40" s="30">
        <f t="shared" si="22"/>
        <v>275510.85614378739</v>
      </c>
      <c r="N40" s="37">
        <f>SUM(B40:M40)</f>
        <v>3022423.2415239541</v>
      </c>
      <c r="O40" s="21"/>
    </row>
    <row r="41" spans="1:15" s="19" customFormat="1" hidden="1" x14ac:dyDescent="0.35">
      <c r="B41" s="22"/>
      <c r="C41" s="22"/>
      <c r="D41" s="23" t="s">
        <v>30</v>
      </c>
      <c r="E41" s="22"/>
      <c r="F41" s="22"/>
      <c r="G41" s="22"/>
      <c r="H41" s="22"/>
      <c r="I41" s="22"/>
      <c r="J41" s="22"/>
      <c r="K41" s="22"/>
      <c r="L41" s="22"/>
      <c r="M41" s="20"/>
      <c r="N41" s="22"/>
      <c r="O41" s="21"/>
    </row>
    <row r="42" spans="1:15" s="19" customFormat="1" hidden="1" x14ac:dyDescent="0.35">
      <c r="B42" s="22"/>
      <c r="C42" s="22"/>
      <c r="D42" s="22" t="s">
        <v>10</v>
      </c>
      <c r="E42" s="22"/>
      <c r="F42" s="22"/>
      <c r="G42" s="22"/>
      <c r="H42" s="22"/>
      <c r="I42" s="22"/>
      <c r="J42" s="22"/>
      <c r="K42" s="22"/>
      <c r="L42" s="22"/>
      <c r="M42" s="20"/>
      <c r="N42" s="22"/>
      <c r="O42" s="21"/>
    </row>
    <row r="43" spans="1:15" s="19" customFormat="1" hidden="1" x14ac:dyDescent="0.3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0"/>
      <c r="N43" s="22"/>
      <c r="O43" s="21"/>
    </row>
    <row r="44" spans="1:15" s="40" customFormat="1" x14ac:dyDescent="0.35">
      <c r="B44" s="58"/>
      <c r="C44" s="41"/>
      <c r="D44" s="41"/>
      <c r="E44" s="41"/>
      <c r="F44" s="42"/>
      <c r="G44" s="43"/>
      <c r="H44" s="44"/>
      <c r="I44" s="44"/>
      <c r="J44" s="44"/>
      <c r="K44" s="44"/>
      <c r="L44" s="44"/>
      <c r="M44" s="44"/>
      <c r="N44" s="45"/>
      <c r="O44" s="46"/>
    </row>
    <row r="45" spans="1:15" s="40" customFormat="1" x14ac:dyDescent="0.35">
      <c r="B45" s="47"/>
      <c r="C45" s="47"/>
      <c r="D45" s="47"/>
      <c r="E45" s="47"/>
      <c r="F45" s="47"/>
      <c r="G45" s="47"/>
      <c r="H45" s="47"/>
      <c r="I45" s="47"/>
      <c r="J45" s="48"/>
      <c r="K45" s="48"/>
      <c r="L45" s="48"/>
      <c r="M45" s="49"/>
      <c r="N45" s="48"/>
      <c r="O45" s="46"/>
    </row>
    <row r="46" spans="1:15" s="40" customFormat="1" x14ac:dyDescent="0.35">
      <c r="B46" s="50"/>
      <c r="C46" s="50"/>
      <c r="D46" s="50"/>
      <c r="E46" s="50"/>
      <c r="F46" s="50"/>
      <c r="G46" s="50"/>
      <c r="H46" s="50"/>
      <c r="I46" s="50"/>
      <c r="J46" s="51"/>
      <c r="K46" s="51"/>
      <c r="L46" s="51"/>
      <c r="M46" s="51"/>
      <c r="N46" s="52"/>
      <c r="O46" s="46"/>
    </row>
    <row r="47" spans="1:15" s="40" customFormat="1" x14ac:dyDescent="0.35">
      <c r="B47" s="53"/>
      <c r="C47" s="54"/>
      <c r="D47" s="52"/>
      <c r="E47" s="52"/>
      <c r="F47" s="55"/>
      <c r="G47" s="52"/>
      <c r="H47" s="52"/>
      <c r="I47" s="52"/>
      <c r="J47" s="52"/>
      <c r="K47" s="52"/>
      <c r="L47" s="52"/>
      <c r="M47" s="56"/>
      <c r="N47" s="52"/>
      <c r="O47" s="46"/>
    </row>
    <row r="48" spans="1:15" s="40" customFormat="1" x14ac:dyDescent="0.35">
      <c r="B48" s="57"/>
      <c r="C48" s="54"/>
      <c r="D48" s="52"/>
      <c r="E48" s="52"/>
      <c r="F48" s="52"/>
      <c r="G48" s="41"/>
      <c r="H48" s="41"/>
      <c r="I48" s="41"/>
      <c r="J48" s="41"/>
      <c r="K48" s="41"/>
      <c r="L48" s="41"/>
      <c r="M48" s="41"/>
      <c r="N48" s="52"/>
      <c r="O48" s="46"/>
    </row>
    <row r="49" spans="2:15" s="40" customFormat="1" x14ac:dyDescent="0.3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6"/>
      <c r="N49" s="52"/>
      <c r="O49" s="46"/>
    </row>
    <row r="50" spans="2:15" s="40" customFormat="1" x14ac:dyDescent="0.3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52"/>
      <c r="O50" s="46"/>
    </row>
  </sheetData>
  <pageMargins left="0.25" right="0.25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C193-ABF9-47AE-B4F7-617CE9D684B0}">
  <dimension ref="A5:N13"/>
  <sheetViews>
    <sheetView workbookViewId="0">
      <selection activeCell="A9" sqref="A9:N13"/>
    </sheetView>
  </sheetViews>
  <sheetFormatPr defaultRowHeight="14.5" x14ac:dyDescent="0.35"/>
  <cols>
    <col min="1" max="1" width="66.81640625" customWidth="1"/>
    <col min="2" max="13" width="13.7265625" customWidth="1"/>
    <col min="14" max="14" width="15.7265625" customWidth="1"/>
  </cols>
  <sheetData>
    <row r="5" spans="1:14" ht="15.5" hidden="1" x14ac:dyDescent="0.35">
      <c r="B5" s="6">
        <v>43374</v>
      </c>
      <c r="C5" s="6">
        <v>43422</v>
      </c>
      <c r="D5" s="6">
        <v>43452</v>
      </c>
      <c r="E5" s="6">
        <v>43484</v>
      </c>
      <c r="F5" s="6">
        <v>43515</v>
      </c>
      <c r="G5" s="6">
        <v>43543</v>
      </c>
      <c r="H5" s="6">
        <v>43574</v>
      </c>
      <c r="I5" s="6">
        <v>43604</v>
      </c>
      <c r="J5" s="6">
        <v>43635</v>
      </c>
      <c r="K5" s="6">
        <v>43665</v>
      </c>
      <c r="L5" s="6">
        <v>43696</v>
      </c>
      <c r="M5" s="6">
        <v>43727</v>
      </c>
      <c r="N5" s="7" t="s">
        <v>11</v>
      </c>
    </row>
    <row r="6" spans="1:14" ht="15.5" hidden="1" x14ac:dyDescent="0.35">
      <c r="A6" s="2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8"/>
    </row>
    <row r="7" spans="1:14" ht="16" hidden="1" thickBot="1" x14ac:dyDescent="0.4">
      <c r="A7" s="3" t="s">
        <v>12</v>
      </c>
      <c r="B7" s="10">
        <v>184916</v>
      </c>
      <c r="C7" s="10">
        <v>152954.1</v>
      </c>
      <c r="D7" s="10">
        <v>227360</v>
      </c>
      <c r="E7" s="10">
        <v>252339.84000000003</v>
      </c>
      <c r="F7" s="10">
        <v>242221.44</v>
      </c>
      <c r="G7" s="10">
        <v>215774.88</v>
      </c>
      <c r="H7" s="10">
        <v>146181.29999999999</v>
      </c>
      <c r="I7" s="10">
        <v>161433.35999999999</v>
      </c>
      <c r="J7" s="10">
        <v>263325.24</v>
      </c>
      <c r="K7" s="10">
        <v>347388.54000000004</v>
      </c>
      <c r="L7" s="10">
        <v>275496.90000000002</v>
      </c>
      <c r="M7" s="10">
        <v>205460.64</v>
      </c>
      <c r="N7" s="11">
        <v>2702390.04</v>
      </c>
    </row>
    <row r="10" spans="1:14" ht="15.5" x14ac:dyDescent="0.35">
      <c r="B10" s="6">
        <v>43665</v>
      </c>
      <c r="C10" s="13" t="s">
        <v>14</v>
      </c>
      <c r="D10" s="6">
        <v>43727</v>
      </c>
      <c r="E10" s="13">
        <v>43757</v>
      </c>
      <c r="F10" s="13" t="s">
        <v>15</v>
      </c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13" t="s">
        <v>21</v>
      </c>
      <c r="M10" s="13" t="s">
        <v>22</v>
      </c>
      <c r="N10" s="7" t="s">
        <v>11</v>
      </c>
    </row>
    <row r="11" spans="1:14" ht="15.5" x14ac:dyDescent="0.35">
      <c r="A11" s="2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"/>
      <c r="N11" s="8"/>
    </row>
    <row r="12" spans="1:14" ht="16" thickBot="1" x14ac:dyDescent="0.4">
      <c r="A12" s="3" t="s">
        <v>12</v>
      </c>
      <c r="B12" s="10">
        <f>SUM(K7*1.02)</f>
        <v>354336.31080000004</v>
      </c>
      <c r="C12" s="10">
        <f t="shared" ref="C12:D12" si="0">SUM(L7*1.02)</f>
        <v>281006.83800000005</v>
      </c>
      <c r="D12" s="10">
        <f t="shared" si="0"/>
        <v>209569.85280000002</v>
      </c>
      <c r="E12" s="10">
        <f>SUM(B7*1.02)</f>
        <v>188614.32</v>
      </c>
      <c r="F12" s="10">
        <f t="shared" ref="F12:H12" si="1">SUM(C7*1.02)</f>
        <v>156013.182</v>
      </c>
      <c r="G12" s="10">
        <f t="shared" si="1"/>
        <v>231907.20000000001</v>
      </c>
      <c r="H12" s="10">
        <f t="shared" si="1"/>
        <v>257386.63680000004</v>
      </c>
      <c r="I12" s="10">
        <f t="shared" ref="I12" si="2">SUM(F7*1.02)</f>
        <v>247065.8688</v>
      </c>
      <c r="J12" s="10">
        <f t="shared" ref="J12:K12" si="3">SUM(G7*1.02)</f>
        <v>220090.37760000001</v>
      </c>
      <c r="K12" s="10">
        <f t="shared" si="3"/>
        <v>149104.92599999998</v>
      </c>
      <c r="L12" s="10">
        <f t="shared" ref="L12" si="4">SUM(I7*1.02)</f>
        <v>164662.02719999998</v>
      </c>
      <c r="M12" s="10">
        <f t="shared" ref="M12" si="5">SUM(J7*1.02)</f>
        <v>268591.74479999999</v>
      </c>
      <c r="N12" s="11">
        <f>SUM(B12:M12)</f>
        <v>2728349.2848</v>
      </c>
    </row>
    <row r="13" spans="1:1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Bindel, Jerry</dc:creator>
  <cp:lastModifiedBy>Bindel, Jerry</cp:lastModifiedBy>
  <cp:lastPrinted>2020-10-06T18:43:10Z</cp:lastPrinted>
  <dcterms:created xsi:type="dcterms:W3CDTF">2018-08-13T18:52:10Z</dcterms:created>
  <dcterms:modified xsi:type="dcterms:W3CDTF">2022-01-21T13:46:48Z</dcterms:modified>
</cp:coreProperties>
</file>