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walte\Downloads\"/>
    </mc:Choice>
  </mc:AlternateContent>
  <xr:revisionPtr revIDLastSave="0" documentId="13_ncr:1_{EBF63F16-DA5B-4535-9911-690434DCC77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oal-Based Calculator" sheetId="1" r:id="rId1"/>
    <sheet name="Projection Calculator" sheetId="2" r:id="rId2"/>
    <sheet name="Instruction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2" l="1"/>
  <c r="C15" i="2"/>
  <c r="D24" i="2" s="1"/>
  <c r="B31" i="1"/>
  <c r="B30" i="1"/>
  <c r="B29" i="1"/>
  <c r="B28" i="1"/>
  <c r="B27" i="1"/>
  <c r="B26" i="1"/>
  <c r="B25" i="1"/>
  <c r="B24" i="1"/>
  <c r="B23" i="1"/>
  <c r="B22" i="1"/>
  <c r="C14" i="1"/>
  <c r="C16" i="2" l="1"/>
  <c r="B31" i="2"/>
  <c r="B33" i="2"/>
  <c r="B35" i="2"/>
  <c r="B37" i="2"/>
  <c r="B39" i="2"/>
  <c r="B41" i="2"/>
  <c r="B43" i="2"/>
  <c r="B45" i="2"/>
  <c r="B47" i="2"/>
  <c r="B49" i="2"/>
  <c r="B51" i="2"/>
  <c r="B53" i="2"/>
  <c r="B55" i="2"/>
  <c r="B57" i="2"/>
  <c r="B59" i="2"/>
  <c r="B61" i="2"/>
  <c r="B63" i="2"/>
  <c r="B65" i="2"/>
  <c r="B67" i="2"/>
  <c r="B69" i="2"/>
  <c r="B71" i="2"/>
  <c r="B73" i="2"/>
  <c r="B75" i="2"/>
  <c r="B77" i="2"/>
  <c r="B79" i="2"/>
  <c r="C15" i="1"/>
  <c r="C16" i="1" s="1"/>
  <c r="C17" i="1" s="1"/>
  <c r="D25" i="2"/>
  <c r="D26" i="2"/>
  <c r="B30" i="2"/>
  <c r="B34" i="2"/>
  <c r="B38" i="2"/>
  <c r="B42" i="2"/>
  <c r="B46" i="2"/>
  <c r="B50" i="2"/>
  <c r="B54" i="2"/>
  <c r="B58" i="2"/>
  <c r="B62" i="2"/>
  <c r="B66" i="2"/>
  <c r="B68" i="2"/>
  <c r="B70" i="2"/>
  <c r="B74" i="2"/>
  <c r="B76" i="2"/>
  <c r="B78" i="2"/>
  <c r="B80" i="2"/>
  <c r="C18" i="2"/>
  <c r="B32" i="2"/>
  <c r="B36" i="2"/>
  <c r="B40" i="2"/>
  <c r="B44" i="2"/>
  <c r="B48" i="2"/>
  <c r="B52" i="2"/>
  <c r="B56" i="2"/>
  <c r="B60" i="2"/>
  <c r="B64" i="2"/>
  <c r="B72" i="2"/>
  <c r="C18" i="1" l="1"/>
  <c r="C24" i="1"/>
  <c r="D24" i="1" s="1"/>
  <c r="C27" i="1"/>
  <c r="D27" i="1" s="1"/>
  <c r="C26" i="1"/>
  <c r="D26" i="1" s="1"/>
  <c r="C29" i="1"/>
  <c r="D29" i="1" s="1"/>
  <c r="C28" i="1"/>
  <c r="D28" i="1" s="1"/>
  <c r="C31" i="1"/>
  <c r="D31" i="1" s="1"/>
  <c r="C22" i="1"/>
  <c r="D22" i="1" s="1"/>
  <c r="C25" i="1"/>
  <c r="D25" i="1" s="1"/>
  <c r="C30" i="1"/>
  <c r="D30" i="1" s="1"/>
  <c r="C23" i="1"/>
  <c r="D23" i="1" s="1"/>
  <c r="D48" i="2"/>
  <c r="C48" i="2"/>
  <c r="D76" i="2"/>
  <c r="C76" i="2"/>
  <c r="D34" i="2"/>
  <c r="C34" i="2"/>
  <c r="D72" i="2"/>
  <c r="C72" i="2"/>
  <c r="D44" i="2"/>
  <c r="C44" i="2"/>
  <c r="D74" i="2"/>
  <c r="C74" i="2"/>
  <c r="D30" i="2"/>
  <c r="C30" i="2"/>
  <c r="D79" i="2"/>
  <c r="C79" i="2"/>
  <c r="D55" i="2"/>
  <c r="C55" i="2"/>
  <c r="D31" i="2"/>
  <c r="C31" i="2"/>
  <c r="C20" i="2"/>
  <c r="C19" i="2"/>
  <c r="D60" i="2"/>
  <c r="C60" i="2"/>
  <c r="D36" i="2"/>
  <c r="C36" i="2"/>
  <c r="D68" i="2"/>
  <c r="C68" i="2"/>
  <c r="D46" i="2"/>
  <c r="C46" i="2"/>
  <c r="D75" i="2"/>
  <c r="C75" i="2"/>
  <c r="D63" i="2"/>
  <c r="C63" i="2"/>
  <c r="D51" i="2"/>
  <c r="C51" i="2"/>
  <c r="D39" i="2"/>
  <c r="C39" i="2"/>
  <c r="D54" i="2"/>
  <c r="C54" i="2"/>
  <c r="D67" i="2"/>
  <c r="C67" i="2"/>
  <c r="D43" i="2"/>
  <c r="C43" i="2"/>
  <c r="D40" i="2"/>
  <c r="C40" i="2"/>
  <c r="D65" i="2"/>
  <c r="C65" i="2"/>
  <c r="D41" i="2"/>
  <c r="C41" i="2"/>
  <c r="D56" i="2"/>
  <c r="C56" i="2"/>
  <c r="D32" i="2"/>
  <c r="C32" i="2"/>
  <c r="D80" i="2"/>
  <c r="C80" i="2"/>
  <c r="D66" i="2"/>
  <c r="C66" i="2"/>
  <c r="D42" i="2"/>
  <c r="C42" i="2"/>
  <c r="D73" i="2"/>
  <c r="C73" i="2"/>
  <c r="D61" i="2"/>
  <c r="C61" i="2"/>
  <c r="D49" i="2"/>
  <c r="C49" i="2"/>
  <c r="D37" i="2"/>
  <c r="C37" i="2"/>
  <c r="D64" i="2"/>
  <c r="C64" i="2"/>
  <c r="D70" i="2"/>
  <c r="C70" i="2"/>
  <c r="D50" i="2"/>
  <c r="C50" i="2"/>
  <c r="D77" i="2"/>
  <c r="C77" i="2"/>
  <c r="D53" i="2"/>
  <c r="C53" i="2"/>
  <c r="D52" i="2"/>
  <c r="C52" i="2"/>
  <c r="D78" i="2"/>
  <c r="C78" i="2"/>
  <c r="D62" i="2"/>
  <c r="C62" i="2"/>
  <c r="D38" i="2"/>
  <c r="C38" i="2"/>
  <c r="C17" i="2"/>
  <c r="D71" i="2"/>
  <c r="C71" i="2"/>
  <c r="D59" i="2"/>
  <c r="C59" i="2"/>
  <c r="D47" i="2"/>
  <c r="C47" i="2"/>
  <c r="D35" i="2"/>
  <c r="C35" i="2"/>
  <c r="D58" i="2"/>
  <c r="C58" i="2"/>
  <c r="D69" i="2"/>
  <c r="C69" i="2"/>
  <c r="D57" i="2"/>
  <c r="C57" i="2"/>
  <c r="D45" i="2"/>
  <c r="C45" i="2"/>
  <c r="D33" i="2"/>
  <c r="C33" i="2"/>
</calcChain>
</file>

<file path=xl/sharedStrings.xml><?xml version="1.0" encoding="utf-8"?>
<sst xmlns="http://schemas.openxmlformats.org/spreadsheetml/2006/main" count="89" uniqueCount="80">
  <si>
    <t>YOUR RETIREMENT GOAL</t>
  </si>
  <si>
    <t>Current Age</t>
  </si>
  <si>
    <t>Years</t>
  </si>
  <si>
    <t>Retirement Age</t>
  </si>
  <si>
    <t>Target Retirement Balance ($)</t>
  </si>
  <si>
    <t>Dollars</t>
  </si>
  <si>
    <t>Current Savings Already Invested ($)</t>
  </si>
  <si>
    <t>Expected Annual Market Return (%)</t>
  </si>
  <si>
    <t>e.g. 7% = historical avg</t>
  </si>
  <si>
    <t>WHAT YOU NEED TO DO</t>
  </si>
  <si>
    <t>Years Until Retirement</t>
  </si>
  <si>
    <t>Years remaining to save</t>
  </si>
  <si>
    <t>Future Value of Current Savings ($)</t>
  </si>
  <si>
    <t>Your current savings compounded</t>
  </si>
  <si>
    <t>Additional Amount Needed ($)</t>
  </si>
  <si>
    <t>Gap to fill with new contributions</t>
  </si>
  <si>
    <t>Monthly Contribution Required ($)</t>
  </si>
  <si>
    <t>How much to save each month</t>
  </si>
  <si>
    <t>Annual Contribution Required ($)</t>
  </si>
  <si>
    <t>Yearly savings needed</t>
  </si>
  <si>
    <t>SAVINGS MILESTONES  (every 5 years + retirement age)</t>
  </si>
  <si>
    <t>Year</t>
  </si>
  <si>
    <t>Projected Balance ($)</t>
  </si>
  <si>
    <t>% of Goal Reached</t>
  </si>
  <si>
    <t>YOUR CURRENT SITUATION</t>
  </si>
  <si>
    <t>Current Amount Invested ($)</t>
  </si>
  <si>
    <t>Balance today across all accounts</t>
  </si>
  <si>
    <t>Monthly Contribution ($)</t>
  </si>
  <si>
    <t>New money added each month</t>
  </si>
  <si>
    <t>Conservative = 5%, Moderate = 7%, Aggressive = 10%</t>
  </si>
  <si>
    <t>Expected Annual Inflation (%)</t>
  </si>
  <si>
    <t>Used to show real (inflation-adjusted) value</t>
  </si>
  <si>
    <t>PROJECTED OUTCOME AT RETIREMENT</t>
  </si>
  <si>
    <t>Years of growth</t>
  </si>
  <si>
    <t>Projected Nominal Balance ($)</t>
  </si>
  <si>
    <t>Total balance in future dollars</t>
  </si>
  <si>
    <t>Projected Real Balance ($)</t>
  </si>
  <si>
    <t>Adjusted for inflation (today's purchasing power)</t>
  </si>
  <si>
    <t>Total Contributions Made ($)</t>
  </si>
  <si>
    <t>Your money in (no growth)</t>
  </si>
  <si>
    <t>Total Investment Gains ($)</t>
  </si>
  <si>
    <t>Growth on top of contributions</t>
  </si>
  <si>
    <t>Estimated Safe Monthly Withdrawal ($)</t>
  </si>
  <si>
    <t>Based on the 4% safe withdrawal rule</t>
  </si>
  <si>
    <t>THREE SCENARIOS  (Conservative / Base / Optimistic)</t>
  </si>
  <si>
    <t>Scenario</t>
  </si>
  <si>
    <t>Assumed Return</t>
  </si>
  <si>
    <t>Conservative</t>
  </si>
  <si>
    <t>Base (Your Input)</t>
  </si>
  <si>
    <t>Optimistic</t>
  </si>
  <si>
    <t>YEAR-BY-YEAR GROWTH PROJECTION</t>
  </si>
  <si>
    <t>Age</t>
  </si>
  <si>
    <t>Year-End Balance ($)</t>
  </si>
  <si>
    <t>Cumulative Contributions ($)</t>
  </si>
  <si>
    <t>SHEET 1 — Goal-Based Calculator</t>
  </si>
  <si>
    <t>Use this sheet if you have a TARGET balance in mind (e.g. $1,000,000).</t>
  </si>
  <si>
    <t>• Enter your current age, retirement age, and target nest-egg.</t>
  </si>
  <si>
    <t>• Enter any money you already have invested.</t>
  </si>
  <si>
    <t>• Enter your expected annual return (7% = historical stock market average).</t>
  </si>
  <si>
    <t>• The calculator shows the monthly amount you need to save to reach your goal.</t>
  </si>
  <si>
    <t>• The milestone table shows your balance every 5 years.</t>
  </si>
  <si>
    <t>SHEET 2 — Projection Calculator</t>
  </si>
  <si>
    <t>Use this sheet if you want to see where your current savings will END UP.</t>
  </si>
  <si>
    <t>• Enter your age, retirement age, current balance, and monthly contribution.</t>
  </si>
  <si>
    <t>• Enter expected return and inflation rate.</t>
  </si>
  <si>
    <t>• Results show nominal and inflation-adjusted projected balance.</t>
  </si>
  <si>
    <t>• The scenario table compares conservative, base, and optimistic outcomes.</t>
  </si>
  <si>
    <t>• The year-by-year table tracks your balance for every year until retirement.</t>
  </si>
  <si>
    <t>COLOUR KEY</t>
  </si>
  <si>
    <t>🟡 Tan/yellow cells = Inputs you can change</t>
  </si>
  <si>
    <t>🟢 Pale green cells = Calculated results (do not edit)</t>
  </si>
  <si>
    <t>🔵 Navy text = Hard-coded input values</t>
  </si>
  <si>
    <t>⚫ Dark text = Formula outputs</t>
  </si>
  <si>
    <t>Operation End-Ex Retirement Goal Calculator</t>
  </si>
  <si>
    <t>Plan the mission: enter your target retirement balance and personal details to estimate the monthly savings required.</t>
  </si>
  <si>
    <t>⚠️  Operation End-Ex planning note: Returns are nominal and compounded monthly. Contributions are assumed to be invested monthly at the start of each month (annuity due). This is an educational estimate, not a guarantee or individualized financial advice. Confirm assumptions with a qualified financial professional.</t>
  </si>
  <si>
    <t>Operation End-Ex Retirement Projection Calculator</t>
  </si>
  <si>
    <t>Map the route: enter what you have today and project your future retirement balance.</t>
  </si>
  <si>
    <t>⚠️  Operation End-Ex planning note: Returns are nominal and compounded monthly. Monthly contributions are invested at the start of each month (annuity due). Real balance uses your inflation input. The 4% withdrawal rule is a planning guideline, not a guarantee. Past performance does not guarantee future results. Confirm assumptions with a qualified financial professional.</t>
  </si>
  <si>
    <t>How to Use the Operation End-Ex Retirement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</si>
</sst>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"/>
    <numFmt numFmtId="165" formatCode="0.0%"/>
  </numFmts>
  <fonts count="10" x14ac:knownFonts="1">
    <font>
      <sz val="11"/>
      <color theme="1"/>
      <name val="Calibri"/>
    </font>
    <font>
      <b/>
      <sz val="16"/>
      <color rgb="FFFFFFFF"/>
      <name val="Aptos"/>
    </font>
    <font>
      <b/>
      <sz val="10"/>
      <color rgb="FFFFFFFF"/>
      <name val="Aptos"/>
    </font>
    <font>
      <sz val="10"/>
      <color rgb="FF1F2937"/>
      <name val="Aptos"/>
    </font>
    <font>
      <b/>
      <sz val="10"/>
      <color rgb="FF1F2937"/>
      <name val="Aptos"/>
    </font>
    <font>
      <i/>
      <sz val="10"/>
      <color rgb="FF1F2937"/>
      <name val="Aptos"/>
    </font>
    <font>
      <b/>
      <sz val="10"/>
      <color rgb="FF0B1F33"/>
      <name val="Aptos"/>
    </font>
    <font>
      <sz val="11"/>
      <color rgb="FF1F2937"/>
      <name val="Calibri"/>
    </font>
    <font>
      <i/>
      <sz val="9"/>
      <color rgb="FF5C4213"/>
      <name val="Aptos"/>
    </font>
    <font>
      <b/>
      <i/>
      <sz val="10"/>
      <color rgb="FF1F2937"/>
      <name val="Aptos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8F3EA"/>
      </patternFill>
    </fill>
    <fill>
      <patternFill patternType="solid">
        <fgColor rgb="FF0B1F33"/>
      </patternFill>
    </fill>
    <fill>
      <patternFill patternType="solid">
        <fgColor rgb="FFF3E8D0"/>
      </patternFill>
    </fill>
    <fill>
      <patternFill patternType="solid">
        <fgColor rgb="FF52633A"/>
      </patternFill>
    </fill>
    <fill>
      <patternFill patternType="solid">
        <fgColor rgb="FFE9DDC7"/>
      </patternFill>
    </fill>
    <fill>
      <patternFill patternType="solid">
        <fgColor rgb="FFFFF4CF"/>
      </patternFill>
    </fill>
    <fill>
      <patternFill patternType="solid">
        <fgColor rgb="FFE7F0E3"/>
      </patternFill>
    </fill>
    <fill>
      <patternFill patternType="solid">
        <fgColor rgb="FFFFFFFF"/>
      </patternFill>
    </fill>
    <fill>
      <patternFill patternType="solid">
        <fgColor rgb="FFFFF8E1"/>
      </patternFill>
    </fill>
  </fills>
  <borders count="4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0" fontId="7" fillId="10" borderId="2" xfId="0" applyFont="1" applyFill="1" applyBorder="1"/>
    <xf numFmtId="164" fontId="7" fillId="10" borderId="2" xfId="0" applyNumberFormat="1" applyFont="1" applyFill="1" applyBorder="1"/>
    <xf numFmtId="0" fontId="1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left" vertical="top" wrapText="1"/>
    </xf>
    <xf numFmtId="164" fontId="8" fillId="11" borderId="3" xfId="0" applyNumberFormat="1" applyFont="1" applyFill="1" applyBorder="1" applyAlignment="1">
      <alignment horizontal="left" vertical="top" wrapText="1"/>
    </xf>
    <xf numFmtId="0" fontId="3" fillId="3" borderId="3" xfId="0" applyFont="1" applyFill="1" applyBorder="1" applyAlignment="1"/>
    <xf numFmtId="0" fontId="3" fillId="3" borderId="3" xfId="0" applyFont="1" applyFill="1" applyBorder="1" applyAlignment="1">
      <alignment wrapText="1"/>
    </xf>
    <xf numFmtId="0" fontId="3" fillId="3" borderId="3" xfId="0" applyFont="1" applyFill="1" applyBorder="1" applyAlignment="1"/>
    <xf numFmtId="0" fontId="3" fillId="3" borderId="3" xfId="0" applyFont="1" applyFill="1" applyBorder="1" applyAlignment="1">
      <alignment wrapText="1"/>
    </xf>
    <xf numFmtId="0" fontId="3" fillId="10" borderId="3" xfId="0" applyFont="1" applyFill="1" applyBorder="1" applyAlignment="1"/>
    <xf numFmtId="164" fontId="3" fillId="10" borderId="3" xfId="0" applyNumberFormat="1" applyFont="1" applyFill="1" applyBorder="1" applyAlignment="1"/>
    <xf numFmtId="164" fontId="3" fillId="10" borderId="3" xfId="0" applyNumberFormat="1" applyFont="1" applyFill="1" applyBorder="1" applyAlignment="1">
      <alignment wrapText="1"/>
    </xf>
    <xf numFmtId="0" fontId="5" fillId="5" borderId="3" xfId="0" applyFont="1" applyFill="1" applyBorder="1" applyAlignment="1">
      <alignment horizontal="left" vertical="top" wrapText="1"/>
    </xf>
    <xf numFmtId="0" fontId="4" fillId="7" borderId="3" xfId="0" applyFont="1" applyFill="1" applyBorder="1" applyAlignment="1">
      <alignment horizontal="left" vertical="top" wrapText="1"/>
    </xf>
    <xf numFmtId="0" fontId="5" fillId="7" borderId="3" xfId="0" applyFont="1" applyFill="1" applyBorder="1" applyAlignment="1">
      <alignment horizontal="left" vertical="top" wrapText="1"/>
    </xf>
    <xf numFmtId="0" fontId="4" fillId="9" borderId="3" xfId="0" applyFont="1" applyFill="1" applyBorder="1" applyAlignment="1">
      <alignment horizontal="left" vertical="top" wrapText="1"/>
    </xf>
    <xf numFmtId="0" fontId="5" fillId="9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/>
    </xf>
    <xf numFmtId="0" fontId="1" fillId="4" borderId="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 wrapText="1"/>
    </xf>
    <xf numFmtId="0" fontId="2" fillId="6" borderId="3" xfId="0" applyFont="1" applyFill="1" applyBorder="1" applyAlignment="1">
      <alignment horizontal="left" vertical="top"/>
    </xf>
    <xf numFmtId="0" fontId="2" fillId="6" borderId="3" xfId="0" applyFont="1" applyFill="1" applyBorder="1" applyAlignment="1">
      <alignment horizontal="left" vertical="top" wrapText="1"/>
    </xf>
    <xf numFmtId="0" fontId="6" fillId="8" borderId="3" xfId="0" applyFont="1" applyFill="1" applyBorder="1" applyAlignment="1">
      <alignment horizontal="left" vertical="top"/>
    </xf>
    <xf numFmtId="164" fontId="6" fillId="8" borderId="3" xfId="0" applyNumberFormat="1" applyFont="1" applyFill="1" applyBorder="1" applyAlignment="1">
      <alignment horizontal="left" vertical="top"/>
    </xf>
    <xf numFmtId="165" fontId="6" fillId="8" borderId="3" xfId="0" applyNumberFormat="1" applyFont="1" applyFill="1" applyBorder="1" applyAlignment="1">
      <alignment horizontal="left" vertical="top"/>
    </xf>
    <xf numFmtId="0" fontId="4" fillId="9" borderId="3" xfId="0" applyFont="1" applyFill="1" applyBorder="1" applyAlignment="1">
      <alignment horizontal="left" vertical="top"/>
    </xf>
    <xf numFmtId="164" fontId="4" fillId="9" borderId="3" xfId="0" applyNumberFormat="1" applyFont="1" applyFill="1" applyBorder="1" applyAlignment="1">
      <alignment horizontal="left" vertical="top"/>
    </xf>
    <xf numFmtId="164" fontId="3" fillId="3" borderId="3" xfId="0" applyNumberFormat="1" applyFont="1" applyFill="1" applyBorder="1" applyAlignment="1">
      <alignment horizontal="left" vertical="top"/>
    </xf>
    <xf numFmtId="164" fontId="2" fillId="6" borderId="3" xfId="0" applyNumberFormat="1" applyFont="1" applyFill="1" applyBorder="1" applyAlignment="1">
      <alignment horizontal="left" vertical="top"/>
    </xf>
    <xf numFmtId="0" fontId="2" fillId="4" borderId="3" xfId="0" applyFont="1" applyFill="1" applyBorder="1" applyAlignment="1">
      <alignment horizontal="left" vertical="top"/>
    </xf>
    <xf numFmtId="0" fontId="2" fillId="4" borderId="3" xfId="0" applyFont="1" applyFill="1" applyBorder="1" applyAlignment="1">
      <alignment horizontal="left" vertical="top" wrapText="1"/>
    </xf>
    <xf numFmtId="1" fontId="4" fillId="10" borderId="3" xfId="0" applyNumberFormat="1" applyFont="1" applyFill="1" applyBorder="1" applyAlignment="1">
      <alignment horizontal="left" vertical="top" wrapText="1"/>
    </xf>
    <xf numFmtId="164" fontId="4" fillId="10" borderId="3" xfId="0" applyNumberFormat="1" applyFont="1" applyFill="1" applyBorder="1" applyAlignment="1">
      <alignment horizontal="left" vertical="top"/>
    </xf>
    <xf numFmtId="165" fontId="4" fillId="10" borderId="3" xfId="0" applyNumberFormat="1" applyFont="1" applyFill="1" applyBorder="1" applyAlignment="1">
      <alignment horizontal="left" vertical="top" wrapText="1"/>
    </xf>
    <xf numFmtId="1" fontId="3" fillId="10" borderId="3" xfId="0" applyNumberFormat="1" applyFont="1" applyFill="1" applyBorder="1" applyAlignment="1">
      <alignment horizontal="left" vertical="top" wrapText="1"/>
    </xf>
    <xf numFmtId="165" fontId="4" fillId="10" borderId="3" xfId="0" applyNumberFormat="1" applyFont="1" applyFill="1" applyBorder="1" applyAlignment="1">
      <alignment horizontal="left" vertical="top"/>
    </xf>
    <xf numFmtId="164" fontId="4" fillId="10" borderId="3" xfId="0" applyNumberFormat="1" applyFont="1" applyFill="1" applyBorder="1" applyAlignment="1">
      <alignment horizontal="left" vertical="top" wrapText="1"/>
    </xf>
    <xf numFmtId="1" fontId="3" fillId="10" borderId="3" xfId="0" applyNumberFormat="1" applyFont="1" applyFill="1" applyBorder="1" applyAlignment="1">
      <alignment horizontal="left" vertical="top"/>
    </xf>
    <xf numFmtId="164" fontId="3" fillId="10" borderId="3" xfId="0" applyNumberFormat="1" applyFont="1" applyFill="1" applyBorder="1" applyAlignment="1">
      <alignment horizontal="left" vertical="top"/>
    </xf>
    <xf numFmtId="164" fontId="3" fillId="10" borderId="3" xfId="0" applyNumberFormat="1" applyFont="1" applyFill="1" applyBorder="1" applyAlignment="1">
      <alignment horizontal="left" vertical="top" wrapText="1"/>
    </xf>
    <xf numFmtId="0" fontId="3" fillId="10" borderId="3" xfId="0" applyFont="1" applyFill="1" applyBorder="1" applyAlignment="1">
      <alignment horizontal="left" vertical="top"/>
    </xf>
    <xf numFmtId="0" fontId="3" fillId="3" borderId="0" xfId="0" applyFont="1" applyFill="1" applyAlignment="1"/>
    <xf numFmtId="0" fontId="0" fillId="2" borderId="0" xfId="0" applyFill="1" applyAlignment="1"/>
    <xf numFmtId="0" fontId="0" fillId="0" borderId="0" xfId="0" applyAlignment="1"/>
    <xf numFmtId="165" fontId="3" fillId="10" borderId="3" xfId="0" applyNumberFormat="1" applyFont="1" applyFill="1" applyBorder="1" applyAlignment="1">
      <alignment wrapText="1"/>
    </xf>
    <xf numFmtId="0" fontId="1" fillId="4" borderId="3" xfId="0" applyFont="1" applyFill="1" applyBorder="1" applyAlignment="1"/>
    <xf numFmtId="0" fontId="1" fillId="4" borderId="3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2" fillId="6" borderId="3" xfId="0" applyFont="1" applyFill="1" applyBorder="1" applyAlignment="1"/>
    <xf numFmtId="0" fontId="2" fillId="6" borderId="3" xfId="0" applyFont="1" applyFill="1" applyBorder="1" applyAlignment="1">
      <alignment wrapText="1"/>
    </xf>
    <xf numFmtId="0" fontId="4" fillId="7" borderId="3" xfId="0" applyFont="1" applyFill="1" applyBorder="1" applyAlignment="1">
      <alignment wrapText="1"/>
    </xf>
    <xf numFmtId="0" fontId="6" fillId="8" borderId="3" xfId="0" applyFont="1" applyFill="1" applyBorder="1" applyAlignment="1"/>
    <xf numFmtId="0" fontId="5" fillId="7" borderId="3" xfId="0" applyFont="1" applyFill="1" applyBorder="1" applyAlignment="1">
      <alignment wrapText="1"/>
    </xf>
    <xf numFmtId="164" fontId="6" fillId="8" borderId="3" xfId="0" applyNumberFormat="1" applyFont="1" applyFill="1" applyBorder="1" applyAlignment="1"/>
    <xf numFmtId="165" fontId="6" fillId="8" borderId="3" xfId="0" applyNumberFormat="1" applyFont="1" applyFill="1" applyBorder="1" applyAlignment="1"/>
    <xf numFmtId="0" fontId="2" fillId="6" borderId="3" xfId="0" applyFont="1" applyFill="1" applyBorder="1" applyAlignment="1"/>
    <xf numFmtId="0" fontId="2" fillId="6" borderId="3" xfId="0" applyFont="1" applyFill="1" applyBorder="1" applyAlignment="1">
      <alignment wrapText="1"/>
    </xf>
    <xf numFmtId="0" fontId="4" fillId="3" borderId="3" xfId="0" applyFont="1" applyFill="1" applyBorder="1" applyAlignment="1"/>
    <xf numFmtId="0" fontId="4" fillId="3" borderId="3" xfId="0" applyFont="1" applyFill="1" applyBorder="1" applyAlignment="1">
      <alignment wrapText="1"/>
    </xf>
    <xf numFmtId="0" fontId="4" fillId="9" borderId="3" xfId="0" applyFont="1" applyFill="1" applyBorder="1" applyAlignment="1">
      <alignment wrapText="1"/>
    </xf>
    <xf numFmtId="164" fontId="4" fillId="9" borderId="3" xfId="0" applyNumberFormat="1" applyFont="1" applyFill="1" applyBorder="1" applyAlignment="1"/>
    <xf numFmtId="0" fontId="5" fillId="9" borderId="3" xfId="0" applyFont="1" applyFill="1" applyBorder="1" applyAlignment="1">
      <alignment wrapText="1"/>
    </xf>
    <xf numFmtId="0" fontId="9" fillId="9" borderId="3" xfId="0" applyFont="1" applyFill="1" applyBorder="1" applyAlignment="1">
      <alignment wrapText="1"/>
    </xf>
    <xf numFmtId="0" fontId="2" fillId="4" borderId="3" xfId="0" applyFont="1" applyFill="1" applyBorder="1" applyAlignment="1"/>
    <xf numFmtId="0" fontId="2" fillId="4" borderId="3" xfId="0" applyFont="1" applyFill="1" applyBorder="1" applyAlignment="1">
      <alignment wrapText="1"/>
    </xf>
    <xf numFmtId="0" fontId="4" fillId="10" borderId="3" xfId="0" applyFont="1" applyFill="1" applyBorder="1" applyAlignment="1"/>
    <xf numFmtId="164" fontId="4" fillId="10" borderId="3" xfId="0" applyNumberFormat="1" applyFont="1" applyFill="1" applyBorder="1" applyAlignment="1"/>
    <xf numFmtId="165" fontId="4" fillId="10" borderId="3" xfId="0" applyNumberFormat="1" applyFont="1" applyFill="1" applyBorder="1" applyAlignment="1">
      <alignment wrapText="1"/>
    </xf>
    <xf numFmtId="0" fontId="4" fillId="10" borderId="3" xfId="0" applyFont="1" applyFill="1" applyBorder="1" applyAlignment="1"/>
    <xf numFmtId="164" fontId="4" fillId="10" borderId="3" xfId="0" applyNumberFormat="1" applyFont="1" applyFill="1" applyBorder="1" applyAlignment="1"/>
    <xf numFmtId="165" fontId="4" fillId="10" borderId="3" xfId="0" applyNumberFormat="1" applyFont="1" applyFill="1" applyBorder="1" applyAlignment="1">
      <alignment wrapText="1"/>
    </xf>
    <xf numFmtId="0" fontId="3" fillId="10" borderId="3" xfId="0" applyFont="1" applyFill="1" applyBorder="1" applyAlignment="1">
      <alignment wrapText="1"/>
    </xf>
    <xf numFmtId="165" fontId="4" fillId="10" borderId="3" xfId="0" applyNumberFormat="1" applyFont="1" applyFill="1" applyBorder="1" applyAlignment="1"/>
    <xf numFmtId="164" fontId="4" fillId="10" borderId="3" xfId="0" applyNumberFormat="1" applyFont="1" applyFill="1" applyBorder="1" applyAlignment="1">
      <alignment wrapText="1"/>
    </xf>
    <xf numFmtId="0" fontId="4" fillId="10" borderId="3" xfId="0" applyFont="1" applyFill="1" applyBorder="1" applyAlignment="1">
      <alignment wrapText="1"/>
    </xf>
    <xf numFmtId="1" fontId="3" fillId="10" borderId="3" xfId="0" applyNumberFormat="1" applyFont="1" applyFill="1" applyBorder="1" applyAlignment="1">
      <alignment wrapText="1"/>
    </xf>
    <xf numFmtId="1" fontId="3" fillId="10" borderId="2" xfId="0" applyNumberFormat="1" applyFont="1" applyFill="1" applyBorder="1" applyAlignment="1">
      <alignment wrapText="1"/>
    </xf>
    <xf numFmtId="164" fontId="3" fillId="10" borderId="2" xfId="0" applyNumberFormat="1" applyFont="1" applyFill="1" applyBorder="1" applyAlignment="1"/>
    <xf numFmtId="164" fontId="3" fillId="10" borderId="2" xfId="0" applyNumberFormat="1" applyFont="1" applyFill="1" applyBorder="1" applyAlignment="1">
      <alignment wrapText="1"/>
    </xf>
    <xf numFmtId="1" fontId="3" fillId="10" borderId="2" xfId="0" applyNumberFormat="1" applyFont="1" applyFill="1" applyBorder="1" applyAlignment="1"/>
    <xf numFmtId="0" fontId="8" fillId="11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D6E4F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66"/>
      <rgbColor rgb="FFAAAAAA"/>
      <rgbColor rgb="FF1F3864"/>
      <rgbColor rgb="FF339966"/>
      <rgbColor rgb="FF003300"/>
      <rgbColor rgb="FF555555"/>
      <rgbColor rgb="FF993300"/>
      <rgbColor rgb="FF993366"/>
      <rgbColor rgb="FF2E5090"/>
      <rgbColor rgb="FF37562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prstDash val="solid"/>
        </a:ln>
        <a:ln w="25400">
          <a:prstDash val="solid"/>
        </a:ln>
        <a:ln w="3810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"/>
  <sheetViews>
    <sheetView tabSelected="1" workbookViewId="0">
      <selection activeCell="H8" sqref="H8"/>
    </sheetView>
  </sheetViews>
  <sheetFormatPr defaultColWidth="8.6328125" defaultRowHeight="14.5" x14ac:dyDescent="0.35"/>
  <cols>
    <col min="1" max="1" width="2" customWidth="1"/>
    <col min="2" max="2" width="31" bestFit="1" customWidth="1"/>
    <col min="3" max="3" width="18.453125" bestFit="1" customWidth="1"/>
    <col min="4" max="4" width="29" bestFit="1" customWidth="1"/>
    <col min="5" max="5" width="4" customWidth="1"/>
  </cols>
  <sheetData>
    <row r="1" spans="1:5" x14ac:dyDescent="0.35">
      <c r="A1" s="2"/>
      <c r="B1" s="27"/>
      <c r="C1" s="27"/>
      <c r="D1" s="28"/>
      <c r="E1" s="1"/>
    </row>
    <row r="2" spans="1:5" ht="21" x14ac:dyDescent="0.35">
      <c r="A2" s="2"/>
      <c r="B2" s="29" t="s">
        <v>73</v>
      </c>
      <c r="C2" s="29"/>
      <c r="D2" s="30"/>
      <c r="E2" s="1"/>
    </row>
    <row r="3" spans="1:5" x14ac:dyDescent="0.35">
      <c r="A3" s="2"/>
      <c r="B3" s="31"/>
      <c r="C3" s="31"/>
      <c r="D3" s="32"/>
      <c r="E3" s="1"/>
    </row>
    <row r="4" spans="1:5" x14ac:dyDescent="0.35">
      <c r="A4" s="2"/>
      <c r="B4" s="22" t="s">
        <v>74</v>
      </c>
      <c r="C4" s="22"/>
      <c r="D4" s="22"/>
      <c r="E4" s="1"/>
    </row>
    <row r="5" spans="1:5" x14ac:dyDescent="0.35">
      <c r="A5" s="2"/>
      <c r="B5" s="27"/>
      <c r="C5" s="27"/>
      <c r="D5" s="28"/>
      <c r="E5" s="1"/>
    </row>
    <row r="6" spans="1:5" x14ac:dyDescent="0.35">
      <c r="A6" s="2"/>
      <c r="B6" s="33" t="s">
        <v>0</v>
      </c>
      <c r="C6" s="33"/>
      <c r="D6" s="34"/>
      <c r="E6" s="1"/>
    </row>
    <row r="7" spans="1:5" x14ac:dyDescent="0.35">
      <c r="A7" s="2"/>
      <c r="B7" s="23" t="s">
        <v>1</v>
      </c>
      <c r="C7" s="35">
        <v>18</v>
      </c>
      <c r="D7" s="24" t="s">
        <v>2</v>
      </c>
      <c r="E7" s="1"/>
    </row>
    <row r="8" spans="1:5" x14ac:dyDescent="0.35">
      <c r="A8" s="2"/>
      <c r="B8" s="23" t="s">
        <v>3</v>
      </c>
      <c r="C8" s="35">
        <v>62</v>
      </c>
      <c r="D8" s="24" t="s">
        <v>2</v>
      </c>
      <c r="E8" s="1"/>
    </row>
    <row r="9" spans="1:5" x14ac:dyDescent="0.35">
      <c r="A9" s="2"/>
      <c r="B9" s="23" t="s">
        <v>4</v>
      </c>
      <c r="C9" s="36">
        <v>9000000</v>
      </c>
      <c r="D9" s="24" t="s">
        <v>5</v>
      </c>
      <c r="E9" s="1"/>
    </row>
    <row r="10" spans="1:5" x14ac:dyDescent="0.35">
      <c r="A10" s="2"/>
      <c r="B10" s="23" t="s">
        <v>6</v>
      </c>
      <c r="C10" s="36">
        <v>80000</v>
      </c>
      <c r="D10" s="24" t="s">
        <v>5</v>
      </c>
      <c r="E10" s="1"/>
    </row>
    <row r="11" spans="1:5" x14ac:dyDescent="0.35">
      <c r="A11" s="2"/>
      <c r="B11" s="23" t="s">
        <v>7</v>
      </c>
      <c r="C11" s="37">
        <v>0.09</v>
      </c>
      <c r="D11" s="24" t="s">
        <v>8</v>
      </c>
      <c r="E11" s="1"/>
    </row>
    <row r="12" spans="1:5" x14ac:dyDescent="0.35">
      <c r="A12" s="2"/>
      <c r="B12" s="27"/>
      <c r="C12" s="37"/>
      <c r="D12" s="28"/>
      <c r="E12" s="1"/>
    </row>
    <row r="13" spans="1:5" x14ac:dyDescent="0.35">
      <c r="A13" s="2"/>
      <c r="B13" s="33" t="s">
        <v>9</v>
      </c>
      <c r="C13" s="33"/>
      <c r="D13" s="34"/>
      <c r="E13" s="1"/>
    </row>
    <row r="14" spans="1:5" x14ac:dyDescent="0.35">
      <c r="A14" s="2"/>
      <c r="B14" s="25" t="s">
        <v>10</v>
      </c>
      <c r="C14" s="38">
        <f>MAX(C8-C7,0)</f>
        <v>44</v>
      </c>
      <c r="D14" s="26" t="s">
        <v>11</v>
      </c>
      <c r="E14" s="1"/>
    </row>
    <row r="15" spans="1:5" x14ac:dyDescent="0.35">
      <c r="A15" s="2"/>
      <c r="B15" s="25" t="s">
        <v>12</v>
      </c>
      <c r="C15" s="39">
        <f>C10*(1+C11/12)^(C14*12)</f>
        <v>4135032.5097056194</v>
      </c>
      <c r="D15" s="26" t="s">
        <v>13</v>
      </c>
      <c r="E15" s="1"/>
    </row>
    <row r="16" spans="1:5" x14ac:dyDescent="0.35">
      <c r="A16" s="2"/>
      <c r="B16" s="25" t="s">
        <v>14</v>
      </c>
      <c r="C16" s="39">
        <f>MAX(C9-C15,0)</f>
        <v>4864967.4902943801</v>
      </c>
      <c r="D16" s="26" t="s">
        <v>15</v>
      </c>
      <c r="E16" s="1"/>
    </row>
    <row r="17" spans="1:5" x14ac:dyDescent="0.35">
      <c r="A17" s="2"/>
      <c r="B17" s="25" t="s">
        <v>16</v>
      </c>
      <c r="C17" s="39">
        <f>IF(C14&lt;=0,0,IF(C11=0,C16/(C14*12),C16/((((1+C11/12)^(C14*12)-1)/(C11/12))*(1+C11/12))))</f>
        <v>714.48283186652372</v>
      </c>
      <c r="D17" s="26" t="s">
        <v>17</v>
      </c>
      <c r="E17" s="1"/>
    </row>
    <row r="18" spans="1:5" x14ac:dyDescent="0.35">
      <c r="A18" s="2"/>
      <c r="B18" s="25" t="s">
        <v>18</v>
      </c>
      <c r="C18" s="39">
        <f>C17*12</f>
        <v>8573.7939823982852</v>
      </c>
      <c r="D18" s="26" t="s">
        <v>19</v>
      </c>
      <c r="E18" s="1"/>
    </row>
    <row r="19" spans="1:5" x14ac:dyDescent="0.35">
      <c r="A19" s="2"/>
      <c r="B19" s="27"/>
      <c r="C19" s="40"/>
      <c r="D19" s="28"/>
      <c r="E19" s="1"/>
    </row>
    <row r="20" spans="1:5" x14ac:dyDescent="0.35">
      <c r="A20" s="2"/>
      <c r="B20" s="33" t="s">
        <v>20</v>
      </c>
      <c r="C20" s="41"/>
      <c r="D20" s="34"/>
      <c r="E20" s="1"/>
    </row>
    <row r="21" spans="1:5" x14ac:dyDescent="0.35">
      <c r="A21" s="2"/>
      <c r="B21" s="42" t="s">
        <v>21</v>
      </c>
      <c r="C21" s="42" t="s">
        <v>22</v>
      </c>
      <c r="D21" s="43" t="s">
        <v>23</v>
      </c>
      <c r="E21" s="1"/>
    </row>
    <row r="22" spans="1:5" x14ac:dyDescent="0.35">
      <c r="A22" s="2"/>
      <c r="B22" s="44">
        <f>IF($C$7+0&lt;=$C$8,$C$7+0,"")</f>
        <v>18</v>
      </c>
      <c r="C22" s="45">
        <f t="shared" ref="C22:C31" si="0">IF(B22="","",$C$10*(1+$C$11/12)^((B22-$C$7)*12)+IF($C$11=0,$C$17*((B22-$C$7)*12),$C$17*(((1+$C$11/12)^((B22-$C$7)*12)-1)/($C$11/12))*(1+$C$11/12)))</f>
        <v>80000</v>
      </c>
      <c r="D22" s="46">
        <f t="shared" ref="D22:D31" si="1">IF(B22="","",MIN(C22/$C$9,1))</f>
        <v>8.8888888888888889E-3</v>
      </c>
      <c r="E22" s="1"/>
    </row>
    <row r="23" spans="1:5" x14ac:dyDescent="0.35">
      <c r="A23" s="2"/>
      <c r="B23" s="44">
        <f>IF($C$7+5&lt;=$C$8,$C$7+5,"")</f>
        <v>23</v>
      </c>
      <c r="C23" s="45">
        <f t="shared" si="0"/>
        <v>179547.90247903869</v>
      </c>
      <c r="D23" s="46">
        <f t="shared" si="1"/>
        <v>1.9949766942115411E-2</v>
      </c>
      <c r="E23" s="1"/>
    </row>
    <row r="24" spans="1:5" x14ac:dyDescent="0.35">
      <c r="A24" s="2"/>
      <c r="B24" s="47">
        <f>IF($C$7+10&lt;=$C$8,$C$7+10,"")</f>
        <v>28</v>
      </c>
      <c r="C24" s="48">
        <f t="shared" si="0"/>
        <v>335408.16466229939</v>
      </c>
      <c r="D24" s="49">
        <f t="shared" si="1"/>
        <v>3.7267573851366601E-2</v>
      </c>
      <c r="E24" s="1"/>
    </row>
    <row r="25" spans="1:5" x14ac:dyDescent="0.35">
      <c r="A25" s="2"/>
      <c r="B25" s="47">
        <f>IF($C$7+15&lt;=$C$8,$C$7+15,"")</f>
        <v>33</v>
      </c>
      <c r="C25" s="48">
        <f t="shared" si="0"/>
        <v>579435.62001676986</v>
      </c>
      <c r="D25" s="49">
        <f t="shared" si="1"/>
        <v>6.438173555741887E-2</v>
      </c>
      <c r="E25" s="1"/>
    </row>
    <row r="26" spans="1:5" x14ac:dyDescent="0.35">
      <c r="A26" s="2"/>
      <c r="B26" s="47">
        <f>IF($C$7+20&lt;=$C$8,$C$7+20,"")</f>
        <v>38</v>
      </c>
      <c r="C26" s="48">
        <f t="shared" si="0"/>
        <v>961504.77691809577</v>
      </c>
      <c r="D26" s="49">
        <f t="shared" si="1"/>
        <v>0.10683386410201064</v>
      </c>
      <c r="E26" s="1"/>
    </row>
    <row r="27" spans="1:5" x14ac:dyDescent="0.35">
      <c r="A27" s="2"/>
      <c r="B27" s="47">
        <f>IF($C$7+25&lt;=$C$8,$C$7+25,"")</f>
        <v>43</v>
      </c>
      <c r="C27" s="45">
        <f t="shared" si="0"/>
        <v>1559703.206858065</v>
      </c>
      <c r="D27" s="46">
        <f t="shared" si="1"/>
        <v>0.17330035631756277</v>
      </c>
      <c r="E27" s="1"/>
    </row>
    <row r="28" spans="1:5" x14ac:dyDescent="0.35">
      <c r="A28" s="2"/>
      <c r="B28" s="44">
        <f>IF($C$7+30&lt;=$C$8,$C$7+30,"")</f>
        <v>48</v>
      </c>
      <c r="C28" s="45">
        <f t="shared" si="0"/>
        <v>2496291.1389613119</v>
      </c>
      <c r="D28" s="46">
        <f t="shared" si="1"/>
        <v>0.27736568210681245</v>
      </c>
      <c r="E28" s="1"/>
    </row>
    <row r="29" spans="1:5" x14ac:dyDescent="0.35">
      <c r="A29" s="2"/>
      <c r="B29" s="44">
        <f>IF($C$7+35&lt;=$C$8,$C$7+35,"")</f>
        <v>53</v>
      </c>
      <c r="C29" s="45">
        <f t="shared" si="0"/>
        <v>3962689.0943178083</v>
      </c>
      <c r="D29" s="46">
        <f t="shared" si="1"/>
        <v>0.44029878825753427</v>
      </c>
      <c r="E29" s="1"/>
    </row>
    <row r="30" spans="1:5" x14ac:dyDescent="0.35">
      <c r="A30" s="2"/>
      <c r="B30" s="47">
        <f>IF($C$7+40&lt;=$C$8,$C$7+40,"")</f>
        <v>58</v>
      </c>
      <c r="C30" s="45">
        <f t="shared" si="0"/>
        <v>6258600.5509653883</v>
      </c>
      <c r="D30" s="49">
        <f t="shared" si="1"/>
        <v>0.6954000612183765</v>
      </c>
      <c r="E30" s="1"/>
    </row>
    <row r="31" spans="1:5" x14ac:dyDescent="0.35">
      <c r="A31" s="2"/>
      <c r="B31" s="50">
        <f>$C$8</f>
        <v>62</v>
      </c>
      <c r="C31" s="51">
        <f t="shared" si="0"/>
        <v>9000000</v>
      </c>
      <c r="D31" s="52">
        <f t="shared" si="1"/>
        <v>1</v>
      </c>
      <c r="E31" s="1"/>
    </row>
    <row r="32" spans="1:5" x14ac:dyDescent="0.35">
      <c r="A32" s="2"/>
      <c r="B32" s="53"/>
      <c r="C32" s="51"/>
      <c r="D32" s="52"/>
      <c r="E32" s="1"/>
    </row>
    <row r="33" spans="1:5" x14ac:dyDescent="0.35">
      <c r="A33" s="2"/>
      <c r="B33" s="13" t="s">
        <v>75</v>
      </c>
      <c r="C33" s="14"/>
      <c r="D33" s="14"/>
      <c r="E33" s="1"/>
    </row>
    <row r="34" spans="1:5" x14ac:dyDescent="0.35">
      <c r="A34" s="1"/>
      <c r="B34" s="4"/>
      <c r="C34" s="5"/>
      <c r="D34" s="5"/>
      <c r="E34" s="1"/>
    </row>
    <row r="35" spans="1:5" x14ac:dyDescent="0.35">
      <c r="B35" s="4"/>
      <c r="C35" s="5"/>
      <c r="D35" s="5"/>
    </row>
    <row r="36" spans="1:5" x14ac:dyDescent="0.35">
      <c r="B36" s="4"/>
      <c r="C36" s="5"/>
      <c r="D36" s="5"/>
    </row>
    <row r="37" spans="1:5" x14ac:dyDescent="0.35">
      <c r="B37" s="4"/>
      <c r="C37" s="5"/>
      <c r="D37" s="5"/>
    </row>
    <row r="38" spans="1:5" x14ac:dyDescent="0.35">
      <c r="B38" s="4"/>
      <c r="C38" s="5"/>
      <c r="D38" s="5"/>
    </row>
    <row r="39" spans="1:5" x14ac:dyDescent="0.35">
      <c r="B39" s="4"/>
      <c r="C39" s="5"/>
      <c r="D39" s="5"/>
    </row>
    <row r="40" spans="1:5" x14ac:dyDescent="0.35">
      <c r="B40" s="4"/>
      <c r="C40" s="5"/>
      <c r="D40" s="5"/>
    </row>
    <row r="41" spans="1:5" x14ac:dyDescent="0.35">
      <c r="B41" s="4"/>
      <c r="C41" s="5"/>
      <c r="D41" s="5"/>
    </row>
    <row r="42" spans="1:5" x14ac:dyDescent="0.35">
      <c r="B42" s="4"/>
      <c r="C42" s="5"/>
      <c r="D42" s="5"/>
    </row>
    <row r="43" spans="1:5" x14ac:dyDescent="0.35">
      <c r="B43" s="4"/>
      <c r="C43" s="5"/>
      <c r="D43" s="5"/>
    </row>
    <row r="44" spans="1:5" x14ac:dyDescent="0.35">
      <c r="B44" s="4"/>
      <c r="C44" s="5"/>
      <c r="D44" s="5"/>
    </row>
    <row r="45" spans="1:5" x14ac:dyDescent="0.35">
      <c r="B45" s="4"/>
      <c r="C45" s="5"/>
      <c r="D45" s="5"/>
    </row>
    <row r="46" spans="1:5" x14ac:dyDescent="0.35">
      <c r="B46" s="4"/>
      <c r="C46" s="5"/>
      <c r="D46" s="5"/>
    </row>
    <row r="47" spans="1:5" x14ac:dyDescent="0.35">
      <c r="B47" s="4"/>
      <c r="C47" s="5"/>
      <c r="D47" s="5"/>
    </row>
    <row r="48" spans="1:5" x14ac:dyDescent="0.35">
      <c r="B48" s="4"/>
      <c r="C48" s="5"/>
      <c r="D48" s="5"/>
    </row>
    <row r="49" spans="2:4" x14ac:dyDescent="0.35">
      <c r="B49" s="4"/>
      <c r="C49" s="5"/>
      <c r="D49" s="5"/>
    </row>
    <row r="50" spans="2:4" x14ac:dyDescent="0.35">
      <c r="B50" s="4"/>
      <c r="C50" s="5"/>
      <c r="D50" s="5"/>
    </row>
    <row r="51" spans="2:4" x14ac:dyDescent="0.35">
      <c r="B51" s="4"/>
      <c r="C51" s="5"/>
      <c r="D51" s="5"/>
    </row>
    <row r="52" spans="2:4" x14ac:dyDescent="0.35">
      <c r="B52" s="4"/>
      <c r="C52" s="5"/>
      <c r="D52" s="5"/>
    </row>
    <row r="53" spans="2:4" x14ac:dyDescent="0.35">
      <c r="B53" s="4"/>
      <c r="C53" s="5"/>
      <c r="D53" s="5"/>
    </row>
    <row r="54" spans="2:4" x14ac:dyDescent="0.35">
      <c r="B54" s="4"/>
      <c r="C54" s="5"/>
      <c r="D54" s="5"/>
    </row>
    <row r="55" spans="2:4" x14ac:dyDescent="0.35">
      <c r="B55" s="4"/>
      <c r="C55" s="5"/>
      <c r="D55" s="5"/>
    </row>
    <row r="56" spans="2:4" x14ac:dyDescent="0.35">
      <c r="B56" s="4"/>
      <c r="C56" s="5"/>
      <c r="D56" s="5"/>
    </row>
    <row r="57" spans="2:4" x14ac:dyDescent="0.35">
      <c r="B57" s="4"/>
      <c r="C57" s="5"/>
      <c r="D57" s="5"/>
    </row>
    <row r="58" spans="2:4" x14ac:dyDescent="0.35">
      <c r="B58" s="4"/>
      <c r="C58" s="5"/>
      <c r="D58" s="5"/>
    </row>
    <row r="59" spans="2:4" x14ac:dyDescent="0.35">
      <c r="B59" s="4"/>
      <c r="C59" s="5"/>
      <c r="D59" s="5"/>
    </row>
    <row r="60" spans="2:4" x14ac:dyDescent="0.35">
      <c r="B60" s="4"/>
      <c r="C60" s="5"/>
      <c r="D60" s="5"/>
    </row>
    <row r="61" spans="2:4" x14ac:dyDescent="0.35">
      <c r="B61" s="4"/>
      <c r="C61" s="5"/>
      <c r="D61" s="5"/>
    </row>
    <row r="62" spans="2:4" x14ac:dyDescent="0.35">
      <c r="B62" s="4"/>
      <c r="C62" s="5"/>
      <c r="D62" s="5"/>
    </row>
    <row r="63" spans="2:4" x14ac:dyDescent="0.35">
      <c r="B63" s="4"/>
      <c r="C63" s="5"/>
      <c r="D63" s="5"/>
    </row>
    <row r="64" spans="2:4" x14ac:dyDescent="0.35">
      <c r="B64" s="4"/>
      <c r="C64" s="5"/>
      <c r="D64" s="5"/>
    </row>
    <row r="65" spans="2:4" x14ac:dyDescent="0.35">
      <c r="B65" s="4"/>
      <c r="C65" s="5"/>
      <c r="D65" s="5"/>
    </row>
    <row r="66" spans="2:4" x14ac:dyDescent="0.35">
      <c r="B66" s="4"/>
      <c r="C66" s="5"/>
      <c r="D66" s="5"/>
    </row>
    <row r="67" spans="2:4" x14ac:dyDescent="0.35">
      <c r="B67" s="4"/>
      <c r="C67" s="5"/>
      <c r="D67" s="5"/>
    </row>
    <row r="68" spans="2:4" x14ac:dyDescent="0.35">
      <c r="B68" s="4"/>
      <c r="C68" s="5"/>
      <c r="D68" s="5"/>
    </row>
    <row r="69" spans="2:4" x14ac:dyDescent="0.35">
      <c r="B69" s="4"/>
      <c r="C69" s="5"/>
      <c r="D69" s="5"/>
    </row>
    <row r="70" spans="2:4" x14ac:dyDescent="0.35">
      <c r="B70" s="4"/>
      <c r="C70" s="5"/>
      <c r="D70" s="5"/>
    </row>
    <row r="71" spans="2:4" x14ac:dyDescent="0.35">
      <c r="B71" s="4"/>
      <c r="C71" s="5"/>
      <c r="D71" s="5"/>
    </row>
    <row r="72" spans="2:4" x14ac:dyDescent="0.35">
      <c r="B72" s="4"/>
      <c r="C72" s="5"/>
      <c r="D72" s="5"/>
    </row>
    <row r="73" spans="2:4" x14ac:dyDescent="0.35">
      <c r="B73" s="4"/>
      <c r="C73" s="5"/>
      <c r="D73" s="5"/>
    </row>
    <row r="74" spans="2:4" x14ac:dyDescent="0.35">
      <c r="B74" s="4"/>
      <c r="C74" s="5"/>
      <c r="D74" s="5"/>
    </row>
    <row r="75" spans="2:4" x14ac:dyDescent="0.35">
      <c r="B75" s="4"/>
      <c r="C75" s="5"/>
      <c r="D75" s="5"/>
    </row>
    <row r="76" spans="2:4" x14ac:dyDescent="0.35">
      <c r="B76" s="4"/>
      <c r="C76" s="5"/>
      <c r="D76" s="5"/>
    </row>
    <row r="77" spans="2:4" x14ac:dyDescent="0.35">
      <c r="B77" s="4"/>
      <c r="C77" s="5"/>
      <c r="D77" s="5"/>
    </row>
    <row r="78" spans="2:4" x14ac:dyDescent="0.35">
      <c r="B78" s="4"/>
      <c r="C78" s="5"/>
      <c r="D78" s="5"/>
    </row>
    <row r="79" spans="2:4" x14ac:dyDescent="0.35">
      <c r="B79" s="4"/>
      <c r="C79" s="5"/>
      <c r="D79" s="5"/>
    </row>
    <row r="80" spans="2:4" x14ac:dyDescent="0.35">
      <c r="B80" s="4"/>
      <c r="C80" s="5"/>
      <c r="D80" s="5"/>
    </row>
  </sheetData>
  <mergeCells count="7">
    <mergeCell ref="B20:D20"/>
    <mergeCell ref="B33:D33"/>
    <mergeCell ref="B2:D2"/>
    <mergeCell ref="B3:D3"/>
    <mergeCell ref="B4:D4"/>
    <mergeCell ref="B6:D6"/>
    <mergeCell ref="B13:D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2"/>
  <sheetViews>
    <sheetView topLeftCell="A15" workbookViewId="0">
      <selection activeCell="G13" sqref="G13"/>
    </sheetView>
  </sheetViews>
  <sheetFormatPr defaultColWidth="8.6328125" defaultRowHeight="14.5" x14ac:dyDescent="0.35"/>
  <cols>
    <col min="1" max="1" width="2" style="56" customWidth="1"/>
    <col min="2" max="2" width="33.1796875" style="56" bestFit="1" customWidth="1"/>
    <col min="3" max="3" width="18.08984375" style="56" bestFit="1" customWidth="1"/>
    <col min="4" max="4" width="34.26953125" style="56" bestFit="1" customWidth="1"/>
    <col min="5" max="5" width="4" style="56" customWidth="1"/>
    <col min="6" max="16384" width="8.6328125" style="56"/>
  </cols>
  <sheetData>
    <row r="1" spans="1:5" x14ac:dyDescent="0.35">
      <c r="A1" s="54"/>
      <c r="B1" s="15"/>
      <c r="C1" s="15"/>
      <c r="D1" s="16"/>
      <c r="E1" s="55"/>
    </row>
    <row r="2" spans="1:5" ht="21" x14ac:dyDescent="0.5">
      <c r="A2" s="54"/>
      <c r="B2" s="58" t="s">
        <v>76</v>
      </c>
      <c r="C2" s="58"/>
      <c r="D2" s="59"/>
      <c r="E2" s="55"/>
    </row>
    <row r="3" spans="1:5" x14ac:dyDescent="0.35">
      <c r="A3" s="54"/>
      <c r="B3" s="17"/>
      <c r="C3" s="17"/>
      <c r="D3" s="18"/>
      <c r="E3" s="55"/>
    </row>
    <row r="4" spans="1:5" x14ac:dyDescent="0.35">
      <c r="A4" s="54"/>
      <c r="B4" s="60" t="s">
        <v>77</v>
      </c>
      <c r="C4" s="60"/>
      <c r="D4" s="60"/>
      <c r="E4" s="55"/>
    </row>
    <row r="5" spans="1:5" x14ac:dyDescent="0.35">
      <c r="A5" s="54"/>
      <c r="B5" s="15"/>
      <c r="C5" s="15"/>
      <c r="D5" s="16"/>
      <c r="E5" s="55"/>
    </row>
    <row r="6" spans="1:5" x14ac:dyDescent="0.35">
      <c r="A6" s="54"/>
      <c r="B6" s="61" t="s">
        <v>24</v>
      </c>
      <c r="C6" s="61"/>
      <c r="D6" s="62"/>
      <c r="E6" s="55"/>
    </row>
    <row r="7" spans="1:5" x14ac:dyDescent="0.35">
      <c r="A7" s="54"/>
      <c r="B7" s="63" t="s">
        <v>1</v>
      </c>
      <c r="C7" s="64">
        <v>36</v>
      </c>
      <c r="D7" s="65" t="s">
        <v>2</v>
      </c>
      <c r="E7" s="55"/>
    </row>
    <row r="8" spans="1:5" x14ac:dyDescent="0.35">
      <c r="A8" s="54"/>
      <c r="B8" s="63" t="s">
        <v>3</v>
      </c>
      <c r="C8" s="64">
        <v>67</v>
      </c>
      <c r="D8" s="65" t="s">
        <v>2</v>
      </c>
      <c r="E8" s="55"/>
    </row>
    <row r="9" spans="1:5" x14ac:dyDescent="0.35">
      <c r="A9" s="54"/>
      <c r="B9" s="63" t="s">
        <v>25</v>
      </c>
      <c r="C9" s="66">
        <v>80000</v>
      </c>
      <c r="D9" s="65" t="s">
        <v>26</v>
      </c>
      <c r="E9" s="55"/>
    </row>
    <row r="10" spans="1:5" x14ac:dyDescent="0.35">
      <c r="A10" s="54"/>
      <c r="B10" s="63" t="s">
        <v>27</v>
      </c>
      <c r="C10" s="66">
        <v>500</v>
      </c>
      <c r="D10" s="65" t="s">
        <v>28</v>
      </c>
      <c r="E10" s="55"/>
    </row>
    <row r="11" spans="1:5" ht="26.5" x14ac:dyDescent="0.35">
      <c r="A11" s="54"/>
      <c r="B11" s="63" t="s">
        <v>7</v>
      </c>
      <c r="C11" s="67">
        <v>0.1</v>
      </c>
      <c r="D11" s="65" t="s">
        <v>29</v>
      </c>
      <c r="E11" s="55"/>
    </row>
    <row r="12" spans="1:5" ht="26.5" x14ac:dyDescent="0.35">
      <c r="A12" s="54"/>
      <c r="B12" s="63" t="s">
        <v>30</v>
      </c>
      <c r="C12" s="67">
        <v>0.03</v>
      </c>
      <c r="D12" s="65" t="s">
        <v>31</v>
      </c>
      <c r="E12" s="55"/>
    </row>
    <row r="13" spans="1:5" x14ac:dyDescent="0.35">
      <c r="A13" s="54"/>
      <c r="B13" s="68"/>
      <c r="C13" s="68"/>
      <c r="D13" s="69"/>
      <c r="E13" s="55"/>
    </row>
    <row r="14" spans="1:5" x14ac:dyDescent="0.35">
      <c r="A14" s="54"/>
      <c r="B14" s="70" t="s">
        <v>32</v>
      </c>
      <c r="C14" s="70"/>
      <c r="D14" s="71"/>
      <c r="E14" s="55"/>
    </row>
    <row r="15" spans="1:5" x14ac:dyDescent="0.35">
      <c r="A15" s="54"/>
      <c r="B15" s="72" t="s">
        <v>10</v>
      </c>
      <c r="C15" s="73">
        <f>MAX(C8-C7,0)</f>
        <v>31</v>
      </c>
      <c r="D15" s="74" t="s">
        <v>33</v>
      </c>
      <c r="E15" s="55"/>
    </row>
    <row r="16" spans="1:5" x14ac:dyDescent="0.35">
      <c r="A16" s="54"/>
      <c r="B16" s="72" t="s">
        <v>34</v>
      </c>
      <c r="C16" s="73">
        <f>IF(C15&lt;=0,C9,C9*(1+C11/12)^(C15*12)+IF(C11=0,C10*(C15*12),C10*(((1+C11/12)^(C15*12)-1)/(C11/12))*(1+C11/12)))</f>
        <v>3018506.1207990185</v>
      </c>
      <c r="D16" s="74" t="s">
        <v>35</v>
      </c>
      <c r="E16" s="55"/>
    </row>
    <row r="17" spans="1:5" ht="26.5" x14ac:dyDescent="0.35">
      <c r="A17" s="54"/>
      <c r="B17" s="72" t="s">
        <v>36</v>
      </c>
      <c r="C17" s="73">
        <f>IF(C15&lt;=0,C16,C16/(1+C12)^C15)</f>
        <v>1207363.6459096293</v>
      </c>
      <c r="D17" s="74" t="s">
        <v>37</v>
      </c>
      <c r="E17" s="55"/>
    </row>
    <row r="18" spans="1:5" x14ac:dyDescent="0.35">
      <c r="A18" s="54"/>
      <c r="B18" s="72" t="s">
        <v>38</v>
      </c>
      <c r="C18" s="73">
        <f>C9+C10*12*C15</f>
        <v>266000</v>
      </c>
      <c r="D18" s="74" t="s">
        <v>39</v>
      </c>
      <c r="E18" s="55"/>
    </row>
    <row r="19" spans="1:5" x14ac:dyDescent="0.35">
      <c r="A19" s="54"/>
      <c r="B19" s="72" t="s">
        <v>40</v>
      </c>
      <c r="C19" s="73">
        <f>C16-C18</f>
        <v>2752506.1207990185</v>
      </c>
      <c r="D19" s="74" t="s">
        <v>41</v>
      </c>
      <c r="E19" s="55"/>
    </row>
    <row r="20" spans="1:5" x14ac:dyDescent="0.35">
      <c r="A20" s="54"/>
      <c r="B20" s="72" t="s">
        <v>42</v>
      </c>
      <c r="C20" s="73">
        <f>C16*0.04/12</f>
        <v>10061.687069330063</v>
      </c>
      <c r="D20" s="75" t="s">
        <v>43</v>
      </c>
      <c r="E20" s="55"/>
    </row>
    <row r="21" spans="1:5" x14ac:dyDescent="0.35">
      <c r="A21" s="54"/>
      <c r="B21" s="76"/>
      <c r="C21" s="76"/>
      <c r="D21" s="77"/>
      <c r="E21" s="55"/>
    </row>
    <row r="22" spans="1:5" x14ac:dyDescent="0.35">
      <c r="A22" s="54"/>
      <c r="B22" s="78" t="s">
        <v>44</v>
      </c>
      <c r="C22" s="79"/>
      <c r="D22" s="80"/>
      <c r="E22" s="55"/>
    </row>
    <row r="23" spans="1:5" x14ac:dyDescent="0.35">
      <c r="A23" s="54"/>
      <c r="B23" s="81" t="s">
        <v>45</v>
      </c>
      <c r="C23" s="82" t="s">
        <v>46</v>
      </c>
      <c r="D23" s="83" t="s">
        <v>22</v>
      </c>
      <c r="E23" s="55"/>
    </row>
    <row r="24" spans="1:5" x14ac:dyDescent="0.35">
      <c r="A24" s="54"/>
      <c r="B24" s="84" t="s">
        <v>47</v>
      </c>
      <c r="C24" s="85">
        <v>0.05</v>
      </c>
      <c r="D24" s="86">
        <f>IF($C$15&lt;=0,$C$9,$C$9*(1+C24/12)^($C$15*12)+IF(C24=0,$C$10*($C$15*12),$C$10*(((1+C24/12)^($C$15*12)-1)/(C24/12))*(1+C24/12)))</f>
        <v>821112.67976838734</v>
      </c>
      <c r="E24" s="55"/>
    </row>
    <row r="25" spans="1:5" x14ac:dyDescent="0.35">
      <c r="A25" s="54"/>
      <c r="B25" s="87" t="s">
        <v>48</v>
      </c>
      <c r="C25" s="85">
        <f>C11</f>
        <v>0.1</v>
      </c>
      <c r="D25" s="86">
        <f>IF($C$15&lt;=0,$C$9,$C$9*(1+C25/12)^($C$15*12)+IF(C25=0,$C$10*($C$15*12),$C$10*(((1+C25/12)^($C$15*12)-1)/(C25/12))*(1+C25/12)))</f>
        <v>3018506.1207990185</v>
      </c>
      <c r="E25" s="55"/>
    </row>
    <row r="26" spans="1:5" x14ac:dyDescent="0.35">
      <c r="A26" s="54"/>
      <c r="B26" s="84" t="s">
        <v>49</v>
      </c>
      <c r="C26" s="85">
        <v>0.1</v>
      </c>
      <c r="D26" s="86">
        <f>IF($C$15&lt;=0,$C$9,$C$9*(1+C26/12)^($C$15*12)+IF(C26=0,$C$10*($C$15*12),$C$10*(((1+C26/12)^($C$15*12)-1)/(C26/12))*(1+C26/12)))</f>
        <v>3018506.1207990185</v>
      </c>
      <c r="E26" s="55"/>
    </row>
    <row r="27" spans="1:5" x14ac:dyDescent="0.35">
      <c r="A27" s="54"/>
      <c r="B27" s="19"/>
      <c r="C27" s="20"/>
      <c r="D27" s="57"/>
      <c r="E27" s="55"/>
    </row>
    <row r="28" spans="1:5" x14ac:dyDescent="0.35">
      <c r="A28" s="54"/>
      <c r="B28" s="78" t="s">
        <v>50</v>
      </c>
      <c r="C28" s="79"/>
      <c r="D28" s="80"/>
      <c r="E28" s="55"/>
    </row>
    <row r="29" spans="1:5" x14ac:dyDescent="0.35">
      <c r="A29" s="54"/>
      <c r="B29" s="81" t="s">
        <v>51</v>
      </c>
      <c r="C29" s="82" t="s">
        <v>52</v>
      </c>
      <c r="D29" s="83" t="s">
        <v>53</v>
      </c>
      <c r="E29" s="55"/>
    </row>
    <row r="30" spans="1:5" x14ac:dyDescent="0.35">
      <c r="A30" s="54"/>
      <c r="B30" s="88">
        <f>IF(1&lt;=$C$15,$C$7+1,"")</f>
        <v>37</v>
      </c>
      <c r="C30" s="20">
        <f t="shared" ref="C30:C61" si="0">IF(B30="","",$C$9*(1+$C$11/12)^((B30-$C$7)*12)+IF($C$11=0,$C$10*((B30-$C$7)*12),$C$10*(((1+$C$11/12)^((B30-$C$7)*12)-1)/($C$11/12))*(1+$C$11/12)))</f>
        <v>94712.185975502201</v>
      </c>
      <c r="D30" s="21">
        <f t="shared" ref="D30:D61" si="1">IF(B30="","",$C$9+$C$10*12*(B30-$C$7))</f>
        <v>86000</v>
      </c>
      <c r="E30" s="55"/>
    </row>
    <row r="31" spans="1:5" x14ac:dyDescent="0.35">
      <c r="A31" s="54"/>
      <c r="B31" s="88">
        <f>IF(2&lt;=$C$15,$C$7+2,"")</f>
        <v>38</v>
      </c>
      <c r="C31" s="20">
        <f t="shared" si="0"/>
        <v>110964.93007326603</v>
      </c>
      <c r="D31" s="21">
        <f t="shared" si="1"/>
        <v>92000</v>
      </c>
      <c r="E31" s="55"/>
    </row>
    <row r="32" spans="1:5" x14ac:dyDescent="0.35">
      <c r="A32" s="54"/>
      <c r="B32" s="88">
        <f>IF(3&lt;=$C$15,$C$7+3,"")</f>
        <v>39</v>
      </c>
      <c r="C32" s="20">
        <f t="shared" si="0"/>
        <v>128919.54885984516</v>
      </c>
      <c r="D32" s="21">
        <f t="shared" si="1"/>
        <v>98000</v>
      </c>
      <c r="E32" s="55"/>
    </row>
    <row r="33" spans="1:5" x14ac:dyDescent="0.35">
      <c r="A33" s="54"/>
      <c r="B33" s="88">
        <f>IF(4&lt;=$C$15,$C$7+4,"")</f>
        <v>40</v>
      </c>
      <c r="C33" s="20">
        <f t="shared" si="0"/>
        <v>148754.25085430616</v>
      </c>
      <c r="D33" s="21">
        <f t="shared" si="1"/>
        <v>104000</v>
      </c>
      <c r="E33" s="55"/>
    </row>
    <row r="34" spans="1:5" x14ac:dyDescent="0.35">
      <c r="A34" s="54"/>
      <c r="B34" s="88">
        <f>IF(5&lt;=$C$15,$C$7+5,"")</f>
        <v>41</v>
      </c>
      <c r="C34" s="20">
        <f t="shared" si="0"/>
        <v>170665.90533639115</v>
      </c>
      <c r="D34" s="21">
        <f t="shared" si="1"/>
        <v>110000</v>
      </c>
      <c r="E34" s="55"/>
    </row>
    <row r="35" spans="1:5" x14ac:dyDescent="0.35">
      <c r="A35" s="54"/>
      <c r="B35" s="88">
        <f>IF(6&lt;=$C$15,$C$7+6,"")</f>
        <v>42</v>
      </c>
      <c r="C35" s="20">
        <f t="shared" si="0"/>
        <v>194871.99637200907</v>
      </c>
      <c r="D35" s="21">
        <f t="shared" si="1"/>
        <v>116000</v>
      </c>
      <c r="E35" s="55"/>
    </row>
    <row r="36" spans="1:5" x14ac:dyDescent="0.35">
      <c r="A36" s="54"/>
      <c r="B36" s="88">
        <f>IF(7&lt;=$C$15,$C$7+7,"")</f>
        <v>43</v>
      </c>
      <c r="C36" s="20">
        <f t="shared" si="0"/>
        <v>221612.78145072982</v>
      </c>
      <c r="D36" s="21">
        <f t="shared" si="1"/>
        <v>122000</v>
      </c>
      <c r="E36" s="55"/>
    </row>
    <row r="37" spans="1:5" x14ac:dyDescent="0.35">
      <c r="A37" s="54"/>
      <c r="B37" s="88">
        <f>IF(8&lt;=$C$15,$C$7+8,"")</f>
        <v>44</v>
      </c>
      <c r="C37" s="20">
        <f t="shared" si="0"/>
        <v>251153.67616083196</v>
      </c>
      <c r="D37" s="21">
        <f t="shared" si="1"/>
        <v>128000</v>
      </c>
      <c r="E37" s="55"/>
    </row>
    <row r="38" spans="1:5" x14ac:dyDescent="0.35">
      <c r="A38" s="54"/>
      <c r="B38" s="88">
        <f>IF(9&lt;=$C$15,$C$7+9,"")</f>
        <v>45</v>
      </c>
      <c r="C38" s="20">
        <f t="shared" si="0"/>
        <v>283787.88857098925</v>
      </c>
      <c r="D38" s="21">
        <f t="shared" si="1"/>
        <v>134000</v>
      </c>
      <c r="E38" s="55"/>
    </row>
    <row r="39" spans="1:5" x14ac:dyDescent="0.35">
      <c r="A39" s="54"/>
      <c r="B39" s="88">
        <f>IF(10&lt;=$C$15,$C$7+10,"")</f>
        <v>46</v>
      </c>
      <c r="C39" s="20">
        <f t="shared" si="0"/>
        <v>319839.32946614485</v>
      </c>
      <c r="D39" s="21">
        <f t="shared" si="1"/>
        <v>140000</v>
      </c>
      <c r="E39" s="55"/>
    </row>
    <row r="40" spans="1:5" x14ac:dyDescent="0.35">
      <c r="A40" s="54"/>
      <c r="B40" s="88">
        <f>IF(11&lt;=$C$15,$C$7+11,"")</f>
        <v>47</v>
      </c>
      <c r="C40" s="20">
        <f t="shared" si="0"/>
        <v>359665.82732311077</v>
      </c>
      <c r="D40" s="21">
        <f t="shared" si="1"/>
        <v>146000</v>
      </c>
      <c r="E40" s="55"/>
    </row>
    <row r="41" spans="1:5" x14ac:dyDescent="0.35">
      <c r="A41" s="54"/>
      <c r="B41" s="88">
        <f>IF(12&lt;=$C$15,$C$7+12,"")</f>
        <v>48</v>
      </c>
      <c r="C41" s="20">
        <f t="shared" si="0"/>
        <v>403662.6799361239</v>
      </c>
      <c r="D41" s="21">
        <f t="shared" si="1"/>
        <v>152000</v>
      </c>
      <c r="E41" s="55"/>
    </row>
    <row r="42" spans="1:5" x14ac:dyDescent="0.35">
      <c r="A42" s="54"/>
      <c r="B42" s="88">
        <f>IF(13&lt;=$C$15,$C$7+13,"")</f>
        <v>49</v>
      </c>
      <c r="C42" s="20">
        <f t="shared" si="0"/>
        <v>452266.5779440084</v>
      </c>
      <c r="D42" s="21">
        <f t="shared" si="1"/>
        <v>158000</v>
      </c>
      <c r="E42" s="55"/>
    </row>
    <row r="43" spans="1:5" x14ac:dyDescent="0.35">
      <c r="A43" s="54"/>
      <c r="B43" s="88">
        <f>IF(14&lt;=$C$15,$C$7+14,"")</f>
        <v>50</v>
      </c>
      <c r="C43" s="20">
        <f t="shared" si="0"/>
        <v>505959.93920190213</v>
      </c>
      <c r="D43" s="21">
        <f t="shared" si="1"/>
        <v>164000</v>
      </c>
      <c r="E43" s="55"/>
    </row>
    <row r="44" spans="1:5" x14ac:dyDescent="0.35">
      <c r="A44" s="54"/>
      <c r="B44" s="88">
        <f>IF(15&lt;=$C$15,$C$7+15,"")</f>
        <v>51</v>
      </c>
      <c r="C44" s="20">
        <f t="shared" si="0"/>
        <v>565275.69701834384</v>
      </c>
      <c r="D44" s="21">
        <f t="shared" si="1"/>
        <v>170000</v>
      </c>
      <c r="E44" s="55"/>
    </row>
    <row r="45" spans="1:5" x14ac:dyDescent="0.35">
      <c r="A45" s="54"/>
      <c r="B45" s="88">
        <f>IF(16&lt;=$C$15,$C$7+16,"")</f>
        <v>52</v>
      </c>
      <c r="C45" s="20">
        <f t="shared" si="0"/>
        <v>630802.58978335001</v>
      </c>
      <c r="D45" s="21">
        <f t="shared" si="1"/>
        <v>176000</v>
      </c>
      <c r="E45" s="55"/>
    </row>
    <row r="46" spans="1:5" x14ac:dyDescent="0.35">
      <c r="A46" s="54"/>
      <c r="B46" s="88">
        <f>IF(17&lt;=$C$15,$C$7+17,"")</f>
        <v>53</v>
      </c>
      <c r="C46" s="20">
        <f t="shared" si="0"/>
        <v>703191.00448967726</v>
      </c>
      <c r="D46" s="21">
        <f t="shared" si="1"/>
        <v>182000</v>
      </c>
      <c r="E46" s="55"/>
    </row>
    <row r="47" spans="1:5" x14ac:dyDescent="0.35">
      <c r="A47" s="54"/>
      <c r="B47" s="88">
        <f>IF(18&lt;=$C$15,$C$7+18,"")</f>
        <v>54</v>
      </c>
      <c r="C47" s="20">
        <f t="shared" si="0"/>
        <v>783159.4321471164</v>
      </c>
      <c r="D47" s="21">
        <f t="shared" si="1"/>
        <v>188000</v>
      </c>
      <c r="E47" s="55"/>
    </row>
    <row r="48" spans="1:5" x14ac:dyDescent="0.35">
      <c r="A48" s="54"/>
      <c r="B48" s="88">
        <f>IF(19&lt;=$C$15,$C$7+19,"")</f>
        <v>55</v>
      </c>
      <c r="C48" s="20">
        <f t="shared" si="0"/>
        <v>871501.59916302329</v>
      </c>
      <c r="D48" s="21">
        <f t="shared" si="1"/>
        <v>194000</v>
      </c>
      <c r="E48" s="55"/>
    </row>
    <row r="49" spans="1:5" x14ac:dyDescent="0.35">
      <c r="A49" s="54"/>
      <c r="B49" s="88">
        <f>IF(20&lt;=$C$15,$C$7+20,"")</f>
        <v>56</v>
      </c>
      <c r="C49" s="20">
        <f t="shared" si="0"/>
        <v>969094.34547157772</v>
      </c>
      <c r="D49" s="21">
        <f t="shared" si="1"/>
        <v>200000</v>
      </c>
      <c r="E49" s="55"/>
    </row>
    <row r="50" spans="1:5" x14ac:dyDescent="0.35">
      <c r="A50" s="54"/>
      <c r="B50" s="88">
        <f>IF(21&lt;=$C$15,$C$7+21,"")</f>
        <v>57</v>
      </c>
      <c r="C50" s="20">
        <f t="shared" si="0"/>
        <v>1076906.3276061206</v>
      </c>
      <c r="D50" s="21">
        <f t="shared" si="1"/>
        <v>206000</v>
      </c>
      <c r="E50" s="55"/>
    </row>
    <row r="51" spans="1:5" x14ac:dyDescent="0.35">
      <c r="A51" s="54"/>
      <c r="B51" s="88">
        <f>IF(22&lt;=$C$15,$C$7+22,"")</f>
        <v>58</v>
      </c>
      <c r="C51" s="20">
        <f t="shared" si="0"/>
        <v>1196007.6330968977</v>
      </c>
      <c r="D51" s="21">
        <f t="shared" si="1"/>
        <v>212000</v>
      </c>
      <c r="E51" s="55"/>
    </row>
    <row r="52" spans="1:5" x14ac:dyDescent="0.35">
      <c r="A52" s="54"/>
      <c r="B52" s="88">
        <f>IF(23&lt;=$C$15,$C$7+23,"")</f>
        <v>59</v>
      </c>
      <c r="C52" s="20">
        <f t="shared" si="0"/>
        <v>1327580.4016218774</v>
      </c>
      <c r="D52" s="21">
        <f t="shared" si="1"/>
        <v>218000</v>
      </c>
      <c r="E52" s="55"/>
    </row>
    <row r="53" spans="1:5" x14ac:dyDescent="0.35">
      <c r="A53" s="54"/>
      <c r="B53" s="88">
        <f>IF(24&lt;=$C$15,$C$7+24,"")</f>
        <v>60</v>
      </c>
      <c r="C53" s="20">
        <f t="shared" si="0"/>
        <v>1472930.5583308514</v>
      </c>
      <c r="D53" s="21">
        <f t="shared" si="1"/>
        <v>224000</v>
      </c>
      <c r="E53" s="55"/>
    </row>
    <row r="54" spans="1:5" x14ac:dyDescent="0.35">
      <c r="A54" s="54"/>
      <c r="B54" s="88">
        <f>IF(25&lt;=$C$15,$C$7+25,"")</f>
        <v>61</v>
      </c>
      <c r="C54" s="20">
        <f t="shared" si="0"/>
        <v>1633500.7758018952</v>
      </c>
      <c r="D54" s="21">
        <f t="shared" si="1"/>
        <v>230000</v>
      </c>
      <c r="E54" s="55"/>
    </row>
    <row r="55" spans="1:5" x14ac:dyDescent="0.35">
      <c r="A55" s="54"/>
      <c r="B55" s="88">
        <f>IF(26&lt;=$C$15,$C$7+26,"")</f>
        <v>62</v>
      </c>
      <c r="C55" s="20">
        <f t="shared" si="0"/>
        <v>1810884.7932840479</v>
      </c>
      <c r="D55" s="21">
        <f t="shared" si="1"/>
        <v>236000</v>
      </c>
      <c r="E55" s="55"/>
    </row>
    <row r="56" spans="1:5" x14ac:dyDescent="0.35">
      <c r="A56" s="54"/>
      <c r="B56" s="88">
        <f>IF(27&lt;=$C$15,$C$7+27,"")</f>
        <v>63</v>
      </c>
      <c r="C56" s="20">
        <f t="shared" si="0"/>
        <v>2006843.2353518177</v>
      </c>
      <c r="D56" s="21">
        <f t="shared" si="1"/>
        <v>242000</v>
      </c>
      <c r="E56" s="55"/>
    </row>
    <row r="57" spans="1:5" x14ac:dyDescent="0.35">
      <c r="A57" s="54"/>
      <c r="B57" s="88">
        <f>IF(28&lt;=$C$15,$C$7+28,"")</f>
        <v>64</v>
      </c>
      <c r="C57" s="20">
        <f t="shared" si="0"/>
        <v>2223321.086979521</v>
      </c>
      <c r="D57" s="21">
        <f t="shared" si="1"/>
        <v>248000</v>
      </c>
      <c r="E57" s="55"/>
    </row>
    <row r="58" spans="1:5" x14ac:dyDescent="0.35">
      <c r="A58" s="54"/>
      <c r="B58" s="88">
        <f>IF(29&lt;=$C$15,$C$7+29,"")</f>
        <v>65</v>
      </c>
      <c r="C58" s="20">
        <f t="shared" si="0"/>
        <v>2462466.9984842637</v>
      </c>
      <c r="D58" s="21">
        <f t="shared" si="1"/>
        <v>254000</v>
      </c>
      <c r="E58" s="55"/>
    </row>
    <row r="59" spans="1:5" x14ac:dyDescent="0.35">
      <c r="A59" s="54"/>
      <c r="B59" s="88">
        <f>IF(30&lt;=$C$15,$C$7+30,"")</f>
        <v>66</v>
      </c>
      <c r="C59" s="20">
        <f t="shared" si="0"/>
        <v>2726654.6119487123</v>
      </c>
      <c r="D59" s="21">
        <f t="shared" si="1"/>
        <v>260000</v>
      </c>
      <c r="E59" s="55"/>
    </row>
    <row r="60" spans="1:5" x14ac:dyDescent="0.35">
      <c r="A60" s="54"/>
      <c r="B60" s="88">
        <f>IF(31&lt;=$C$15,$C$7+31,"")</f>
        <v>67</v>
      </c>
      <c r="C60" s="20">
        <f t="shared" si="0"/>
        <v>3018506.1207990185</v>
      </c>
      <c r="D60" s="21">
        <f t="shared" si="1"/>
        <v>266000</v>
      </c>
      <c r="E60" s="55"/>
    </row>
    <row r="61" spans="1:5" x14ac:dyDescent="0.35">
      <c r="A61" s="54"/>
      <c r="B61" s="89" t="str">
        <f>IF(32&lt;=$C$15,$C$7+32,"")</f>
        <v/>
      </c>
      <c r="C61" s="90" t="str">
        <f t="shared" si="0"/>
        <v/>
      </c>
      <c r="D61" s="91" t="str">
        <f t="shared" si="1"/>
        <v/>
      </c>
      <c r="E61" s="55"/>
    </row>
    <row r="62" spans="1:5" x14ac:dyDescent="0.35">
      <c r="A62" s="54"/>
      <c r="B62" s="89" t="str">
        <f>IF(33&lt;=$C$15,$C$7+33,"")</f>
        <v/>
      </c>
      <c r="C62" s="90" t="str">
        <f t="shared" ref="C62:C80" si="2">IF(B62="","",$C$9*(1+$C$11/12)^((B62-$C$7)*12)+IF($C$11=0,$C$10*((B62-$C$7)*12),$C$10*(((1+$C$11/12)^((B62-$C$7)*12)-1)/($C$11/12))*(1+$C$11/12)))</f>
        <v/>
      </c>
      <c r="D62" s="91" t="str">
        <f t="shared" ref="D62:D80" si="3">IF(B62="","",$C$9+$C$10*12*(B62-$C$7))</f>
        <v/>
      </c>
      <c r="E62" s="55"/>
    </row>
    <row r="63" spans="1:5" x14ac:dyDescent="0.35">
      <c r="A63" s="54"/>
      <c r="B63" s="89" t="str">
        <f>IF(34&lt;=$C$15,$C$7+34,"")</f>
        <v/>
      </c>
      <c r="C63" s="90" t="str">
        <f t="shared" si="2"/>
        <v/>
      </c>
      <c r="D63" s="91" t="str">
        <f t="shared" si="3"/>
        <v/>
      </c>
      <c r="E63" s="55"/>
    </row>
    <row r="64" spans="1:5" x14ac:dyDescent="0.35">
      <c r="A64" s="54"/>
      <c r="B64" s="89" t="str">
        <f>IF(35&lt;=$C$15,$C$7+35,"")</f>
        <v/>
      </c>
      <c r="C64" s="90" t="str">
        <f t="shared" si="2"/>
        <v/>
      </c>
      <c r="D64" s="91" t="str">
        <f t="shared" si="3"/>
        <v/>
      </c>
      <c r="E64" s="55"/>
    </row>
    <row r="65" spans="1:5" x14ac:dyDescent="0.35">
      <c r="A65" s="54"/>
      <c r="B65" s="89" t="str">
        <f>IF(36&lt;=$C$15,$C$7+36,"")</f>
        <v/>
      </c>
      <c r="C65" s="90" t="str">
        <f t="shared" si="2"/>
        <v/>
      </c>
      <c r="D65" s="91" t="str">
        <f t="shared" si="3"/>
        <v/>
      </c>
      <c r="E65" s="55"/>
    </row>
    <row r="66" spans="1:5" x14ac:dyDescent="0.35">
      <c r="A66" s="54"/>
      <c r="B66" s="89" t="str">
        <f>IF(37&lt;=$C$15,$C$7+37,"")</f>
        <v/>
      </c>
      <c r="C66" s="90" t="str">
        <f t="shared" si="2"/>
        <v/>
      </c>
      <c r="D66" s="91" t="str">
        <f t="shared" si="3"/>
        <v/>
      </c>
      <c r="E66" s="55"/>
    </row>
    <row r="67" spans="1:5" x14ac:dyDescent="0.35">
      <c r="A67" s="54"/>
      <c r="B67" s="89" t="str">
        <f>IF(38&lt;=$C$15,$C$7+38,"")</f>
        <v/>
      </c>
      <c r="C67" s="90" t="str">
        <f t="shared" si="2"/>
        <v/>
      </c>
      <c r="D67" s="91" t="str">
        <f t="shared" si="3"/>
        <v/>
      </c>
      <c r="E67" s="55"/>
    </row>
    <row r="68" spans="1:5" x14ac:dyDescent="0.35">
      <c r="A68" s="54"/>
      <c r="B68" s="89" t="str">
        <f>IF(39&lt;=$C$15,$C$7+39,"")</f>
        <v/>
      </c>
      <c r="C68" s="90" t="str">
        <f t="shared" si="2"/>
        <v/>
      </c>
      <c r="D68" s="91" t="str">
        <f t="shared" si="3"/>
        <v/>
      </c>
      <c r="E68" s="55"/>
    </row>
    <row r="69" spans="1:5" x14ac:dyDescent="0.35">
      <c r="A69" s="54"/>
      <c r="B69" s="89" t="str">
        <f>IF(40&lt;=$C$15,$C$7+40,"")</f>
        <v/>
      </c>
      <c r="C69" s="90" t="str">
        <f t="shared" si="2"/>
        <v/>
      </c>
      <c r="D69" s="91" t="str">
        <f t="shared" si="3"/>
        <v/>
      </c>
      <c r="E69" s="55"/>
    </row>
    <row r="70" spans="1:5" x14ac:dyDescent="0.35">
      <c r="A70" s="54"/>
      <c r="B70" s="89" t="str">
        <f>IF(41&lt;=$C$15,$C$7+41,"")</f>
        <v/>
      </c>
      <c r="C70" s="90" t="str">
        <f t="shared" si="2"/>
        <v/>
      </c>
      <c r="D70" s="91" t="str">
        <f t="shared" si="3"/>
        <v/>
      </c>
      <c r="E70" s="55"/>
    </row>
    <row r="71" spans="1:5" x14ac:dyDescent="0.35">
      <c r="A71" s="54"/>
      <c r="B71" s="89" t="str">
        <f>IF(42&lt;=$C$15,$C$7+42,"")</f>
        <v/>
      </c>
      <c r="C71" s="90" t="str">
        <f t="shared" si="2"/>
        <v/>
      </c>
      <c r="D71" s="91" t="str">
        <f t="shared" si="3"/>
        <v/>
      </c>
      <c r="E71" s="55"/>
    </row>
    <row r="72" spans="1:5" x14ac:dyDescent="0.35">
      <c r="A72" s="54"/>
      <c r="B72" s="89" t="str">
        <f>IF(43&lt;=$C$15,$C$7+43,"")</f>
        <v/>
      </c>
      <c r="C72" s="90" t="str">
        <f t="shared" si="2"/>
        <v/>
      </c>
      <c r="D72" s="91" t="str">
        <f t="shared" si="3"/>
        <v/>
      </c>
      <c r="E72" s="55"/>
    </row>
    <row r="73" spans="1:5" x14ac:dyDescent="0.35">
      <c r="A73" s="54"/>
      <c r="B73" s="89" t="str">
        <f>IF(44&lt;=$C$15,$C$7+44,"")</f>
        <v/>
      </c>
      <c r="C73" s="90" t="str">
        <f t="shared" si="2"/>
        <v/>
      </c>
      <c r="D73" s="91" t="str">
        <f t="shared" si="3"/>
        <v/>
      </c>
      <c r="E73" s="55"/>
    </row>
    <row r="74" spans="1:5" x14ac:dyDescent="0.35">
      <c r="A74" s="54"/>
      <c r="B74" s="89" t="str">
        <f>IF(45&lt;=$C$15,$C$7+45,"")</f>
        <v/>
      </c>
      <c r="C74" s="90" t="str">
        <f t="shared" si="2"/>
        <v/>
      </c>
      <c r="D74" s="91" t="str">
        <f t="shared" si="3"/>
        <v/>
      </c>
      <c r="E74" s="55"/>
    </row>
    <row r="75" spans="1:5" x14ac:dyDescent="0.35">
      <c r="A75" s="54"/>
      <c r="B75" s="89" t="str">
        <f>IF(46&lt;=$C$15,$C$7+46,"")</f>
        <v/>
      </c>
      <c r="C75" s="90" t="str">
        <f t="shared" si="2"/>
        <v/>
      </c>
      <c r="D75" s="91" t="str">
        <f t="shared" si="3"/>
        <v/>
      </c>
      <c r="E75" s="55"/>
    </row>
    <row r="76" spans="1:5" x14ac:dyDescent="0.35">
      <c r="A76" s="54"/>
      <c r="B76" s="89" t="str">
        <f>IF(47&lt;=$C$15,$C$7+47,"")</f>
        <v/>
      </c>
      <c r="C76" s="90" t="str">
        <f t="shared" si="2"/>
        <v/>
      </c>
      <c r="D76" s="91" t="str">
        <f t="shared" si="3"/>
        <v/>
      </c>
      <c r="E76" s="55"/>
    </row>
    <row r="77" spans="1:5" x14ac:dyDescent="0.35">
      <c r="A77" s="54"/>
      <c r="B77" s="89" t="str">
        <f>IF(48&lt;=$C$15,$C$7+48,"")</f>
        <v/>
      </c>
      <c r="C77" s="90" t="str">
        <f t="shared" si="2"/>
        <v/>
      </c>
      <c r="D77" s="91" t="str">
        <f t="shared" si="3"/>
        <v/>
      </c>
      <c r="E77" s="55"/>
    </row>
    <row r="78" spans="1:5" x14ac:dyDescent="0.35">
      <c r="A78" s="54"/>
      <c r="B78" s="89" t="str">
        <f>IF(49&lt;=$C$15,$C$7+49,"")</f>
        <v/>
      </c>
      <c r="C78" s="90" t="str">
        <f t="shared" si="2"/>
        <v/>
      </c>
      <c r="D78" s="91" t="str">
        <f t="shared" si="3"/>
        <v/>
      </c>
      <c r="E78" s="55"/>
    </row>
    <row r="79" spans="1:5" x14ac:dyDescent="0.35">
      <c r="A79" s="54"/>
      <c r="B79" s="89" t="str">
        <f>IF(50&lt;=$C$15,$C$7+50,"")</f>
        <v/>
      </c>
      <c r="C79" s="90" t="str">
        <f t="shared" si="2"/>
        <v/>
      </c>
      <c r="D79" s="91" t="str">
        <f t="shared" si="3"/>
        <v/>
      </c>
      <c r="E79" s="55"/>
    </row>
    <row r="80" spans="1:5" x14ac:dyDescent="0.35">
      <c r="A80" s="54"/>
      <c r="B80" s="92" t="str">
        <f>IF(51&lt;=$C$15,$C$7+51,"")</f>
        <v/>
      </c>
      <c r="C80" s="90" t="str">
        <f t="shared" si="2"/>
        <v/>
      </c>
      <c r="D80" s="91" t="str">
        <f t="shared" si="3"/>
        <v/>
      </c>
      <c r="E80" s="55"/>
    </row>
    <row r="81" spans="1:5" x14ac:dyDescent="0.35">
      <c r="A81" s="54"/>
      <c r="B81" s="93" t="s">
        <v>78</v>
      </c>
      <c r="C81" s="93"/>
      <c r="D81" s="93"/>
      <c r="E81" s="55"/>
    </row>
    <row r="82" spans="1:5" x14ac:dyDescent="0.35">
      <c r="A82" s="55"/>
      <c r="E82" s="55"/>
    </row>
  </sheetData>
  <mergeCells count="8">
    <mergeCell ref="B22:D22"/>
    <mergeCell ref="B28:D28"/>
    <mergeCell ref="B81:D81"/>
    <mergeCell ref="B2:D2"/>
    <mergeCell ref="B3:D3"/>
    <mergeCell ref="B4:D4"/>
    <mergeCell ref="B6:D6"/>
    <mergeCell ref="B14:D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4"/>
  <sheetViews>
    <sheetView workbookViewId="0"/>
  </sheetViews>
  <sheetFormatPr defaultColWidth="8.6328125" defaultRowHeight="14.5" x14ac:dyDescent="0.35"/>
  <cols>
    <col min="1" max="1" width="2" customWidth="1"/>
    <col min="2" max="2" width="76" customWidth="1"/>
    <col min="3" max="4" width="10" customWidth="1"/>
  </cols>
  <sheetData>
    <row r="1" spans="1:4" x14ac:dyDescent="0.35">
      <c r="A1" s="2"/>
      <c r="B1" s="3"/>
      <c r="C1" s="2"/>
      <c r="D1" s="2"/>
    </row>
    <row r="2" spans="1:4" ht="20" customHeight="1" x14ac:dyDescent="0.35">
      <c r="A2" s="2"/>
      <c r="B2" s="10" t="s">
        <v>79</v>
      </c>
      <c r="C2" s="9"/>
      <c r="D2" s="6"/>
    </row>
    <row r="3" spans="1:4" x14ac:dyDescent="0.35">
      <c r="A3" s="2"/>
      <c r="B3" s="3"/>
      <c r="C3" s="2"/>
      <c r="D3" s="2"/>
    </row>
    <row r="4" spans="1:4" ht="14.65" customHeight="1" x14ac:dyDescent="0.35">
      <c r="A4" s="2"/>
      <c r="B4" s="12" t="s">
        <v>54</v>
      </c>
      <c r="C4" s="12"/>
      <c r="D4" s="7"/>
    </row>
    <row r="5" spans="1:4" ht="9.65" customHeight="1" x14ac:dyDescent="0.35">
      <c r="A5" s="2"/>
      <c r="B5" s="11" t="s">
        <v>55</v>
      </c>
      <c r="C5" s="11"/>
      <c r="D5" s="3"/>
    </row>
    <row r="6" spans="1:4" ht="9.65" customHeight="1" x14ac:dyDescent="0.35">
      <c r="A6" s="2"/>
      <c r="B6" s="11" t="s">
        <v>56</v>
      </c>
      <c r="C6" s="11"/>
      <c r="D6" s="3"/>
    </row>
    <row r="7" spans="1:4" ht="9.65" customHeight="1" x14ac:dyDescent="0.35">
      <c r="A7" s="2"/>
      <c r="B7" s="11" t="s">
        <v>57</v>
      </c>
      <c r="C7" s="11"/>
      <c r="D7" s="3"/>
    </row>
    <row r="8" spans="1:4" ht="9.65" customHeight="1" x14ac:dyDescent="0.35">
      <c r="A8" s="2"/>
      <c r="B8" s="11" t="s">
        <v>58</v>
      </c>
      <c r="C8" s="11"/>
      <c r="D8" s="3"/>
    </row>
    <row r="9" spans="1:4" ht="9.65" customHeight="1" x14ac:dyDescent="0.35">
      <c r="A9" s="2"/>
      <c r="B9" s="11" t="s">
        <v>59</v>
      </c>
      <c r="C9" s="11"/>
      <c r="D9" s="3"/>
    </row>
    <row r="10" spans="1:4" ht="9.65" customHeight="1" x14ac:dyDescent="0.35">
      <c r="A10" s="2"/>
      <c r="B10" s="11" t="s">
        <v>60</v>
      </c>
      <c r="C10" s="11"/>
      <c r="D10" s="3"/>
    </row>
    <row r="11" spans="1:4" ht="9.65" customHeight="1" x14ac:dyDescent="0.35">
      <c r="A11" s="2"/>
      <c r="B11" s="11"/>
      <c r="C11" s="11"/>
      <c r="D11" s="3"/>
    </row>
    <row r="12" spans="1:4" ht="14.65" customHeight="1" x14ac:dyDescent="0.35">
      <c r="A12" s="2"/>
      <c r="B12" s="12" t="s">
        <v>61</v>
      </c>
      <c r="C12" s="12"/>
      <c r="D12" s="8"/>
    </row>
    <row r="13" spans="1:4" ht="9.65" customHeight="1" x14ac:dyDescent="0.35">
      <c r="A13" s="2"/>
      <c r="B13" s="11" t="s">
        <v>62</v>
      </c>
      <c r="C13" s="11"/>
      <c r="D13" s="3"/>
    </row>
    <row r="14" spans="1:4" ht="9.65" customHeight="1" x14ac:dyDescent="0.35">
      <c r="A14" s="2"/>
      <c r="B14" s="11" t="s">
        <v>63</v>
      </c>
      <c r="C14" s="11"/>
      <c r="D14" s="3"/>
    </row>
    <row r="15" spans="1:4" ht="9.65" customHeight="1" x14ac:dyDescent="0.35">
      <c r="A15" s="2"/>
      <c r="B15" s="11" t="s">
        <v>64</v>
      </c>
      <c r="C15" s="11"/>
      <c r="D15" s="3"/>
    </row>
    <row r="16" spans="1:4" ht="9.65" customHeight="1" x14ac:dyDescent="0.35">
      <c r="A16" s="2"/>
      <c r="B16" s="11" t="s">
        <v>65</v>
      </c>
      <c r="C16" s="11"/>
      <c r="D16" s="3"/>
    </row>
    <row r="17" spans="1:4" ht="9.65" customHeight="1" x14ac:dyDescent="0.35">
      <c r="A17" s="2"/>
      <c r="B17" s="11" t="s">
        <v>66</v>
      </c>
      <c r="C17" s="11"/>
      <c r="D17" s="3"/>
    </row>
    <row r="18" spans="1:4" ht="9.65" customHeight="1" x14ac:dyDescent="0.35">
      <c r="A18" s="2"/>
      <c r="B18" s="11" t="s">
        <v>67</v>
      </c>
      <c r="C18" s="11"/>
      <c r="D18" s="3"/>
    </row>
    <row r="19" spans="1:4" ht="9.65" customHeight="1" x14ac:dyDescent="0.35">
      <c r="A19" s="2"/>
      <c r="B19" s="11"/>
      <c r="C19" s="11"/>
      <c r="D19" s="3"/>
    </row>
    <row r="20" spans="1:4" ht="14.65" customHeight="1" x14ac:dyDescent="0.35">
      <c r="A20" s="2"/>
      <c r="B20" s="12" t="s">
        <v>68</v>
      </c>
      <c r="C20" s="12"/>
      <c r="D20" s="8"/>
    </row>
    <row r="21" spans="1:4" ht="9.65" customHeight="1" x14ac:dyDescent="0.35">
      <c r="A21" s="2"/>
      <c r="B21" s="11" t="s">
        <v>69</v>
      </c>
      <c r="C21" s="11"/>
      <c r="D21" s="3"/>
    </row>
    <row r="22" spans="1:4" ht="9.65" customHeight="1" x14ac:dyDescent="0.35">
      <c r="A22" s="2"/>
      <c r="B22" s="11" t="s">
        <v>70</v>
      </c>
      <c r="C22" s="11"/>
      <c r="D22" s="3"/>
    </row>
    <row r="23" spans="1:4" ht="9.65" customHeight="1" x14ac:dyDescent="0.35">
      <c r="A23" s="2"/>
      <c r="B23" s="11" t="s">
        <v>71</v>
      </c>
      <c r="C23" s="11"/>
      <c r="D23" s="3"/>
    </row>
    <row r="24" spans="1:4" ht="9.65" customHeight="1" x14ac:dyDescent="0.35">
      <c r="A24" s="2"/>
      <c r="B24" s="11" t="s">
        <v>72</v>
      </c>
      <c r="C24" s="11"/>
      <c r="D24" s="2"/>
    </row>
  </sheetData>
  <mergeCells count="22">
    <mergeCell ref="B2:C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23:C23"/>
    <mergeCell ref="B24:C24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Goal-Based Calculator</vt:lpstr>
      <vt:lpstr>Projection Calculator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Walter Vaughn</cp:lastModifiedBy>
  <dcterms:modified xsi:type="dcterms:W3CDTF">2026-06-12T12:38:08Z</dcterms:modified>
</cp:coreProperties>
</file>