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b6c2598d9b0bb270/Desktop/"/>
    </mc:Choice>
  </mc:AlternateContent>
  <xr:revisionPtr revIDLastSave="17" documentId="8_{ABFB3777-E937-42ED-9E94-869DD2A4A8FD}" xr6:coauthVersionLast="47" xr6:coauthVersionMax="47" xr10:uidLastSave="{3D159F69-A841-4BB9-B592-2317B07A3896}"/>
  <bookViews>
    <workbookView xWindow="-110" yWindow="-110" windowWidth="19420" windowHeight="10300" xr2:uid="{00000000-000D-0000-FFFF-FFFF00000000}"/>
  </bookViews>
  <sheets>
    <sheet name="Dashboard" sheetId="1" r:id="rId1"/>
    <sheet name="Annual Projection" sheetId="2" r:id="rId2"/>
    <sheet name="Charts &amp; Analysis" sheetId="3" r:id="rId3"/>
    <sheet name="Scenarios" sheetId="4" r:id="rId4"/>
    <sheet name="Corrections &amp; Sources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4" l="1"/>
  <c r="B9" i="4"/>
  <c r="B8" i="4"/>
  <c r="B7" i="4"/>
  <c r="B6" i="4"/>
  <c r="B53" i="2"/>
  <c r="A53" i="2"/>
  <c r="A55" i="3" s="1"/>
  <c r="B52" i="2"/>
  <c r="A52" i="2"/>
  <c r="G52" i="2" s="1"/>
  <c r="B51" i="2"/>
  <c r="A51" i="2"/>
  <c r="G51" i="2" s="1"/>
  <c r="B50" i="2"/>
  <c r="A50" i="2"/>
  <c r="A52" i="3" s="1"/>
  <c r="B49" i="2"/>
  <c r="A49" i="2"/>
  <c r="G49" i="2" s="1"/>
  <c r="B48" i="2"/>
  <c r="A48" i="2"/>
  <c r="G48" i="2" s="1"/>
  <c r="B47" i="2"/>
  <c r="A47" i="2"/>
  <c r="A49" i="3" s="1"/>
  <c r="B46" i="2"/>
  <c r="A46" i="2"/>
  <c r="F46" i="2" s="1"/>
  <c r="F45" i="2"/>
  <c r="D45" i="2"/>
  <c r="B45" i="2"/>
  <c r="A45" i="2"/>
  <c r="G45" i="2" s="1"/>
  <c r="B44" i="2"/>
  <c r="A44" i="2"/>
  <c r="C44" i="2" s="1"/>
  <c r="F43" i="2"/>
  <c r="B43" i="2"/>
  <c r="A43" i="2"/>
  <c r="G43" i="2" s="1"/>
  <c r="B42" i="2"/>
  <c r="A42" i="2"/>
  <c r="C42" i="2" s="1"/>
  <c r="B41" i="2"/>
  <c r="A41" i="2"/>
  <c r="A43" i="3" s="1"/>
  <c r="B40" i="2"/>
  <c r="A40" i="2"/>
  <c r="H40" i="2" s="1"/>
  <c r="B39" i="2"/>
  <c r="A39" i="2"/>
  <c r="G39" i="2" s="1"/>
  <c r="B38" i="2"/>
  <c r="A38" i="2"/>
  <c r="G38" i="2" s="1"/>
  <c r="B37" i="2"/>
  <c r="A37" i="2"/>
  <c r="G37" i="2" s="1"/>
  <c r="B36" i="2"/>
  <c r="A36" i="2"/>
  <c r="C36" i="2" s="1"/>
  <c r="B35" i="2"/>
  <c r="A35" i="2"/>
  <c r="A37" i="3" s="1"/>
  <c r="B34" i="2"/>
  <c r="A34" i="2"/>
  <c r="F34" i="2" s="1"/>
  <c r="B33" i="2"/>
  <c r="A33" i="2"/>
  <c r="G33" i="2" s="1"/>
  <c r="B32" i="2"/>
  <c r="A32" i="2"/>
  <c r="D32" i="2" s="1"/>
  <c r="B31" i="2"/>
  <c r="A31" i="2"/>
  <c r="A33" i="3" s="1"/>
  <c r="B30" i="2"/>
  <c r="A30" i="2"/>
  <c r="A32" i="3" s="1"/>
  <c r="B29" i="2"/>
  <c r="A29" i="2"/>
  <c r="A31" i="3" s="1"/>
  <c r="B28" i="2"/>
  <c r="A28" i="2"/>
  <c r="A30" i="3" s="1"/>
  <c r="B27" i="2"/>
  <c r="A27" i="2"/>
  <c r="G27" i="2" s="1"/>
  <c r="B26" i="2"/>
  <c r="A26" i="2"/>
  <c r="D26" i="2" s="1"/>
  <c r="B25" i="2"/>
  <c r="A25" i="2"/>
  <c r="A27" i="3" s="1"/>
  <c r="B24" i="2"/>
  <c r="A24" i="2"/>
  <c r="A26" i="3" s="1"/>
  <c r="B23" i="2"/>
  <c r="A23" i="2"/>
  <c r="A25" i="3" s="1"/>
  <c r="B22" i="2"/>
  <c r="A22" i="2"/>
  <c r="F22" i="2" s="1"/>
  <c r="B21" i="2"/>
  <c r="A21" i="2"/>
  <c r="A23" i="3" s="1"/>
  <c r="B20" i="2"/>
  <c r="A20" i="2"/>
  <c r="N20" i="2" s="1"/>
  <c r="B19" i="2"/>
  <c r="A19" i="2"/>
  <c r="A21" i="3" s="1"/>
  <c r="B18" i="2"/>
  <c r="A18" i="2"/>
  <c r="H18" i="2" s="1"/>
  <c r="F17" i="2"/>
  <c r="B17" i="2"/>
  <c r="A17" i="2"/>
  <c r="A19" i="3" s="1"/>
  <c r="B16" i="2"/>
  <c r="A16" i="2"/>
  <c r="F16" i="2" s="1"/>
  <c r="B15" i="2"/>
  <c r="A15" i="2"/>
  <c r="G15" i="2" s="1"/>
  <c r="B14" i="2"/>
  <c r="A14" i="2"/>
  <c r="D14" i="2" s="1"/>
  <c r="B13" i="2"/>
  <c r="A13" i="2"/>
  <c r="G13" i="2" s="1"/>
  <c r="B12" i="2"/>
  <c r="A12" i="2"/>
  <c r="G12" i="2" s="1"/>
  <c r="B11" i="2"/>
  <c r="A11" i="2"/>
  <c r="D11" i="2" s="1"/>
  <c r="B10" i="2"/>
  <c r="A10" i="2"/>
  <c r="B9" i="2"/>
  <c r="A9" i="2"/>
  <c r="H9" i="2" s="1"/>
  <c r="B8" i="2"/>
  <c r="A8" i="2"/>
  <c r="G8" i="2" s="1"/>
  <c r="B7" i="2"/>
  <c r="A7" i="2"/>
  <c r="D7" i="2" s="1"/>
  <c r="B6" i="2"/>
  <c r="A6" i="2"/>
  <c r="G6" i="2" s="1"/>
  <c r="B5" i="2"/>
  <c r="A5" i="2"/>
  <c r="D5" i="2" s="1"/>
  <c r="B4" i="2"/>
  <c r="A4" i="2"/>
  <c r="D4" i="2" s="1"/>
  <c r="B3" i="2"/>
  <c r="A3" i="2"/>
  <c r="H3" i="2" s="1"/>
  <c r="G40" i="1"/>
  <c r="B11" i="4" s="1"/>
  <c r="G39" i="1"/>
  <c r="G32" i="1"/>
  <c r="G31" i="1"/>
  <c r="G30" i="1"/>
  <c r="G28" i="1"/>
  <c r="G27" i="1"/>
  <c r="G22" i="1"/>
  <c r="D20" i="1"/>
  <c r="G33" i="1" s="1"/>
  <c r="G14" i="2" l="1"/>
  <c r="H30" i="2"/>
  <c r="H45" i="2"/>
  <c r="N14" i="2"/>
  <c r="O14" i="2" s="1"/>
  <c r="F19" i="2"/>
  <c r="F36" i="2"/>
  <c r="G36" i="2"/>
  <c r="G16" i="2"/>
  <c r="F42" i="2"/>
  <c r="L16" i="2"/>
  <c r="C18" i="3" s="1"/>
  <c r="C23" i="2"/>
  <c r="D41" i="2"/>
  <c r="G42" i="2"/>
  <c r="H44" i="2"/>
  <c r="H5" i="2"/>
  <c r="E15" i="2"/>
  <c r="D23" i="2"/>
  <c r="E25" i="2"/>
  <c r="F27" i="2"/>
  <c r="H39" i="2"/>
  <c r="F41" i="2"/>
  <c r="G3" i="2"/>
  <c r="N5" i="2"/>
  <c r="D7" i="3" s="1"/>
  <c r="F15" i="2"/>
  <c r="E19" i="2"/>
  <c r="E23" i="2"/>
  <c r="F25" i="2"/>
  <c r="H27" i="2"/>
  <c r="H37" i="2"/>
  <c r="H41" i="2"/>
  <c r="L15" i="2"/>
  <c r="C17" i="3" s="1"/>
  <c r="E22" i="2"/>
  <c r="H24" i="2"/>
  <c r="F29" i="2"/>
  <c r="D35" i="2"/>
  <c r="H46" i="2"/>
  <c r="N15" i="2"/>
  <c r="D17" i="3" s="1"/>
  <c r="G22" i="2"/>
  <c r="H29" i="2"/>
  <c r="H31" i="2"/>
  <c r="F35" i="2"/>
  <c r="H38" i="2"/>
  <c r="H51" i="2"/>
  <c r="E12" i="2"/>
  <c r="F14" i="2"/>
  <c r="D15" i="2"/>
  <c r="E17" i="2"/>
  <c r="D19" i="2"/>
  <c r="N23" i="2"/>
  <c r="D25" i="3" s="1"/>
  <c r="D25" i="2"/>
  <c r="H28" i="2"/>
  <c r="H34" i="2"/>
  <c r="F37" i="2"/>
  <c r="C41" i="2"/>
  <c r="D43" i="2"/>
  <c r="G44" i="2"/>
  <c r="H47" i="2"/>
  <c r="A53" i="3"/>
  <c r="H52" i="2"/>
  <c r="H43" i="2"/>
  <c r="D51" i="2"/>
  <c r="A16" i="3"/>
  <c r="D12" i="2"/>
  <c r="C14" i="2"/>
  <c r="C15" i="2"/>
  <c r="D17" i="2"/>
  <c r="L22" i="2"/>
  <c r="C24" i="3" s="1"/>
  <c r="F23" i="2"/>
  <c r="F28" i="2"/>
  <c r="H35" i="2"/>
  <c r="C43" i="2"/>
  <c r="A29" i="3"/>
  <c r="H21" i="2"/>
  <c r="L26" i="2"/>
  <c r="C28" i="3" s="1"/>
  <c r="L21" i="2"/>
  <c r="C23" i="3" s="1"/>
  <c r="C21" i="2"/>
  <c r="G9" i="2"/>
  <c r="H11" i="2"/>
  <c r="H17" i="2"/>
  <c r="H19" i="2"/>
  <c r="D21" i="2"/>
  <c r="H25" i="2"/>
  <c r="E26" i="2"/>
  <c r="C31" i="2"/>
  <c r="C39" i="2"/>
  <c r="F40" i="2"/>
  <c r="C47" i="2"/>
  <c r="C53" i="2"/>
  <c r="D6" i="2"/>
  <c r="D8" i="2"/>
  <c r="N11" i="2"/>
  <c r="O11" i="2" s="1"/>
  <c r="C16" i="2"/>
  <c r="L17" i="2"/>
  <c r="C19" i="3" s="1"/>
  <c r="L19" i="2"/>
  <c r="C21" i="3" s="1"/>
  <c r="G20" i="2"/>
  <c r="E21" i="2"/>
  <c r="H23" i="2"/>
  <c r="E24" i="2"/>
  <c r="L25" i="2"/>
  <c r="C27" i="3" s="1"/>
  <c r="F26" i="2"/>
  <c r="C27" i="2"/>
  <c r="C29" i="2"/>
  <c r="C30" i="2"/>
  <c r="D31" i="2"/>
  <c r="F32" i="2"/>
  <c r="F33" i="2"/>
  <c r="C37" i="2"/>
  <c r="C38" i="2"/>
  <c r="D39" i="2"/>
  <c r="D47" i="2"/>
  <c r="F48" i="2"/>
  <c r="F49" i="2"/>
  <c r="F52" i="2"/>
  <c r="D53" i="2"/>
  <c r="A47" i="3"/>
  <c r="L24" i="2"/>
  <c r="C26" i="3" s="1"/>
  <c r="N26" i="2"/>
  <c r="D28" i="3" s="1"/>
  <c r="D9" i="2"/>
  <c r="N16" i="2"/>
  <c r="D18" i="3" s="1"/>
  <c r="C20" i="2"/>
  <c r="N21" i="2"/>
  <c r="D23" i="3" s="1"/>
  <c r="N24" i="2"/>
  <c r="D26" i="3" s="1"/>
  <c r="C26" i="2"/>
  <c r="L27" i="2"/>
  <c r="C29" i="3" s="1"/>
  <c r="C33" i="2"/>
  <c r="C49" i="2"/>
  <c r="G50" i="2"/>
  <c r="A34" i="3"/>
  <c r="F20" i="2"/>
  <c r="N22" i="2"/>
  <c r="D24" i="3" s="1"/>
  <c r="C24" i="2"/>
  <c r="C32" i="2"/>
  <c r="D33" i="2"/>
  <c r="C48" i="2"/>
  <c r="D49" i="2"/>
  <c r="A41" i="3"/>
  <c r="D3" i="2"/>
  <c r="E6" i="2"/>
  <c r="H15" i="2"/>
  <c r="E16" i="2"/>
  <c r="C17" i="2"/>
  <c r="N17" i="2"/>
  <c r="O17" i="2" s="1"/>
  <c r="C19" i="2"/>
  <c r="N19" i="2"/>
  <c r="D21" i="3" s="1"/>
  <c r="F21" i="2"/>
  <c r="C22" i="2"/>
  <c r="L23" i="2"/>
  <c r="C25" i="3" s="1"/>
  <c r="F24" i="2"/>
  <c r="C25" i="2"/>
  <c r="N25" i="2"/>
  <c r="D27" i="3" s="1"/>
  <c r="H26" i="2"/>
  <c r="D27" i="2"/>
  <c r="C28" i="2"/>
  <c r="D29" i="2"/>
  <c r="F30" i="2"/>
  <c r="F31" i="2"/>
  <c r="H32" i="2"/>
  <c r="C35" i="2"/>
  <c r="D37" i="2"/>
  <c r="F39" i="2"/>
  <c r="C45" i="2"/>
  <c r="F47" i="2"/>
  <c r="H49" i="2"/>
  <c r="C51" i="2"/>
  <c r="H53" i="2"/>
  <c r="G29" i="1"/>
  <c r="G34" i="1" s="1"/>
  <c r="A12" i="3"/>
  <c r="C10" i="2"/>
  <c r="N10" i="2"/>
  <c r="H10" i="2"/>
  <c r="L10" i="2"/>
  <c r="C12" i="3" s="1"/>
  <c r="F10" i="2"/>
  <c r="N7" i="2"/>
  <c r="A20" i="3"/>
  <c r="D18" i="2"/>
  <c r="N18" i="2"/>
  <c r="G18" i="2"/>
  <c r="F18" i="2"/>
  <c r="L18" i="2"/>
  <c r="C20" i="3" s="1"/>
  <c r="E18" i="2"/>
  <c r="C18" i="2"/>
  <c r="A7" i="3"/>
  <c r="L5" i="2"/>
  <c r="C7" i="3" s="1"/>
  <c r="F5" i="2"/>
  <c r="E5" i="2"/>
  <c r="C5" i="2"/>
  <c r="A10" i="3"/>
  <c r="C8" i="2"/>
  <c r="N8" i="2"/>
  <c r="H8" i="2"/>
  <c r="L8" i="2"/>
  <c r="C10" i="3" s="1"/>
  <c r="F8" i="2"/>
  <c r="D10" i="2"/>
  <c r="A13" i="3"/>
  <c r="L11" i="2"/>
  <c r="C13" i="3" s="1"/>
  <c r="F11" i="2"/>
  <c r="E11" i="2"/>
  <c r="C11" i="2"/>
  <c r="A6" i="3"/>
  <c r="C4" i="2"/>
  <c r="N4" i="2"/>
  <c r="H4" i="2"/>
  <c r="L4" i="2"/>
  <c r="C6" i="3" s="1"/>
  <c r="F4" i="2"/>
  <c r="A9" i="3"/>
  <c r="L7" i="2"/>
  <c r="C9" i="3" s="1"/>
  <c r="F7" i="2"/>
  <c r="E7" i="2"/>
  <c r="C7" i="2"/>
  <c r="A15" i="3"/>
  <c r="L13" i="2"/>
  <c r="C15" i="3" s="1"/>
  <c r="F13" i="2"/>
  <c r="E13" i="2"/>
  <c r="D13" i="2"/>
  <c r="C13" i="2"/>
  <c r="G7" i="2"/>
  <c r="E10" i="2"/>
  <c r="B12" i="4"/>
  <c r="L48" i="2"/>
  <c r="C50" i="3" s="1"/>
  <c r="L47" i="2"/>
  <c r="C49" i="3" s="1"/>
  <c r="L41" i="2"/>
  <c r="C43" i="3" s="1"/>
  <c r="L35" i="2"/>
  <c r="C37" i="3" s="1"/>
  <c r="L43" i="2"/>
  <c r="C45" i="3" s="1"/>
  <c r="L37" i="2"/>
  <c r="C39" i="3" s="1"/>
  <c r="L29" i="2"/>
  <c r="C31" i="3" s="1"/>
  <c r="L28" i="2"/>
  <c r="C30" i="3" s="1"/>
  <c r="L52" i="2"/>
  <c r="C54" i="3" s="1"/>
  <c r="L31" i="2"/>
  <c r="C33" i="3" s="1"/>
  <c r="L30" i="2"/>
  <c r="C32" i="3" s="1"/>
  <c r="L32" i="2"/>
  <c r="C34" i="3" s="1"/>
  <c r="L39" i="2"/>
  <c r="C41" i="3" s="1"/>
  <c r="L38" i="2"/>
  <c r="C40" i="3" s="1"/>
  <c r="L33" i="2"/>
  <c r="C35" i="3" s="1"/>
  <c r="L50" i="2"/>
  <c r="C52" i="3" s="1"/>
  <c r="L45" i="2"/>
  <c r="C47" i="3" s="1"/>
  <c r="A5" i="3"/>
  <c r="L3" i="2"/>
  <c r="C5" i="3" s="1"/>
  <c r="F3" i="2"/>
  <c r="E3" i="2"/>
  <c r="C3" i="2"/>
  <c r="G4" i="2"/>
  <c r="A8" i="3"/>
  <c r="C6" i="2"/>
  <c r="N6" i="2"/>
  <c r="H6" i="2"/>
  <c r="L6" i="2"/>
  <c r="C8" i="3" s="1"/>
  <c r="F6" i="2"/>
  <c r="H7" i="2"/>
  <c r="L9" i="2"/>
  <c r="C11" i="3" s="1"/>
  <c r="F9" i="2"/>
  <c r="A11" i="3"/>
  <c r="E9" i="2"/>
  <c r="C9" i="2"/>
  <c r="G10" i="2"/>
  <c r="A14" i="3"/>
  <c r="C12" i="2"/>
  <c r="N12" i="2"/>
  <c r="H12" i="2"/>
  <c r="L12" i="2"/>
  <c r="C14" i="3" s="1"/>
  <c r="F12" i="2"/>
  <c r="N13" i="2"/>
  <c r="D22" i="3"/>
  <c r="O20" i="2"/>
  <c r="D16" i="3"/>
  <c r="E4" i="2"/>
  <c r="D13" i="3"/>
  <c r="H13" i="2"/>
  <c r="N3" i="2"/>
  <c r="G5" i="2"/>
  <c r="E8" i="2"/>
  <c r="N9" i="2"/>
  <c r="G11" i="2"/>
  <c r="H14" i="2"/>
  <c r="A22" i="3"/>
  <c r="D20" i="2"/>
  <c r="H20" i="2"/>
  <c r="N27" i="2"/>
  <c r="D38" i="2"/>
  <c r="A40" i="3"/>
  <c r="F38" i="2"/>
  <c r="D44" i="2"/>
  <c r="A46" i="3"/>
  <c r="F44" i="2"/>
  <c r="L44" i="2"/>
  <c r="C46" i="3" s="1"/>
  <c r="A18" i="3"/>
  <c r="D16" i="2"/>
  <c r="H16" i="2"/>
  <c r="J16" i="2" s="1"/>
  <c r="A24" i="3"/>
  <c r="D22" i="2"/>
  <c r="H22" i="2"/>
  <c r="O24" i="2"/>
  <c r="G41" i="1"/>
  <c r="E14" i="2"/>
  <c r="L14" i="2"/>
  <c r="C16" i="3" s="1"/>
  <c r="E20" i="2"/>
  <c r="L20" i="2"/>
  <c r="C22" i="3" s="1"/>
  <c r="A36" i="3"/>
  <c r="D34" i="2"/>
  <c r="G34" i="2"/>
  <c r="C34" i="2"/>
  <c r="L34" i="2"/>
  <c r="C36" i="3" s="1"/>
  <c r="A42" i="3"/>
  <c r="D40" i="2"/>
  <c r="G40" i="2"/>
  <c r="C40" i="2"/>
  <c r="L40" i="2"/>
  <c r="C42" i="3" s="1"/>
  <c r="A48" i="3"/>
  <c r="D46" i="2"/>
  <c r="G46" i="2"/>
  <c r="C46" i="2"/>
  <c r="L46" i="2"/>
  <c r="C48" i="3" s="1"/>
  <c r="D50" i="2"/>
  <c r="C50" i="2"/>
  <c r="F50" i="2"/>
  <c r="H50" i="2"/>
  <c r="G24" i="2"/>
  <c r="G26" i="2"/>
  <c r="G28" i="2"/>
  <c r="G30" i="2"/>
  <c r="G32" i="2"/>
  <c r="A38" i="3"/>
  <c r="D36" i="2"/>
  <c r="H36" i="2"/>
  <c r="A44" i="3"/>
  <c r="D42" i="2"/>
  <c r="H42" i="2"/>
  <c r="A50" i="3"/>
  <c r="D48" i="2"/>
  <c r="H48" i="2"/>
  <c r="A17" i="3"/>
  <c r="A35" i="3"/>
  <c r="A28" i="3"/>
  <c r="G17" i="2"/>
  <c r="G19" i="2"/>
  <c r="G21" i="2"/>
  <c r="G23" i="2"/>
  <c r="D24" i="2"/>
  <c r="G25" i="2"/>
  <c r="D28" i="2"/>
  <c r="G29" i="2"/>
  <c r="D30" i="2"/>
  <c r="G31" i="2"/>
  <c r="H33" i="2"/>
  <c r="L36" i="2"/>
  <c r="C38" i="3" s="1"/>
  <c r="L42" i="2"/>
  <c r="C44" i="3" s="1"/>
  <c r="A54" i="3"/>
  <c r="D52" i="2"/>
  <c r="C52" i="2"/>
  <c r="L49" i="2"/>
  <c r="C51" i="3" s="1"/>
  <c r="F51" i="2"/>
  <c r="L51" i="2"/>
  <c r="C53" i="3" s="1"/>
  <c r="F53" i="2"/>
  <c r="L53" i="2"/>
  <c r="C55" i="3" s="1"/>
  <c r="A39" i="3"/>
  <c r="A45" i="3"/>
  <c r="A51" i="3"/>
  <c r="G35" i="2"/>
  <c r="G41" i="2"/>
  <c r="G47" i="2"/>
  <c r="G53" i="2"/>
  <c r="J23" i="2" l="1"/>
  <c r="O15" i="2"/>
  <c r="O21" i="2"/>
  <c r="I15" i="2"/>
  <c r="I25" i="2"/>
  <c r="O23" i="2"/>
  <c r="O5" i="2"/>
  <c r="I22" i="2"/>
  <c r="J15" i="2"/>
  <c r="J14" i="2"/>
  <c r="O16" i="2"/>
  <c r="I17" i="2"/>
  <c r="O25" i="2"/>
  <c r="O22" i="2"/>
  <c r="I26" i="2"/>
  <c r="I21" i="2"/>
  <c r="O19" i="2"/>
  <c r="I19" i="2"/>
  <c r="J24" i="2"/>
  <c r="D19" i="3"/>
  <c r="O26" i="2"/>
  <c r="G35" i="1"/>
  <c r="G36" i="1" s="1"/>
  <c r="J22" i="2"/>
  <c r="I16" i="2"/>
  <c r="K16" i="2" s="1"/>
  <c r="J26" i="2"/>
  <c r="J20" i="2"/>
  <c r="J19" i="2"/>
  <c r="D10" i="3"/>
  <c r="O8" i="2"/>
  <c r="I23" i="2"/>
  <c r="K23" i="2" s="1"/>
  <c r="I14" i="2"/>
  <c r="D14" i="3"/>
  <c r="O12" i="2"/>
  <c r="D6" i="3"/>
  <c r="O4" i="2"/>
  <c r="I8" i="2"/>
  <c r="J8" i="2"/>
  <c r="D12" i="3"/>
  <c r="O10" i="2"/>
  <c r="D29" i="3"/>
  <c r="O27" i="2"/>
  <c r="E27" i="2"/>
  <c r="N28" i="2"/>
  <c r="I12" i="2"/>
  <c r="J12" i="2"/>
  <c r="I4" i="2"/>
  <c r="J4" i="2"/>
  <c r="J21" i="2"/>
  <c r="D20" i="3"/>
  <c r="O18" i="2"/>
  <c r="I10" i="2"/>
  <c r="J10" i="2"/>
  <c r="D11" i="3"/>
  <c r="O9" i="2"/>
  <c r="I3" i="2"/>
  <c r="J3" i="2"/>
  <c r="D8" i="3"/>
  <c r="O6" i="2"/>
  <c r="I20" i="2"/>
  <c r="D15" i="3"/>
  <c r="O13" i="2"/>
  <c r="I6" i="2"/>
  <c r="J6" i="2"/>
  <c r="J18" i="2"/>
  <c r="I18" i="2"/>
  <c r="D5" i="3"/>
  <c r="O3" i="2"/>
  <c r="I11" i="2"/>
  <c r="J11" i="2"/>
  <c r="I5" i="2"/>
  <c r="J5" i="2"/>
  <c r="J17" i="2"/>
  <c r="K17" i="2" s="1"/>
  <c r="J25" i="2"/>
  <c r="I24" i="2"/>
  <c r="I9" i="2"/>
  <c r="J9" i="2"/>
  <c r="J13" i="2"/>
  <c r="I13" i="2"/>
  <c r="I7" i="2"/>
  <c r="J7" i="2"/>
  <c r="D9" i="3"/>
  <c r="O7" i="2"/>
  <c r="K25" i="2" l="1"/>
  <c r="K22" i="2"/>
  <c r="K15" i="2"/>
  <c r="M15" i="2" s="1"/>
  <c r="E17" i="3" s="1"/>
  <c r="K14" i="2"/>
  <c r="B16" i="3" s="1"/>
  <c r="K24" i="2"/>
  <c r="B26" i="3" s="1"/>
  <c r="K26" i="2"/>
  <c r="B28" i="3" s="1"/>
  <c r="K19" i="2"/>
  <c r="B21" i="3" s="1"/>
  <c r="K21" i="2"/>
  <c r="M21" i="2" s="1"/>
  <c r="E23" i="3" s="1"/>
  <c r="K20" i="2"/>
  <c r="M20" i="2" s="1"/>
  <c r="E22" i="3" s="1"/>
  <c r="B24" i="3"/>
  <c r="M22" i="2"/>
  <c r="E24" i="3" s="1"/>
  <c r="G37" i="1"/>
  <c r="H37" i="1" s="1"/>
  <c r="B13" i="4"/>
  <c r="G38" i="1"/>
  <c r="K18" i="2"/>
  <c r="M18" i="2" s="1"/>
  <c r="E20" i="3" s="1"/>
  <c r="K10" i="2"/>
  <c r="M10" i="2" s="1"/>
  <c r="E12" i="3" s="1"/>
  <c r="K5" i="2"/>
  <c r="M5" i="2" s="1"/>
  <c r="E7" i="3" s="1"/>
  <c r="K13" i="2"/>
  <c r="B15" i="3" s="1"/>
  <c r="B19" i="3"/>
  <c r="M17" i="2"/>
  <c r="E19" i="3" s="1"/>
  <c r="B27" i="3"/>
  <c r="M25" i="2"/>
  <c r="E27" i="3" s="1"/>
  <c r="K7" i="2"/>
  <c r="K6" i="2"/>
  <c r="D30" i="3"/>
  <c r="O28" i="2"/>
  <c r="E28" i="2"/>
  <c r="N29" i="2"/>
  <c r="K4" i="2"/>
  <c r="J27" i="2"/>
  <c r="I27" i="2"/>
  <c r="K8" i="2"/>
  <c r="B25" i="3"/>
  <c r="M23" i="2"/>
  <c r="E25" i="3" s="1"/>
  <c r="K12" i="2"/>
  <c r="K9" i="2"/>
  <c r="K11" i="2"/>
  <c r="K3" i="2"/>
  <c r="B18" i="3"/>
  <c r="M16" i="2"/>
  <c r="E18" i="3" s="1"/>
  <c r="B17" i="3" l="1"/>
  <c r="M26" i="2"/>
  <c r="E28" i="3" s="1"/>
  <c r="M14" i="2"/>
  <c r="E16" i="3" s="1"/>
  <c r="M19" i="2"/>
  <c r="E21" i="3" s="1"/>
  <c r="B20" i="3"/>
  <c r="M24" i="2"/>
  <c r="E26" i="3" s="1"/>
  <c r="B14" i="4"/>
  <c r="B22" i="3"/>
  <c r="K27" i="2"/>
  <c r="B29" i="3" s="1"/>
  <c r="B23" i="3"/>
  <c r="B12" i="3"/>
  <c r="B7" i="3"/>
  <c r="M13" i="2"/>
  <c r="E15" i="3" s="1"/>
  <c r="B5" i="3"/>
  <c r="M3" i="2"/>
  <c r="E5" i="3" s="1"/>
  <c r="B8" i="3"/>
  <c r="M6" i="2"/>
  <c r="E8" i="3" s="1"/>
  <c r="B10" i="3"/>
  <c r="M8" i="2"/>
  <c r="E10" i="3" s="1"/>
  <c r="B13" i="3"/>
  <c r="M11" i="2"/>
  <c r="E13" i="3" s="1"/>
  <c r="B9" i="3"/>
  <c r="M7" i="2"/>
  <c r="E9" i="3" s="1"/>
  <c r="D31" i="3"/>
  <c r="O29" i="2"/>
  <c r="E29" i="2"/>
  <c r="B6" i="3"/>
  <c r="M4" i="2"/>
  <c r="E6" i="3" s="1"/>
  <c r="B11" i="3"/>
  <c r="M9" i="2"/>
  <c r="E11" i="3" s="1"/>
  <c r="B14" i="3"/>
  <c r="M12" i="2"/>
  <c r="E14" i="3" s="1"/>
  <c r="J28" i="2"/>
  <c r="I28" i="2"/>
  <c r="M27" i="2" l="1"/>
  <c r="E29" i="3" s="1"/>
  <c r="K28" i="2"/>
  <c r="B30" i="3" s="1"/>
  <c r="I29" i="2"/>
  <c r="J29" i="2"/>
  <c r="N30" i="2"/>
  <c r="M28" i="2" l="1"/>
  <c r="E30" i="3" s="1"/>
  <c r="K29" i="2"/>
  <c r="B31" i="3" s="1"/>
  <c r="E30" i="2"/>
  <c r="D32" i="3"/>
  <c r="O30" i="2"/>
  <c r="M29" i="2" l="1"/>
  <c r="E31" i="3" s="1"/>
  <c r="J30" i="2"/>
  <c r="I30" i="2"/>
  <c r="N31" i="2"/>
  <c r="K30" i="2" l="1"/>
  <c r="B32" i="3" s="1"/>
  <c r="D33" i="3"/>
  <c r="E31" i="2"/>
  <c r="N32" i="2" s="1"/>
  <c r="O31" i="2"/>
  <c r="M30" i="2" l="1"/>
  <c r="E32" i="3" s="1"/>
  <c r="D34" i="3"/>
  <c r="O32" i="2"/>
  <c r="E32" i="2"/>
  <c r="N33" i="2" s="1"/>
  <c r="I31" i="2"/>
  <c r="J31" i="2"/>
  <c r="K31" i="2" l="1"/>
  <c r="M31" i="2" s="1"/>
  <c r="E33" i="3" s="1"/>
  <c r="D35" i="3"/>
  <c r="O33" i="2"/>
  <c r="E33" i="2"/>
  <c r="N34" i="2" s="1"/>
  <c r="I32" i="2"/>
  <c r="J32" i="2"/>
  <c r="B33" i="3" l="1"/>
  <c r="K32" i="2"/>
  <c r="B34" i="3" s="1"/>
  <c r="D36" i="3"/>
  <c r="O34" i="2"/>
  <c r="E34" i="2"/>
  <c r="I33" i="2"/>
  <c r="J33" i="2"/>
  <c r="M32" i="2" l="1"/>
  <c r="E34" i="3" s="1"/>
  <c r="I34" i="2"/>
  <c r="J34" i="2"/>
  <c r="N35" i="2"/>
  <c r="K33" i="2"/>
  <c r="M33" i="2" l="1"/>
  <c r="E35" i="3" s="1"/>
  <c r="B35" i="3"/>
  <c r="E35" i="2"/>
  <c r="N36" i="2" s="1"/>
  <c r="O35" i="2"/>
  <c r="D37" i="3"/>
  <c r="K34" i="2"/>
  <c r="D38" i="3" l="1"/>
  <c r="O36" i="2"/>
  <c r="E36" i="2"/>
  <c r="I35" i="2"/>
  <c r="J35" i="2"/>
  <c r="B36" i="3"/>
  <c r="M34" i="2"/>
  <c r="E36" i="3" s="1"/>
  <c r="J36" i="2" l="1"/>
  <c r="I36" i="2"/>
  <c r="K35" i="2"/>
  <c r="N37" i="2"/>
  <c r="K36" i="2" l="1"/>
  <c r="D39" i="3"/>
  <c r="O37" i="2"/>
  <c r="E37" i="2"/>
  <c r="B38" i="3"/>
  <c r="M36" i="2"/>
  <c r="E38" i="3" s="1"/>
  <c r="B37" i="3"/>
  <c r="M35" i="2"/>
  <c r="E37" i="3" s="1"/>
  <c r="I37" i="2" l="1"/>
  <c r="J37" i="2"/>
  <c r="N38" i="2"/>
  <c r="D40" i="3" l="1"/>
  <c r="O38" i="2"/>
  <c r="E38" i="2"/>
  <c r="K37" i="2"/>
  <c r="B39" i="3" l="1"/>
  <c r="M37" i="2"/>
  <c r="E39" i="3" s="1"/>
  <c r="J38" i="2"/>
  <c r="I38" i="2"/>
  <c r="N39" i="2"/>
  <c r="K38" i="2" l="1"/>
  <c r="D41" i="3"/>
  <c r="O39" i="2"/>
  <c r="E39" i="2"/>
  <c r="B40" i="3"/>
  <c r="M38" i="2"/>
  <c r="E40" i="3" s="1"/>
  <c r="I39" i="2" l="1"/>
  <c r="J39" i="2"/>
  <c r="N40" i="2"/>
  <c r="D42" i="3" l="1"/>
  <c r="O40" i="2"/>
  <c r="E40" i="2"/>
  <c r="K39" i="2"/>
  <c r="M39" i="2" l="1"/>
  <c r="E41" i="3" s="1"/>
  <c r="B41" i="3"/>
  <c r="J40" i="2"/>
  <c r="I40" i="2"/>
  <c r="N41" i="2"/>
  <c r="K40" i="2" l="1"/>
  <c r="M40" i="2" s="1"/>
  <c r="E42" i="3" s="1"/>
  <c r="D43" i="3"/>
  <c r="E41" i="2"/>
  <c r="N42" i="2" s="1"/>
  <c r="O41" i="2"/>
  <c r="B42" i="3" l="1"/>
  <c r="D44" i="3"/>
  <c r="O42" i="2"/>
  <c r="E42" i="2"/>
  <c r="N43" i="2" s="1"/>
  <c r="J41" i="2"/>
  <c r="I41" i="2"/>
  <c r="K41" i="2" s="1"/>
  <c r="D45" i="3" l="1"/>
  <c r="O43" i="2"/>
  <c r="E43" i="2"/>
  <c r="B43" i="3"/>
  <c r="M41" i="2"/>
  <c r="E43" i="3" s="1"/>
  <c r="I42" i="2"/>
  <c r="J42" i="2"/>
  <c r="K42" i="2" l="1"/>
  <c r="B44" i="3" s="1"/>
  <c r="I43" i="2"/>
  <c r="J43" i="2"/>
  <c r="N44" i="2"/>
  <c r="M42" i="2" l="1"/>
  <c r="E44" i="3" s="1"/>
  <c r="K43" i="2"/>
  <c r="B45" i="3" s="1"/>
  <c r="D46" i="3"/>
  <c r="O44" i="2"/>
  <c r="E44" i="2"/>
  <c r="N45" i="2" s="1"/>
  <c r="M43" i="2" l="1"/>
  <c r="E45" i="3" s="1"/>
  <c r="J44" i="2"/>
  <c r="I44" i="2"/>
  <c r="D47" i="3"/>
  <c r="O45" i="2"/>
  <c r="E45" i="2"/>
  <c r="N46" i="2" s="1"/>
  <c r="I45" i="2" l="1"/>
  <c r="J45" i="2"/>
  <c r="K44" i="2"/>
  <c r="D48" i="3"/>
  <c r="O46" i="2"/>
  <c r="E46" i="2"/>
  <c r="N47" i="2" s="1"/>
  <c r="B46" i="3" l="1"/>
  <c r="M44" i="2"/>
  <c r="E46" i="3" s="1"/>
  <c r="E47" i="2"/>
  <c r="N48" i="2" s="1"/>
  <c r="D49" i="3"/>
  <c r="O47" i="2"/>
  <c r="J46" i="2"/>
  <c r="I46" i="2"/>
  <c r="K45" i="2"/>
  <c r="E48" i="2" l="1"/>
  <c r="N49" i="2" s="1"/>
  <c r="O48" i="2"/>
  <c r="D50" i="3"/>
  <c r="M45" i="2"/>
  <c r="E47" i="3" s="1"/>
  <c r="B47" i="3"/>
  <c r="J47" i="2"/>
  <c r="I47" i="2"/>
  <c r="K46" i="2"/>
  <c r="D51" i="3" l="1"/>
  <c r="O49" i="2"/>
  <c r="E49" i="2"/>
  <c r="N50" i="2" s="1"/>
  <c r="B48" i="3"/>
  <c r="M46" i="2"/>
  <c r="E48" i="3" s="1"/>
  <c r="K47" i="2"/>
  <c r="J48" i="2"/>
  <c r="I48" i="2"/>
  <c r="K48" i="2" l="1"/>
  <c r="M48" i="2" s="1"/>
  <c r="E50" i="3" s="1"/>
  <c r="D52" i="3"/>
  <c r="O50" i="2"/>
  <c r="E50" i="2"/>
  <c r="N51" i="2" s="1"/>
  <c r="I49" i="2"/>
  <c r="J49" i="2"/>
  <c r="B50" i="3"/>
  <c r="B49" i="3"/>
  <c r="M47" i="2"/>
  <c r="E49" i="3" s="1"/>
  <c r="K49" i="2" l="1"/>
  <c r="B51" i="3" s="1"/>
  <c r="D53" i="3"/>
  <c r="O51" i="2"/>
  <c r="E51" i="2"/>
  <c r="N52" i="2" s="1"/>
  <c r="J50" i="2"/>
  <c r="I50" i="2"/>
  <c r="M49" i="2" l="1"/>
  <c r="E51" i="3" s="1"/>
  <c r="K50" i="2"/>
  <c r="D54" i="3"/>
  <c r="O52" i="2"/>
  <c r="E52" i="2"/>
  <c r="J51" i="2"/>
  <c r="I51" i="2"/>
  <c r="B52" i="3"/>
  <c r="M50" i="2"/>
  <c r="E52" i="3" s="1"/>
  <c r="K51" i="2" l="1"/>
  <c r="M51" i="2" s="1"/>
  <c r="E53" i="3" s="1"/>
  <c r="J52" i="2"/>
  <c r="I52" i="2"/>
  <c r="K52" i="2" s="1"/>
  <c r="N53" i="2"/>
  <c r="B53" i="3" l="1"/>
  <c r="O53" i="2"/>
  <c r="E53" i="2"/>
  <c r="D55" i="3"/>
  <c r="M52" i="2"/>
  <c r="E54" i="3" s="1"/>
  <c r="B54" i="3"/>
  <c r="J53" i="2" l="1"/>
  <c r="I53" i="2"/>
  <c r="K53" i="2" l="1"/>
  <c r="B55" i="3" s="1"/>
  <c r="M53" i="2" l="1"/>
  <c r="E55" i="3" s="1"/>
</calcChain>
</file>

<file path=xl/sharedStrings.xml><?xml version="1.0" encoding="utf-8"?>
<sst xmlns="http://schemas.openxmlformats.org/spreadsheetml/2006/main" count="187" uniqueCount="174">
  <si>
    <t>OPERATION END-EX  |  MILITARY RETIREMENT INCOME CALCULATOR</t>
  </si>
  <si>
    <t>Veteran Transition Resources — Supporting Your Financial Mission</t>
  </si>
  <si>
    <t>A  │  PERSONAL INFORMATION</t>
  </si>
  <si>
    <t>F  │  MONTHLY RETIREMENT EXPENSES</t>
  </si>
  <si>
    <t>Current Age</t>
  </si>
  <si>
    <t>Housing (mortgage/rent/HOA/insurance)</t>
  </si>
  <si>
    <t>Planned Retirement Age</t>
  </si>
  <si>
    <t>Utilities &amp; Internet</t>
  </si>
  <si>
    <t>Life Expectancy (planning horizon)</t>
  </si>
  <si>
    <t>Food &amp; Groceries</t>
  </si>
  <si>
    <t>Spouse? (1=Yes / 0=No)</t>
  </si>
  <si>
    <t>Transportation (car/fuel/insurance)</t>
  </si>
  <si>
    <t>Spouse Current Age</t>
  </si>
  <si>
    <t>Healthcare &amp; TRICARE Premiums</t>
  </si>
  <si>
    <t>Spouse Life Expectancy</t>
  </si>
  <si>
    <t>Out-of-Pocket Medical / Dental</t>
  </si>
  <si>
    <t>Life Insurance / SBP Premium</t>
  </si>
  <si>
    <t>B  │  MILITARY RETIREMENT (DFAS)</t>
  </si>
  <si>
    <t>Personal / Clothing / Haircuts</t>
  </si>
  <si>
    <t>Include Military Retirement? (1=Yes)</t>
  </si>
  <si>
    <t>Entertainment &amp; Dining Out</t>
  </si>
  <si>
    <t>Monthly Military Retirement Pay ($)</t>
  </si>
  <si>
    <t>Travel &amp; Vacation</t>
  </si>
  <si>
    <t>Retirement System (1=Legacy / 2=BRS)</t>
  </si>
  <si>
    <t>Subscriptions &amp; Tech</t>
  </si>
  <si>
    <t>COLA Adjustment Rate (%/yr)</t>
  </si>
  <si>
    <t>Charitable Giving</t>
  </si>
  <si>
    <t>SBP (Survivor Benefit Plan)? (1=Yes)</t>
  </si>
  <si>
    <t>Education / Kids / Misc</t>
  </si>
  <si>
    <t>SBP Monthly Premium ($)</t>
  </si>
  <si>
    <t>Emergency Fund Contribution</t>
  </si>
  <si>
    <t>Other Expenses</t>
  </si>
  <si>
    <t>C  │  VA DISABILITY COMPENSATION</t>
  </si>
  <si>
    <t>TOTAL MONTHLY EXPENSES</t>
  </si>
  <si>
    <t>← Total monthly spend</t>
  </si>
  <si>
    <t>Include VA Disability? (1=Yes)</t>
  </si>
  <si>
    <t>Annual Expense Inflation Rate (%)</t>
  </si>
  <si>
    <t>VA Disability Rating (%)</t>
  </si>
  <si>
    <t>Tax Rate on Withdrawals / Income (%)</t>
  </si>
  <si>
    <t>Monthly VA Benefit ($) — tax-free</t>
  </si>
  <si>
    <t>G  │  RETIREMENT INCOME SUMMARY (AT RETIREMENT)</t>
  </si>
  <si>
    <t>CRDP Eligible? (1=Yes)</t>
  </si>
  <si>
    <t>Military Retirement (monthly)</t>
  </si>
  <si>
    <t>VA Disability (monthly, tax-free)</t>
  </si>
  <si>
    <t>D  │  TSP / IRA / INVESTMENT WITHDRAWALS</t>
  </si>
  <si>
    <t>TSP/IRA Investment Withdrawal (monthly)</t>
  </si>
  <si>
    <t>Include Investment Withdrawals? (1=Yes)</t>
  </si>
  <si>
    <t>Social Security (monthly)</t>
  </si>
  <si>
    <t>Current TSP Balance ($)</t>
  </si>
  <si>
    <t>Bridge / Part-Time Income (monthly)</t>
  </si>
  <si>
    <t>Current IRA/Roth IRA Balance ($)</t>
  </si>
  <si>
    <t>Rental / Passive Income (monthly)</t>
  </si>
  <si>
    <t>Other Investment Balance ($)</t>
  </si>
  <si>
    <t>Less: SBP Premium</t>
  </si>
  <si>
    <t>Expected Annual Growth Rate (%)</t>
  </si>
  <si>
    <t>GROSS MONTHLY RETIREMENT INCOME</t>
  </si>
  <si>
    <t>Safe Withdrawal Rate — SWR (%)</t>
  </si>
  <si>
    <t>Estimated Taxes (on taxable income)</t>
  </si>
  <si>
    <t>Withdrawal Method (1=SWR / 2=Fixed $)</t>
  </si>
  <si>
    <t>NET MONTHLY RETIREMENT INCOME</t>
  </si>
  <si>
    <t>Fixed Monthly Withdrawal if Method=2 ($)</t>
  </si>
  <si>
    <t>Monthly Surplus / (Deficit)</t>
  </si>
  <si>
    <t>TSP Contribution Until Retirement ($)</t>
  </si>
  <si>
    <t>Income Replacement Rate</t>
  </si>
  <si>
    <t>Target: ≥ 80%</t>
  </si>
  <si>
    <t>Years in Retirement (Est.)</t>
  </si>
  <si>
    <t>E  │  OTHER INCOME SOURCES</t>
  </si>
  <si>
    <t>Estimated Portfolio at Retirement ($)</t>
  </si>
  <si>
    <t>Include Social Security? (1=Yes)</t>
  </si>
  <si>
    <t>SWR Annual Withdrawal</t>
  </si>
  <si>
    <t>Based on SWR rate in D35</t>
  </si>
  <si>
    <t>Estimated Monthly SS Benefit ($)</t>
  </si>
  <si>
    <t>SS Start Age</t>
  </si>
  <si>
    <t>COLOR LEGEND</t>
  </si>
  <si>
    <t>Include Part-Time / Bridge Job? (1=Yes)</t>
  </si>
  <si>
    <t xml:space="preserve">  ████</t>
  </si>
  <si>
    <t>Blue text = Input cells you can change</t>
  </si>
  <si>
    <t>Monthly Bridge Income ($)</t>
  </si>
  <si>
    <t>Black text = Calculated formulas</t>
  </si>
  <si>
    <t>Bridge Income Ends at Age</t>
  </si>
  <si>
    <t>Green text = Cross-sheet links</t>
  </si>
  <si>
    <t>Include Rental / Passive Income? (1=Yes)</t>
  </si>
  <si>
    <t>Monthly Rental/Passive Income ($)</t>
  </si>
  <si>
    <t>Rental Income COLA (%/yr)</t>
  </si>
  <si>
    <t>⚠  DISCLAIMER: This calculator is for educational planning purposes only. Consult a Certified Financial Planner (CFP) or fee-only fiduciary advisor before making retirement decisions. Tax laws and benefit amounts change. Operation End-Ex does not provide financial or legal advice.</t>
  </si>
  <si>
    <t>OPERATION END-EX  |  ANNUAL INCOME PROJECTION TABLE</t>
  </si>
  <si>
    <t>Age</t>
  </si>
  <si>
    <t>Year</t>
  </si>
  <si>
    <t>Mil Ret
(Monthly)</t>
  </si>
  <si>
    <t>VA Dis
(Monthly)</t>
  </si>
  <si>
    <t>TSP/IRA
Withdraw (Mo)</t>
  </si>
  <si>
    <t>Social Sec
(Monthly)</t>
  </si>
  <si>
    <t>Bridge
Income (Mo)</t>
  </si>
  <si>
    <t>Rental
Income (Mo)</t>
  </si>
  <si>
    <t>Gross
Monthly</t>
  </si>
  <si>
    <t>Taxes
(Monthly)</t>
  </si>
  <si>
    <t>Net
Monthly</t>
  </si>
  <si>
    <t>Expenses
(Monthly)</t>
  </si>
  <si>
    <t>Surplus/
(Deficit)</t>
  </si>
  <si>
    <t>Portfolio
Balance ($)</t>
  </si>
  <si>
    <t>SWR Check
(Annual)</t>
  </si>
  <si>
    <t>OPERATION END-EX  |  RETIREMENT INCOME ANALYSIS CHARTS</t>
  </si>
  <si>
    <t>Operation End-Ex Retirement Planning</t>
  </si>
  <si>
    <t>Net Monthly Income</t>
  </si>
  <si>
    <t>Monthly Expenses</t>
  </si>
  <si>
    <t>Portfolio Balance</t>
  </si>
  <si>
    <t>Surplus/(Deficit)</t>
  </si>
  <si>
    <t>OPERATION END-EX  |  SCENARIO &amp; SENSITIVITY ANALYSIS</t>
  </si>
  <si>
    <t>SCENARIO COMPARISON</t>
  </si>
  <si>
    <t>Parameter</t>
  </si>
  <si>
    <t>Base Case</t>
  </si>
  <si>
    <t>Optimistic</t>
  </si>
  <si>
    <t>Conservative</t>
  </si>
  <si>
    <t>Bear Market</t>
  </si>
  <si>
    <t>Early Retire (55)</t>
  </si>
  <si>
    <t>Retirement Age</t>
  </si>
  <si>
    <t>Investment Growth Rate</t>
  </si>
  <si>
    <t>7.0%</t>
  </si>
  <si>
    <t>9.0%</t>
  </si>
  <si>
    <t>4.0%</t>
  </si>
  <si>
    <t>Safe Withdrawal Rate</t>
  </si>
  <si>
    <t>4.5%</t>
  </si>
  <si>
    <t>3.5%</t>
  </si>
  <si>
    <t>Military Ret. (monthly)</t>
  </si>
  <si>
    <t>VA Disability (monthly)</t>
  </si>
  <si>
    <t>Starting Portfolio</t>
  </si>
  <si>
    <t>Est. Net Monthly Income</t>
  </si>
  <si>
    <t>See Dashboard</t>
  </si>
  <si>
    <t>~$7,200</t>
  </si>
  <si>
    <t>~$6,000</t>
  </si>
  <si>
    <t>~$5,800</t>
  </si>
  <si>
    <t>Surplus / (Deficit)</t>
  </si>
  <si>
    <t>Surplus</t>
  </si>
  <si>
    <t>~Break-even</t>
  </si>
  <si>
    <t>Deficit</t>
  </si>
  <si>
    <t>Portfolio Lasts to Age</t>
  </si>
  <si>
    <t>Calc in Dashboard</t>
  </si>
  <si>
    <t>95+</t>
  </si>
  <si>
    <t>SAFE WITHDRAWAL RATE SENSITIVITY  (Portfolio at Retirement)</t>
  </si>
  <si>
    <t>SWR \ Portfolio →</t>
  </si>
  <si>
    <t>↑ Monthly withdrawal amounts. Highlighted = 4% SWR (common 'rule of thumb').</t>
  </si>
  <si>
    <t>Formula assumes SBP base = monthly retired pay; adjust if elected base differs</t>
  </si>
  <si>
    <t>Uses G40 portfolio at retirement</t>
  </si>
  <si>
    <t>Includes future TSP contributions</t>
  </si>
  <si>
    <t>Correction</t>
  </si>
  <si>
    <t>Workbook Location</t>
  </si>
  <si>
    <t>Effect</t>
  </si>
  <si>
    <t>Source / Note</t>
  </si>
  <si>
    <t>Investment withdrawal now references the same portfolio-at-retirement figure used by the dashboard.</t>
  </si>
  <si>
    <t>Dashboard!G29</t>
  </si>
  <si>
    <t>TSP/IRA monthly withdrawal aligns with Dashboard!G40 and Dashboard!G41.</t>
  </si>
  <si>
    <t>Internal workbook logic correction.</t>
  </si>
  <si>
    <t>Portfolio at retirement includes future TSP contributions with zero-growth protection.</t>
  </si>
  <si>
    <t>Dashboard!G40</t>
  </si>
  <si>
    <t>Avoids inconsistency between portfolio value and withdrawal calculation.</t>
  </si>
  <si>
    <t>Annual projection portfolio balance now includes contributions before retirement and ties the retirement-age row to Dashboard!G40.</t>
  </si>
  <si>
    <t>Annual Projection!N3:N53</t>
  </si>
  <si>
    <t>Projection is consistent with dashboard summary.</t>
  </si>
  <si>
    <t>Annual Projection year column is formatted as a year number instead of an Excel date.</t>
  </si>
  <si>
    <t>Annual Projection!B3:B53</t>
  </si>
  <si>
    <t>Years display as 2026, 2027, etc., not 1905 date serials.</t>
  </si>
  <si>
    <t>Internal formatting correction.</t>
  </si>
  <si>
    <t>SBP premium is formula-driven at 6.5% of monthly retired pay when SBP is selected.</t>
  </si>
  <si>
    <t>Dashboard!D20</t>
  </si>
  <si>
    <t>Premium updates automatically when retired pay changes.</t>
  </si>
  <si>
    <t>DoD SBP spouse coverage cost commonly 6.5% of elected base amount: https://militarypay.defense.gov/Benefits/Survivor-Benefit-Plan/Costs-and-Benefits/Spouse-Coverage/</t>
  </si>
  <si>
    <t>VA disability remains a manual planning input.</t>
  </si>
  <si>
    <t>Dashboard!D25</t>
  </si>
  <si>
    <t>Use the exact VA award amount/rate table for current planning.</t>
  </si>
  <si>
    <t>VA compensation rates: https://www.va.gov/disability/compensation-rates/veteran-rates/</t>
  </si>
  <si>
    <t>CRDP eligibility remains a manual planning input.</t>
  </si>
  <si>
    <t>Dashboard!D27</t>
  </si>
  <si>
    <t>Confirm eligibility before relying on concurrent military retirement and VA disability assumptions.</t>
  </si>
  <si>
    <t>DFAS CRDP information: https://www.dfas.mil/retiredmilitary/disability/crdp/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</si>
</sst>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#,##0;&quot;($&quot;#,##0\);\-"/>
    <numFmt numFmtId="165" formatCode="0.0%"/>
    <numFmt numFmtId="166" formatCode="\$#,##0"/>
    <numFmt numFmtId="167" formatCode="\$#,##0.00;[Red]\(\$#,##0.00\);\-"/>
  </numFmts>
  <fonts count="25" x14ac:knownFonts="1">
    <font>
      <sz val="11"/>
      <color theme="1"/>
      <name val="Calibri"/>
    </font>
    <font>
      <b/>
      <sz val="16"/>
      <color rgb="FFCFB53B"/>
      <name val="Arial"/>
    </font>
    <font>
      <i/>
      <sz val="10"/>
      <color rgb="FFC8A96E"/>
      <name val="Arial"/>
    </font>
    <font>
      <b/>
      <sz val="11"/>
      <color rgb="FFFFFFFF"/>
      <name val="Arial"/>
    </font>
    <font>
      <sz val="10"/>
      <color rgb="FF000000"/>
      <name val="Arial"/>
    </font>
    <font>
      <sz val="10"/>
      <color rgb="FF0000FF"/>
      <name val="Arial"/>
    </font>
    <font>
      <b/>
      <sz val="10"/>
      <color rgb="FFFFFFFF"/>
      <name val="Arial"/>
    </font>
    <font>
      <i/>
      <sz val="9"/>
      <color rgb="FF555555"/>
      <name val="Arial"/>
    </font>
    <font>
      <sz val="10"/>
      <color rgb="FF008000"/>
      <name val="Arial"/>
    </font>
    <font>
      <b/>
      <sz val="10"/>
      <color rgb="FF000000"/>
      <name val="Arial"/>
    </font>
    <font>
      <sz val="9"/>
      <color rgb="FF000000"/>
      <name val="Arial"/>
    </font>
    <font>
      <i/>
      <sz val="8"/>
      <color rgb="FF555555"/>
      <name val="Arial"/>
    </font>
    <font>
      <b/>
      <sz val="9"/>
      <color rgb="FFFFFFFF"/>
      <name val="Arial"/>
    </font>
    <font>
      <sz val="9"/>
      <color rgb="FF008000"/>
      <name val="Arial"/>
    </font>
    <font>
      <sz val="8"/>
      <color rgb="FF008000"/>
      <name val="Arial"/>
    </font>
    <font>
      <sz val="9"/>
      <color rgb="FF0000FF"/>
      <name val="Arial"/>
    </font>
    <font>
      <b/>
      <sz val="16"/>
      <color rgb="FFFFFFFF"/>
      <name val="Arial"/>
    </font>
    <font>
      <b/>
      <sz val="10"/>
      <color rgb="FFB9B9B9"/>
      <name val="Arial"/>
    </font>
    <font>
      <b/>
      <sz val="13"/>
      <color rgb="FFFFFFFF"/>
      <name val="Arial"/>
    </font>
    <font>
      <b/>
      <sz val="11"/>
      <color rgb="FFFFFFFF"/>
      <name val="Calibri"/>
    </font>
    <font>
      <b/>
      <sz val="16"/>
      <color rgb="FFFFFFFF"/>
      <name val="Calibri"/>
    </font>
    <font>
      <b/>
      <sz val="10"/>
      <color rgb="FFB9B9B9"/>
      <name val="Calibri"/>
    </font>
    <font>
      <b/>
      <i/>
      <sz val="9"/>
      <color rgb="FFFFFFFF"/>
      <name val="Arial"/>
    </font>
    <font>
      <sz val="11"/>
      <color rgb="FF0000FF"/>
      <name val="Calibri"/>
    </font>
    <font>
      <b/>
      <sz val="11"/>
      <color rgb="FF0000FF"/>
      <name val="Arial"/>
    </font>
  </fonts>
  <fills count="1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2B2B2B"/>
      </patternFill>
    </fill>
    <fill>
      <patternFill patternType="solid">
        <fgColor rgb="FF4B5320"/>
      </patternFill>
    </fill>
    <fill>
      <patternFill patternType="solid">
        <fgColor rgb="FFF5F0E8"/>
      </patternFill>
    </fill>
    <fill>
      <patternFill patternType="solid">
        <fgColor rgb="FFFFFFFF"/>
      </patternFill>
    </fill>
    <fill>
      <patternFill patternType="solid">
        <fgColor rgb="FFD9D9D9"/>
      </patternFill>
    </fill>
    <fill>
      <patternFill patternType="solid">
        <fgColor rgb="FFA8B87A"/>
      </patternFill>
    </fill>
    <fill>
      <patternFill patternType="solid">
        <fgColor rgb="FF000000"/>
      </patternFill>
    </fill>
    <fill>
      <patternFill patternType="solid">
        <fgColor rgb="FFB5121B"/>
      </patternFill>
    </fill>
    <fill>
      <patternFill patternType="solid">
        <fgColor rgb="FF022547"/>
      </patternFill>
    </fill>
    <fill>
      <patternFill patternType="solid">
        <fgColor rgb="FFE6E6E6"/>
      </patternFill>
    </fill>
    <fill>
      <patternFill patternType="solid">
        <fgColor rgb="FF1F4E78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" fontId="5" fillId="6" borderId="3" xfId="0" applyNumberFormat="1" applyFont="1" applyFill="1" applyBorder="1" applyAlignment="1">
      <alignment horizontal="right" vertical="center"/>
    </xf>
    <xf numFmtId="0" fontId="4" fillId="5" borderId="4" xfId="0" applyFont="1" applyFill="1" applyBorder="1" applyAlignment="1">
      <alignment horizontal="left" vertical="center" wrapText="1"/>
    </xf>
    <xf numFmtId="164" fontId="5" fillId="6" borderId="3" xfId="0" applyNumberFormat="1" applyFont="1" applyFill="1" applyBorder="1" applyAlignment="1">
      <alignment horizontal="right" vertical="center"/>
    </xf>
    <xf numFmtId="165" fontId="5" fillId="6" borderId="3" xfId="0" applyNumberFormat="1" applyFont="1" applyFill="1" applyBorder="1" applyAlignment="1">
      <alignment horizontal="right" vertical="center"/>
    </xf>
    <xf numFmtId="0" fontId="7" fillId="0" borderId="0" xfId="0" applyFont="1"/>
    <xf numFmtId="0" fontId="4" fillId="5" borderId="4" xfId="0" applyFont="1" applyFill="1" applyBorder="1"/>
    <xf numFmtId="165" fontId="4" fillId="5" borderId="3" xfId="0" applyNumberFormat="1" applyFont="1" applyFill="1" applyBorder="1" applyAlignment="1">
      <alignment horizontal="right" vertical="center"/>
    </xf>
    <xf numFmtId="0" fontId="5" fillId="5" borderId="4" xfId="0" applyFont="1" applyFill="1" applyBorder="1"/>
    <xf numFmtId="0" fontId="8" fillId="5" borderId="4" xfId="0" applyFont="1" applyFill="1" applyBorder="1"/>
    <xf numFmtId="1" fontId="14" fillId="5" borderId="4" xfId="0" applyNumberFormat="1" applyFont="1" applyFill="1" applyBorder="1"/>
    <xf numFmtId="1" fontId="14" fillId="6" borderId="4" xfId="0" applyNumberFormat="1" applyFont="1" applyFill="1" applyBorder="1"/>
    <xf numFmtId="0" fontId="13" fillId="5" borderId="4" xfId="0" applyFont="1" applyFill="1" applyBorder="1" applyAlignment="1">
      <alignment horizontal="center" vertical="center" wrapText="1"/>
    </xf>
    <xf numFmtId="1" fontId="13" fillId="5" borderId="4" xfId="0" applyNumberFormat="1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165" fontId="13" fillId="6" borderId="4" xfId="0" applyNumberFormat="1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165" fontId="13" fillId="5" borderId="4" xfId="0" applyNumberFormat="1" applyFont="1" applyFill="1" applyBorder="1" applyAlignment="1">
      <alignment horizontal="center" vertical="center" wrapText="1"/>
    </xf>
    <xf numFmtId="164" fontId="13" fillId="6" borderId="4" xfId="0" applyNumberFormat="1" applyFont="1" applyFill="1" applyBorder="1" applyAlignment="1">
      <alignment horizontal="center" vertical="center" wrapText="1"/>
    </xf>
    <xf numFmtId="164" fontId="15" fillId="6" borderId="4" xfId="0" applyNumberFormat="1" applyFont="1" applyFill="1" applyBorder="1" applyAlignment="1">
      <alignment horizontal="center" vertical="center" wrapText="1"/>
    </xf>
    <xf numFmtId="164" fontId="13" fillId="5" borderId="4" xfId="0" applyNumberFormat="1" applyFont="1" applyFill="1" applyBorder="1" applyAlignment="1">
      <alignment horizontal="center" vertical="center" wrapText="1"/>
    </xf>
    <xf numFmtId="164" fontId="15" fillId="5" borderId="4" xfId="0" applyNumberFormat="1" applyFont="1" applyFill="1" applyBorder="1" applyAlignment="1">
      <alignment horizontal="center" vertical="center" wrapText="1"/>
    </xf>
    <xf numFmtId="165" fontId="12" fillId="4" borderId="3" xfId="0" applyNumberFormat="1" applyFont="1" applyFill="1" applyBorder="1" applyAlignment="1">
      <alignment horizontal="center" vertical="center" wrapText="1"/>
    </xf>
    <xf numFmtId="165" fontId="12" fillId="8" borderId="3" xfId="0" applyNumberFormat="1" applyFont="1" applyFill="1" applyBorder="1" applyAlignment="1">
      <alignment horizontal="center" vertical="center" wrapText="1"/>
    </xf>
    <xf numFmtId="0" fontId="16" fillId="9" borderId="0" xfId="0" applyFont="1" applyFill="1" applyAlignment="1">
      <alignment horizontal="center" vertical="center" wrapText="1"/>
    </xf>
    <xf numFmtId="0" fontId="16" fillId="10" borderId="0" xfId="0" applyFont="1" applyFill="1" applyAlignment="1">
      <alignment horizontal="center" vertical="center" wrapText="1"/>
    </xf>
    <xf numFmtId="0" fontId="18" fillId="9" borderId="0" xfId="0" applyFont="1" applyFill="1" applyAlignment="1">
      <alignment horizontal="center" vertical="center" wrapText="1"/>
    </xf>
    <xf numFmtId="0" fontId="19" fillId="9" borderId="0" xfId="0" applyFont="1" applyFill="1" applyAlignment="1">
      <alignment vertical="center"/>
    </xf>
    <xf numFmtId="0" fontId="19" fillId="10" borderId="0" xfId="0" applyFont="1" applyFill="1" applyAlignment="1">
      <alignment vertical="center"/>
    </xf>
    <xf numFmtId="0" fontId="12" fillId="11" borderId="3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166" fontId="12" fillId="11" borderId="3" xfId="0" applyNumberFormat="1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vertical="center"/>
    </xf>
    <xf numFmtId="0" fontId="6" fillId="11" borderId="3" xfId="0" applyFont="1" applyFill="1" applyBorder="1"/>
    <xf numFmtId="0" fontId="6" fillId="10" borderId="3" xfId="0" applyFont="1" applyFill="1" applyBorder="1"/>
    <xf numFmtId="0" fontId="6" fillId="1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3" fillId="0" borderId="0" xfId="0" applyFont="1" applyAlignment="1">
      <alignment horizontal="right"/>
    </xf>
    <xf numFmtId="165" fontId="15" fillId="6" borderId="4" xfId="0" applyNumberFormat="1" applyFont="1" applyFill="1" applyBorder="1" applyAlignment="1">
      <alignment horizontal="center" vertical="center" wrapText="1"/>
    </xf>
    <xf numFmtId="165" fontId="15" fillId="5" borderId="4" xfId="0" applyNumberFormat="1" applyFont="1" applyFill="1" applyBorder="1" applyAlignment="1">
      <alignment horizontal="center" vertical="center" wrapText="1"/>
    </xf>
    <xf numFmtId="166" fontId="13" fillId="6" borderId="4" xfId="0" applyNumberFormat="1" applyFont="1" applyFill="1" applyBorder="1" applyAlignment="1">
      <alignment horizontal="center" vertical="center" wrapText="1"/>
    </xf>
    <xf numFmtId="166" fontId="15" fillId="6" borderId="4" xfId="0" applyNumberFormat="1" applyFont="1" applyFill="1" applyBorder="1" applyAlignment="1">
      <alignment horizontal="center" vertical="center" wrapText="1"/>
    </xf>
    <xf numFmtId="166" fontId="13" fillId="5" borderId="4" xfId="0" applyNumberFormat="1" applyFont="1" applyFill="1" applyBorder="1" applyAlignment="1">
      <alignment horizontal="center" vertical="center" wrapText="1"/>
    </xf>
    <xf numFmtId="166" fontId="15" fillId="5" borderId="4" xfId="0" applyNumberFormat="1" applyFont="1" applyFill="1" applyBorder="1" applyAlignment="1">
      <alignment horizontal="center" vertical="center" wrapText="1"/>
    </xf>
    <xf numFmtId="166" fontId="10" fillId="5" borderId="4" xfId="0" applyNumberFormat="1" applyFont="1" applyFill="1" applyBorder="1" applyAlignment="1">
      <alignment horizontal="right" vertical="center"/>
    </xf>
    <xf numFmtId="166" fontId="10" fillId="6" borderId="4" xfId="0" applyNumberFormat="1" applyFont="1" applyFill="1" applyBorder="1" applyAlignment="1">
      <alignment horizontal="right" vertical="center"/>
    </xf>
    <xf numFmtId="166" fontId="10" fillId="8" borderId="4" xfId="0" applyNumberFormat="1" applyFont="1" applyFill="1" applyBorder="1" applyAlignment="1">
      <alignment horizontal="right" vertical="center"/>
    </xf>
    <xf numFmtId="166" fontId="14" fillId="5" borderId="4" xfId="0" applyNumberFormat="1" applyFont="1" applyFill="1" applyBorder="1"/>
    <xf numFmtId="166" fontId="14" fillId="6" borderId="4" xfId="0" applyNumberFormat="1" applyFont="1" applyFill="1" applyBorder="1"/>
    <xf numFmtId="1" fontId="10" fillId="6" borderId="4" xfId="0" applyNumberFormat="1" applyFont="1" applyFill="1" applyBorder="1" applyAlignment="1">
      <alignment horizontal="right" vertical="center"/>
    </xf>
    <xf numFmtId="167" fontId="8" fillId="5" borderId="3" xfId="0" applyNumberFormat="1" applyFont="1" applyFill="1" applyBorder="1" applyAlignment="1">
      <alignment horizontal="right" vertical="center"/>
    </xf>
    <xf numFmtId="167" fontId="9" fillId="11" borderId="3" xfId="0" applyNumberFormat="1" applyFont="1" applyFill="1" applyBorder="1" applyAlignment="1">
      <alignment horizontal="right" vertical="center"/>
    </xf>
    <xf numFmtId="167" fontId="4" fillId="5" borderId="3" xfId="0" applyNumberFormat="1" applyFont="1" applyFill="1" applyBorder="1" applyAlignment="1">
      <alignment horizontal="right" vertical="center"/>
    </xf>
    <xf numFmtId="167" fontId="3" fillId="10" borderId="3" xfId="0" applyNumberFormat="1" applyFont="1" applyFill="1" applyBorder="1" applyAlignment="1">
      <alignment horizontal="right" vertical="center"/>
    </xf>
    <xf numFmtId="167" fontId="5" fillId="6" borderId="3" xfId="0" applyNumberFormat="1" applyFont="1" applyFill="1" applyBorder="1" applyAlignment="1">
      <alignment horizontal="right" vertical="center"/>
    </xf>
    <xf numFmtId="167" fontId="6" fillId="11" borderId="3" xfId="0" applyNumberFormat="1" applyFont="1" applyFill="1" applyBorder="1" applyAlignment="1">
      <alignment horizontal="right" vertical="center"/>
    </xf>
    <xf numFmtId="167" fontId="10" fillId="6" borderId="4" xfId="0" applyNumberFormat="1" applyFont="1" applyFill="1" applyBorder="1" applyAlignment="1">
      <alignment horizontal="right" vertical="center"/>
    </xf>
    <xf numFmtId="0" fontId="19" fillId="13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22" fillId="11" borderId="0" xfId="0" applyFont="1" applyFill="1" applyAlignment="1">
      <alignment wrapText="1"/>
    </xf>
    <xf numFmtId="0" fontId="19" fillId="11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4" fillId="5" borderId="2" xfId="0" applyFont="1" applyFill="1" applyBorder="1" applyAlignment="1">
      <alignment horizontal="left" vertical="center" wrapText="1"/>
    </xf>
    <xf numFmtId="0" fontId="11" fillId="12" borderId="5" xfId="0" applyFont="1" applyFill="1" applyBorder="1" applyAlignment="1">
      <alignment horizontal="left" vertical="center" wrapText="1"/>
    </xf>
    <xf numFmtId="0" fontId="11" fillId="7" borderId="5" xfId="0" applyFont="1" applyFill="1" applyBorder="1" applyAlignment="1">
      <alignment horizontal="left" vertical="center" wrapText="1"/>
    </xf>
    <xf numFmtId="0" fontId="10" fillId="5" borderId="2" xfId="0" applyFont="1" applyFill="1" applyBorder="1"/>
    <xf numFmtId="0" fontId="6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left" vertical="center" wrapText="1"/>
    </xf>
    <xf numFmtId="0" fontId="24" fillId="11" borderId="1" xfId="0" applyFont="1" applyFill="1" applyBorder="1" applyAlignment="1">
      <alignment horizontal="right" vertical="center" wrapText="1"/>
    </xf>
    <xf numFmtId="0" fontId="3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16" fillId="9" borderId="0" xfId="0" applyFont="1" applyFill="1" applyAlignment="1">
      <alignment horizontal="center" vertical="center" wrapText="1"/>
    </xf>
    <xf numFmtId="0" fontId="17" fillId="9" borderId="0" xfId="0" applyFont="1" applyFill="1" applyAlignment="1">
      <alignment horizontal="center" vertical="center" wrapText="1"/>
    </xf>
    <xf numFmtId="0" fontId="20" fillId="9" borderId="0" xfId="0" applyFont="1" applyFill="1" applyAlignment="1">
      <alignment vertical="center"/>
    </xf>
    <xf numFmtId="0" fontId="21" fillId="9" borderId="0" xfId="0" applyFont="1" applyFill="1" applyAlignment="1">
      <alignment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4B5320"/>
      <rgbColor rgb="FF800080"/>
      <rgbColor rgb="FF008080"/>
      <rgbColor rgb="FFA8B87A"/>
      <rgbColor rgb="FF878787"/>
      <rgbColor rgb="FF9999FF"/>
      <rgbColor rgb="FF993366"/>
      <rgbColor rgb="FFF5F0E8"/>
      <rgbColor rgb="FFF9F9F9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CFB53B"/>
      <rgbColor rgb="FFFF9900"/>
      <rgbColor rgb="FFFF6600"/>
      <rgbColor rgb="FF555555"/>
      <rgbColor rgb="FFC8A96E"/>
      <rgbColor rgb="FF003366"/>
      <rgbColor rgb="FF339966"/>
      <rgbColor rgb="FF003300"/>
      <rgbColor rgb="FF2E3A1A"/>
      <rgbColor rgb="FF993300"/>
      <rgbColor rgb="FF993366"/>
      <rgbColor rgb="FF333399"/>
      <rgbColor rgb="FF2B2B2B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rPr sz="1800" b="1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Monthly Income vs Expenses Over Retirement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'Charts &amp; Analysis'!$B$4</c:f>
              <c:strCache>
                <c:ptCount val="1"/>
                <c:pt idx="0">
                  <c:v>Net Monthly Income</c:v>
                </c:pt>
              </c:strCache>
            </c:strRef>
          </c:tx>
          <c:spPr>
            <a:ln w="47520">
              <a:solidFill>
                <a:srgbClr val="4B5320"/>
              </a:solidFill>
            </a:ln>
          </c:spPr>
          <c:marker>
            <c:symbol val="none"/>
          </c:marker>
          <c:cat>
            <c:numRef>
              <c:f>'Charts &amp; Analysis'!$A$5:$A$55</c:f>
              <c:numCache>
                <c:formatCode>0</c:formatCode>
                <c:ptCount val="5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  <c:pt idx="11">
                  <c:v>51</c:v>
                </c:pt>
                <c:pt idx="12">
                  <c:v>52</c:v>
                </c:pt>
                <c:pt idx="13">
                  <c:v>53</c:v>
                </c:pt>
                <c:pt idx="14">
                  <c:v>54</c:v>
                </c:pt>
                <c:pt idx="15">
                  <c:v>55</c:v>
                </c:pt>
                <c:pt idx="16">
                  <c:v>56</c:v>
                </c:pt>
                <c:pt idx="17">
                  <c:v>57</c:v>
                </c:pt>
                <c:pt idx="18">
                  <c:v>58</c:v>
                </c:pt>
                <c:pt idx="19">
                  <c:v>59</c:v>
                </c:pt>
                <c:pt idx="20">
                  <c:v>60</c:v>
                </c:pt>
                <c:pt idx="21">
                  <c:v>61</c:v>
                </c:pt>
                <c:pt idx="22">
                  <c:v>62</c:v>
                </c:pt>
                <c:pt idx="23">
                  <c:v>63</c:v>
                </c:pt>
                <c:pt idx="24">
                  <c:v>64</c:v>
                </c:pt>
                <c:pt idx="25">
                  <c:v>65</c:v>
                </c:pt>
                <c:pt idx="26">
                  <c:v>66</c:v>
                </c:pt>
                <c:pt idx="27">
                  <c:v>67</c:v>
                </c:pt>
                <c:pt idx="28">
                  <c:v>68</c:v>
                </c:pt>
                <c:pt idx="29">
                  <c:v>69</c:v>
                </c:pt>
                <c:pt idx="30">
                  <c:v>70</c:v>
                </c:pt>
                <c:pt idx="31">
                  <c:v>71</c:v>
                </c:pt>
                <c:pt idx="32">
                  <c:v>72</c:v>
                </c:pt>
                <c:pt idx="33">
                  <c:v>73</c:v>
                </c:pt>
                <c:pt idx="34">
                  <c:v>74</c:v>
                </c:pt>
                <c:pt idx="35">
                  <c:v>75</c:v>
                </c:pt>
                <c:pt idx="36">
                  <c:v>76</c:v>
                </c:pt>
                <c:pt idx="37">
                  <c:v>77</c:v>
                </c:pt>
                <c:pt idx="38">
                  <c:v>78</c:v>
                </c:pt>
                <c:pt idx="39">
                  <c:v>79</c:v>
                </c:pt>
                <c:pt idx="40">
                  <c:v>80</c:v>
                </c:pt>
                <c:pt idx="41">
                  <c:v>81</c:v>
                </c:pt>
                <c:pt idx="42">
                  <c:v>82</c:v>
                </c:pt>
                <c:pt idx="43">
                  <c:v>83</c:v>
                </c:pt>
                <c:pt idx="44">
                  <c:v>84</c:v>
                </c:pt>
                <c:pt idx="45">
                  <c:v>85</c:v>
                </c:pt>
                <c:pt idx="46">
                  <c:v>86</c:v>
                </c:pt>
                <c:pt idx="47">
                  <c:v>87</c:v>
                </c:pt>
                <c:pt idx="48">
                  <c:v>88</c:v>
                </c:pt>
                <c:pt idx="49">
                  <c:v>89</c:v>
                </c:pt>
                <c:pt idx="50">
                  <c:v>90</c:v>
                </c:pt>
              </c:numCache>
            </c:numRef>
          </c:cat>
          <c:val>
            <c:numRef>
              <c:f>'Charts &amp; Analysis'!$B$5:$B$55</c:f>
              <c:numCache>
                <c:formatCode>\$#,##0</c:formatCode>
                <c:ptCount val="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17003.395508093301</c:v>
                </c:pt>
                <c:pt idx="28">
                  <c:v>17740.205656546525</c:v>
                </c:pt>
                <c:pt idx="29">
                  <c:v>18512.619673313136</c:v>
                </c:pt>
                <c:pt idx="30">
                  <c:v>19322.489937518669</c:v>
                </c:pt>
                <c:pt idx="31">
                  <c:v>20171.769025582213</c:v>
                </c:pt>
                <c:pt idx="32">
                  <c:v>21062.515233866383</c:v>
                </c:pt>
                <c:pt idx="33">
                  <c:v>21996.89840838575</c:v>
                </c:pt>
                <c:pt idx="34">
                  <c:v>22977.206098713774</c:v>
                </c:pt>
                <c:pt idx="35">
                  <c:v>24005.850054186631</c:v>
                </c:pt>
                <c:pt idx="36">
                  <c:v>25085.373081514579</c:v>
                </c:pt>
                <c:pt idx="37">
                  <c:v>26218.456283980246</c:v>
                </c:pt>
                <c:pt idx="38">
                  <c:v>27407.926703531506</c:v>
                </c:pt>
                <c:pt idx="39">
                  <c:v>28656.765388268843</c:v>
                </c:pt>
                <c:pt idx="40">
                  <c:v>29968.115909084961</c:v>
                </c:pt>
                <c:pt idx="41">
                  <c:v>31345.293350543612</c:v>
                </c:pt>
                <c:pt idx="42">
                  <c:v>32791.793802487693</c:v>
                </c:pt>
                <c:pt idx="43">
                  <c:v>34311.304380348483</c:v>
                </c:pt>
                <c:pt idx="44">
                  <c:v>35907.71380369251</c:v>
                </c:pt>
                <c:pt idx="45">
                  <c:v>37585.123564194917</c:v>
                </c:pt>
                <c:pt idx="46">
                  <c:v>39347.85971597286</c:v>
                </c:pt>
                <c:pt idx="47">
                  <c:v>41200.485323054934</c:v>
                </c:pt>
                <c:pt idx="48">
                  <c:v>43147.813600708301</c:v>
                </c:pt>
                <c:pt idx="49">
                  <c:v>45194.921789399305</c:v>
                </c:pt>
                <c:pt idx="50">
                  <c:v>47347.1658023333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C07-46C3-A508-07DAC9349ED4}"/>
            </c:ext>
          </c:extLst>
        </c:ser>
        <c:ser>
          <c:idx val="1"/>
          <c:order val="1"/>
          <c:tx>
            <c:strRef>
              <c:f>'Charts &amp; Analysis'!$C$4</c:f>
              <c:strCache>
                <c:ptCount val="1"/>
                <c:pt idx="0">
                  <c:v>Monthly Expenses</c:v>
                </c:pt>
              </c:strCache>
            </c:strRef>
          </c:tx>
          <c:spPr>
            <a:ln w="47520">
              <a:solidFill>
                <a:srgbClr val="C8A96E"/>
              </a:solidFill>
            </a:ln>
          </c:spPr>
          <c:marker>
            <c:symbol val="none"/>
          </c:marker>
          <c:cat>
            <c:numRef>
              <c:f>'Charts &amp; Analysis'!$A$5:$A$55</c:f>
              <c:numCache>
                <c:formatCode>0</c:formatCode>
                <c:ptCount val="5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  <c:pt idx="11">
                  <c:v>51</c:v>
                </c:pt>
                <c:pt idx="12">
                  <c:v>52</c:v>
                </c:pt>
                <c:pt idx="13">
                  <c:v>53</c:v>
                </c:pt>
                <c:pt idx="14">
                  <c:v>54</c:v>
                </c:pt>
                <c:pt idx="15">
                  <c:v>55</c:v>
                </c:pt>
                <c:pt idx="16">
                  <c:v>56</c:v>
                </c:pt>
                <c:pt idx="17">
                  <c:v>57</c:v>
                </c:pt>
                <c:pt idx="18">
                  <c:v>58</c:v>
                </c:pt>
                <c:pt idx="19">
                  <c:v>59</c:v>
                </c:pt>
                <c:pt idx="20">
                  <c:v>60</c:v>
                </c:pt>
                <c:pt idx="21">
                  <c:v>61</c:v>
                </c:pt>
                <c:pt idx="22">
                  <c:v>62</c:v>
                </c:pt>
                <c:pt idx="23">
                  <c:v>63</c:v>
                </c:pt>
                <c:pt idx="24">
                  <c:v>64</c:v>
                </c:pt>
                <c:pt idx="25">
                  <c:v>65</c:v>
                </c:pt>
                <c:pt idx="26">
                  <c:v>66</c:v>
                </c:pt>
                <c:pt idx="27">
                  <c:v>67</c:v>
                </c:pt>
                <c:pt idx="28">
                  <c:v>68</c:v>
                </c:pt>
                <c:pt idx="29">
                  <c:v>69</c:v>
                </c:pt>
                <c:pt idx="30">
                  <c:v>70</c:v>
                </c:pt>
                <c:pt idx="31">
                  <c:v>71</c:v>
                </c:pt>
                <c:pt idx="32">
                  <c:v>72</c:v>
                </c:pt>
                <c:pt idx="33">
                  <c:v>73</c:v>
                </c:pt>
                <c:pt idx="34">
                  <c:v>74</c:v>
                </c:pt>
                <c:pt idx="35">
                  <c:v>75</c:v>
                </c:pt>
                <c:pt idx="36">
                  <c:v>76</c:v>
                </c:pt>
                <c:pt idx="37">
                  <c:v>77</c:v>
                </c:pt>
                <c:pt idx="38">
                  <c:v>78</c:v>
                </c:pt>
                <c:pt idx="39">
                  <c:v>79</c:v>
                </c:pt>
                <c:pt idx="40">
                  <c:v>80</c:v>
                </c:pt>
                <c:pt idx="41">
                  <c:v>81</c:v>
                </c:pt>
                <c:pt idx="42">
                  <c:v>82</c:v>
                </c:pt>
                <c:pt idx="43">
                  <c:v>83</c:v>
                </c:pt>
                <c:pt idx="44">
                  <c:v>84</c:v>
                </c:pt>
                <c:pt idx="45">
                  <c:v>85</c:v>
                </c:pt>
                <c:pt idx="46">
                  <c:v>86</c:v>
                </c:pt>
                <c:pt idx="47">
                  <c:v>87</c:v>
                </c:pt>
                <c:pt idx="48">
                  <c:v>88</c:v>
                </c:pt>
                <c:pt idx="49">
                  <c:v>89</c:v>
                </c:pt>
                <c:pt idx="50">
                  <c:v>90</c:v>
                </c:pt>
              </c:numCache>
            </c:numRef>
          </c:cat>
          <c:val>
            <c:numRef>
              <c:f>'Charts &amp; Analysis'!$C$5:$C$55</c:f>
              <c:numCache>
                <c:formatCode>\$#,##0</c:formatCode>
                <c:ptCount val="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7705</c:v>
                </c:pt>
                <c:pt idx="28">
                  <c:v>7936.1500000000005</c:v>
                </c:pt>
                <c:pt idx="29">
                  <c:v>8174.2344999999996</c:v>
                </c:pt>
                <c:pt idx="30">
                  <c:v>8419.4615350000004</c:v>
                </c:pt>
                <c:pt idx="31">
                  <c:v>8672.0453810499985</c:v>
                </c:pt>
                <c:pt idx="32">
                  <c:v>8932.2067424814995</c:v>
                </c:pt>
                <c:pt idx="33">
                  <c:v>9200.1729447559446</c:v>
                </c:pt>
                <c:pt idx="34">
                  <c:v>9476.1781330986232</c:v>
                </c:pt>
                <c:pt idx="35">
                  <c:v>9760.46347709158</c:v>
                </c:pt>
                <c:pt idx="36">
                  <c:v>10053.277381404328</c:v>
                </c:pt>
                <c:pt idx="37">
                  <c:v>10354.875702846459</c:v>
                </c:pt>
                <c:pt idx="38">
                  <c:v>10665.521973931853</c:v>
                </c:pt>
                <c:pt idx="39">
                  <c:v>10985.487633149807</c:v>
                </c:pt>
                <c:pt idx="40">
                  <c:v>11315.0522621443</c:v>
                </c:pt>
                <c:pt idx="41">
                  <c:v>11654.503830008631</c:v>
                </c:pt>
                <c:pt idx="42">
                  <c:v>12004.138944908889</c:v>
                </c:pt>
                <c:pt idx="43">
                  <c:v>12364.263113256155</c:v>
                </c:pt>
                <c:pt idx="44">
                  <c:v>12735.191006653838</c:v>
                </c:pt>
                <c:pt idx="45">
                  <c:v>13117.246736853454</c:v>
                </c:pt>
                <c:pt idx="46">
                  <c:v>13510.764138959057</c:v>
                </c:pt>
                <c:pt idx="47">
                  <c:v>13916.087063127829</c:v>
                </c:pt>
                <c:pt idx="48">
                  <c:v>14333.569675021663</c:v>
                </c:pt>
                <c:pt idx="49">
                  <c:v>14763.576765272313</c:v>
                </c:pt>
                <c:pt idx="50">
                  <c:v>15206.484068230484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C07-46C3-A508-07DAC9349E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rPr sz="1000" b="1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rPr>
                  <a:t>Age</a:t>
                </a:r>
              </a:p>
            </c:rich>
          </c:tx>
          <c:overlay val="0"/>
        </c:title>
        <c:numFmt formatCode="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</a:ln>
        </c:spPr>
        <c:txPr>
          <a:bodyPr anchorCtr="1"/>
          <a:lstStyle/>
          <a:p>
            <a:pPr>
              <a:defRPr sz="1000" b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</a:ln>
          </c:spPr>
        </c:majorGridlines>
        <c:title>
          <c:tx>
            <c:rich>
              <a:bodyPr/>
              <a:lstStyle/>
              <a:p>
                <a:r>
                  <a:rPr sz="1000" b="1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rPr>
                  <a:t>Monthly Amount ($)</a:t>
                </a:r>
              </a:p>
            </c:rich>
          </c:tx>
          <c:overlay val="0"/>
        </c:title>
        <c:numFmt formatCode="\$#,##0;&quot;($&quot;#,##0\);\-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</a:ln>
        </c:spPr>
        <c:txPr>
          <a:bodyPr anchorCtr="1"/>
          <a:lstStyle/>
          <a:p>
            <a:pPr>
              <a:defRPr sz="1000" b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650112"/>
        <c:crosses val="autoZero"/>
        <c:crossBetween val="between"/>
      </c:valAx>
    </c:plotArea>
    <c:legend>
      <c:legendPos val="r"/>
      <c:overlay val="0"/>
      <c:spPr>
        <a:noFill/>
      </c:spPr>
      <c:txPr>
        <a:bodyPr anchorCtr="1"/>
        <a:lstStyle/>
        <a:p>
          <a:pPr>
            <a:defRPr sz="1000" b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rPr sz="1800" b="1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Investment Portfolio Balance by Age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'Charts &amp; Analysis'!$D$4</c:f>
              <c:strCache>
                <c:ptCount val="1"/>
                <c:pt idx="0">
                  <c:v>Portfolio Balance</c:v>
                </c:pt>
              </c:strCache>
            </c:strRef>
          </c:tx>
          <c:spPr>
            <a:solidFill>
              <a:srgbClr val="4B5320"/>
            </a:solidFill>
            <a:ln w="9360">
              <a:solidFill>
                <a:srgbClr val="F9F9F9"/>
              </a:solidFill>
            </a:ln>
          </c:spPr>
          <c:invertIfNegative val="1"/>
          <c:cat>
            <c:numRef>
              <c:f>'Charts &amp; Analysis'!$A$5:$A$55</c:f>
              <c:numCache>
                <c:formatCode>0</c:formatCode>
                <c:ptCount val="5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  <c:pt idx="11">
                  <c:v>51</c:v>
                </c:pt>
                <c:pt idx="12">
                  <c:v>52</c:v>
                </c:pt>
                <c:pt idx="13">
                  <c:v>53</c:v>
                </c:pt>
                <c:pt idx="14">
                  <c:v>54</c:v>
                </c:pt>
                <c:pt idx="15">
                  <c:v>55</c:v>
                </c:pt>
                <c:pt idx="16">
                  <c:v>56</c:v>
                </c:pt>
                <c:pt idx="17">
                  <c:v>57</c:v>
                </c:pt>
                <c:pt idx="18">
                  <c:v>58</c:v>
                </c:pt>
                <c:pt idx="19">
                  <c:v>59</c:v>
                </c:pt>
                <c:pt idx="20">
                  <c:v>60</c:v>
                </c:pt>
                <c:pt idx="21">
                  <c:v>61</c:v>
                </c:pt>
                <c:pt idx="22">
                  <c:v>62</c:v>
                </c:pt>
                <c:pt idx="23">
                  <c:v>63</c:v>
                </c:pt>
                <c:pt idx="24">
                  <c:v>64</c:v>
                </c:pt>
                <c:pt idx="25">
                  <c:v>65</c:v>
                </c:pt>
                <c:pt idx="26">
                  <c:v>66</c:v>
                </c:pt>
                <c:pt idx="27">
                  <c:v>67</c:v>
                </c:pt>
                <c:pt idx="28">
                  <c:v>68</c:v>
                </c:pt>
                <c:pt idx="29">
                  <c:v>69</c:v>
                </c:pt>
                <c:pt idx="30">
                  <c:v>70</c:v>
                </c:pt>
                <c:pt idx="31">
                  <c:v>71</c:v>
                </c:pt>
                <c:pt idx="32">
                  <c:v>72</c:v>
                </c:pt>
                <c:pt idx="33">
                  <c:v>73</c:v>
                </c:pt>
                <c:pt idx="34">
                  <c:v>74</c:v>
                </c:pt>
                <c:pt idx="35">
                  <c:v>75</c:v>
                </c:pt>
                <c:pt idx="36">
                  <c:v>76</c:v>
                </c:pt>
                <c:pt idx="37">
                  <c:v>77</c:v>
                </c:pt>
                <c:pt idx="38">
                  <c:v>78</c:v>
                </c:pt>
                <c:pt idx="39">
                  <c:v>79</c:v>
                </c:pt>
                <c:pt idx="40">
                  <c:v>80</c:v>
                </c:pt>
                <c:pt idx="41">
                  <c:v>81</c:v>
                </c:pt>
                <c:pt idx="42">
                  <c:v>82</c:v>
                </c:pt>
                <c:pt idx="43">
                  <c:v>83</c:v>
                </c:pt>
                <c:pt idx="44">
                  <c:v>84</c:v>
                </c:pt>
                <c:pt idx="45">
                  <c:v>85</c:v>
                </c:pt>
                <c:pt idx="46">
                  <c:v>86</c:v>
                </c:pt>
                <c:pt idx="47">
                  <c:v>87</c:v>
                </c:pt>
                <c:pt idx="48">
                  <c:v>88</c:v>
                </c:pt>
                <c:pt idx="49">
                  <c:v>89</c:v>
                </c:pt>
                <c:pt idx="50">
                  <c:v>90</c:v>
                </c:pt>
              </c:numCache>
            </c:numRef>
          </c:cat>
          <c:val>
            <c:numRef>
              <c:f>'Charts &amp; Analysis'!$D$5:$D$55</c:f>
              <c:numCache>
                <c:formatCode>\$#,##0</c:formatCode>
                <c:ptCount val="51"/>
                <c:pt idx="0">
                  <c:v>160000</c:v>
                </c:pt>
                <c:pt idx="1">
                  <c:v>183200</c:v>
                </c:pt>
                <c:pt idx="2">
                  <c:v>208720.00000000003</c:v>
                </c:pt>
                <c:pt idx="3">
                  <c:v>236792.00000000009</c:v>
                </c:pt>
                <c:pt idx="4">
                  <c:v>267671.20000000007</c:v>
                </c:pt>
                <c:pt idx="5">
                  <c:v>301638.32000000012</c:v>
                </c:pt>
                <c:pt idx="6">
                  <c:v>339002.15200000018</c:v>
                </c:pt>
                <c:pt idx="7">
                  <c:v>380102.36720000027</c:v>
                </c:pt>
                <c:pt idx="8">
                  <c:v>425312.60392000026</c:v>
                </c:pt>
                <c:pt idx="9">
                  <c:v>475043.86431200034</c:v>
                </c:pt>
                <c:pt idx="10">
                  <c:v>529748.25074320042</c:v>
                </c:pt>
                <c:pt idx="11">
                  <c:v>589923.07581752061</c:v>
                </c:pt>
                <c:pt idx="12">
                  <c:v>656115.38339927257</c:v>
                </c:pt>
                <c:pt idx="13">
                  <c:v>728926.9217391999</c:v>
                </c:pt>
                <c:pt idx="14">
                  <c:v>809019.61391312</c:v>
                </c:pt>
                <c:pt idx="15">
                  <c:v>897121.57530443196</c:v>
                </c:pt>
                <c:pt idx="16">
                  <c:v>994033.73283487535</c:v>
                </c:pt>
                <c:pt idx="17">
                  <c:v>1100637.1061183629</c:v>
                </c:pt>
                <c:pt idx="18">
                  <c:v>1217900.8167301991</c:v>
                </c:pt>
                <c:pt idx="19">
                  <c:v>1346890.8984032194</c:v>
                </c:pt>
                <c:pt idx="20">
                  <c:v>1488779.9882435412</c:v>
                </c:pt>
                <c:pt idx="21">
                  <c:v>1644857.9870678957</c:v>
                </c:pt>
                <c:pt idx="22">
                  <c:v>1816543.7857746854</c:v>
                </c:pt>
                <c:pt idx="23">
                  <c:v>2005398.1643521541</c:v>
                </c:pt>
                <c:pt idx="24">
                  <c:v>2213137.9807873694</c:v>
                </c:pt>
                <c:pt idx="25">
                  <c:v>2441651.7788661066</c:v>
                </c:pt>
                <c:pt idx="26">
                  <c:v>2693016.9567527175</c:v>
                </c:pt>
                <c:pt idx="27">
                  <c:v>2969518.65242799</c:v>
                </c:pt>
                <c:pt idx="28">
                  <c:v>3135811.696963958</c:v>
                </c:pt>
                <c:pt idx="29">
                  <c:v>3311417.1519939401</c:v>
                </c:pt>
                <c:pt idx="30">
                  <c:v>3496856.5125056007</c:v>
                </c:pt>
                <c:pt idx="31">
                  <c:v>3692680.4772059149</c:v>
                </c:pt>
                <c:pt idx="32">
                  <c:v>3899470.5839294461</c:v>
                </c:pt>
                <c:pt idx="33">
                  <c:v>4117840.9366294951</c:v>
                </c:pt>
                <c:pt idx="34">
                  <c:v>4348440.0290807467</c:v>
                </c:pt>
                <c:pt idx="35">
                  <c:v>4591952.6707092691</c:v>
                </c:pt>
                <c:pt idx="36">
                  <c:v>4849102.0202689879</c:v>
                </c:pt>
                <c:pt idx="37">
                  <c:v>5120651.7334040515</c:v>
                </c:pt>
                <c:pt idx="38">
                  <c:v>5407408.2304746788</c:v>
                </c:pt>
                <c:pt idx="39">
                  <c:v>5710223.0913812611</c:v>
                </c:pt>
                <c:pt idx="40">
                  <c:v>6029995.5844986122</c:v>
                </c:pt>
                <c:pt idx="41">
                  <c:v>6367675.3372305352</c:v>
                </c:pt>
                <c:pt idx="42">
                  <c:v>6724265.1561154462</c:v>
                </c:pt>
                <c:pt idx="43">
                  <c:v>7100824.0048579117</c:v>
                </c:pt>
                <c:pt idx="44">
                  <c:v>7498470.1491299551</c:v>
                </c:pt>
                <c:pt idx="45">
                  <c:v>7918384.477481233</c:v>
                </c:pt>
                <c:pt idx="46">
                  <c:v>8361814.0082201827</c:v>
                </c:pt>
                <c:pt idx="47">
                  <c:v>8830075.5926805139</c:v>
                </c:pt>
                <c:pt idx="48">
                  <c:v>9324559.8258706238</c:v>
                </c:pt>
                <c:pt idx="49">
                  <c:v>9846735.1761193797</c:v>
                </c:pt>
                <c:pt idx="50">
                  <c:v>10398152.345982065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9360">
                    <a:solidFill>
                      <a:srgbClr val="F9F9F9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05D7-4F0F-917D-3FF6CC8057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rPr sz="1000" b="1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rPr>
                  <a:t>Age</a:t>
                </a:r>
              </a:p>
            </c:rich>
          </c:tx>
          <c:overlay val="0"/>
        </c:title>
        <c:numFmt formatCode="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</a:ln>
        </c:spPr>
        <c:txPr>
          <a:bodyPr anchorCtr="1"/>
          <a:lstStyle/>
          <a:p>
            <a:pPr>
              <a:defRPr sz="1000" b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</a:ln>
          </c:spPr>
        </c:majorGridlines>
        <c:title>
          <c:tx>
            <c:rich>
              <a:bodyPr/>
              <a:lstStyle/>
              <a:p>
                <a:r>
                  <a:rPr sz="1000" b="1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rPr>
                  <a:t>Portfolio Value ($)</a:t>
                </a:r>
              </a:p>
            </c:rich>
          </c:tx>
          <c:overlay val="0"/>
        </c:title>
        <c:numFmt formatCode="\$#,##0;&quot;($&quot;#,##0\);\-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</a:ln>
        </c:spPr>
        <c:txPr>
          <a:bodyPr anchorCtr="1"/>
          <a:lstStyle/>
          <a:p>
            <a:pPr>
              <a:defRPr sz="1000" b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650112"/>
        <c:crosses val="autoZero"/>
        <c:crossBetween val="between"/>
      </c:valAx>
    </c:plotArea>
    <c:legend>
      <c:legendPos val="r"/>
      <c:overlay val="0"/>
      <c:spPr>
        <a:noFill/>
      </c:spPr>
      <c:txPr>
        <a:bodyPr anchorCtr="1"/>
        <a:lstStyle/>
        <a:p>
          <a:pPr>
            <a:defRPr sz="1000" b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52450" cy="552450"/>
    <xdr:pic>
      <xdr:nvPicPr>
        <xdr:cNvPr id="2" name="/xl/media/image1.bi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52450" cy="552450"/>
    <xdr:pic>
      <xdr:nvPicPr>
        <xdr:cNvPr id="2" name="/xl/media/image1.bi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18</xdr:col>
      <xdr:colOff>581040</xdr:colOff>
      <xdr:row>32</xdr:row>
      <xdr:rowOff>48240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18</xdr:col>
      <xdr:colOff>581040</xdr:colOff>
      <xdr:row>50</xdr:row>
      <xdr:rowOff>67320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0</xdr:colOff>
      <xdr:row>0</xdr:row>
      <xdr:rowOff>0</xdr:rowOff>
    </xdr:from>
    <xdr:ext cx="552450" cy="552450"/>
    <xdr:pic>
      <xdr:nvPicPr>
        <xdr:cNvPr id="4" name="/xl/media/image1.bi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52450" cy="552450"/>
    <xdr:pic>
      <xdr:nvPicPr>
        <xdr:cNvPr id="2" name="/xl/media/image1.bi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4B5320"/>
  </sheetPr>
  <dimension ref="A1:I52"/>
  <sheetViews>
    <sheetView tabSelected="1" workbookViewId="0">
      <selection activeCell="F31" sqref="F31"/>
    </sheetView>
  </sheetViews>
  <sheetFormatPr defaultColWidth="8.6328125" defaultRowHeight="14.5" x14ac:dyDescent="0.35"/>
  <cols>
    <col min="1" max="1" width="3" customWidth="1"/>
    <col min="2" max="2" width="38" customWidth="1"/>
    <col min="3" max="3" width="22" customWidth="1"/>
    <col min="4" max="4" width="10.90625" bestFit="1" customWidth="1"/>
    <col min="5" max="5" width="3" customWidth="1"/>
    <col min="6" max="6" width="37.54296875" bestFit="1" customWidth="1"/>
    <col min="7" max="7" width="12.453125" bestFit="1" customWidth="1"/>
    <col min="8" max="8" width="23.453125" bestFit="1" customWidth="1"/>
    <col min="9" max="9" width="3" customWidth="1"/>
  </cols>
  <sheetData>
    <row r="1" spans="1:9" ht="20" x14ac:dyDescent="0.35">
      <c r="A1" s="26"/>
      <c r="B1" s="75" t="s">
        <v>0</v>
      </c>
      <c r="C1" s="75"/>
      <c r="D1" s="75"/>
      <c r="E1" s="75"/>
      <c r="F1" s="75"/>
      <c r="G1" s="75"/>
      <c r="H1" s="75"/>
      <c r="I1" s="1"/>
    </row>
    <row r="2" spans="1:9" ht="20" x14ac:dyDescent="0.35">
      <c r="A2" s="26"/>
      <c r="B2" s="76" t="s">
        <v>1</v>
      </c>
      <c r="C2" s="76"/>
      <c r="D2" s="76"/>
      <c r="E2" s="76"/>
      <c r="F2" s="76"/>
      <c r="G2" s="76"/>
      <c r="H2" s="76"/>
      <c r="I2" s="1"/>
    </row>
    <row r="3" spans="1:9" ht="20" x14ac:dyDescent="0.35">
      <c r="A3" s="26"/>
      <c r="B3" s="27"/>
      <c r="C3" s="27"/>
      <c r="D3" s="27"/>
      <c r="E3" s="27"/>
      <c r="F3" s="27"/>
      <c r="G3" s="27"/>
      <c r="H3" s="27"/>
      <c r="I3" s="1"/>
    </row>
    <row r="4" spans="1:9" x14ac:dyDescent="0.35">
      <c r="A4" s="74" t="s">
        <v>1</v>
      </c>
      <c r="B4" s="74"/>
      <c r="C4" s="74"/>
      <c r="D4" s="74"/>
      <c r="E4" s="74"/>
      <c r="F4" s="74"/>
      <c r="G4" s="74"/>
      <c r="H4" s="74"/>
      <c r="I4" s="74"/>
    </row>
    <row r="6" spans="1:9" x14ac:dyDescent="0.35">
      <c r="B6" s="69" t="s">
        <v>2</v>
      </c>
      <c r="C6" s="69"/>
      <c r="D6" s="69"/>
      <c r="F6" s="69" t="s">
        <v>3</v>
      </c>
      <c r="G6" s="69"/>
      <c r="H6" s="69"/>
    </row>
    <row r="7" spans="1:9" x14ac:dyDescent="0.35">
      <c r="B7" s="64" t="s">
        <v>4</v>
      </c>
      <c r="C7" s="64"/>
      <c r="D7" s="2">
        <v>40</v>
      </c>
      <c r="F7" s="3" t="s">
        <v>5</v>
      </c>
      <c r="G7" s="4">
        <v>4000</v>
      </c>
    </row>
    <row r="8" spans="1:9" x14ac:dyDescent="0.35">
      <c r="B8" s="64" t="s">
        <v>6</v>
      </c>
      <c r="C8" s="64"/>
      <c r="D8" s="2">
        <v>67</v>
      </c>
      <c r="F8" s="3" t="s">
        <v>7</v>
      </c>
      <c r="G8" s="4">
        <v>250</v>
      </c>
    </row>
    <row r="9" spans="1:9" x14ac:dyDescent="0.35">
      <c r="B9" s="64" t="s">
        <v>8</v>
      </c>
      <c r="C9" s="64"/>
      <c r="D9" s="2">
        <v>90</v>
      </c>
      <c r="F9" s="3" t="s">
        <v>9</v>
      </c>
      <c r="G9" s="4">
        <v>600</v>
      </c>
    </row>
    <row r="10" spans="1:9" x14ac:dyDescent="0.35">
      <c r="B10" s="64" t="s">
        <v>10</v>
      </c>
      <c r="C10" s="64"/>
      <c r="D10" s="2">
        <v>1</v>
      </c>
      <c r="F10" s="3" t="s">
        <v>11</v>
      </c>
      <c r="G10" s="4">
        <v>500</v>
      </c>
    </row>
    <row r="11" spans="1:9" x14ac:dyDescent="0.35">
      <c r="B11" s="64" t="s">
        <v>12</v>
      </c>
      <c r="C11" s="64"/>
      <c r="D11" s="2">
        <v>40</v>
      </c>
      <c r="F11" s="3" t="s">
        <v>13</v>
      </c>
      <c r="G11" s="4">
        <v>300</v>
      </c>
    </row>
    <row r="12" spans="1:9" x14ac:dyDescent="0.35">
      <c r="B12" s="64" t="s">
        <v>14</v>
      </c>
      <c r="C12" s="64"/>
      <c r="D12" s="2">
        <v>90</v>
      </c>
      <c r="F12" s="3" t="s">
        <v>15</v>
      </c>
      <c r="G12" s="4">
        <v>200</v>
      </c>
    </row>
    <row r="13" spans="1:9" x14ac:dyDescent="0.35">
      <c r="D13" s="39"/>
      <c r="F13" s="3" t="s">
        <v>16</v>
      </c>
      <c r="G13" s="4">
        <v>155</v>
      </c>
    </row>
    <row r="14" spans="1:9" x14ac:dyDescent="0.35">
      <c r="B14" s="69" t="s">
        <v>17</v>
      </c>
      <c r="C14" s="69"/>
      <c r="D14" s="70"/>
      <c r="F14" s="3" t="s">
        <v>18</v>
      </c>
      <c r="G14" s="4">
        <v>150</v>
      </c>
    </row>
    <row r="15" spans="1:9" x14ac:dyDescent="0.35">
      <c r="B15" s="64" t="s">
        <v>19</v>
      </c>
      <c r="C15" s="64"/>
      <c r="D15" s="2">
        <v>1</v>
      </c>
      <c r="F15" s="3" t="s">
        <v>20</v>
      </c>
      <c r="G15" s="4">
        <v>300</v>
      </c>
    </row>
    <row r="16" spans="1:9" x14ac:dyDescent="0.35">
      <c r="B16" s="64" t="s">
        <v>21</v>
      </c>
      <c r="C16" s="64"/>
      <c r="D16" s="56">
        <v>3000</v>
      </c>
      <c r="F16" s="3" t="s">
        <v>22</v>
      </c>
      <c r="G16" s="4">
        <v>400</v>
      </c>
    </row>
    <row r="17" spans="2:8" x14ac:dyDescent="0.35">
      <c r="B17" s="64" t="s">
        <v>23</v>
      </c>
      <c r="C17" s="64"/>
      <c r="D17" s="56">
        <v>1</v>
      </c>
      <c r="F17" s="3" t="s">
        <v>24</v>
      </c>
      <c r="G17" s="4">
        <v>100</v>
      </c>
    </row>
    <row r="18" spans="2:8" x14ac:dyDescent="0.35">
      <c r="B18" s="64" t="s">
        <v>25</v>
      </c>
      <c r="C18" s="64"/>
      <c r="D18" s="5">
        <v>2.5000000000000001E-2</v>
      </c>
      <c r="F18" s="3" t="s">
        <v>26</v>
      </c>
      <c r="G18" s="4">
        <v>200</v>
      </c>
    </row>
    <row r="19" spans="2:8" x14ac:dyDescent="0.35">
      <c r="B19" s="64" t="s">
        <v>27</v>
      </c>
      <c r="C19" s="64"/>
      <c r="D19" s="56">
        <v>1</v>
      </c>
      <c r="F19" s="3" t="s">
        <v>28</v>
      </c>
      <c r="G19" s="4">
        <v>200</v>
      </c>
    </row>
    <row r="20" spans="2:8" ht="58" x14ac:dyDescent="0.35">
      <c r="B20" s="64" t="s">
        <v>29</v>
      </c>
      <c r="C20" s="64"/>
      <c r="D20" s="56">
        <f>IF(D19=1,D16*6.5%,0)</f>
        <v>195</v>
      </c>
      <c r="F20" s="3" t="s">
        <v>30</v>
      </c>
      <c r="G20" s="4">
        <v>250</v>
      </c>
      <c r="H20" s="60" t="s">
        <v>141</v>
      </c>
    </row>
    <row r="21" spans="2:8" x14ac:dyDescent="0.35">
      <c r="D21" s="39"/>
      <c r="F21" s="3" t="s">
        <v>31</v>
      </c>
      <c r="G21" s="4">
        <v>100</v>
      </c>
      <c r="H21" s="60"/>
    </row>
    <row r="22" spans="2:8" x14ac:dyDescent="0.35">
      <c r="B22" s="69" t="s">
        <v>32</v>
      </c>
      <c r="C22" s="69"/>
      <c r="D22" s="70"/>
      <c r="F22" s="35" t="s">
        <v>33</v>
      </c>
      <c r="G22" s="57">
        <f>SUM(G7:G21)</f>
        <v>7705</v>
      </c>
      <c r="H22" s="61" t="s">
        <v>34</v>
      </c>
    </row>
    <row r="23" spans="2:8" x14ac:dyDescent="0.35">
      <c r="B23" s="64" t="s">
        <v>35</v>
      </c>
      <c r="C23" s="64"/>
      <c r="D23" s="2">
        <v>1</v>
      </c>
      <c r="F23" s="3" t="s">
        <v>36</v>
      </c>
      <c r="G23" s="5">
        <v>0.03</v>
      </c>
      <c r="H23" s="60"/>
    </row>
    <row r="24" spans="2:8" x14ac:dyDescent="0.35">
      <c r="B24" s="64" t="s">
        <v>37</v>
      </c>
      <c r="C24" s="64"/>
      <c r="D24" s="5">
        <v>1</v>
      </c>
      <c r="F24" s="3" t="s">
        <v>38</v>
      </c>
      <c r="G24" s="56">
        <v>0</v>
      </c>
      <c r="H24" s="60"/>
    </row>
    <row r="25" spans="2:8" x14ac:dyDescent="0.35">
      <c r="B25" s="64" t="s">
        <v>39</v>
      </c>
      <c r="C25" s="64"/>
      <c r="D25" s="56">
        <v>2500</v>
      </c>
      <c r="G25" s="38"/>
      <c r="H25" s="60"/>
    </row>
    <row r="26" spans="2:8" x14ac:dyDescent="0.35">
      <c r="B26" s="64" t="s">
        <v>25</v>
      </c>
      <c r="C26" s="64"/>
      <c r="D26" s="5">
        <v>2.5000000000000001E-2</v>
      </c>
      <c r="F26" s="71" t="s">
        <v>40</v>
      </c>
      <c r="G26" s="72"/>
      <c r="H26" s="73"/>
    </row>
    <row r="27" spans="2:8" x14ac:dyDescent="0.35">
      <c r="B27" s="64" t="s">
        <v>41</v>
      </c>
      <c r="C27" s="64"/>
      <c r="D27" s="2">
        <v>1</v>
      </c>
      <c r="F27" s="7" t="s">
        <v>42</v>
      </c>
      <c r="G27" s="52">
        <f>IF(D15=1,D16,0)</f>
        <v>3000</v>
      </c>
      <c r="H27" s="60"/>
    </row>
    <row r="28" spans="2:8" x14ac:dyDescent="0.35">
      <c r="D28" s="39"/>
      <c r="F28" s="7" t="s">
        <v>43</v>
      </c>
      <c r="G28" s="52">
        <f>IF(D23=1,D25,0)</f>
        <v>2500</v>
      </c>
      <c r="H28" s="60"/>
    </row>
    <row r="29" spans="2:8" ht="29" x14ac:dyDescent="0.35">
      <c r="B29" s="69" t="s">
        <v>44</v>
      </c>
      <c r="C29" s="69"/>
      <c r="D29" s="70"/>
      <c r="F29" s="7" t="s">
        <v>45</v>
      </c>
      <c r="G29" s="52">
        <f>IF(D30=1,IF(D36=1,G40*D35/12,D37),0)</f>
        <v>9898.3955080932992</v>
      </c>
      <c r="H29" s="60" t="s">
        <v>142</v>
      </c>
    </row>
    <row r="30" spans="2:8" x14ac:dyDescent="0.35">
      <c r="B30" s="64" t="s">
        <v>46</v>
      </c>
      <c r="C30" s="64"/>
      <c r="D30" s="2">
        <v>1</v>
      </c>
      <c r="F30" s="7" t="s">
        <v>47</v>
      </c>
      <c r="G30" s="52">
        <f>IF(AND($D$41=1,$D$8&gt;=$D$43),$D$42,0)</f>
        <v>1800</v>
      </c>
      <c r="H30" s="60"/>
    </row>
    <row r="31" spans="2:8" x14ac:dyDescent="0.35">
      <c r="B31" s="64" t="s">
        <v>48</v>
      </c>
      <c r="C31" s="64"/>
      <c r="D31" s="56">
        <v>110000</v>
      </c>
      <c r="F31" s="7" t="s">
        <v>49</v>
      </c>
      <c r="G31" s="52">
        <f>IF($D$44=1,$D$45,0)</f>
        <v>0</v>
      </c>
      <c r="H31" s="60"/>
    </row>
    <row r="32" spans="2:8" x14ac:dyDescent="0.35">
      <c r="B32" s="64" t="s">
        <v>50</v>
      </c>
      <c r="C32" s="64"/>
      <c r="D32" s="56">
        <v>50000</v>
      </c>
      <c r="F32" s="7" t="s">
        <v>51</v>
      </c>
      <c r="G32" s="52">
        <f>IF($D$47=1,$D$48,0)</f>
        <v>0</v>
      </c>
      <c r="H32" s="60"/>
    </row>
    <row r="33" spans="2:8" x14ac:dyDescent="0.35">
      <c r="B33" s="64" t="s">
        <v>52</v>
      </c>
      <c r="C33" s="64"/>
      <c r="D33" s="56">
        <v>0</v>
      </c>
      <c r="F33" s="7" t="s">
        <v>53</v>
      </c>
      <c r="G33" s="52">
        <f>IF(D19=1,-D20,0)</f>
        <v>-195</v>
      </c>
      <c r="H33" s="60"/>
    </row>
    <row r="34" spans="2:8" x14ac:dyDescent="0.35">
      <c r="B34" s="64" t="s">
        <v>54</v>
      </c>
      <c r="C34" s="64"/>
      <c r="D34" s="5">
        <v>0.1</v>
      </c>
      <c r="F34" s="35" t="s">
        <v>55</v>
      </c>
      <c r="G34" s="53">
        <f>SUM(G27:G33)</f>
        <v>17003.395508093301</v>
      </c>
      <c r="H34" s="62"/>
    </row>
    <row r="35" spans="2:8" x14ac:dyDescent="0.35">
      <c r="B35" s="64" t="s">
        <v>56</v>
      </c>
      <c r="C35" s="64"/>
      <c r="D35" s="5">
        <v>0.04</v>
      </c>
      <c r="F35" s="7" t="s">
        <v>57</v>
      </c>
      <c r="G35" s="54">
        <f>-(G27+G29+G30+G31+G32)*G24</f>
        <v>0</v>
      </c>
      <c r="H35" s="60"/>
    </row>
    <row r="36" spans="2:8" x14ac:dyDescent="0.35">
      <c r="B36" s="64" t="s">
        <v>58</v>
      </c>
      <c r="C36" s="64"/>
      <c r="D36" s="56">
        <v>1</v>
      </c>
      <c r="F36" s="35" t="s">
        <v>59</v>
      </c>
      <c r="G36" s="53">
        <f>G34+G35</f>
        <v>17003.395508093301</v>
      </c>
      <c r="H36" s="62"/>
    </row>
    <row r="37" spans="2:8" x14ac:dyDescent="0.35">
      <c r="B37" s="64" t="s">
        <v>60</v>
      </c>
      <c r="C37" s="64"/>
      <c r="D37" s="56">
        <v>2000</v>
      </c>
      <c r="F37" s="36" t="s">
        <v>61</v>
      </c>
      <c r="G37" s="55">
        <f>G36-G22</f>
        <v>9298.395508093301</v>
      </c>
      <c r="H37" s="37" t="str">
        <f>IF(G37&gt;=0,"✔ FUNDED","⚠ SHORTFALL")</f>
        <v>✔ FUNDED</v>
      </c>
    </row>
    <row r="38" spans="2:8" x14ac:dyDescent="0.35">
      <c r="B38" s="64" t="s">
        <v>62</v>
      </c>
      <c r="C38" s="64"/>
      <c r="D38" s="56">
        <v>600</v>
      </c>
      <c r="F38" s="7" t="s">
        <v>63</v>
      </c>
      <c r="G38" s="8">
        <f>IFERROR(G36/(G22),0)</f>
        <v>2.2068001957291759</v>
      </c>
      <c r="H38" s="63" t="s">
        <v>64</v>
      </c>
    </row>
    <row r="39" spans="2:8" x14ac:dyDescent="0.35">
      <c r="D39" s="39"/>
      <c r="F39" s="7" t="s">
        <v>65</v>
      </c>
      <c r="G39" s="54">
        <f>D9-D8</f>
        <v>23</v>
      </c>
      <c r="H39" s="60"/>
    </row>
    <row r="40" spans="2:8" ht="29" x14ac:dyDescent="0.35">
      <c r="B40" s="69" t="s">
        <v>66</v>
      </c>
      <c r="C40" s="69"/>
      <c r="D40" s="70"/>
      <c r="F40" s="7" t="s">
        <v>67</v>
      </c>
      <c r="G40" s="54">
        <f>IF(D34=0,D31+D32+D33+D38*12*(D8-D7),(D31+D32+D33)*(1+D34)^(D8-D7)+D38*12*((1+D34)^(D8-D7)-1)/D34)</f>
        <v>2969518.65242799</v>
      </c>
      <c r="H40" s="60" t="s">
        <v>143</v>
      </c>
    </row>
    <row r="41" spans="2:8" x14ac:dyDescent="0.35">
      <c r="B41" s="64" t="s">
        <v>68</v>
      </c>
      <c r="C41" s="64"/>
      <c r="D41" s="2">
        <v>1</v>
      </c>
      <c r="F41" s="7" t="s">
        <v>69</v>
      </c>
      <c r="G41" s="54">
        <f>G40*D35</f>
        <v>118780.7460971196</v>
      </c>
      <c r="H41" s="6" t="s">
        <v>70</v>
      </c>
    </row>
    <row r="42" spans="2:8" x14ac:dyDescent="0.35">
      <c r="B42" s="64" t="s">
        <v>71</v>
      </c>
      <c r="C42" s="64"/>
      <c r="D42" s="4">
        <v>1800</v>
      </c>
    </row>
    <row r="43" spans="2:8" x14ac:dyDescent="0.35">
      <c r="B43" s="64" t="s">
        <v>72</v>
      </c>
      <c r="C43" s="64"/>
      <c r="D43" s="2">
        <v>67</v>
      </c>
      <c r="F43" s="68" t="s">
        <v>73</v>
      </c>
      <c r="G43" s="68"/>
      <c r="H43" s="68"/>
    </row>
    <row r="44" spans="2:8" x14ac:dyDescent="0.35">
      <c r="B44" s="64" t="s">
        <v>74</v>
      </c>
      <c r="C44" s="64"/>
      <c r="D44" s="2">
        <v>1</v>
      </c>
      <c r="F44" s="9" t="s">
        <v>75</v>
      </c>
      <c r="G44" s="67" t="s">
        <v>76</v>
      </c>
      <c r="H44" s="67"/>
    </row>
    <row r="45" spans="2:8" x14ac:dyDescent="0.35">
      <c r="B45" s="64" t="s">
        <v>77</v>
      </c>
      <c r="C45" s="64"/>
      <c r="D45" s="4">
        <v>0</v>
      </c>
      <c r="F45" s="7" t="s">
        <v>75</v>
      </c>
      <c r="G45" s="67" t="s">
        <v>78</v>
      </c>
      <c r="H45" s="67"/>
    </row>
    <row r="46" spans="2:8" x14ac:dyDescent="0.35">
      <c r="B46" s="64" t="s">
        <v>79</v>
      </c>
      <c r="C46" s="64"/>
      <c r="D46" s="2">
        <v>70</v>
      </c>
      <c r="F46" s="10" t="s">
        <v>75</v>
      </c>
      <c r="G46" s="67" t="s">
        <v>80</v>
      </c>
      <c r="H46" s="67"/>
    </row>
    <row r="47" spans="2:8" x14ac:dyDescent="0.35">
      <c r="B47" s="64" t="s">
        <v>81</v>
      </c>
      <c r="C47" s="64"/>
      <c r="D47" s="2">
        <v>1</v>
      </c>
    </row>
    <row r="48" spans="2:8" x14ac:dyDescent="0.35">
      <c r="B48" s="64" t="s">
        <v>82</v>
      </c>
      <c r="C48" s="64"/>
      <c r="D48" s="4">
        <v>0</v>
      </c>
    </row>
    <row r="49" spans="2:8" x14ac:dyDescent="0.35">
      <c r="B49" s="64" t="s">
        <v>83</v>
      </c>
      <c r="C49" s="64"/>
      <c r="D49" s="5">
        <v>0.02</v>
      </c>
    </row>
    <row r="51" spans="2:8" x14ac:dyDescent="0.35">
      <c r="B51" s="65" t="s">
        <v>84</v>
      </c>
      <c r="C51" s="65"/>
      <c r="D51" s="65"/>
      <c r="E51" s="65"/>
      <c r="F51" s="65"/>
      <c r="G51" s="65"/>
      <c r="H51" s="65"/>
    </row>
    <row r="52" spans="2:8" x14ac:dyDescent="0.35">
      <c r="B52" s="66"/>
      <c r="C52" s="66"/>
      <c r="D52" s="66"/>
      <c r="E52" s="66"/>
      <c r="F52" s="66"/>
      <c r="G52" s="66"/>
      <c r="H52" s="66"/>
    </row>
  </sheetData>
  <mergeCells count="50">
    <mergeCell ref="A4:I4"/>
    <mergeCell ref="B6:D6"/>
    <mergeCell ref="F6:H6"/>
    <mergeCell ref="B7:C7"/>
    <mergeCell ref="B1:H1"/>
    <mergeCell ref="B2:H2"/>
    <mergeCell ref="B8:C8"/>
    <mergeCell ref="B9:C9"/>
    <mergeCell ref="B10:C10"/>
    <mergeCell ref="B11:C11"/>
    <mergeCell ref="B12:C12"/>
    <mergeCell ref="B14:D14"/>
    <mergeCell ref="B15:C15"/>
    <mergeCell ref="B16:C16"/>
    <mergeCell ref="B17:C17"/>
    <mergeCell ref="B18:C18"/>
    <mergeCell ref="B19:C19"/>
    <mergeCell ref="B20:C20"/>
    <mergeCell ref="B22:D22"/>
    <mergeCell ref="B23:C23"/>
    <mergeCell ref="B24:C24"/>
    <mergeCell ref="B25:C25"/>
    <mergeCell ref="B26:C26"/>
    <mergeCell ref="F26:H26"/>
    <mergeCell ref="B27:C27"/>
    <mergeCell ref="B29:D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40:D40"/>
    <mergeCell ref="B41:C41"/>
    <mergeCell ref="B42:C42"/>
    <mergeCell ref="B43:C43"/>
    <mergeCell ref="F43:H43"/>
    <mergeCell ref="B44:C44"/>
    <mergeCell ref="G44:H44"/>
    <mergeCell ref="B48:C48"/>
    <mergeCell ref="B49:C49"/>
    <mergeCell ref="B51:H52"/>
    <mergeCell ref="B45:C45"/>
    <mergeCell ref="G45:H45"/>
    <mergeCell ref="B46:C46"/>
    <mergeCell ref="G46:H46"/>
    <mergeCell ref="B47:C4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8A96E"/>
  </sheetPr>
  <dimension ref="A1:O53"/>
  <sheetViews>
    <sheetView workbookViewId="0">
      <selection activeCell="R8" sqref="R8"/>
    </sheetView>
  </sheetViews>
  <sheetFormatPr defaultColWidth="8.6328125" defaultRowHeight="14.5" x14ac:dyDescent="0.35"/>
  <cols>
    <col min="1" max="1" width="4" bestFit="1" customWidth="1"/>
    <col min="2" max="2" width="4.7265625" bestFit="1" customWidth="1"/>
    <col min="3" max="5" width="9" bestFit="1" customWidth="1"/>
    <col min="6" max="6" width="9.7265625" bestFit="1" customWidth="1"/>
    <col min="7" max="8" width="11.453125" bestFit="1" customWidth="1"/>
    <col min="9" max="11" width="9" bestFit="1" customWidth="1"/>
    <col min="12" max="12" width="9.1796875" bestFit="1" customWidth="1"/>
    <col min="13" max="13" width="9" bestFit="1" customWidth="1"/>
    <col min="14" max="14" width="11.26953125" bestFit="1" customWidth="1"/>
    <col min="15" max="15" width="10.90625" bestFit="1" customWidth="1"/>
  </cols>
  <sheetData>
    <row r="1" spans="1:15" ht="20" x14ac:dyDescent="0.35">
      <c r="A1" s="28"/>
      <c r="B1" s="75" t="s">
        <v>85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39" x14ac:dyDescent="0.35">
      <c r="A2" s="31" t="s">
        <v>86</v>
      </c>
      <c r="B2" s="32" t="s">
        <v>87</v>
      </c>
      <c r="C2" s="32" t="s">
        <v>88</v>
      </c>
      <c r="D2" s="32" t="s">
        <v>89</v>
      </c>
      <c r="E2" s="32" t="s">
        <v>90</v>
      </c>
      <c r="F2" s="32" t="s">
        <v>91</v>
      </c>
      <c r="G2" s="32" t="s">
        <v>92</v>
      </c>
      <c r="H2" s="32" t="s">
        <v>93</v>
      </c>
      <c r="I2" s="32" t="s">
        <v>94</v>
      </c>
      <c r="J2" s="32" t="s">
        <v>95</v>
      </c>
      <c r="K2" s="32" t="s">
        <v>96</v>
      </c>
      <c r="L2" s="32" t="s">
        <v>97</v>
      </c>
      <c r="M2" s="32" t="s">
        <v>98</v>
      </c>
      <c r="N2" s="32" t="s">
        <v>99</v>
      </c>
      <c r="O2" s="32" t="s">
        <v>100</v>
      </c>
    </row>
    <row r="3" spans="1:15" x14ac:dyDescent="0.35">
      <c r="A3" s="51">
        <f>Dashboard!D$7+0</f>
        <v>40</v>
      </c>
      <c r="B3" s="51">
        <f ca="1">YEAR(TODAY())+0</f>
        <v>2026</v>
      </c>
      <c r="C3" s="58">
        <f>IF(Dashboard!D$15=1,IF(A3&gt;=Dashboard!D$8,Dashboard!D$16*(1+Dashboard!D$18)^MAX(0,A3-Dashboard!D$8),0),0)</f>
        <v>0</v>
      </c>
      <c r="D3" s="58">
        <f>IF(Dashboard!D$23=1,IF(A3&gt;=Dashboard!D$8,Dashboard!D$25*(1+Dashboard!D$26)^MAX(0,A3-Dashboard!D$8),0),0)</f>
        <v>0</v>
      </c>
      <c r="E3" s="58">
        <f>IF(Dashboard!D$30=1,IF(A3&gt;=Dashboard!D$8,IF(Dashboard!D$36=1,N3*Dashboard!D$35/12,Dashboard!D$37),0),0)</f>
        <v>0</v>
      </c>
      <c r="F3" s="58">
        <f>IF(Dashboard!D$41=1,IF(A3&gt;=Dashboard!D$43,Dashboard!D$42*(1+0.025)^MAX(0,A3-Dashboard!D$43),0),0)</f>
        <v>0</v>
      </c>
      <c r="G3" s="58">
        <f>IF(Dashboard!D$44=1,IF(AND(A3&gt;=Dashboard!D$8,A3&lt;Dashboard!D$46),Dashboard!D$45,0),0)</f>
        <v>0</v>
      </c>
      <c r="H3" s="58">
        <f>IF(Dashboard!D$47=1,IF(A3&gt;=Dashboard!D$8,Dashboard!D$48*(1+Dashboard!D$49)^MAX(0,A3-Dashboard!D$8),0),0)</f>
        <v>0</v>
      </c>
      <c r="I3" s="58">
        <f>C3+D3+E3+F3+G3+H3-IF(Dashboard!D$19=1,IF(A3&gt;=Dashboard!D$8,Dashboard!D$20,0),0)</f>
        <v>0</v>
      </c>
      <c r="J3" s="58">
        <f>-(C3+E3+F3+G3+H3)*Dashboard!G$24</f>
        <v>0</v>
      </c>
      <c r="K3" s="58">
        <f t="shared" ref="K3:K34" si="0">I3+J3</f>
        <v>0</v>
      </c>
      <c r="L3" s="58">
        <f>IF(A3&gt;=Dashboard!D$8,Dashboard!G$22*(1+Dashboard!G$23)^MAX(0,A3-Dashboard!D$8),0)</f>
        <v>0</v>
      </c>
      <c r="M3" s="58">
        <f t="shared" ref="M3:M34" si="1">K3-L3</f>
        <v>0</v>
      </c>
      <c r="N3" s="58">
        <f>IF(A3&lt;Dashboard!D$8,IF(Dashboard!D$34=0,Dashboard!D$31+Dashboard!D$32+Dashboard!D$33+Dashboard!D$38*12*(A3-Dashboard!D$7),(Dashboard!D$31+Dashboard!D$32+Dashboard!D$33)*(1+Dashboard!D$34)^(A3-Dashboard!D$7)+Dashboard!D$38*12*((1+Dashboard!D$34)^(A3-Dashboard!D$7)-1)/Dashboard!D$34),Dashboard!G$40)</f>
        <v>160000</v>
      </c>
      <c r="O3" s="58">
        <f>N3*Dashboard!D$35</f>
        <v>6400</v>
      </c>
    </row>
    <row r="4" spans="1:15" x14ac:dyDescent="0.35">
      <c r="A4" s="51">
        <f>Dashboard!D$7+1</f>
        <v>41</v>
      </c>
      <c r="B4" s="51">
        <f ca="1">YEAR(TODAY())+1</f>
        <v>2027</v>
      </c>
      <c r="C4" s="58">
        <f>IF(Dashboard!D$15=1,IF(A4&gt;=Dashboard!D$8,Dashboard!D$16*(1+Dashboard!D$18)^MAX(0,A4-Dashboard!D$8),0),0)</f>
        <v>0</v>
      </c>
      <c r="D4" s="58">
        <f>IF(Dashboard!D$23=1,IF(A4&gt;=Dashboard!D$8,Dashboard!D$25*(1+Dashboard!D$26)^MAX(0,A4-Dashboard!D$8),0),0)</f>
        <v>0</v>
      </c>
      <c r="E4" s="58">
        <f>IF(Dashboard!D$30=1,IF(A4&gt;=Dashboard!D$8,IF(Dashboard!D$36=1,N4*Dashboard!D$35/12,Dashboard!D$37),0),0)</f>
        <v>0</v>
      </c>
      <c r="F4" s="58">
        <f>IF(Dashboard!D$41=1,IF(A4&gt;=Dashboard!D$43,Dashboard!D$42*(1+0.025)^MAX(0,A4-Dashboard!D$43),0),0)</f>
        <v>0</v>
      </c>
      <c r="G4" s="58">
        <f>IF(Dashboard!D$44=1,IF(AND(A4&gt;=Dashboard!D$8,A4&lt;Dashboard!D$46),Dashboard!D$45,0),0)</f>
        <v>0</v>
      </c>
      <c r="H4" s="58">
        <f>IF(Dashboard!D$47=1,IF(A4&gt;=Dashboard!D$8,Dashboard!D$48*(1+Dashboard!D$49)^MAX(0,A4-Dashboard!D$8),0),0)</f>
        <v>0</v>
      </c>
      <c r="I4" s="58">
        <f>C4+D4+E4+F4+G4+H4-IF(Dashboard!D$19=1,IF(A4&gt;=Dashboard!D$8,Dashboard!D$20,0),0)</f>
        <v>0</v>
      </c>
      <c r="J4" s="58">
        <f>-(C4+E4+F4+G4+H4)*Dashboard!G$24</f>
        <v>0</v>
      </c>
      <c r="K4" s="58">
        <f t="shared" si="0"/>
        <v>0</v>
      </c>
      <c r="L4" s="58">
        <f>IF(A4&gt;=Dashboard!D$8,Dashboard!G$22*(1+Dashboard!G$23)^MAX(0,A4-Dashboard!D$8),0)</f>
        <v>0</v>
      </c>
      <c r="M4" s="58">
        <f t="shared" si="1"/>
        <v>0</v>
      </c>
      <c r="N4" s="58">
        <f>IF(A4&lt;Dashboard!D$8,IF(Dashboard!D$34=0,Dashboard!D$31+Dashboard!D$32+Dashboard!D$33+Dashboard!D$38*12*(A4-Dashboard!D$7),(Dashboard!D$31+Dashboard!D$32+Dashboard!D$33)*(1+Dashboard!D$34)^(A4-Dashboard!D$7)+Dashboard!D$38*12*((1+Dashboard!D$34)^(A4-Dashboard!D$7)-1)/Dashboard!D$34),IF(A4=Dashboard!D$8,Dashboard!G$40,MAX(0,(N3-E3*12)*(1+Dashboard!D$34))))</f>
        <v>183200</v>
      </c>
      <c r="O4" s="58">
        <f>N4*Dashboard!D$35</f>
        <v>7328</v>
      </c>
    </row>
    <row r="5" spans="1:15" x14ac:dyDescent="0.35">
      <c r="A5" s="51">
        <f>Dashboard!D$7+2</f>
        <v>42</v>
      </c>
      <c r="B5" s="51">
        <f ca="1">YEAR(TODAY())+2</f>
        <v>2028</v>
      </c>
      <c r="C5" s="58">
        <f>IF(Dashboard!D$15=1,IF(A5&gt;=Dashboard!D$8,Dashboard!D$16*(1+Dashboard!D$18)^MAX(0,A5-Dashboard!D$8),0),0)</f>
        <v>0</v>
      </c>
      <c r="D5" s="58">
        <f>IF(Dashboard!D$23=1,IF(A5&gt;=Dashboard!D$8,Dashboard!D$25*(1+Dashboard!D$26)^MAX(0,A5-Dashboard!D$8),0),0)</f>
        <v>0</v>
      </c>
      <c r="E5" s="58">
        <f>IF(Dashboard!D$30=1,IF(A5&gt;=Dashboard!D$8,IF(Dashboard!D$36=1,N5*Dashboard!D$35/12,Dashboard!D$37),0),0)</f>
        <v>0</v>
      </c>
      <c r="F5" s="58">
        <f>IF(Dashboard!D$41=1,IF(A5&gt;=Dashboard!D$43,Dashboard!D$42*(1+0.025)^MAX(0,A5-Dashboard!D$43),0),0)</f>
        <v>0</v>
      </c>
      <c r="G5" s="58">
        <f>IF(Dashboard!D$44=1,IF(AND(A5&gt;=Dashboard!D$8,A5&lt;Dashboard!D$46),Dashboard!D$45,0),0)</f>
        <v>0</v>
      </c>
      <c r="H5" s="58">
        <f>IF(Dashboard!D$47=1,IF(A5&gt;=Dashboard!D$8,Dashboard!D$48*(1+Dashboard!D$49)^MAX(0,A5-Dashboard!D$8),0),0)</f>
        <v>0</v>
      </c>
      <c r="I5" s="58">
        <f>C5+D5+E5+F5+G5+H5-IF(Dashboard!D$19=1,IF(A5&gt;=Dashboard!D$8,Dashboard!D$20,0),0)</f>
        <v>0</v>
      </c>
      <c r="J5" s="58">
        <f>-(C5+E5+F5+G5+H5)*Dashboard!G$24</f>
        <v>0</v>
      </c>
      <c r="K5" s="58">
        <f t="shared" si="0"/>
        <v>0</v>
      </c>
      <c r="L5" s="58">
        <f>IF(A5&gt;=Dashboard!D$8,Dashboard!G$22*(1+Dashboard!G$23)^MAX(0,A5-Dashboard!D$8),0)</f>
        <v>0</v>
      </c>
      <c r="M5" s="58">
        <f t="shared" si="1"/>
        <v>0</v>
      </c>
      <c r="N5" s="58">
        <f>IF(A5&lt;Dashboard!D$8,IF(Dashboard!D$34=0,Dashboard!D$31+Dashboard!D$32+Dashboard!D$33+Dashboard!D$38*12*(A5-Dashboard!D$7),(Dashboard!D$31+Dashboard!D$32+Dashboard!D$33)*(1+Dashboard!D$34)^(A5-Dashboard!D$7)+Dashboard!D$38*12*((1+Dashboard!D$34)^(A5-Dashboard!D$7)-1)/Dashboard!D$34),IF(A5=Dashboard!D$8,Dashboard!G$40,MAX(0,(N4-E4*12)*(1+Dashboard!D$34))))</f>
        <v>208720.00000000003</v>
      </c>
      <c r="O5" s="58">
        <f>N5*Dashboard!D$35</f>
        <v>8348.8000000000011</v>
      </c>
    </row>
    <row r="6" spans="1:15" x14ac:dyDescent="0.35">
      <c r="A6" s="51">
        <f>Dashboard!D$7+3</f>
        <v>43</v>
      </c>
      <c r="B6" s="51">
        <f ca="1">YEAR(TODAY())+3</f>
        <v>2029</v>
      </c>
      <c r="C6" s="58">
        <f>IF(Dashboard!D$15=1,IF(A6&gt;=Dashboard!D$8,Dashboard!D$16*(1+Dashboard!D$18)^MAX(0,A6-Dashboard!D$8),0),0)</f>
        <v>0</v>
      </c>
      <c r="D6" s="58">
        <f>IF(Dashboard!D$23=1,IF(A6&gt;=Dashboard!D$8,Dashboard!D$25*(1+Dashboard!D$26)^MAX(0,A6-Dashboard!D$8),0),0)</f>
        <v>0</v>
      </c>
      <c r="E6" s="58">
        <f>IF(Dashboard!D$30=1,IF(A6&gt;=Dashboard!D$8,IF(Dashboard!D$36=1,N6*Dashboard!D$35/12,Dashboard!D$37),0),0)</f>
        <v>0</v>
      </c>
      <c r="F6" s="58">
        <f>IF(Dashboard!D$41=1,IF(A6&gt;=Dashboard!D$43,Dashboard!D$42*(1+0.025)^MAX(0,A6-Dashboard!D$43),0),0)</f>
        <v>0</v>
      </c>
      <c r="G6" s="58">
        <f>IF(Dashboard!D$44=1,IF(AND(A6&gt;=Dashboard!D$8,A6&lt;Dashboard!D$46),Dashboard!D$45,0),0)</f>
        <v>0</v>
      </c>
      <c r="H6" s="58">
        <f>IF(Dashboard!D$47=1,IF(A6&gt;=Dashboard!D$8,Dashboard!D$48*(1+Dashboard!D$49)^MAX(0,A6-Dashboard!D$8),0),0)</f>
        <v>0</v>
      </c>
      <c r="I6" s="58">
        <f>C6+D6+E6+F6+G6+H6-IF(Dashboard!D$19=1,IF(A6&gt;=Dashboard!D$8,Dashboard!D$20,0),0)</f>
        <v>0</v>
      </c>
      <c r="J6" s="58">
        <f>-(C6+E6+F6+G6+H6)*Dashboard!G$24</f>
        <v>0</v>
      </c>
      <c r="K6" s="58">
        <f t="shared" si="0"/>
        <v>0</v>
      </c>
      <c r="L6" s="58">
        <f>IF(A6&gt;=Dashboard!D$8,Dashboard!G$22*(1+Dashboard!G$23)^MAX(0,A6-Dashboard!D$8),0)</f>
        <v>0</v>
      </c>
      <c r="M6" s="58">
        <f t="shared" si="1"/>
        <v>0</v>
      </c>
      <c r="N6" s="58">
        <f>IF(A6&lt;Dashboard!D$8,IF(Dashboard!D$34=0,Dashboard!D$31+Dashboard!D$32+Dashboard!D$33+Dashboard!D$38*12*(A6-Dashboard!D$7),(Dashboard!D$31+Dashboard!D$32+Dashboard!D$33)*(1+Dashboard!D$34)^(A6-Dashboard!D$7)+Dashboard!D$38*12*((1+Dashboard!D$34)^(A6-Dashboard!D$7)-1)/Dashboard!D$34),IF(A6=Dashboard!D$8,Dashboard!G$40,MAX(0,(N5-E5*12)*(1+Dashboard!D$34))))</f>
        <v>236792.00000000009</v>
      </c>
      <c r="O6" s="58">
        <f>N6*Dashboard!D$35</f>
        <v>9471.6800000000039</v>
      </c>
    </row>
    <row r="7" spans="1:15" x14ac:dyDescent="0.35">
      <c r="A7" s="51">
        <f>Dashboard!D$7+4</f>
        <v>44</v>
      </c>
      <c r="B7" s="51">
        <f ca="1">YEAR(TODAY())+4</f>
        <v>2030</v>
      </c>
      <c r="C7" s="58">
        <f>IF(Dashboard!D$15=1,IF(A7&gt;=Dashboard!D$8,Dashboard!D$16*(1+Dashboard!D$18)^MAX(0,A7-Dashboard!D$8),0),0)</f>
        <v>0</v>
      </c>
      <c r="D7" s="58">
        <f>IF(Dashboard!D$23=1,IF(A7&gt;=Dashboard!D$8,Dashboard!D$25*(1+Dashboard!D$26)^MAX(0,A7-Dashboard!D$8),0),0)</f>
        <v>0</v>
      </c>
      <c r="E7" s="58">
        <f>IF(Dashboard!D$30=1,IF(A7&gt;=Dashboard!D$8,IF(Dashboard!D$36=1,N7*Dashboard!D$35/12,Dashboard!D$37),0),0)</f>
        <v>0</v>
      </c>
      <c r="F7" s="58">
        <f>IF(Dashboard!D$41=1,IF(A7&gt;=Dashboard!D$43,Dashboard!D$42*(1+0.025)^MAX(0,A7-Dashboard!D$43),0),0)</f>
        <v>0</v>
      </c>
      <c r="G7" s="58">
        <f>IF(Dashboard!D$44=1,IF(AND(A7&gt;=Dashboard!D$8,A7&lt;Dashboard!D$46),Dashboard!D$45,0),0)</f>
        <v>0</v>
      </c>
      <c r="H7" s="58">
        <f>IF(Dashboard!D$47=1,IF(A7&gt;=Dashboard!D$8,Dashboard!D$48*(1+Dashboard!D$49)^MAX(0,A7-Dashboard!D$8),0),0)</f>
        <v>0</v>
      </c>
      <c r="I7" s="58">
        <f>C7+D7+E7+F7+G7+H7-IF(Dashboard!D$19=1,IF(A7&gt;=Dashboard!D$8,Dashboard!D$20,0),0)</f>
        <v>0</v>
      </c>
      <c r="J7" s="58">
        <f>-(C7+E7+F7+G7+H7)*Dashboard!G$24</f>
        <v>0</v>
      </c>
      <c r="K7" s="58">
        <f t="shared" si="0"/>
        <v>0</v>
      </c>
      <c r="L7" s="58">
        <f>IF(A7&gt;=Dashboard!D$8,Dashboard!G$22*(1+Dashboard!G$23)^MAX(0,A7-Dashboard!D$8),0)</f>
        <v>0</v>
      </c>
      <c r="M7" s="58">
        <f t="shared" si="1"/>
        <v>0</v>
      </c>
      <c r="N7" s="58">
        <f>IF(A7&lt;Dashboard!D$8,IF(Dashboard!D$34=0,Dashboard!D$31+Dashboard!D$32+Dashboard!D$33+Dashboard!D$38*12*(A7-Dashboard!D$7),(Dashboard!D$31+Dashboard!D$32+Dashboard!D$33)*(1+Dashboard!D$34)^(A7-Dashboard!D$7)+Dashboard!D$38*12*((1+Dashboard!D$34)^(A7-Dashboard!D$7)-1)/Dashboard!D$34),IF(A7=Dashboard!D$8,Dashboard!G$40,MAX(0,(N6-E6*12)*(1+Dashboard!D$34))))</f>
        <v>267671.20000000007</v>
      </c>
      <c r="O7" s="58">
        <f>N7*Dashboard!D$35</f>
        <v>10706.848000000004</v>
      </c>
    </row>
    <row r="8" spans="1:15" x14ac:dyDescent="0.35">
      <c r="A8" s="51">
        <f>Dashboard!D$7+5</f>
        <v>45</v>
      </c>
      <c r="B8" s="51">
        <f ca="1">YEAR(TODAY())+5</f>
        <v>2031</v>
      </c>
      <c r="C8" s="58">
        <f>IF(Dashboard!D$15=1,IF(A8&gt;=Dashboard!D$8,Dashboard!D$16*(1+Dashboard!D$18)^MAX(0,A8-Dashboard!D$8),0),0)</f>
        <v>0</v>
      </c>
      <c r="D8" s="58">
        <f>IF(Dashboard!D$23=1,IF(A8&gt;=Dashboard!D$8,Dashboard!D$25*(1+Dashboard!D$26)^MAX(0,A8-Dashboard!D$8),0),0)</f>
        <v>0</v>
      </c>
      <c r="E8" s="58">
        <f>IF(Dashboard!D$30=1,IF(A8&gt;=Dashboard!D$8,IF(Dashboard!D$36=1,N8*Dashboard!D$35/12,Dashboard!D$37),0),0)</f>
        <v>0</v>
      </c>
      <c r="F8" s="58">
        <f>IF(Dashboard!D$41=1,IF(A8&gt;=Dashboard!D$43,Dashboard!D$42*(1+0.025)^MAX(0,A8-Dashboard!D$43),0),0)</f>
        <v>0</v>
      </c>
      <c r="G8" s="58">
        <f>IF(Dashboard!D$44=1,IF(AND(A8&gt;=Dashboard!D$8,A8&lt;Dashboard!D$46),Dashboard!D$45,0),0)</f>
        <v>0</v>
      </c>
      <c r="H8" s="58">
        <f>IF(Dashboard!D$47=1,IF(A8&gt;=Dashboard!D$8,Dashboard!D$48*(1+Dashboard!D$49)^MAX(0,A8-Dashboard!D$8),0),0)</f>
        <v>0</v>
      </c>
      <c r="I8" s="58">
        <f>C8+D8+E8+F8+G8+H8-IF(Dashboard!D$19=1,IF(A8&gt;=Dashboard!D$8,Dashboard!D$20,0),0)</f>
        <v>0</v>
      </c>
      <c r="J8" s="58">
        <f>-(C8+E8+F8+G8+H8)*Dashboard!G$24</f>
        <v>0</v>
      </c>
      <c r="K8" s="58">
        <f t="shared" si="0"/>
        <v>0</v>
      </c>
      <c r="L8" s="58">
        <f>IF(A8&gt;=Dashboard!D$8,Dashboard!G$22*(1+Dashboard!G$23)^MAX(0,A8-Dashboard!D$8),0)</f>
        <v>0</v>
      </c>
      <c r="M8" s="58">
        <f t="shared" si="1"/>
        <v>0</v>
      </c>
      <c r="N8" s="58">
        <f>IF(A8&lt;Dashboard!D$8,IF(Dashboard!D$34=0,Dashboard!D$31+Dashboard!D$32+Dashboard!D$33+Dashboard!D$38*12*(A8-Dashboard!D$7),(Dashboard!D$31+Dashboard!D$32+Dashboard!D$33)*(1+Dashboard!D$34)^(A8-Dashboard!D$7)+Dashboard!D$38*12*((1+Dashboard!D$34)^(A8-Dashboard!D$7)-1)/Dashboard!D$34),IF(A8=Dashboard!D$8,Dashboard!G$40,MAX(0,(N7-E7*12)*(1+Dashboard!D$34))))</f>
        <v>301638.32000000012</v>
      </c>
      <c r="O8" s="58">
        <f>N8*Dashboard!D$35</f>
        <v>12065.532800000004</v>
      </c>
    </row>
    <row r="9" spans="1:15" x14ac:dyDescent="0.35">
      <c r="A9" s="51">
        <f>Dashboard!D$7+6</f>
        <v>46</v>
      </c>
      <c r="B9" s="51">
        <f ca="1">YEAR(TODAY())+6</f>
        <v>2032</v>
      </c>
      <c r="C9" s="58">
        <f>IF(Dashboard!D$15=1,IF(A9&gt;=Dashboard!D$8,Dashboard!D$16*(1+Dashboard!D$18)^MAX(0,A9-Dashboard!D$8),0),0)</f>
        <v>0</v>
      </c>
      <c r="D9" s="58">
        <f>IF(Dashboard!D$23=1,IF(A9&gt;=Dashboard!D$8,Dashboard!D$25*(1+Dashboard!D$26)^MAX(0,A9-Dashboard!D$8),0),0)</f>
        <v>0</v>
      </c>
      <c r="E9" s="58">
        <f>IF(Dashboard!D$30=1,IF(A9&gt;=Dashboard!D$8,IF(Dashboard!D$36=1,N9*Dashboard!D$35/12,Dashboard!D$37),0),0)</f>
        <v>0</v>
      </c>
      <c r="F9" s="58">
        <f>IF(Dashboard!D$41=1,IF(A9&gt;=Dashboard!D$43,Dashboard!D$42*(1+0.025)^MAX(0,A9-Dashboard!D$43),0),0)</f>
        <v>0</v>
      </c>
      <c r="G9" s="58">
        <f>IF(Dashboard!D$44=1,IF(AND(A9&gt;=Dashboard!D$8,A9&lt;Dashboard!D$46),Dashboard!D$45,0),0)</f>
        <v>0</v>
      </c>
      <c r="H9" s="58">
        <f>IF(Dashboard!D$47=1,IF(A9&gt;=Dashboard!D$8,Dashboard!D$48*(1+Dashboard!D$49)^MAX(0,A9-Dashboard!D$8),0),0)</f>
        <v>0</v>
      </c>
      <c r="I9" s="58">
        <f>C9+D9+E9+F9+G9+H9-IF(Dashboard!D$19=1,IF(A9&gt;=Dashboard!D$8,Dashboard!D$20,0),0)</f>
        <v>0</v>
      </c>
      <c r="J9" s="58">
        <f>-(C9+E9+F9+G9+H9)*Dashboard!G$24</f>
        <v>0</v>
      </c>
      <c r="K9" s="58">
        <f t="shared" si="0"/>
        <v>0</v>
      </c>
      <c r="L9" s="58">
        <f>IF(A9&gt;=Dashboard!D$8,Dashboard!G$22*(1+Dashboard!G$23)^MAX(0,A9-Dashboard!D$8),0)</f>
        <v>0</v>
      </c>
      <c r="M9" s="58">
        <f t="shared" si="1"/>
        <v>0</v>
      </c>
      <c r="N9" s="58">
        <f>IF(A9&lt;Dashboard!D$8,IF(Dashboard!D$34=0,Dashboard!D$31+Dashboard!D$32+Dashboard!D$33+Dashboard!D$38*12*(A9-Dashboard!D$7),(Dashboard!D$31+Dashboard!D$32+Dashboard!D$33)*(1+Dashboard!D$34)^(A9-Dashboard!D$7)+Dashboard!D$38*12*((1+Dashboard!D$34)^(A9-Dashboard!D$7)-1)/Dashboard!D$34),IF(A9=Dashboard!D$8,Dashboard!G$40,MAX(0,(N8-E8*12)*(1+Dashboard!D$34))))</f>
        <v>339002.15200000018</v>
      </c>
      <c r="O9" s="58">
        <f>N9*Dashboard!D$35</f>
        <v>13560.086080000008</v>
      </c>
    </row>
    <row r="10" spans="1:15" x14ac:dyDescent="0.35">
      <c r="A10" s="51">
        <f>Dashboard!D$7+7</f>
        <v>47</v>
      </c>
      <c r="B10" s="51">
        <f ca="1">YEAR(TODAY())+7</f>
        <v>2033</v>
      </c>
      <c r="C10" s="58">
        <f>IF(Dashboard!D$15=1,IF(A10&gt;=Dashboard!D$8,Dashboard!D$16*(1+Dashboard!D$18)^MAX(0,A10-Dashboard!D$8),0),0)</f>
        <v>0</v>
      </c>
      <c r="D10" s="58">
        <f>IF(Dashboard!D$23=1,IF(A10&gt;=Dashboard!D$8,Dashboard!D$25*(1+Dashboard!D$26)^MAX(0,A10-Dashboard!D$8),0),0)</f>
        <v>0</v>
      </c>
      <c r="E10" s="58">
        <f>IF(Dashboard!D$30=1,IF(A10&gt;=Dashboard!D$8,IF(Dashboard!D$36=1,N10*Dashboard!D$35/12,Dashboard!D$37),0),0)</f>
        <v>0</v>
      </c>
      <c r="F10" s="58">
        <f>IF(Dashboard!D$41=1,IF(A10&gt;=Dashboard!D$43,Dashboard!D$42*(1+0.025)^MAX(0,A10-Dashboard!D$43),0),0)</f>
        <v>0</v>
      </c>
      <c r="G10" s="58">
        <f>IF(Dashboard!D$44=1,IF(AND(A10&gt;=Dashboard!D$8,A10&lt;Dashboard!D$46),Dashboard!D$45,0),0)</f>
        <v>0</v>
      </c>
      <c r="H10" s="58">
        <f>IF(Dashboard!D$47=1,IF(A10&gt;=Dashboard!D$8,Dashboard!D$48*(1+Dashboard!D$49)^MAX(0,A10-Dashboard!D$8),0),0)</f>
        <v>0</v>
      </c>
      <c r="I10" s="58">
        <f>C10+D10+E10+F10+G10+H10-IF(Dashboard!D$19=1,IF(A10&gt;=Dashboard!D$8,Dashboard!D$20,0),0)</f>
        <v>0</v>
      </c>
      <c r="J10" s="58">
        <f>-(C10+E10+F10+G10+H10)*Dashboard!G$24</f>
        <v>0</v>
      </c>
      <c r="K10" s="58">
        <f t="shared" si="0"/>
        <v>0</v>
      </c>
      <c r="L10" s="58">
        <f>IF(A10&gt;=Dashboard!D$8,Dashboard!G$22*(1+Dashboard!G$23)^MAX(0,A10-Dashboard!D$8),0)</f>
        <v>0</v>
      </c>
      <c r="M10" s="58">
        <f t="shared" si="1"/>
        <v>0</v>
      </c>
      <c r="N10" s="58">
        <f>IF(A10&lt;Dashboard!D$8,IF(Dashboard!D$34=0,Dashboard!D$31+Dashboard!D$32+Dashboard!D$33+Dashboard!D$38*12*(A10-Dashboard!D$7),(Dashboard!D$31+Dashboard!D$32+Dashboard!D$33)*(1+Dashboard!D$34)^(A10-Dashboard!D$7)+Dashboard!D$38*12*((1+Dashboard!D$34)^(A10-Dashboard!D$7)-1)/Dashboard!D$34),IF(A10=Dashboard!D$8,Dashboard!G$40,MAX(0,(N9-E9*12)*(1+Dashboard!D$34))))</f>
        <v>380102.36720000027</v>
      </c>
      <c r="O10" s="58">
        <f>N10*Dashboard!D$35</f>
        <v>15204.094688000012</v>
      </c>
    </row>
    <row r="11" spans="1:15" x14ac:dyDescent="0.35">
      <c r="A11" s="51">
        <f>Dashboard!D$7+8</f>
        <v>48</v>
      </c>
      <c r="B11" s="51">
        <f ca="1">YEAR(TODAY())+8</f>
        <v>2034</v>
      </c>
      <c r="C11" s="58">
        <f>IF(Dashboard!D$15=1,IF(A11&gt;=Dashboard!D$8,Dashboard!D$16*(1+Dashboard!D$18)^MAX(0,A11-Dashboard!D$8),0),0)</f>
        <v>0</v>
      </c>
      <c r="D11" s="58">
        <f>IF(Dashboard!D$23=1,IF(A11&gt;=Dashboard!D$8,Dashboard!D$25*(1+Dashboard!D$26)^MAX(0,A11-Dashboard!D$8),0),0)</f>
        <v>0</v>
      </c>
      <c r="E11" s="58">
        <f>IF(Dashboard!D$30=1,IF(A11&gt;=Dashboard!D$8,IF(Dashboard!D$36=1,N11*Dashboard!D$35/12,Dashboard!D$37),0),0)</f>
        <v>0</v>
      </c>
      <c r="F11" s="58">
        <f>IF(Dashboard!D$41=1,IF(A11&gt;=Dashboard!D$43,Dashboard!D$42*(1+0.025)^MAX(0,A11-Dashboard!D$43),0),0)</f>
        <v>0</v>
      </c>
      <c r="G11" s="58">
        <f>IF(Dashboard!D$44=1,IF(AND(A11&gt;=Dashboard!D$8,A11&lt;Dashboard!D$46),Dashboard!D$45,0),0)</f>
        <v>0</v>
      </c>
      <c r="H11" s="58">
        <f>IF(Dashboard!D$47=1,IF(A11&gt;=Dashboard!D$8,Dashboard!D$48*(1+Dashboard!D$49)^MAX(0,A11-Dashboard!D$8),0),0)</f>
        <v>0</v>
      </c>
      <c r="I11" s="58">
        <f>C11+D11+E11+F11+G11+H11-IF(Dashboard!D$19=1,IF(A11&gt;=Dashboard!D$8,Dashboard!D$20,0),0)</f>
        <v>0</v>
      </c>
      <c r="J11" s="58">
        <f>-(C11+E11+F11+G11+H11)*Dashboard!G$24</f>
        <v>0</v>
      </c>
      <c r="K11" s="58">
        <f t="shared" si="0"/>
        <v>0</v>
      </c>
      <c r="L11" s="58">
        <f>IF(A11&gt;=Dashboard!D$8,Dashboard!G$22*(1+Dashboard!G$23)^MAX(0,A11-Dashboard!D$8),0)</f>
        <v>0</v>
      </c>
      <c r="M11" s="58">
        <f t="shared" si="1"/>
        <v>0</v>
      </c>
      <c r="N11" s="58">
        <f>IF(A11&lt;Dashboard!D$8,IF(Dashboard!D$34=0,Dashboard!D$31+Dashboard!D$32+Dashboard!D$33+Dashboard!D$38*12*(A11-Dashboard!D$7),(Dashboard!D$31+Dashboard!D$32+Dashboard!D$33)*(1+Dashboard!D$34)^(A11-Dashboard!D$7)+Dashboard!D$38*12*((1+Dashboard!D$34)^(A11-Dashboard!D$7)-1)/Dashboard!D$34),IF(A11=Dashboard!D$8,Dashboard!G$40,MAX(0,(N10-E10*12)*(1+Dashboard!D$34))))</f>
        <v>425312.60392000026</v>
      </c>
      <c r="O11" s="58">
        <f>N11*Dashboard!D$35</f>
        <v>17012.504156800009</v>
      </c>
    </row>
    <row r="12" spans="1:15" x14ac:dyDescent="0.35">
      <c r="A12" s="51">
        <f>Dashboard!D$7+9</f>
        <v>49</v>
      </c>
      <c r="B12" s="51">
        <f ca="1">YEAR(TODAY())+9</f>
        <v>2035</v>
      </c>
      <c r="C12" s="58">
        <f>IF(Dashboard!D$15=1,IF(A12&gt;=Dashboard!D$8,Dashboard!D$16*(1+Dashboard!D$18)^MAX(0,A12-Dashboard!D$8),0),0)</f>
        <v>0</v>
      </c>
      <c r="D12" s="58">
        <f>IF(Dashboard!D$23=1,IF(A12&gt;=Dashboard!D$8,Dashboard!D$25*(1+Dashboard!D$26)^MAX(0,A12-Dashboard!D$8),0),0)</f>
        <v>0</v>
      </c>
      <c r="E12" s="58">
        <f>IF(Dashboard!D$30=1,IF(A12&gt;=Dashboard!D$8,IF(Dashboard!D$36=1,N12*Dashboard!D$35/12,Dashboard!D$37),0),0)</f>
        <v>0</v>
      </c>
      <c r="F12" s="58">
        <f>IF(Dashboard!D$41=1,IF(A12&gt;=Dashboard!D$43,Dashboard!D$42*(1+0.025)^MAX(0,A12-Dashboard!D$43),0),0)</f>
        <v>0</v>
      </c>
      <c r="G12" s="58">
        <f>IF(Dashboard!D$44=1,IF(AND(A12&gt;=Dashboard!D$8,A12&lt;Dashboard!D$46),Dashboard!D$45,0),0)</f>
        <v>0</v>
      </c>
      <c r="H12" s="58">
        <f>IF(Dashboard!D$47=1,IF(A12&gt;=Dashboard!D$8,Dashboard!D$48*(1+Dashboard!D$49)^MAX(0,A12-Dashboard!D$8),0),0)</f>
        <v>0</v>
      </c>
      <c r="I12" s="58">
        <f>C12+D12+E12+F12+G12+H12-IF(Dashboard!D$19=1,IF(A12&gt;=Dashboard!D$8,Dashboard!D$20,0),0)</f>
        <v>0</v>
      </c>
      <c r="J12" s="58">
        <f>-(C12+E12+F12+G12+H12)*Dashboard!G$24</f>
        <v>0</v>
      </c>
      <c r="K12" s="58">
        <f t="shared" si="0"/>
        <v>0</v>
      </c>
      <c r="L12" s="58">
        <f>IF(A12&gt;=Dashboard!D$8,Dashboard!G$22*(1+Dashboard!G$23)^MAX(0,A12-Dashboard!D$8),0)</f>
        <v>0</v>
      </c>
      <c r="M12" s="58">
        <f t="shared" si="1"/>
        <v>0</v>
      </c>
      <c r="N12" s="58">
        <f>IF(A12&lt;Dashboard!D$8,IF(Dashboard!D$34=0,Dashboard!D$31+Dashboard!D$32+Dashboard!D$33+Dashboard!D$38*12*(A12-Dashboard!D$7),(Dashboard!D$31+Dashboard!D$32+Dashboard!D$33)*(1+Dashboard!D$34)^(A12-Dashboard!D$7)+Dashboard!D$38*12*((1+Dashboard!D$34)^(A12-Dashboard!D$7)-1)/Dashboard!D$34),IF(A12=Dashboard!D$8,Dashboard!G$40,MAX(0,(N11-E11*12)*(1+Dashboard!D$34))))</f>
        <v>475043.86431200034</v>
      </c>
      <c r="O12" s="58">
        <f>N12*Dashboard!D$35</f>
        <v>19001.754572480015</v>
      </c>
    </row>
    <row r="13" spans="1:15" x14ac:dyDescent="0.35">
      <c r="A13" s="51">
        <f>Dashboard!D$7+10</f>
        <v>50</v>
      </c>
      <c r="B13" s="51">
        <f ca="1">YEAR(TODAY())+10</f>
        <v>2036</v>
      </c>
      <c r="C13" s="58">
        <f>IF(Dashboard!D$15=1,IF(A13&gt;=Dashboard!D$8,Dashboard!D$16*(1+Dashboard!D$18)^MAX(0,A13-Dashboard!D$8),0),0)</f>
        <v>0</v>
      </c>
      <c r="D13" s="58">
        <f>IF(Dashboard!D$23=1,IF(A13&gt;=Dashboard!D$8,Dashboard!D$25*(1+Dashboard!D$26)^MAX(0,A13-Dashboard!D$8),0),0)</f>
        <v>0</v>
      </c>
      <c r="E13" s="58">
        <f>IF(Dashboard!D$30=1,IF(A13&gt;=Dashboard!D$8,IF(Dashboard!D$36=1,N13*Dashboard!D$35/12,Dashboard!D$37),0),0)</f>
        <v>0</v>
      </c>
      <c r="F13" s="58">
        <f>IF(Dashboard!D$41=1,IF(A13&gt;=Dashboard!D$43,Dashboard!D$42*(1+0.025)^MAX(0,A13-Dashboard!D$43),0),0)</f>
        <v>0</v>
      </c>
      <c r="G13" s="58">
        <f>IF(Dashboard!D$44=1,IF(AND(A13&gt;=Dashboard!D$8,A13&lt;Dashboard!D$46),Dashboard!D$45,0),0)</f>
        <v>0</v>
      </c>
      <c r="H13" s="58">
        <f>IF(Dashboard!D$47=1,IF(A13&gt;=Dashboard!D$8,Dashboard!D$48*(1+Dashboard!D$49)^MAX(0,A13-Dashboard!D$8),0),0)</f>
        <v>0</v>
      </c>
      <c r="I13" s="58">
        <f>C13+D13+E13+F13+G13+H13-IF(Dashboard!D$19=1,IF(A13&gt;=Dashboard!D$8,Dashboard!D$20,0),0)</f>
        <v>0</v>
      </c>
      <c r="J13" s="58">
        <f>-(C13+E13+F13+G13+H13)*Dashboard!G$24</f>
        <v>0</v>
      </c>
      <c r="K13" s="58">
        <f t="shared" si="0"/>
        <v>0</v>
      </c>
      <c r="L13" s="58">
        <f>IF(A13&gt;=Dashboard!D$8,Dashboard!G$22*(1+Dashboard!G$23)^MAX(0,A13-Dashboard!D$8),0)</f>
        <v>0</v>
      </c>
      <c r="M13" s="58">
        <f t="shared" si="1"/>
        <v>0</v>
      </c>
      <c r="N13" s="58">
        <f>IF(A13&lt;Dashboard!D$8,IF(Dashboard!D$34=0,Dashboard!D$31+Dashboard!D$32+Dashboard!D$33+Dashboard!D$38*12*(A13-Dashboard!D$7),(Dashboard!D$31+Dashboard!D$32+Dashboard!D$33)*(1+Dashboard!D$34)^(A13-Dashboard!D$7)+Dashboard!D$38*12*((1+Dashboard!D$34)^(A13-Dashboard!D$7)-1)/Dashboard!D$34),IF(A13=Dashboard!D$8,Dashboard!G$40,MAX(0,(N12-E12*12)*(1+Dashboard!D$34))))</f>
        <v>529748.25074320042</v>
      </c>
      <c r="O13" s="58">
        <f>N13*Dashboard!D$35</f>
        <v>21189.930029728017</v>
      </c>
    </row>
    <row r="14" spans="1:15" x14ac:dyDescent="0.35">
      <c r="A14" s="51">
        <f>Dashboard!D$7+11</f>
        <v>51</v>
      </c>
      <c r="B14" s="51">
        <f ca="1">YEAR(TODAY())+11</f>
        <v>2037</v>
      </c>
      <c r="C14" s="58">
        <f>IF(Dashboard!D$15=1,IF(A14&gt;=Dashboard!D$8,Dashboard!D$16*(1+Dashboard!D$18)^MAX(0,A14-Dashboard!D$8),0),0)</f>
        <v>0</v>
      </c>
      <c r="D14" s="58">
        <f>IF(Dashboard!D$23=1,IF(A14&gt;=Dashboard!D$8,Dashboard!D$25*(1+Dashboard!D$26)^MAX(0,A14-Dashboard!D$8),0),0)</f>
        <v>0</v>
      </c>
      <c r="E14" s="58">
        <f>IF(Dashboard!D$30=1,IF(A14&gt;=Dashboard!D$8,IF(Dashboard!D$36=1,N14*Dashboard!D$35/12,Dashboard!D$37),0),0)</f>
        <v>0</v>
      </c>
      <c r="F14" s="58">
        <f>IF(Dashboard!D$41=1,IF(A14&gt;=Dashboard!D$43,Dashboard!D$42*(1+0.025)^MAX(0,A14-Dashboard!D$43),0),0)</f>
        <v>0</v>
      </c>
      <c r="G14" s="58">
        <f>IF(Dashboard!D$44=1,IF(AND(A14&gt;=Dashboard!D$8,A14&lt;Dashboard!D$46),Dashboard!D$45,0),0)</f>
        <v>0</v>
      </c>
      <c r="H14" s="58">
        <f>IF(Dashboard!D$47=1,IF(A14&gt;=Dashboard!D$8,Dashboard!D$48*(1+Dashboard!D$49)^MAX(0,A14-Dashboard!D$8),0),0)</f>
        <v>0</v>
      </c>
      <c r="I14" s="58">
        <f>C14+D14+E14+F14+G14+H14-IF(Dashboard!D$19=1,IF(A14&gt;=Dashboard!D$8,Dashboard!D$20,0),0)</f>
        <v>0</v>
      </c>
      <c r="J14" s="58">
        <f>-(C14+E14+F14+G14+H14)*Dashboard!G$24</f>
        <v>0</v>
      </c>
      <c r="K14" s="58">
        <f t="shared" si="0"/>
        <v>0</v>
      </c>
      <c r="L14" s="58">
        <f>IF(A14&gt;=Dashboard!D$8,Dashboard!G$22*(1+Dashboard!G$23)^MAX(0,A14-Dashboard!D$8),0)</f>
        <v>0</v>
      </c>
      <c r="M14" s="58">
        <f t="shared" si="1"/>
        <v>0</v>
      </c>
      <c r="N14" s="58">
        <f>IF(A14&lt;Dashboard!D$8,IF(Dashboard!D$34=0,Dashboard!D$31+Dashboard!D$32+Dashboard!D$33+Dashboard!D$38*12*(A14-Dashboard!D$7),(Dashboard!D$31+Dashboard!D$32+Dashboard!D$33)*(1+Dashboard!D$34)^(A14-Dashboard!D$7)+Dashboard!D$38*12*((1+Dashboard!D$34)^(A14-Dashboard!D$7)-1)/Dashboard!D$34),IF(A14=Dashboard!D$8,Dashboard!G$40,MAX(0,(N13-E13*12)*(1+Dashboard!D$34))))</f>
        <v>589923.07581752061</v>
      </c>
      <c r="O14" s="58">
        <f>N14*Dashboard!D$35</f>
        <v>23596.923032700826</v>
      </c>
    </row>
    <row r="15" spans="1:15" x14ac:dyDescent="0.35">
      <c r="A15" s="51">
        <f>Dashboard!D$7+12</f>
        <v>52</v>
      </c>
      <c r="B15" s="51">
        <f ca="1">YEAR(TODAY())+12</f>
        <v>2038</v>
      </c>
      <c r="C15" s="58">
        <f>IF(Dashboard!D$15=1,IF(A15&gt;=Dashboard!D$8,Dashboard!D$16*(1+Dashboard!D$18)^MAX(0,A15-Dashboard!D$8),0),0)</f>
        <v>0</v>
      </c>
      <c r="D15" s="58">
        <f>IF(Dashboard!D$23=1,IF(A15&gt;=Dashboard!D$8,Dashboard!D$25*(1+Dashboard!D$26)^MAX(0,A15-Dashboard!D$8),0),0)</f>
        <v>0</v>
      </c>
      <c r="E15" s="58">
        <f>IF(Dashboard!D$30=1,IF(A15&gt;=Dashboard!D$8,IF(Dashboard!D$36=1,N15*Dashboard!D$35/12,Dashboard!D$37),0),0)</f>
        <v>0</v>
      </c>
      <c r="F15" s="58">
        <f>IF(Dashboard!D$41=1,IF(A15&gt;=Dashboard!D$43,Dashboard!D$42*(1+0.025)^MAX(0,A15-Dashboard!D$43),0),0)</f>
        <v>0</v>
      </c>
      <c r="G15" s="58">
        <f>IF(Dashboard!D$44=1,IF(AND(A15&gt;=Dashboard!D$8,A15&lt;Dashboard!D$46),Dashboard!D$45,0),0)</f>
        <v>0</v>
      </c>
      <c r="H15" s="58">
        <f>IF(Dashboard!D$47=1,IF(A15&gt;=Dashboard!D$8,Dashboard!D$48*(1+Dashboard!D$49)^MAX(0,A15-Dashboard!D$8),0),0)</f>
        <v>0</v>
      </c>
      <c r="I15" s="58">
        <f>C15+D15+E15+F15+G15+H15-IF(Dashboard!D$19=1,IF(A15&gt;=Dashboard!D$8,Dashboard!D$20,0),0)</f>
        <v>0</v>
      </c>
      <c r="J15" s="58">
        <f>-(C15+E15+F15+G15+H15)*Dashboard!G$24</f>
        <v>0</v>
      </c>
      <c r="K15" s="58">
        <f t="shared" si="0"/>
        <v>0</v>
      </c>
      <c r="L15" s="58">
        <f>IF(A15&gt;=Dashboard!D$8,Dashboard!G$22*(1+Dashboard!G$23)^MAX(0,A15-Dashboard!D$8),0)</f>
        <v>0</v>
      </c>
      <c r="M15" s="58">
        <f t="shared" si="1"/>
        <v>0</v>
      </c>
      <c r="N15" s="58">
        <f>IF(A15&lt;Dashboard!D$8,IF(Dashboard!D$34=0,Dashboard!D$31+Dashboard!D$32+Dashboard!D$33+Dashboard!D$38*12*(A15-Dashboard!D$7),(Dashboard!D$31+Dashboard!D$32+Dashboard!D$33)*(1+Dashboard!D$34)^(A15-Dashboard!D$7)+Dashboard!D$38*12*((1+Dashboard!D$34)^(A15-Dashboard!D$7)-1)/Dashboard!D$34),IF(A15=Dashboard!D$8,Dashboard!G$40,MAX(0,(N14-E14*12)*(1+Dashboard!D$34))))</f>
        <v>656115.38339927257</v>
      </c>
      <c r="O15" s="58">
        <f>N15*Dashboard!D$35</f>
        <v>26244.615335970902</v>
      </c>
    </row>
    <row r="16" spans="1:15" x14ac:dyDescent="0.35">
      <c r="A16" s="51">
        <f>Dashboard!D$7+13</f>
        <v>53</v>
      </c>
      <c r="B16" s="51">
        <f ca="1">YEAR(TODAY())+13</f>
        <v>2039</v>
      </c>
      <c r="C16" s="58">
        <f>IF(Dashboard!D$15=1,IF(A16&gt;=Dashboard!D$8,Dashboard!D$16*(1+Dashboard!D$18)^MAX(0,A16-Dashboard!D$8),0),0)</f>
        <v>0</v>
      </c>
      <c r="D16" s="58">
        <f>IF(Dashboard!D$23=1,IF(A16&gt;=Dashboard!D$8,Dashboard!D$25*(1+Dashboard!D$26)^MAX(0,A16-Dashboard!D$8),0),0)</f>
        <v>0</v>
      </c>
      <c r="E16" s="58">
        <f>IF(Dashboard!D$30=1,IF(A16&gt;=Dashboard!D$8,IF(Dashboard!D$36=1,N16*Dashboard!D$35/12,Dashboard!D$37),0),0)</f>
        <v>0</v>
      </c>
      <c r="F16" s="58">
        <f>IF(Dashboard!D$41=1,IF(A16&gt;=Dashboard!D$43,Dashboard!D$42*(1+0.025)^MAX(0,A16-Dashboard!D$43),0),0)</f>
        <v>0</v>
      </c>
      <c r="G16" s="58">
        <f>IF(Dashboard!D$44=1,IF(AND(A16&gt;=Dashboard!D$8,A16&lt;Dashboard!D$46),Dashboard!D$45,0),0)</f>
        <v>0</v>
      </c>
      <c r="H16" s="58">
        <f>IF(Dashboard!D$47=1,IF(A16&gt;=Dashboard!D$8,Dashboard!D$48*(1+Dashboard!D$49)^MAX(0,A16-Dashboard!D$8),0),0)</f>
        <v>0</v>
      </c>
      <c r="I16" s="58">
        <f>C16+D16+E16+F16+G16+H16-IF(Dashboard!D$19=1,IF(A16&gt;=Dashboard!D$8,Dashboard!D$20,0),0)</f>
        <v>0</v>
      </c>
      <c r="J16" s="58">
        <f>-(C16+E16+F16+G16+H16)*Dashboard!G$24</f>
        <v>0</v>
      </c>
      <c r="K16" s="58">
        <f t="shared" si="0"/>
        <v>0</v>
      </c>
      <c r="L16" s="58">
        <f>IF(A16&gt;=Dashboard!D$8,Dashboard!G$22*(1+Dashboard!G$23)^MAX(0,A16-Dashboard!D$8),0)</f>
        <v>0</v>
      </c>
      <c r="M16" s="58">
        <f t="shared" si="1"/>
        <v>0</v>
      </c>
      <c r="N16" s="58">
        <f>IF(A16&lt;Dashboard!D$8,IF(Dashboard!D$34=0,Dashboard!D$31+Dashboard!D$32+Dashboard!D$33+Dashboard!D$38*12*(A16-Dashboard!D$7),(Dashboard!D$31+Dashboard!D$32+Dashboard!D$33)*(1+Dashboard!D$34)^(A16-Dashboard!D$7)+Dashboard!D$38*12*((1+Dashboard!D$34)^(A16-Dashboard!D$7)-1)/Dashboard!D$34),IF(A16=Dashboard!D$8,Dashboard!G$40,MAX(0,(N15-E15*12)*(1+Dashboard!D$34))))</f>
        <v>728926.9217391999</v>
      </c>
      <c r="O16" s="58">
        <f>N16*Dashboard!D$35</f>
        <v>29157.076869567998</v>
      </c>
    </row>
    <row r="17" spans="1:15" x14ac:dyDescent="0.35">
      <c r="A17" s="51">
        <f>Dashboard!D$7+14</f>
        <v>54</v>
      </c>
      <c r="B17" s="51">
        <f ca="1">YEAR(TODAY())+14</f>
        <v>2040</v>
      </c>
      <c r="C17" s="58">
        <f>IF(Dashboard!D$15=1,IF(A17&gt;=Dashboard!D$8,Dashboard!D$16*(1+Dashboard!D$18)^MAX(0,A17-Dashboard!D$8),0),0)</f>
        <v>0</v>
      </c>
      <c r="D17" s="58">
        <f>IF(Dashboard!D$23=1,IF(A17&gt;=Dashboard!D$8,Dashboard!D$25*(1+Dashboard!D$26)^MAX(0,A17-Dashboard!D$8),0),0)</f>
        <v>0</v>
      </c>
      <c r="E17" s="58">
        <f>IF(Dashboard!D$30=1,IF(A17&gt;=Dashboard!D$8,IF(Dashboard!D$36=1,N17*Dashboard!D$35/12,Dashboard!D$37),0),0)</f>
        <v>0</v>
      </c>
      <c r="F17" s="58">
        <f>IF(Dashboard!D$41=1,IF(A17&gt;=Dashboard!D$43,Dashboard!D$42*(1+0.025)^MAX(0,A17-Dashboard!D$43),0),0)</f>
        <v>0</v>
      </c>
      <c r="G17" s="58">
        <f>IF(Dashboard!D$44=1,IF(AND(A17&gt;=Dashboard!D$8,A17&lt;Dashboard!D$46),Dashboard!D$45,0),0)</f>
        <v>0</v>
      </c>
      <c r="H17" s="58">
        <f>IF(Dashboard!D$47=1,IF(A17&gt;=Dashboard!D$8,Dashboard!D$48*(1+Dashboard!D$49)^MAX(0,A17-Dashboard!D$8),0),0)</f>
        <v>0</v>
      </c>
      <c r="I17" s="58">
        <f>C17+D17+E17+F17+G17+H17-IF(Dashboard!D$19=1,IF(A17&gt;=Dashboard!D$8,Dashboard!D$20,0),0)</f>
        <v>0</v>
      </c>
      <c r="J17" s="58">
        <f>-(C17+E17+F17+G17+H17)*Dashboard!G$24</f>
        <v>0</v>
      </c>
      <c r="K17" s="58">
        <f t="shared" si="0"/>
        <v>0</v>
      </c>
      <c r="L17" s="58">
        <f>IF(A17&gt;=Dashboard!D$8,Dashboard!G$22*(1+Dashboard!G$23)^MAX(0,A17-Dashboard!D$8),0)</f>
        <v>0</v>
      </c>
      <c r="M17" s="58">
        <f t="shared" si="1"/>
        <v>0</v>
      </c>
      <c r="N17" s="58">
        <f>IF(A17&lt;Dashboard!D$8,IF(Dashboard!D$34=0,Dashboard!D$31+Dashboard!D$32+Dashboard!D$33+Dashboard!D$38*12*(A17-Dashboard!D$7),(Dashboard!D$31+Dashboard!D$32+Dashboard!D$33)*(1+Dashboard!D$34)^(A17-Dashboard!D$7)+Dashboard!D$38*12*((1+Dashboard!D$34)^(A17-Dashboard!D$7)-1)/Dashboard!D$34),IF(A17=Dashboard!D$8,Dashboard!G$40,MAX(0,(N16-E16*12)*(1+Dashboard!D$34))))</f>
        <v>809019.61391312</v>
      </c>
      <c r="O17" s="58">
        <f>N17*Dashboard!D$35</f>
        <v>32360.784556524803</v>
      </c>
    </row>
    <row r="18" spans="1:15" x14ac:dyDescent="0.35">
      <c r="A18" s="51">
        <f>Dashboard!D$7+15</f>
        <v>55</v>
      </c>
      <c r="B18" s="51">
        <f ca="1">YEAR(TODAY())+15</f>
        <v>2041</v>
      </c>
      <c r="C18" s="58">
        <f>IF(Dashboard!D$15=1,IF(A18&gt;=Dashboard!D$8,Dashboard!D$16*(1+Dashboard!D$18)^MAX(0,A18-Dashboard!D$8),0),0)</f>
        <v>0</v>
      </c>
      <c r="D18" s="58">
        <f>IF(Dashboard!D$23=1,IF(A18&gt;=Dashboard!D$8,Dashboard!D$25*(1+Dashboard!D$26)^MAX(0,A18-Dashboard!D$8),0),0)</f>
        <v>0</v>
      </c>
      <c r="E18" s="58">
        <f>IF(Dashboard!D$30=1,IF(A18&gt;=Dashboard!D$8,IF(Dashboard!D$36=1,N18*Dashboard!D$35/12,Dashboard!D$37),0),0)</f>
        <v>0</v>
      </c>
      <c r="F18" s="58">
        <f>IF(Dashboard!D$41=1,IF(A18&gt;=Dashboard!D$43,Dashboard!D$42*(1+0.025)^MAX(0,A18-Dashboard!D$43),0),0)</f>
        <v>0</v>
      </c>
      <c r="G18" s="58">
        <f>IF(Dashboard!D$44=1,IF(AND(A18&gt;=Dashboard!D$8,A18&lt;Dashboard!D$46),Dashboard!D$45,0),0)</f>
        <v>0</v>
      </c>
      <c r="H18" s="58">
        <f>IF(Dashboard!D$47=1,IF(A18&gt;=Dashboard!D$8,Dashboard!D$48*(1+Dashboard!D$49)^MAX(0,A18-Dashboard!D$8),0),0)</f>
        <v>0</v>
      </c>
      <c r="I18" s="58">
        <f>C18+D18+E18+F18+G18+H18-IF(Dashboard!D$19=1,IF(A18&gt;=Dashboard!D$8,Dashboard!D$20,0),0)</f>
        <v>0</v>
      </c>
      <c r="J18" s="58">
        <f>-(C18+E18+F18+G18+H18)*Dashboard!G$24</f>
        <v>0</v>
      </c>
      <c r="K18" s="58">
        <f t="shared" si="0"/>
        <v>0</v>
      </c>
      <c r="L18" s="58">
        <f>IF(A18&gt;=Dashboard!D$8,Dashboard!G$22*(1+Dashboard!G$23)^MAX(0,A18-Dashboard!D$8),0)</f>
        <v>0</v>
      </c>
      <c r="M18" s="58">
        <f t="shared" si="1"/>
        <v>0</v>
      </c>
      <c r="N18" s="58">
        <f>IF(A18&lt;Dashboard!D$8,IF(Dashboard!D$34=0,Dashboard!D$31+Dashboard!D$32+Dashboard!D$33+Dashboard!D$38*12*(A18-Dashboard!D$7),(Dashboard!D$31+Dashboard!D$32+Dashboard!D$33)*(1+Dashboard!D$34)^(A18-Dashboard!D$7)+Dashboard!D$38*12*((1+Dashboard!D$34)^(A18-Dashboard!D$7)-1)/Dashboard!D$34),IF(A18=Dashboard!D$8,Dashboard!G$40,MAX(0,(N17-E17*12)*(1+Dashboard!D$34))))</f>
        <v>897121.57530443196</v>
      </c>
      <c r="O18" s="58">
        <f>N18*Dashboard!D$35</f>
        <v>35884.86301217728</v>
      </c>
    </row>
    <row r="19" spans="1:15" x14ac:dyDescent="0.35">
      <c r="A19" s="51">
        <f>Dashboard!D$7+16</f>
        <v>56</v>
      </c>
      <c r="B19" s="51">
        <f ca="1">YEAR(TODAY())+16</f>
        <v>2042</v>
      </c>
      <c r="C19" s="58">
        <f>IF(Dashboard!D$15=1,IF(A19&gt;=Dashboard!D$8,Dashboard!D$16*(1+Dashboard!D$18)^MAX(0,A19-Dashboard!D$8),0),0)</f>
        <v>0</v>
      </c>
      <c r="D19" s="58">
        <f>IF(Dashboard!D$23=1,IF(A19&gt;=Dashboard!D$8,Dashboard!D$25*(1+Dashboard!D$26)^MAX(0,A19-Dashboard!D$8),0),0)</f>
        <v>0</v>
      </c>
      <c r="E19" s="58">
        <f>IF(Dashboard!D$30=1,IF(A19&gt;=Dashboard!D$8,IF(Dashboard!D$36=1,N19*Dashboard!D$35/12,Dashboard!D$37),0),0)</f>
        <v>0</v>
      </c>
      <c r="F19" s="58">
        <f>IF(Dashboard!D$41=1,IF(A19&gt;=Dashboard!D$43,Dashboard!D$42*(1+0.025)^MAX(0,A19-Dashboard!D$43),0),0)</f>
        <v>0</v>
      </c>
      <c r="G19" s="58">
        <f>IF(Dashboard!D$44=1,IF(AND(A19&gt;=Dashboard!D$8,A19&lt;Dashboard!D$46),Dashboard!D$45,0),0)</f>
        <v>0</v>
      </c>
      <c r="H19" s="58">
        <f>IF(Dashboard!D$47=1,IF(A19&gt;=Dashboard!D$8,Dashboard!D$48*(1+Dashboard!D$49)^MAX(0,A19-Dashboard!D$8),0),0)</f>
        <v>0</v>
      </c>
      <c r="I19" s="58">
        <f>C19+D19+E19+F19+G19+H19-IF(Dashboard!D$19=1,IF(A19&gt;=Dashboard!D$8,Dashboard!D$20,0),0)</f>
        <v>0</v>
      </c>
      <c r="J19" s="58">
        <f>-(C19+E19+F19+G19+H19)*Dashboard!G$24</f>
        <v>0</v>
      </c>
      <c r="K19" s="58">
        <f t="shared" si="0"/>
        <v>0</v>
      </c>
      <c r="L19" s="58">
        <f>IF(A19&gt;=Dashboard!D$8,Dashboard!G$22*(1+Dashboard!G$23)^MAX(0,A19-Dashboard!D$8),0)</f>
        <v>0</v>
      </c>
      <c r="M19" s="58">
        <f t="shared" si="1"/>
        <v>0</v>
      </c>
      <c r="N19" s="58">
        <f>IF(A19&lt;Dashboard!D$8,IF(Dashboard!D$34=0,Dashboard!D$31+Dashboard!D$32+Dashboard!D$33+Dashboard!D$38*12*(A19-Dashboard!D$7),(Dashboard!D$31+Dashboard!D$32+Dashboard!D$33)*(1+Dashboard!D$34)^(A19-Dashboard!D$7)+Dashboard!D$38*12*((1+Dashboard!D$34)^(A19-Dashboard!D$7)-1)/Dashboard!D$34),IF(A19=Dashboard!D$8,Dashboard!G$40,MAX(0,(N18-E18*12)*(1+Dashboard!D$34))))</f>
        <v>994033.73283487535</v>
      </c>
      <c r="O19" s="58">
        <f>N19*Dashboard!D$35</f>
        <v>39761.349313395018</v>
      </c>
    </row>
    <row r="20" spans="1:15" x14ac:dyDescent="0.35">
      <c r="A20" s="51">
        <f>Dashboard!D$7+17</f>
        <v>57</v>
      </c>
      <c r="B20" s="51">
        <f ca="1">YEAR(TODAY())+17</f>
        <v>2043</v>
      </c>
      <c r="C20" s="58">
        <f>IF(Dashboard!D$15=1,IF(A20&gt;=Dashboard!D$8,Dashboard!D$16*(1+Dashboard!D$18)^MAX(0,A20-Dashboard!D$8),0),0)</f>
        <v>0</v>
      </c>
      <c r="D20" s="58">
        <f>IF(Dashboard!D$23=1,IF(A20&gt;=Dashboard!D$8,Dashboard!D$25*(1+Dashboard!D$26)^MAX(0,A20-Dashboard!D$8),0),0)</f>
        <v>0</v>
      </c>
      <c r="E20" s="58">
        <f>IF(Dashboard!D$30=1,IF(A20&gt;=Dashboard!D$8,IF(Dashboard!D$36=1,N20*Dashboard!D$35/12,Dashboard!D$37),0),0)</f>
        <v>0</v>
      </c>
      <c r="F20" s="58">
        <f>IF(Dashboard!D$41=1,IF(A20&gt;=Dashboard!D$43,Dashboard!D$42*(1+0.025)^MAX(0,A20-Dashboard!D$43),0),0)</f>
        <v>0</v>
      </c>
      <c r="G20" s="58">
        <f>IF(Dashboard!D$44=1,IF(AND(A20&gt;=Dashboard!D$8,A20&lt;Dashboard!D$46),Dashboard!D$45,0),0)</f>
        <v>0</v>
      </c>
      <c r="H20" s="58">
        <f>IF(Dashboard!D$47=1,IF(A20&gt;=Dashboard!D$8,Dashboard!D$48*(1+Dashboard!D$49)^MAX(0,A20-Dashboard!D$8),0),0)</f>
        <v>0</v>
      </c>
      <c r="I20" s="58">
        <f>C20+D20+E20+F20+G20+H20-IF(Dashboard!D$19=1,IF(A20&gt;=Dashboard!D$8,Dashboard!D$20,0),0)</f>
        <v>0</v>
      </c>
      <c r="J20" s="58">
        <f>-(C20+E20+F20+G20+H20)*Dashboard!G$24</f>
        <v>0</v>
      </c>
      <c r="K20" s="58">
        <f t="shared" si="0"/>
        <v>0</v>
      </c>
      <c r="L20" s="58">
        <f>IF(A20&gt;=Dashboard!D$8,Dashboard!G$22*(1+Dashboard!G$23)^MAX(0,A20-Dashboard!D$8),0)</f>
        <v>0</v>
      </c>
      <c r="M20" s="58">
        <f t="shared" si="1"/>
        <v>0</v>
      </c>
      <c r="N20" s="58">
        <f>IF(A20&lt;Dashboard!D$8,IF(Dashboard!D$34=0,Dashboard!D$31+Dashboard!D$32+Dashboard!D$33+Dashboard!D$38*12*(A20-Dashboard!D$7),(Dashboard!D$31+Dashboard!D$32+Dashboard!D$33)*(1+Dashboard!D$34)^(A20-Dashboard!D$7)+Dashboard!D$38*12*((1+Dashboard!D$34)^(A20-Dashboard!D$7)-1)/Dashboard!D$34),IF(A20=Dashboard!D$8,Dashboard!G$40,MAX(0,(N19-E19*12)*(1+Dashboard!D$34))))</f>
        <v>1100637.1061183629</v>
      </c>
      <c r="O20" s="58">
        <f>N20*Dashboard!D$35</f>
        <v>44025.484244734515</v>
      </c>
    </row>
    <row r="21" spans="1:15" x14ac:dyDescent="0.35">
      <c r="A21" s="51">
        <f>Dashboard!D$7+18</f>
        <v>58</v>
      </c>
      <c r="B21" s="51">
        <f ca="1">YEAR(TODAY())+18</f>
        <v>2044</v>
      </c>
      <c r="C21" s="58">
        <f>IF(Dashboard!D$15=1,IF(A21&gt;=Dashboard!D$8,Dashboard!D$16*(1+Dashboard!D$18)^MAX(0,A21-Dashboard!D$8),0),0)</f>
        <v>0</v>
      </c>
      <c r="D21" s="58">
        <f>IF(Dashboard!D$23=1,IF(A21&gt;=Dashboard!D$8,Dashboard!D$25*(1+Dashboard!D$26)^MAX(0,A21-Dashboard!D$8),0),0)</f>
        <v>0</v>
      </c>
      <c r="E21" s="58">
        <f>IF(Dashboard!D$30=1,IF(A21&gt;=Dashboard!D$8,IF(Dashboard!D$36=1,N21*Dashboard!D$35/12,Dashboard!D$37),0),0)</f>
        <v>0</v>
      </c>
      <c r="F21" s="58">
        <f>IF(Dashboard!D$41=1,IF(A21&gt;=Dashboard!D$43,Dashboard!D$42*(1+0.025)^MAX(0,A21-Dashboard!D$43),0),0)</f>
        <v>0</v>
      </c>
      <c r="G21" s="58">
        <f>IF(Dashboard!D$44=1,IF(AND(A21&gt;=Dashboard!D$8,A21&lt;Dashboard!D$46),Dashboard!D$45,0),0)</f>
        <v>0</v>
      </c>
      <c r="H21" s="58">
        <f>IF(Dashboard!D$47=1,IF(A21&gt;=Dashboard!D$8,Dashboard!D$48*(1+Dashboard!D$49)^MAX(0,A21-Dashboard!D$8),0),0)</f>
        <v>0</v>
      </c>
      <c r="I21" s="58">
        <f>C21+D21+E21+F21+G21+H21-IF(Dashboard!D$19=1,IF(A21&gt;=Dashboard!D$8,Dashboard!D$20,0),0)</f>
        <v>0</v>
      </c>
      <c r="J21" s="58">
        <f>-(C21+E21+F21+G21+H21)*Dashboard!G$24</f>
        <v>0</v>
      </c>
      <c r="K21" s="58">
        <f t="shared" si="0"/>
        <v>0</v>
      </c>
      <c r="L21" s="58">
        <f>IF(A21&gt;=Dashboard!D$8,Dashboard!G$22*(1+Dashboard!G$23)^MAX(0,A21-Dashboard!D$8),0)</f>
        <v>0</v>
      </c>
      <c r="M21" s="58">
        <f t="shared" si="1"/>
        <v>0</v>
      </c>
      <c r="N21" s="58">
        <f>IF(A21&lt;Dashboard!D$8,IF(Dashboard!D$34=0,Dashboard!D$31+Dashboard!D$32+Dashboard!D$33+Dashboard!D$38*12*(A21-Dashboard!D$7),(Dashboard!D$31+Dashboard!D$32+Dashboard!D$33)*(1+Dashboard!D$34)^(A21-Dashboard!D$7)+Dashboard!D$38*12*((1+Dashboard!D$34)^(A21-Dashboard!D$7)-1)/Dashboard!D$34),IF(A21=Dashboard!D$8,Dashboard!G$40,MAX(0,(N20-E20*12)*(1+Dashboard!D$34))))</f>
        <v>1217900.8167301991</v>
      </c>
      <c r="O21" s="58">
        <f>N21*Dashboard!D$35</f>
        <v>48716.032669207969</v>
      </c>
    </row>
    <row r="22" spans="1:15" x14ac:dyDescent="0.35">
      <c r="A22" s="51">
        <f>Dashboard!D$7+19</f>
        <v>59</v>
      </c>
      <c r="B22" s="51">
        <f ca="1">YEAR(TODAY())+19</f>
        <v>2045</v>
      </c>
      <c r="C22" s="58">
        <f>IF(Dashboard!D$15=1,IF(A22&gt;=Dashboard!D$8,Dashboard!D$16*(1+Dashboard!D$18)^MAX(0,A22-Dashboard!D$8),0),0)</f>
        <v>0</v>
      </c>
      <c r="D22" s="58">
        <f>IF(Dashboard!D$23=1,IF(A22&gt;=Dashboard!D$8,Dashboard!D$25*(1+Dashboard!D$26)^MAX(0,A22-Dashboard!D$8),0),0)</f>
        <v>0</v>
      </c>
      <c r="E22" s="58">
        <f>IF(Dashboard!D$30=1,IF(A22&gt;=Dashboard!D$8,IF(Dashboard!D$36=1,N22*Dashboard!D$35/12,Dashboard!D$37),0),0)</f>
        <v>0</v>
      </c>
      <c r="F22" s="58">
        <f>IF(Dashboard!D$41=1,IF(A22&gt;=Dashboard!D$43,Dashboard!D$42*(1+0.025)^MAX(0,A22-Dashboard!D$43),0),0)</f>
        <v>0</v>
      </c>
      <c r="G22" s="58">
        <f>IF(Dashboard!D$44=1,IF(AND(A22&gt;=Dashboard!D$8,A22&lt;Dashboard!D$46),Dashboard!D$45,0),0)</f>
        <v>0</v>
      </c>
      <c r="H22" s="58">
        <f>IF(Dashboard!D$47=1,IF(A22&gt;=Dashboard!D$8,Dashboard!D$48*(1+Dashboard!D$49)^MAX(0,A22-Dashboard!D$8),0),0)</f>
        <v>0</v>
      </c>
      <c r="I22" s="58">
        <f>C22+D22+E22+F22+G22+H22-IF(Dashboard!D$19=1,IF(A22&gt;=Dashboard!D$8,Dashboard!D$20,0),0)</f>
        <v>0</v>
      </c>
      <c r="J22" s="58">
        <f>-(C22+E22+F22+G22+H22)*Dashboard!G$24</f>
        <v>0</v>
      </c>
      <c r="K22" s="58">
        <f t="shared" si="0"/>
        <v>0</v>
      </c>
      <c r="L22" s="58">
        <f>IF(A22&gt;=Dashboard!D$8,Dashboard!G$22*(1+Dashboard!G$23)^MAX(0,A22-Dashboard!D$8),0)</f>
        <v>0</v>
      </c>
      <c r="M22" s="58">
        <f t="shared" si="1"/>
        <v>0</v>
      </c>
      <c r="N22" s="58">
        <f>IF(A22&lt;Dashboard!D$8,IF(Dashboard!D$34=0,Dashboard!D$31+Dashboard!D$32+Dashboard!D$33+Dashboard!D$38*12*(A22-Dashboard!D$7),(Dashboard!D$31+Dashboard!D$32+Dashboard!D$33)*(1+Dashboard!D$34)^(A22-Dashboard!D$7)+Dashboard!D$38*12*((1+Dashboard!D$34)^(A22-Dashboard!D$7)-1)/Dashboard!D$34),IF(A22=Dashboard!D$8,Dashboard!G$40,MAX(0,(N21-E21*12)*(1+Dashboard!D$34))))</f>
        <v>1346890.8984032194</v>
      </c>
      <c r="O22" s="58">
        <f>N22*Dashboard!D$35</f>
        <v>53875.635936128776</v>
      </c>
    </row>
    <row r="23" spans="1:15" x14ac:dyDescent="0.35">
      <c r="A23" s="51">
        <f>Dashboard!D$7+20</f>
        <v>60</v>
      </c>
      <c r="B23" s="51">
        <f ca="1">YEAR(TODAY())+20</f>
        <v>2046</v>
      </c>
      <c r="C23" s="58">
        <f>IF(Dashboard!D$15=1,IF(A23&gt;=Dashboard!D$8,Dashboard!D$16*(1+Dashboard!D$18)^MAX(0,A23-Dashboard!D$8),0),0)</f>
        <v>0</v>
      </c>
      <c r="D23" s="58">
        <f>IF(Dashboard!D$23=1,IF(A23&gt;=Dashboard!D$8,Dashboard!D$25*(1+Dashboard!D$26)^MAX(0,A23-Dashboard!D$8),0),0)</f>
        <v>0</v>
      </c>
      <c r="E23" s="58">
        <f>IF(Dashboard!D$30=1,IF(A23&gt;=Dashboard!D$8,IF(Dashboard!D$36=1,N23*Dashboard!D$35/12,Dashboard!D$37),0),0)</f>
        <v>0</v>
      </c>
      <c r="F23" s="58">
        <f>IF(Dashboard!D$41=1,IF(A23&gt;=Dashboard!D$43,Dashboard!D$42*(1+0.025)^MAX(0,A23-Dashboard!D$43),0),0)</f>
        <v>0</v>
      </c>
      <c r="G23" s="58">
        <f>IF(Dashboard!D$44=1,IF(AND(A23&gt;=Dashboard!D$8,A23&lt;Dashboard!D$46),Dashboard!D$45,0),0)</f>
        <v>0</v>
      </c>
      <c r="H23" s="58">
        <f>IF(Dashboard!D$47=1,IF(A23&gt;=Dashboard!D$8,Dashboard!D$48*(1+Dashboard!D$49)^MAX(0,A23-Dashboard!D$8),0),0)</f>
        <v>0</v>
      </c>
      <c r="I23" s="58">
        <f>C23+D23+E23+F23+G23+H23-IF(Dashboard!D$19=1,IF(A23&gt;=Dashboard!D$8,Dashboard!D$20,0),0)</f>
        <v>0</v>
      </c>
      <c r="J23" s="58">
        <f>-(C23+E23+F23+G23+H23)*Dashboard!G$24</f>
        <v>0</v>
      </c>
      <c r="K23" s="58">
        <f t="shared" si="0"/>
        <v>0</v>
      </c>
      <c r="L23" s="58">
        <f>IF(A23&gt;=Dashboard!D$8,Dashboard!G$22*(1+Dashboard!G$23)^MAX(0,A23-Dashboard!D$8),0)</f>
        <v>0</v>
      </c>
      <c r="M23" s="58">
        <f t="shared" si="1"/>
        <v>0</v>
      </c>
      <c r="N23" s="58">
        <f>IF(A23&lt;Dashboard!D$8,IF(Dashboard!D$34=0,Dashboard!D$31+Dashboard!D$32+Dashboard!D$33+Dashboard!D$38*12*(A23-Dashboard!D$7),(Dashboard!D$31+Dashboard!D$32+Dashboard!D$33)*(1+Dashboard!D$34)^(A23-Dashboard!D$7)+Dashboard!D$38*12*((1+Dashboard!D$34)^(A23-Dashboard!D$7)-1)/Dashboard!D$34),IF(A23=Dashboard!D$8,Dashboard!G$40,MAX(0,(N22-E22*12)*(1+Dashboard!D$34))))</f>
        <v>1488779.9882435412</v>
      </c>
      <c r="O23" s="58">
        <f>N23*Dashboard!D$35</f>
        <v>59551.199529741651</v>
      </c>
    </row>
    <row r="24" spans="1:15" x14ac:dyDescent="0.35">
      <c r="A24" s="51">
        <f>Dashboard!D$7+21</f>
        <v>61</v>
      </c>
      <c r="B24" s="51">
        <f ca="1">YEAR(TODAY())+21</f>
        <v>2047</v>
      </c>
      <c r="C24" s="58">
        <f>IF(Dashboard!D$15=1,IF(A24&gt;=Dashboard!D$8,Dashboard!D$16*(1+Dashboard!D$18)^MAX(0,A24-Dashboard!D$8),0),0)</f>
        <v>0</v>
      </c>
      <c r="D24" s="58">
        <f>IF(Dashboard!D$23=1,IF(A24&gt;=Dashboard!D$8,Dashboard!D$25*(1+Dashboard!D$26)^MAX(0,A24-Dashboard!D$8),0),0)</f>
        <v>0</v>
      </c>
      <c r="E24" s="58">
        <f>IF(Dashboard!D$30=1,IF(A24&gt;=Dashboard!D$8,IF(Dashboard!D$36=1,N24*Dashboard!D$35/12,Dashboard!D$37),0),0)</f>
        <v>0</v>
      </c>
      <c r="F24" s="58">
        <f>IF(Dashboard!D$41=1,IF(A24&gt;=Dashboard!D$43,Dashboard!D$42*(1+0.025)^MAX(0,A24-Dashboard!D$43),0),0)</f>
        <v>0</v>
      </c>
      <c r="G24" s="58">
        <f>IF(Dashboard!D$44=1,IF(AND(A24&gt;=Dashboard!D$8,A24&lt;Dashboard!D$46),Dashboard!D$45,0),0)</f>
        <v>0</v>
      </c>
      <c r="H24" s="58">
        <f>IF(Dashboard!D$47=1,IF(A24&gt;=Dashboard!D$8,Dashboard!D$48*(1+Dashboard!D$49)^MAX(0,A24-Dashboard!D$8),0),0)</f>
        <v>0</v>
      </c>
      <c r="I24" s="58">
        <f>C24+D24+E24+F24+G24+H24-IF(Dashboard!D$19=1,IF(A24&gt;=Dashboard!D$8,Dashboard!D$20,0),0)</f>
        <v>0</v>
      </c>
      <c r="J24" s="58">
        <f>-(C24+E24+F24+G24+H24)*Dashboard!G$24</f>
        <v>0</v>
      </c>
      <c r="K24" s="58">
        <f t="shared" si="0"/>
        <v>0</v>
      </c>
      <c r="L24" s="58">
        <f>IF(A24&gt;=Dashboard!D$8,Dashboard!G$22*(1+Dashboard!G$23)^MAX(0,A24-Dashboard!D$8),0)</f>
        <v>0</v>
      </c>
      <c r="M24" s="58">
        <f t="shared" si="1"/>
        <v>0</v>
      </c>
      <c r="N24" s="58">
        <f>IF(A24&lt;Dashboard!D$8,IF(Dashboard!D$34=0,Dashboard!D$31+Dashboard!D$32+Dashboard!D$33+Dashboard!D$38*12*(A24-Dashboard!D$7),(Dashboard!D$31+Dashboard!D$32+Dashboard!D$33)*(1+Dashboard!D$34)^(A24-Dashboard!D$7)+Dashboard!D$38*12*((1+Dashboard!D$34)^(A24-Dashboard!D$7)-1)/Dashboard!D$34),IF(A24=Dashboard!D$8,Dashboard!G$40,MAX(0,(N23-E23*12)*(1+Dashboard!D$34))))</f>
        <v>1644857.9870678957</v>
      </c>
      <c r="O24" s="58">
        <f>N24*Dashboard!D$35</f>
        <v>65794.31948271583</v>
      </c>
    </row>
    <row r="25" spans="1:15" x14ac:dyDescent="0.35">
      <c r="A25" s="51">
        <f>Dashboard!D$7+22</f>
        <v>62</v>
      </c>
      <c r="B25" s="51">
        <f ca="1">YEAR(TODAY())+22</f>
        <v>2048</v>
      </c>
      <c r="C25" s="58">
        <f>IF(Dashboard!D$15=1,IF(A25&gt;=Dashboard!D$8,Dashboard!D$16*(1+Dashboard!D$18)^MAX(0,A25-Dashboard!D$8),0),0)</f>
        <v>0</v>
      </c>
      <c r="D25" s="58">
        <f>IF(Dashboard!D$23=1,IF(A25&gt;=Dashboard!D$8,Dashboard!D$25*(1+Dashboard!D$26)^MAX(0,A25-Dashboard!D$8),0),0)</f>
        <v>0</v>
      </c>
      <c r="E25" s="58">
        <f>IF(Dashboard!D$30=1,IF(A25&gt;=Dashboard!D$8,IF(Dashboard!D$36=1,N25*Dashboard!D$35/12,Dashboard!D$37),0),0)</f>
        <v>0</v>
      </c>
      <c r="F25" s="58">
        <f>IF(Dashboard!D$41=1,IF(A25&gt;=Dashboard!D$43,Dashboard!D$42*(1+0.025)^MAX(0,A25-Dashboard!D$43),0),0)</f>
        <v>0</v>
      </c>
      <c r="G25" s="58">
        <f>IF(Dashboard!D$44=1,IF(AND(A25&gt;=Dashboard!D$8,A25&lt;Dashboard!D$46),Dashboard!D$45,0),0)</f>
        <v>0</v>
      </c>
      <c r="H25" s="58">
        <f>IF(Dashboard!D$47=1,IF(A25&gt;=Dashboard!D$8,Dashboard!D$48*(1+Dashboard!D$49)^MAX(0,A25-Dashboard!D$8),0),0)</f>
        <v>0</v>
      </c>
      <c r="I25" s="58">
        <f>C25+D25+E25+F25+G25+H25-IF(Dashboard!D$19=1,IF(A25&gt;=Dashboard!D$8,Dashboard!D$20,0),0)</f>
        <v>0</v>
      </c>
      <c r="J25" s="58">
        <f>-(C25+E25+F25+G25+H25)*Dashboard!G$24</f>
        <v>0</v>
      </c>
      <c r="K25" s="58">
        <f t="shared" si="0"/>
        <v>0</v>
      </c>
      <c r="L25" s="58">
        <f>IF(A25&gt;=Dashboard!D$8,Dashboard!G$22*(1+Dashboard!G$23)^MAX(0,A25-Dashboard!D$8),0)</f>
        <v>0</v>
      </c>
      <c r="M25" s="58">
        <f t="shared" si="1"/>
        <v>0</v>
      </c>
      <c r="N25" s="58">
        <f>IF(A25&lt;Dashboard!D$8,IF(Dashboard!D$34=0,Dashboard!D$31+Dashboard!D$32+Dashboard!D$33+Dashboard!D$38*12*(A25-Dashboard!D$7),(Dashboard!D$31+Dashboard!D$32+Dashboard!D$33)*(1+Dashboard!D$34)^(A25-Dashboard!D$7)+Dashboard!D$38*12*((1+Dashboard!D$34)^(A25-Dashboard!D$7)-1)/Dashboard!D$34),IF(A25=Dashboard!D$8,Dashboard!G$40,MAX(0,(N24-E24*12)*(1+Dashboard!D$34))))</f>
        <v>1816543.7857746854</v>
      </c>
      <c r="O25" s="58">
        <f>N25*Dashboard!D$35</f>
        <v>72661.751430987424</v>
      </c>
    </row>
    <row r="26" spans="1:15" x14ac:dyDescent="0.35">
      <c r="A26" s="51">
        <f>Dashboard!D$7+23</f>
        <v>63</v>
      </c>
      <c r="B26" s="51">
        <f ca="1">YEAR(TODAY())+23</f>
        <v>2049</v>
      </c>
      <c r="C26" s="58">
        <f>IF(Dashboard!D$15=1,IF(A26&gt;=Dashboard!D$8,Dashboard!D$16*(1+Dashboard!D$18)^MAX(0,A26-Dashboard!D$8),0),0)</f>
        <v>0</v>
      </c>
      <c r="D26" s="58">
        <f>IF(Dashboard!D$23=1,IF(A26&gt;=Dashboard!D$8,Dashboard!D$25*(1+Dashboard!D$26)^MAX(0,A26-Dashboard!D$8),0),0)</f>
        <v>0</v>
      </c>
      <c r="E26" s="58">
        <f>IF(Dashboard!D$30=1,IF(A26&gt;=Dashboard!D$8,IF(Dashboard!D$36=1,N26*Dashboard!D$35/12,Dashboard!D$37),0),0)</f>
        <v>0</v>
      </c>
      <c r="F26" s="58">
        <f>IF(Dashboard!D$41=1,IF(A26&gt;=Dashboard!D$43,Dashboard!D$42*(1+0.025)^MAX(0,A26-Dashboard!D$43),0),0)</f>
        <v>0</v>
      </c>
      <c r="G26" s="58">
        <f>IF(Dashboard!D$44=1,IF(AND(A26&gt;=Dashboard!D$8,A26&lt;Dashboard!D$46),Dashboard!D$45,0),0)</f>
        <v>0</v>
      </c>
      <c r="H26" s="58">
        <f>IF(Dashboard!D$47=1,IF(A26&gt;=Dashboard!D$8,Dashboard!D$48*(1+Dashboard!D$49)^MAX(0,A26-Dashboard!D$8),0),0)</f>
        <v>0</v>
      </c>
      <c r="I26" s="58">
        <f>C26+D26+E26+F26+G26+H26-IF(Dashboard!D$19=1,IF(A26&gt;=Dashboard!D$8,Dashboard!D$20,0),0)</f>
        <v>0</v>
      </c>
      <c r="J26" s="58">
        <f>-(C26+E26+F26+G26+H26)*Dashboard!G$24</f>
        <v>0</v>
      </c>
      <c r="K26" s="58">
        <f t="shared" si="0"/>
        <v>0</v>
      </c>
      <c r="L26" s="58">
        <f>IF(A26&gt;=Dashboard!D$8,Dashboard!G$22*(1+Dashboard!G$23)^MAX(0,A26-Dashboard!D$8),0)</f>
        <v>0</v>
      </c>
      <c r="M26" s="58">
        <f t="shared" si="1"/>
        <v>0</v>
      </c>
      <c r="N26" s="58">
        <f>IF(A26&lt;Dashboard!D$8,IF(Dashboard!D$34=0,Dashboard!D$31+Dashboard!D$32+Dashboard!D$33+Dashboard!D$38*12*(A26-Dashboard!D$7),(Dashboard!D$31+Dashboard!D$32+Dashboard!D$33)*(1+Dashboard!D$34)^(A26-Dashboard!D$7)+Dashboard!D$38*12*((1+Dashboard!D$34)^(A26-Dashboard!D$7)-1)/Dashboard!D$34),IF(A26=Dashboard!D$8,Dashboard!G$40,MAX(0,(N25-E25*12)*(1+Dashboard!D$34))))</f>
        <v>2005398.1643521541</v>
      </c>
      <c r="O26" s="58">
        <f>N26*Dashboard!D$35</f>
        <v>80215.926574086174</v>
      </c>
    </row>
    <row r="27" spans="1:15" x14ac:dyDescent="0.35">
      <c r="A27" s="51">
        <f>Dashboard!D$7+24</f>
        <v>64</v>
      </c>
      <c r="B27" s="51">
        <f ca="1">YEAR(TODAY())+24</f>
        <v>2050</v>
      </c>
      <c r="C27" s="58">
        <f>IF(Dashboard!D$15=1,IF(A27&gt;=Dashboard!D$8,Dashboard!D$16*(1+Dashboard!D$18)^MAX(0,A27-Dashboard!D$8),0),0)</f>
        <v>0</v>
      </c>
      <c r="D27" s="58">
        <f>IF(Dashboard!D$23=1,IF(A27&gt;=Dashboard!D$8,Dashboard!D$25*(1+Dashboard!D$26)^MAX(0,A27-Dashboard!D$8),0),0)</f>
        <v>0</v>
      </c>
      <c r="E27" s="58">
        <f>IF(Dashboard!D$30=1,IF(A27&gt;=Dashboard!D$8,IF(Dashboard!D$36=1,N27*Dashboard!D$35/12,Dashboard!D$37),0),0)</f>
        <v>0</v>
      </c>
      <c r="F27" s="58">
        <f>IF(Dashboard!D$41=1,IF(A27&gt;=Dashboard!D$43,Dashboard!D$42*(1+0.025)^MAX(0,A27-Dashboard!D$43),0),0)</f>
        <v>0</v>
      </c>
      <c r="G27" s="58">
        <f>IF(Dashboard!D$44=1,IF(AND(A27&gt;=Dashboard!D$8,A27&lt;Dashboard!D$46),Dashboard!D$45,0),0)</f>
        <v>0</v>
      </c>
      <c r="H27" s="58">
        <f>IF(Dashboard!D$47=1,IF(A27&gt;=Dashboard!D$8,Dashboard!D$48*(1+Dashboard!D$49)^MAX(0,A27-Dashboard!D$8),0),0)</f>
        <v>0</v>
      </c>
      <c r="I27" s="58">
        <f>C27+D27+E27+F27+G27+H27-IF(Dashboard!D$19=1,IF(A27&gt;=Dashboard!D$8,Dashboard!D$20,0),0)</f>
        <v>0</v>
      </c>
      <c r="J27" s="58">
        <f>-(C27+E27+F27+G27+H27)*Dashboard!G$24</f>
        <v>0</v>
      </c>
      <c r="K27" s="58">
        <f t="shared" si="0"/>
        <v>0</v>
      </c>
      <c r="L27" s="58">
        <f>IF(A27&gt;=Dashboard!D$8,Dashboard!G$22*(1+Dashboard!G$23)^MAX(0,A27-Dashboard!D$8),0)</f>
        <v>0</v>
      </c>
      <c r="M27" s="58">
        <f t="shared" si="1"/>
        <v>0</v>
      </c>
      <c r="N27" s="58">
        <f>IF(A27&lt;Dashboard!D$8,IF(Dashboard!D$34=0,Dashboard!D$31+Dashboard!D$32+Dashboard!D$33+Dashboard!D$38*12*(A27-Dashboard!D$7),(Dashboard!D$31+Dashboard!D$32+Dashboard!D$33)*(1+Dashboard!D$34)^(A27-Dashboard!D$7)+Dashboard!D$38*12*((1+Dashboard!D$34)^(A27-Dashboard!D$7)-1)/Dashboard!D$34),IF(A27=Dashboard!D$8,Dashboard!G$40,MAX(0,(N26-E26*12)*(1+Dashboard!D$34))))</f>
        <v>2213137.9807873694</v>
      </c>
      <c r="O27" s="58">
        <f>N27*Dashboard!D$35</f>
        <v>88525.519231494778</v>
      </c>
    </row>
    <row r="28" spans="1:15" x14ac:dyDescent="0.35">
      <c r="A28" s="51">
        <f>Dashboard!D$7+25</f>
        <v>65</v>
      </c>
      <c r="B28" s="51">
        <f ca="1">YEAR(TODAY())+25</f>
        <v>2051</v>
      </c>
      <c r="C28" s="58">
        <f>IF(Dashboard!D$15=1,IF(A28&gt;=Dashboard!D$8,Dashboard!D$16*(1+Dashboard!D$18)^MAX(0,A28-Dashboard!D$8),0),0)</f>
        <v>0</v>
      </c>
      <c r="D28" s="58">
        <f>IF(Dashboard!D$23=1,IF(A28&gt;=Dashboard!D$8,Dashboard!D$25*(1+Dashboard!D$26)^MAX(0,A28-Dashboard!D$8),0),0)</f>
        <v>0</v>
      </c>
      <c r="E28" s="58">
        <f>IF(Dashboard!D$30=1,IF(A28&gt;=Dashboard!D$8,IF(Dashboard!D$36=1,N28*Dashboard!D$35/12,Dashboard!D$37),0),0)</f>
        <v>0</v>
      </c>
      <c r="F28" s="58">
        <f>IF(Dashboard!D$41=1,IF(A28&gt;=Dashboard!D$43,Dashboard!D$42*(1+0.025)^MAX(0,A28-Dashboard!D$43),0),0)</f>
        <v>0</v>
      </c>
      <c r="G28" s="58">
        <f>IF(Dashboard!D$44=1,IF(AND(A28&gt;=Dashboard!D$8,A28&lt;Dashboard!D$46),Dashboard!D$45,0),0)</f>
        <v>0</v>
      </c>
      <c r="H28" s="58">
        <f>IF(Dashboard!D$47=1,IF(A28&gt;=Dashboard!D$8,Dashboard!D$48*(1+Dashboard!D$49)^MAX(0,A28-Dashboard!D$8),0),0)</f>
        <v>0</v>
      </c>
      <c r="I28" s="58">
        <f>C28+D28+E28+F28+G28+H28-IF(Dashboard!D$19=1,IF(A28&gt;=Dashboard!D$8,Dashboard!D$20,0),0)</f>
        <v>0</v>
      </c>
      <c r="J28" s="58">
        <f>-(C28+E28+F28+G28+H28)*Dashboard!G$24</f>
        <v>0</v>
      </c>
      <c r="K28" s="58">
        <f t="shared" si="0"/>
        <v>0</v>
      </c>
      <c r="L28" s="58">
        <f>IF(A28&gt;=Dashboard!D$8,Dashboard!G$22*(1+Dashboard!G$23)^MAX(0,A28-Dashboard!D$8),0)</f>
        <v>0</v>
      </c>
      <c r="M28" s="58">
        <f t="shared" si="1"/>
        <v>0</v>
      </c>
      <c r="N28" s="58">
        <f>IF(A28&lt;Dashboard!D$8,IF(Dashboard!D$34=0,Dashboard!D$31+Dashboard!D$32+Dashboard!D$33+Dashboard!D$38*12*(A28-Dashboard!D$7),(Dashboard!D$31+Dashboard!D$32+Dashboard!D$33)*(1+Dashboard!D$34)^(A28-Dashboard!D$7)+Dashboard!D$38*12*((1+Dashboard!D$34)^(A28-Dashboard!D$7)-1)/Dashboard!D$34),IF(A28=Dashboard!D$8,Dashboard!G$40,MAX(0,(N27-E27*12)*(1+Dashboard!D$34))))</f>
        <v>2441651.7788661066</v>
      </c>
      <c r="O28" s="58">
        <f>N28*Dashboard!D$35</f>
        <v>97666.071154644262</v>
      </c>
    </row>
    <row r="29" spans="1:15" x14ac:dyDescent="0.35">
      <c r="A29" s="51">
        <f>Dashboard!D$7+26</f>
        <v>66</v>
      </c>
      <c r="B29" s="51">
        <f ca="1">YEAR(TODAY())+26</f>
        <v>2052</v>
      </c>
      <c r="C29" s="58">
        <f>IF(Dashboard!D$15=1,IF(A29&gt;=Dashboard!D$8,Dashboard!D$16*(1+Dashboard!D$18)^MAX(0,A29-Dashboard!D$8),0),0)</f>
        <v>0</v>
      </c>
      <c r="D29" s="58">
        <f>IF(Dashboard!D$23=1,IF(A29&gt;=Dashboard!D$8,Dashboard!D$25*(1+Dashboard!D$26)^MAX(0,A29-Dashboard!D$8),0),0)</f>
        <v>0</v>
      </c>
      <c r="E29" s="58">
        <f>IF(Dashboard!D$30=1,IF(A29&gt;=Dashboard!D$8,IF(Dashboard!D$36=1,N29*Dashboard!D$35/12,Dashboard!D$37),0),0)</f>
        <v>0</v>
      </c>
      <c r="F29" s="58">
        <f>IF(Dashboard!D$41=1,IF(A29&gt;=Dashboard!D$43,Dashboard!D$42*(1+0.025)^MAX(0,A29-Dashboard!D$43),0),0)</f>
        <v>0</v>
      </c>
      <c r="G29" s="58">
        <f>IF(Dashboard!D$44=1,IF(AND(A29&gt;=Dashboard!D$8,A29&lt;Dashboard!D$46),Dashboard!D$45,0),0)</f>
        <v>0</v>
      </c>
      <c r="H29" s="58">
        <f>IF(Dashboard!D$47=1,IF(A29&gt;=Dashboard!D$8,Dashboard!D$48*(1+Dashboard!D$49)^MAX(0,A29-Dashboard!D$8),0),0)</f>
        <v>0</v>
      </c>
      <c r="I29" s="58">
        <f>C29+D29+E29+F29+G29+H29-IF(Dashboard!D$19=1,IF(A29&gt;=Dashboard!D$8,Dashboard!D$20,0),0)</f>
        <v>0</v>
      </c>
      <c r="J29" s="58">
        <f>-(C29+E29+F29+G29+H29)*Dashboard!G$24</f>
        <v>0</v>
      </c>
      <c r="K29" s="58">
        <f t="shared" si="0"/>
        <v>0</v>
      </c>
      <c r="L29" s="58">
        <f>IF(A29&gt;=Dashboard!D$8,Dashboard!G$22*(1+Dashboard!G$23)^MAX(0,A29-Dashboard!D$8),0)</f>
        <v>0</v>
      </c>
      <c r="M29" s="58">
        <f t="shared" si="1"/>
        <v>0</v>
      </c>
      <c r="N29" s="58">
        <f>IF(A29&lt;Dashboard!D$8,IF(Dashboard!D$34=0,Dashboard!D$31+Dashboard!D$32+Dashboard!D$33+Dashboard!D$38*12*(A29-Dashboard!D$7),(Dashboard!D$31+Dashboard!D$32+Dashboard!D$33)*(1+Dashboard!D$34)^(A29-Dashboard!D$7)+Dashboard!D$38*12*((1+Dashboard!D$34)^(A29-Dashboard!D$7)-1)/Dashboard!D$34),IF(A29=Dashboard!D$8,Dashboard!G$40,MAX(0,(N28-E28*12)*(1+Dashboard!D$34))))</f>
        <v>2693016.9567527175</v>
      </c>
      <c r="O29" s="58">
        <f>N29*Dashboard!D$35</f>
        <v>107720.67827010871</v>
      </c>
    </row>
    <row r="30" spans="1:15" x14ac:dyDescent="0.35">
      <c r="A30" s="51">
        <f>Dashboard!D$7+27</f>
        <v>67</v>
      </c>
      <c r="B30" s="51">
        <f ca="1">YEAR(TODAY())+27</f>
        <v>2053</v>
      </c>
      <c r="C30" s="58">
        <f>IF(Dashboard!D$15=1,IF(A30&gt;=Dashboard!D$8,Dashboard!D$16*(1+Dashboard!D$18)^MAX(0,A30-Dashboard!D$8),0),0)</f>
        <v>3000</v>
      </c>
      <c r="D30" s="58">
        <f>IF(Dashboard!D$23=1,IF(A30&gt;=Dashboard!D$8,Dashboard!D$25*(1+Dashboard!D$26)^MAX(0,A30-Dashboard!D$8),0),0)</f>
        <v>2500</v>
      </c>
      <c r="E30" s="58">
        <f>IF(Dashboard!D$30=1,IF(A30&gt;=Dashboard!D$8,IF(Dashboard!D$36=1,N30*Dashboard!D$35/12,Dashboard!D$37),0),0)</f>
        <v>9898.3955080932992</v>
      </c>
      <c r="F30" s="58">
        <f>IF(Dashboard!D$41=1,IF(A30&gt;=Dashboard!D$43,Dashboard!D$42*(1+0.025)^MAX(0,A30-Dashboard!D$43),0),0)</f>
        <v>1800</v>
      </c>
      <c r="G30" s="58">
        <f>IF(Dashboard!D$44=1,IF(AND(A30&gt;=Dashboard!D$8,A30&lt;Dashboard!D$46),Dashboard!D$45,0),0)</f>
        <v>0</v>
      </c>
      <c r="H30" s="58">
        <f>IF(Dashboard!D$47=1,IF(A30&gt;=Dashboard!D$8,Dashboard!D$48*(1+Dashboard!D$49)^MAX(0,A30-Dashboard!D$8),0),0)</f>
        <v>0</v>
      </c>
      <c r="I30" s="58">
        <f>C30+D30+E30+F30+G30+H30-IF(Dashboard!D$19=1,IF(A30&gt;=Dashboard!D$8,Dashboard!D$20,0),0)</f>
        <v>17003.395508093301</v>
      </c>
      <c r="J30" s="58">
        <f>-(C30+E30+F30+G30+H30)*Dashboard!G$24</f>
        <v>0</v>
      </c>
      <c r="K30" s="58">
        <f t="shared" si="0"/>
        <v>17003.395508093301</v>
      </c>
      <c r="L30" s="58">
        <f>IF(A30&gt;=Dashboard!D$8,Dashboard!G$22*(1+Dashboard!G$23)^MAX(0,A30-Dashboard!D$8),0)</f>
        <v>7705</v>
      </c>
      <c r="M30" s="58">
        <f t="shared" si="1"/>
        <v>9298.395508093301</v>
      </c>
      <c r="N30" s="58">
        <f>IF(A30&lt;Dashboard!D$8,IF(Dashboard!D$34=0,Dashboard!D$31+Dashboard!D$32+Dashboard!D$33+Dashboard!D$38*12*(A30-Dashboard!D$7),(Dashboard!D$31+Dashboard!D$32+Dashboard!D$33)*(1+Dashboard!D$34)^(A30-Dashboard!D$7)+Dashboard!D$38*12*((1+Dashboard!D$34)^(A30-Dashboard!D$7)-1)/Dashboard!D$34),IF(A30=Dashboard!D$8,Dashboard!G$40,MAX(0,(N29-E29*12)*(1+Dashboard!D$34))))</f>
        <v>2969518.65242799</v>
      </c>
      <c r="O30" s="58">
        <f>N30*Dashboard!D$35</f>
        <v>118780.7460971196</v>
      </c>
    </row>
    <row r="31" spans="1:15" x14ac:dyDescent="0.35">
      <c r="A31" s="51">
        <f>Dashboard!D$7+28</f>
        <v>68</v>
      </c>
      <c r="B31" s="51">
        <f ca="1">YEAR(TODAY())+28</f>
        <v>2054</v>
      </c>
      <c r="C31" s="58">
        <f>IF(Dashboard!D$15=1,IF(A31&gt;=Dashboard!D$8,Dashboard!D$16*(1+Dashboard!D$18)^MAX(0,A31-Dashboard!D$8),0),0)</f>
        <v>3074.9999999999995</v>
      </c>
      <c r="D31" s="58">
        <f>IF(Dashboard!D$23=1,IF(A31&gt;=Dashboard!D$8,Dashboard!D$25*(1+Dashboard!D$26)^MAX(0,A31-Dashboard!D$8),0),0)</f>
        <v>2562.5</v>
      </c>
      <c r="E31" s="58">
        <f>IF(Dashboard!D$30=1,IF(A31&gt;=Dashboard!D$8,IF(Dashboard!D$36=1,N31*Dashboard!D$35/12,Dashboard!D$37),0),0)</f>
        <v>10452.705656546526</v>
      </c>
      <c r="F31" s="58">
        <f>IF(Dashboard!D$41=1,IF(A31&gt;=Dashboard!D$43,Dashboard!D$42*(1+0.025)^MAX(0,A31-Dashboard!D$43),0),0)</f>
        <v>1844.9999999999998</v>
      </c>
      <c r="G31" s="58">
        <f>IF(Dashboard!D$44=1,IF(AND(A31&gt;=Dashboard!D$8,A31&lt;Dashboard!D$46),Dashboard!D$45,0),0)</f>
        <v>0</v>
      </c>
      <c r="H31" s="58">
        <f>IF(Dashboard!D$47=1,IF(A31&gt;=Dashboard!D$8,Dashboard!D$48*(1+Dashboard!D$49)^MAX(0,A31-Dashboard!D$8),0),0)</f>
        <v>0</v>
      </c>
      <c r="I31" s="58">
        <f>C31+D31+E31+F31+G31+H31-IF(Dashboard!D$19=1,IF(A31&gt;=Dashboard!D$8,Dashboard!D$20,0),0)</f>
        <v>17740.205656546525</v>
      </c>
      <c r="J31" s="58">
        <f>-(C31+E31+F31+G31+H31)*Dashboard!G$24</f>
        <v>0</v>
      </c>
      <c r="K31" s="58">
        <f t="shared" si="0"/>
        <v>17740.205656546525</v>
      </c>
      <c r="L31" s="58">
        <f>IF(A31&gt;=Dashboard!D$8,Dashboard!G$22*(1+Dashboard!G$23)^MAX(0,A31-Dashboard!D$8),0)</f>
        <v>7936.1500000000005</v>
      </c>
      <c r="M31" s="58">
        <f t="shared" si="1"/>
        <v>9804.0556565465231</v>
      </c>
      <c r="N31" s="58">
        <f>IF(A31&lt;Dashboard!D$8,IF(Dashboard!D$34=0,Dashboard!D$31+Dashboard!D$32+Dashboard!D$33+Dashboard!D$38*12*(A31-Dashboard!D$7),(Dashboard!D$31+Dashboard!D$32+Dashboard!D$33)*(1+Dashboard!D$34)^(A31-Dashboard!D$7)+Dashboard!D$38*12*((1+Dashboard!D$34)^(A31-Dashboard!D$7)-1)/Dashboard!D$34),IF(A31=Dashboard!D$8,Dashboard!G$40,MAX(0,(N30-E30*12)*(1+Dashboard!D$34))))</f>
        <v>3135811.696963958</v>
      </c>
      <c r="O31" s="58">
        <f>N31*Dashboard!D$35</f>
        <v>125432.46787855832</v>
      </c>
    </row>
    <row r="32" spans="1:15" x14ac:dyDescent="0.35">
      <c r="A32" s="51">
        <f>Dashboard!D$7+29</f>
        <v>69</v>
      </c>
      <c r="B32" s="51">
        <f ca="1">YEAR(TODAY())+29</f>
        <v>2055</v>
      </c>
      <c r="C32" s="58">
        <f>IF(Dashboard!D$15=1,IF(A32&gt;=Dashboard!D$8,Dashboard!D$16*(1+Dashboard!D$18)^MAX(0,A32-Dashboard!D$8),0),0)</f>
        <v>3151.8749999999995</v>
      </c>
      <c r="D32" s="58">
        <f>IF(Dashboard!D$23=1,IF(A32&gt;=Dashboard!D$8,Dashboard!D$25*(1+Dashboard!D$26)^MAX(0,A32-Dashboard!D$8),0),0)</f>
        <v>2626.5625</v>
      </c>
      <c r="E32" s="58">
        <f>IF(Dashboard!D$30=1,IF(A32&gt;=Dashboard!D$8,IF(Dashboard!D$36=1,N32*Dashboard!D$35/12,Dashboard!D$37),0),0)</f>
        <v>11038.057173313135</v>
      </c>
      <c r="F32" s="58">
        <f>IF(Dashboard!D$41=1,IF(A32&gt;=Dashboard!D$43,Dashboard!D$42*(1+0.025)^MAX(0,A32-Dashboard!D$43),0),0)</f>
        <v>1891.1249999999998</v>
      </c>
      <c r="G32" s="58">
        <f>IF(Dashboard!D$44=1,IF(AND(A32&gt;=Dashboard!D$8,A32&lt;Dashboard!D$46),Dashboard!D$45,0),0)</f>
        <v>0</v>
      </c>
      <c r="H32" s="58">
        <f>IF(Dashboard!D$47=1,IF(A32&gt;=Dashboard!D$8,Dashboard!D$48*(1+Dashboard!D$49)^MAX(0,A32-Dashboard!D$8),0),0)</f>
        <v>0</v>
      </c>
      <c r="I32" s="58">
        <f>C32+D32+E32+F32+G32+H32-IF(Dashboard!D$19=1,IF(A32&gt;=Dashboard!D$8,Dashboard!D$20,0),0)</f>
        <v>18512.619673313136</v>
      </c>
      <c r="J32" s="58">
        <f>-(C32+E32+F32+G32+H32)*Dashboard!G$24</f>
        <v>0</v>
      </c>
      <c r="K32" s="58">
        <f t="shared" si="0"/>
        <v>18512.619673313136</v>
      </c>
      <c r="L32" s="58">
        <f>IF(A32&gt;=Dashboard!D$8,Dashboard!G$22*(1+Dashboard!G$23)^MAX(0,A32-Dashboard!D$8),0)</f>
        <v>8174.2344999999996</v>
      </c>
      <c r="M32" s="58">
        <f t="shared" si="1"/>
        <v>10338.385173313138</v>
      </c>
      <c r="N32" s="58">
        <f>IF(A32&lt;Dashboard!D$8,IF(Dashboard!D$34=0,Dashboard!D$31+Dashboard!D$32+Dashboard!D$33+Dashboard!D$38*12*(A32-Dashboard!D$7),(Dashboard!D$31+Dashboard!D$32+Dashboard!D$33)*(1+Dashboard!D$34)^(A32-Dashboard!D$7)+Dashboard!D$38*12*((1+Dashboard!D$34)^(A32-Dashboard!D$7)-1)/Dashboard!D$34),IF(A32=Dashboard!D$8,Dashboard!G$40,MAX(0,(N31-E31*12)*(1+Dashboard!D$34))))</f>
        <v>3311417.1519939401</v>
      </c>
      <c r="O32" s="58">
        <f>N32*Dashboard!D$35</f>
        <v>132456.68607975761</v>
      </c>
    </row>
    <row r="33" spans="1:15" x14ac:dyDescent="0.35">
      <c r="A33" s="51">
        <f>Dashboard!D$7+30</f>
        <v>70</v>
      </c>
      <c r="B33" s="51">
        <f ca="1">YEAR(TODAY())+30</f>
        <v>2056</v>
      </c>
      <c r="C33" s="58">
        <f>IF(Dashboard!D$15=1,IF(A33&gt;=Dashboard!D$8,Dashboard!D$16*(1+Dashboard!D$18)^MAX(0,A33-Dashboard!D$8),0),0)</f>
        <v>3230.6718749999995</v>
      </c>
      <c r="D33" s="58">
        <f>IF(Dashboard!D$23=1,IF(A33&gt;=Dashboard!D$8,Dashboard!D$25*(1+Dashboard!D$26)^MAX(0,A33-Dashboard!D$8),0),0)</f>
        <v>2692.2265624999995</v>
      </c>
      <c r="E33" s="58">
        <f>IF(Dashboard!D$30=1,IF(A33&gt;=Dashboard!D$8,IF(Dashboard!D$36=1,N33*Dashboard!D$35/12,Dashboard!D$37),0),0)</f>
        <v>11656.188375018668</v>
      </c>
      <c r="F33" s="58">
        <f>IF(Dashboard!D$41=1,IF(A33&gt;=Dashboard!D$43,Dashboard!D$42*(1+0.025)^MAX(0,A33-Dashboard!D$43),0),0)</f>
        <v>1938.4031249999998</v>
      </c>
      <c r="G33" s="58">
        <f>IF(Dashboard!D$44=1,IF(AND(A33&gt;=Dashboard!D$8,A33&lt;Dashboard!D$46),Dashboard!D$45,0),0)</f>
        <v>0</v>
      </c>
      <c r="H33" s="58">
        <f>IF(Dashboard!D$47=1,IF(A33&gt;=Dashboard!D$8,Dashboard!D$48*(1+Dashboard!D$49)^MAX(0,A33-Dashboard!D$8),0),0)</f>
        <v>0</v>
      </c>
      <c r="I33" s="58">
        <f>C33+D33+E33+F33+G33+H33-IF(Dashboard!D$19=1,IF(A33&gt;=Dashboard!D$8,Dashboard!D$20,0),0)</f>
        <v>19322.489937518669</v>
      </c>
      <c r="J33" s="58">
        <f>-(C33+E33+F33+G33+H33)*Dashboard!G$24</f>
        <v>0</v>
      </c>
      <c r="K33" s="58">
        <f t="shared" si="0"/>
        <v>19322.489937518669</v>
      </c>
      <c r="L33" s="58">
        <f>IF(A33&gt;=Dashboard!D$8,Dashboard!G$22*(1+Dashboard!G$23)^MAX(0,A33-Dashboard!D$8),0)</f>
        <v>8419.4615350000004</v>
      </c>
      <c r="M33" s="58">
        <f t="shared" si="1"/>
        <v>10903.028402518668</v>
      </c>
      <c r="N33" s="58">
        <f>IF(A33&lt;Dashboard!D$8,IF(Dashboard!D$34=0,Dashboard!D$31+Dashboard!D$32+Dashboard!D$33+Dashboard!D$38*12*(A33-Dashboard!D$7),(Dashboard!D$31+Dashboard!D$32+Dashboard!D$33)*(1+Dashboard!D$34)^(A33-Dashboard!D$7)+Dashboard!D$38*12*((1+Dashboard!D$34)^(A33-Dashboard!D$7)-1)/Dashboard!D$34),IF(A33=Dashboard!D$8,Dashboard!G$40,MAX(0,(N32-E32*12)*(1+Dashboard!D$34))))</f>
        <v>3496856.5125056007</v>
      </c>
      <c r="O33" s="58">
        <f>N33*Dashboard!D$35</f>
        <v>139874.26050022402</v>
      </c>
    </row>
    <row r="34" spans="1:15" x14ac:dyDescent="0.35">
      <c r="A34" s="51">
        <f>Dashboard!D$7+31</f>
        <v>71</v>
      </c>
      <c r="B34" s="51">
        <f ca="1">YEAR(TODAY())+31</f>
        <v>2057</v>
      </c>
      <c r="C34" s="58">
        <f>IF(Dashboard!D$15=1,IF(A34&gt;=Dashboard!D$8,Dashboard!D$16*(1+Dashboard!D$18)^MAX(0,A34-Dashboard!D$8),0),0)</f>
        <v>3311.4386718749993</v>
      </c>
      <c r="D34" s="58">
        <f>IF(Dashboard!D$23=1,IF(A34&gt;=Dashboard!D$8,Dashboard!D$25*(1+Dashboard!D$26)^MAX(0,A34-Dashboard!D$8),0),0)</f>
        <v>2759.5322265624995</v>
      </c>
      <c r="E34" s="58">
        <f>IF(Dashboard!D$30=1,IF(A34&gt;=Dashboard!D$8,IF(Dashboard!D$36=1,N34*Dashboard!D$35/12,Dashboard!D$37),0),0)</f>
        <v>12308.934924019717</v>
      </c>
      <c r="F34" s="58">
        <f>IF(Dashboard!D$41=1,IF(A34&gt;=Dashboard!D$43,Dashboard!D$42*(1+0.025)^MAX(0,A34-Dashboard!D$43),0),0)</f>
        <v>1986.8632031249995</v>
      </c>
      <c r="G34" s="58">
        <f>IF(Dashboard!D$44=1,IF(AND(A34&gt;=Dashboard!D$8,A34&lt;Dashboard!D$46),Dashboard!D$45,0),0)</f>
        <v>0</v>
      </c>
      <c r="H34" s="58">
        <f>IF(Dashboard!D$47=1,IF(A34&gt;=Dashboard!D$8,Dashboard!D$48*(1+Dashboard!D$49)^MAX(0,A34-Dashboard!D$8),0),0)</f>
        <v>0</v>
      </c>
      <c r="I34" s="58">
        <f>C34+D34+E34+F34+G34+H34-IF(Dashboard!D$19=1,IF(A34&gt;=Dashboard!D$8,Dashboard!D$20,0),0)</f>
        <v>20171.769025582213</v>
      </c>
      <c r="J34" s="58">
        <f>-(C34+E34+F34+G34+H34)*Dashboard!G$24</f>
        <v>0</v>
      </c>
      <c r="K34" s="58">
        <f t="shared" si="0"/>
        <v>20171.769025582213</v>
      </c>
      <c r="L34" s="58">
        <f>IF(A34&gt;=Dashboard!D$8,Dashboard!G$22*(1+Dashboard!G$23)^MAX(0,A34-Dashboard!D$8),0)</f>
        <v>8672.0453810499985</v>
      </c>
      <c r="M34" s="58">
        <f t="shared" si="1"/>
        <v>11499.723644532214</v>
      </c>
      <c r="N34" s="58">
        <f>IF(A34&lt;Dashboard!D$8,IF(Dashboard!D$34=0,Dashboard!D$31+Dashboard!D$32+Dashboard!D$33+Dashboard!D$38*12*(A34-Dashboard!D$7),(Dashboard!D$31+Dashboard!D$32+Dashboard!D$33)*(1+Dashboard!D$34)^(A34-Dashboard!D$7)+Dashboard!D$38*12*((1+Dashboard!D$34)^(A34-Dashboard!D$7)-1)/Dashboard!D$34),IF(A34=Dashboard!D$8,Dashboard!G$40,MAX(0,(N33-E33*12)*(1+Dashboard!D$34))))</f>
        <v>3692680.4772059149</v>
      </c>
      <c r="O34" s="58">
        <f>N34*Dashboard!D$35</f>
        <v>147707.2190882366</v>
      </c>
    </row>
    <row r="35" spans="1:15" x14ac:dyDescent="0.35">
      <c r="A35" s="51">
        <f>Dashboard!D$7+32</f>
        <v>72</v>
      </c>
      <c r="B35" s="51">
        <f ca="1">YEAR(TODAY())+32</f>
        <v>2058</v>
      </c>
      <c r="C35" s="58">
        <f>IF(Dashboard!D$15=1,IF(A35&gt;=Dashboard!D$8,Dashboard!D$16*(1+Dashboard!D$18)^MAX(0,A35-Dashboard!D$8),0),0)</f>
        <v>3394.2246386718739</v>
      </c>
      <c r="D35" s="58">
        <f>IF(Dashboard!D$23=1,IF(A35&gt;=Dashboard!D$8,Dashboard!D$25*(1+Dashboard!D$26)^MAX(0,A35-Dashboard!D$8),0),0)</f>
        <v>2828.5205322265615</v>
      </c>
      <c r="E35" s="58">
        <f>IF(Dashboard!D$30=1,IF(A35&gt;=Dashboard!D$8,IF(Dashboard!D$36=1,N35*Dashboard!D$35/12,Dashboard!D$37),0),0)</f>
        <v>12998.23527976482</v>
      </c>
      <c r="F35" s="58">
        <f>IF(Dashboard!D$41=1,IF(A35&gt;=Dashboard!D$43,Dashboard!D$42*(1+0.025)^MAX(0,A35-Dashboard!D$43),0),0)</f>
        <v>2036.5347832031243</v>
      </c>
      <c r="G35" s="58">
        <f>IF(Dashboard!D$44=1,IF(AND(A35&gt;=Dashboard!D$8,A35&lt;Dashboard!D$46),Dashboard!D$45,0),0)</f>
        <v>0</v>
      </c>
      <c r="H35" s="58">
        <f>IF(Dashboard!D$47=1,IF(A35&gt;=Dashboard!D$8,Dashboard!D$48*(1+Dashboard!D$49)^MAX(0,A35-Dashboard!D$8),0),0)</f>
        <v>0</v>
      </c>
      <c r="I35" s="58">
        <f>C35+D35+E35+F35+G35+H35-IF(Dashboard!D$19=1,IF(A35&gt;=Dashboard!D$8,Dashboard!D$20,0),0)</f>
        <v>21062.515233866383</v>
      </c>
      <c r="J35" s="58">
        <f>-(C35+E35+F35+G35+H35)*Dashboard!G$24</f>
        <v>0</v>
      </c>
      <c r="K35" s="58">
        <f t="shared" ref="K35:K53" si="2">I35+J35</f>
        <v>21062.515233866383</v>
      </c>
      <c r="L35" s="58">
        <f>IF(A35&gt;=Dashboard!D$8,Dashboard!G$22*(1+Dashboard!G$23)^MAX(0,A35-Dashboard!D$8),0)</f>
        <v>8932.2067424814995</v>
      </c>
      <c r="M35" s="58">
        <f t="shared" ref="M35:M53" si="3">K35-L35</f>
        <v>12130.308491384883</v>
      </c>
      <c r="N35" s="58">
        <f>IF(A35&lt;Dashboard!D$8,IF(Dashboard!D$34=0,Dashboard!D$31+Dashboard!D$32+Dashboard!D$33+Dashboard!D$38*12*(A35-Dashboard!D$7),(Dashboard!D$31+Dashboard!D$32+Dashboard!D$33)*(1+Dashboard!D$34)^(A35-Dashboard!D$7)+Dashboard!D$38*12*((1+Dashboard!D$34)^(A35-Dashboard!D$7)-1)/Dashboard!D$34),IF(A35=Dashboard!D$8,Dashboard!G$40,MAX(0,(N34-E34*12)*(1+Dashboard!D$34))))</f>
        <v>3899470.5839294461</v>
      </c>
      <c r="O35" s="58">
        <f>N35*Dashboard!D$35</f>
        <v>155978.82335717784</v>
      </c>
    </row>
    <row r="36" spans="1:15" x14ac:dyDescent="0.35">
      <c r="A36" s="51">
        <f>Dashboard!D$7+33</f>
        <v>73</v>
      </c>
      <c r="B36" s="51">
        <f ca="1">YEAR(TODAY())+33</f>
        <v>2059</v>
      </c>
      <c r="C36" s="58">
        <f>IF(Dashboard!D$15=1,IF(A36&gt;=Dashboard!D$8,Dashboard!D$16*(1+Dashboard!D$18)^MAX(0,A36-Dashboard!D$8),0),0)</f>
        <v>3479.0802546386703</v>
      </c>
      <c r="D36" s="58">
        <f>IF(Dashboard!D$23=1,IF(A36&gt;=Dashboard!D$8,Dashboard!D$25*(1+Dashboard!D$26)^MAX(0,A36-Dashboard!D$8),0),0)</f>
        <v>2899.2335455322254</v>
      </c>
      <c r="E36" s="58">
        <f>IF(Dashboard!D$30=1,IF(A36&gt;=Dashboard!D$8,IF(Dashboard!D$36=1,N36*Dashboard!D$35/12,Dashboard!D$37),0),0)</f>
        <v>13726.136455431651</v>
      </c>
      <c r="F36" s="58">
        <f>IF(Dashboard!D$41=1,IF(A36&gt;=Dashboard!D$43,Dashboard!D$42*(1+0.025)^MAX(0,A36-Dashboard!D$43),0),0)</f>
        <v>2087.4481527832022</v>
      </c>
      <c r="G36" s="58">
        <f>IF(Dashboard!D$44=1,IF(AND(A36&gt;=Dashboard!D$8,A36&lt;Dashboard!D$46),Dashboard!D$45,0),0)</f>
        <v>0</v>
      </c>
      <c r="H36" s="58">
        <f>IF(Dashboard!D$47=1,IF(A36&gt;=Dashboard!D$8,Dashboard!D$48*(1+Dashboard!D$49)^MAX(0,A36-Dashboard!D$8),0),0)</f>
        <v>0</v>
      </c>
      <c r="I36" s="58">
        <f>C36+D36+E36+F36+G36+H36-IF(Dashboard!D$19=1,IF(A36&gt;=Dashboard!D$8,Dashboard!D$20,0),0)</f>
        <v>21996.89840838575</v>
      </c>
      <c r="J36" s="58">
        <f>-(C36+E36+F36+G36+H36)*Dashboard!G$24</f>
        <v>0</v>
      </c>
      <c r="K36" s="58">
        <f t="shared" si="2"/>
        <v>21996.89840838575</v>
      </c>
      <c r="L36" s="58">
        <f>IF(A36&gt;=Dashboard!D$8,Dashboard!G$22*(1+Dashboard!G$23)^MAX(0,A36-Dashboard!D$8),0)</f>
        <v>9200.1729447559446</v>
      </c>
      <c r="M36" s="58">
        <f t="shared" si="3"/>
        <v>12796.725463629806</v>
      </c>
      <c r="N36" s="58">
        <f>IF(A36&lt;Dashboard!D$8,IF(Dashboard!D$34=0,Dashboard!D$31+Dashboard!D$32+Dashboard!D$33+Dashboard!D$38*12*(A36-Dashboard!D$7),(Dashboard!D$31+Dashboard!D$32+Dashboard!D$33)*(1+Dashboard!D$34)^(A36-Dashboard!D$7)+Dashboard!D$38*12*((1+Dashboard!D$34)^(A36-Dashboard!D$7)-1)/Dashboard!D$34),IF(A36=Dashboard!D$8,Dashboard!G$40,MAX(0,(N35-E35*12)*(1+Dashboard!D$34))))</f>
        <v>4117840.9366294951</v>
      </c>
      <c r="O36" s="58">
        <f>N36*Dashboard!D$35</f>
        <v>164713.63746517981</v>
      </c>
    </row>
    <row r="37" spans="1:15" x14ac:dyDescent="0.35">
      <c r="A37" s="51">
        <f>Dashboard!D$7+34</f>
        <v>74</v>
      </c>
      <c r="B37" s="51">
        <f ca="1">YEAR(TODAY())+34</f>
        <v>2060</v>
      </c>
      <c r="C37" s="58">
        <f>IF(Dashboard!D$15=1,IF(A37&gt;=Dashboard!D$8,Dashboard!D$16*(1+Dashboard!D$18)^MAX(0,A37-Dashboard!D$8),0),0)</f>
        <v>3566.0572610046374</v>
      </c>
      <c r="D37" s="58">
        <f>IF(Dashboard!D$23=1,IF(A37&gt;=Dashboard!D$8,Dashboard!D$25*(1+Dashboard!D$26)^MAX(0,A37-Dashboard!D$8),0),0)</f>
        <v>2971.714384170531</v>
      </c>
      <c r="E37" s="58">
        <f>IF(Dashboard!D$30=1,IF(A37&gt;=Dashboard!D$8,IF(Dashboard!D$36=1,N37*Dashboard!D$35/12,Dashboard!D$37),0),0)</f>
        <v>14494.800096935824</v>
      </c>
      <c r="F37" s="58">
        <f>IF(Dashboard!D$41=1,IF(A37&gt;=Dashboard!D$43,Dashboard!D$42*(1+0.025)^MAX(0,A37-Dashboard!D$43),0),0)</f>
        <v>2139.6343566027826</v>
      </c>
      <c r="G37" s="58">
        <f>IF(Dashboard!D$44=1,IF(AND(A37&gt;=Dashboard!D$8,A37&lt;Dashboard!D$46),Dashboard!D$45,0),0)</f>
        <v>0</v>
      </c>
      <c r="H37" s="58">
        <f>IF(Dashboard!D$47=1,IF(A37&gt;=Dashboard!D$8,Dashboard!D$48*(1+Dashboard!D$49)^MAX(0,A37-Dashboard!D$8),0),0)</f>
        <v>0</v>
      </c>
      <c r="I37" s="58">
        <f>C37+D37+E37+F37+G37+H37-IF(Dashboard!D$19=1,IF(A37&gt;=Dashboard!D$8,Dashboard!D$20,0),0)</f>
        <v>22977.206098713774</v>
      </c>
      <c r="J37" s="58">
        <f>-(C37+E37+F37+G37+H37)*Dashboard!G$24</f>
        <v>0</v>
      </c>
      <c r="K37" s="58">
        <f t="shared" si="2"/>
        <v>22977.206098713774</v>
      </c>
      <c r="L37" s="58">
        <f>IF(A37&gt;=Dashboard!D$8,Dashboard!G$22*(1+Dashboard!G$23)^MAX(0,A37-Dashboard!D$8),0)</f>
        <v>9476.1781330986232</v>
      </c>
      <c r="M37" s="58">
        <f t="shared" si="3"/>
        <v>13501.027965615151</v>
      </c>
      <c r="N37" s="58">
        <f>IF(A37&lt;Dashboard!D$8,IF(Dashboard!D$34=0,Dashboard!D$31+Dashboard!D$32+Dashboard!D$33+Dashboard!D$38*12*(A37-Dashboard!D$7),(Dashboard!D$31+Dashboard!D$32+Dashboard!D$33)*(1+Dashboard!D$34)^(A37-Dashboard!D$7)+Dashboard!D$38*12*((1+Dashboard!D$34)^(A37-Dashboard!D$7)-1)/Dashboard!D$34),IF(A37=Dashboard!D$8,Dashboard!G$40,MAX(0,(N36-E36*12)*(1+Dashboard!D$34))))</f>
        <v>4348440.0290807467</v>
      </c>
      <c r="O37" s="58">
        <f>N37*Dashboard!D$35</f>
        <v>173937.60116322988</v>
      </c>
    </row>
    <row r="38" spans="1:15" x14ac:dyDescent="0.35">
      <c r="A38" s="51">
        <f>Dashboard!D$7+35</f>
        <v>75</v>
      </c>
      <c r="B38" s="51">
        <f ca="1">YEAR(TODAY())+35</f>
        <v>2061</v>
      </c>
      <c r="C38" s="58">
        <f>IF(Dashboard!D$15=1,IF(A38&gt;=Dashboard!D$8,Dashboard!D$16*(1+Dashboard!D$18)^MAX(0,A38-Dashboard!D$8),0),0)</f>
        <v>3655.2086925297531</v>
      </c>
      <c r="D38" s="58">
        <f>IF(Dashboard!D$23=1,IF(A38&gt;=Dashboard!D$8,Dashboard!D$25*(1+Dashboard!D$26)^MAX(0,A38-Dashboard!D$8),0),0)</f>
        <v>3046.0072437747945</v>
      </c>
      <c r="E38" s="58">
        <f>IF(Dashboard!D$30=1,IF(A38&gt;=Dashboard!D$8,IF(Dashboard!D$36=1,N38*Dashboard!D$35/12,Dashboard!D$37),0),0)</f>
        <v>15306.50890236423</v>
      </c>
      <c r="F38" s="58">
        <f>IF(Dashboard!D$41=1,IF(A38&gt;=Dashboard!D$43,Dashboard!D$42*(1+0.025)^MAX(0,A38-Dashboard!D$43),0),0)</f>
        <v>2193.1252155178518</v>
      </c>
      <c r="G38" s="58">
        <f>IF(Dashboard!D$44=1,IF(AND(A38&gt;=Dashboard!D$8,A38&lt;Dashboard!D$46),Dashboard!D$45,0),0)</f>
        <v>0</v>
      </c>
      <c r="H38" s="58">
        <f>IF(Dashboard!D$47=1,IF(A38&gt;=Dashboard!D$8,Dashboard!D$48*(1+Dashboard!D$49)^MAX(0,A38-Dashboard!D$8),0),0)</f>
        <v>0</v>
      </c>
      <c r="I38" s="58">
        <f>C38+D38+E38+F38+G38+H38-IF(Dashboard!D$19=1,IF(A38&gt;=Dashboard!D$8,Dashboard!D$20,0),0)</f>
        <v>24005.850054186631</v>
      </c>
      <c r="J38" s="58">
        <f>-(C38+E38+F38+G38+H38)*Dashboard!G$24</f>
        <v>0</v>
      </c>
      <c r="K38" s="58">
        <f t="shared" si="2"/>
        <v>24005.850054186631</v>
      </c>
      <c r="L38" s="58">
        <f>IF(A38&gt;=Dashboard!D$8,Dashboard!G$22*(1+Dashboard!G$23)^MAX(0,A38-Dashboard!D$8),0)</f>
        <v>9760.46347709158</v>
      </c>
      <c r="M38" s="58">
        <f t="shared" si="3"/>
        <v>14245.386577095051</v>
      </c>
      <c r="N38" s="58">
        <f>IF(A38&lt;Dashboard!D$8,IF(Dashboard!D$34=0,Dashboard!D$31+Dashboard!D$32+Dashboard!D$33+Dashboard!D$38*12*(A38-Dashboard!D$7),(Dashboard!D$31+Dashboard!D$32+Dashboard!D$33)*(1+Dashboard!D$34)^(A38-Dashboard!D$7)+Dashboard!D$38*12*((1+Dashboard!D$34)^(A38-Dashboard!D$7)-1)/Dashboard!D$34),IF(A38=Dashboard!D$8,Dashboard!G$40,MAX(0,(N37-E37*12)*(1+Dashboard!D$34))))</f>
        <v>4591952.6707092691</v>
      </c>
      <c r="O38" s="58">
        <f>N38*Dashboard!D$35</f>
        <v>183678.10682837077</v>
      </c>
    </row>
    <row r="39" spans="1:15" x14ac:dyDescent="0.35">
      <c r="A39" s="51">
        <f>Dashboard!D$7+36</f>
        <v>76</v>
      </c>
      <c r="B39" s="51">
        <f ca="1">YEAR(TODAY())+36</f>
        <v>2062</v>
      </c>
      <c r="C39" s="58">
        <f>IF(Dashboard!D$15=1,IF(A39&gt;=Dashboard!D$8,Dashboard!D$16*(1+Dashboard!D$18)^MAX(0,A39-Dashboard!D$8),0),0)</f>
        <v>3746.5889098429961</v>
      </c>
      <c r="D39" s="58">
        <f>IF(Dashboard!D$23=1,IF(A39&gt;=Dashboard!D$8,Dashboard!D$25*(1+Dashboard!D$26)^MAX(0,A39-Dashboard!D$8),0),0)</f>
        <v>3122.1574248691636</v>
      </c>
      <c r="E39" s="58">
        <f>IF(Dashboard!D$30=1,IF(A39&gt;=Dashboard!D$8,IF(Dashboard!D$36=1,N39*Dashboard!D$35/12,Dashboard!D$37),0),0)</f>
        <v>16163.673400896625</v>
      </c>
      <c r="F39" s="58">
        <f>IF(Dashboard!D$41=1,IF(A39&gt;=Dashboard!D$43,Dashboard!D$42*(1+0.025)^MAX(0,A39-Dashboard!D$43),0),0)</f>
        <v>2247.953345905798</v>
      </c>
      <c r="G39" s="58">
        <f>IF(Dashboard!D$44=1,IF(AND(A39&gt;=Dashboard!D$8,A39&lt;Dashboard!D$46),Dashboard!D$45,0),0)</f>
        <v>0</v>
      </c>
      <c r="H39" s="58">
        <f>IF(Dashboard!D$47=1,IF(A39&gt;=Dashboard!D$8,Dashboard!D$48*(1+Dashboard!D$49)^MAX(0,A39-Dashboard!D$8),0),0)</f>
        <v>0</v>
      </c>
      <c r="I39" s="58">
        <f>C39+D39+E39+F39+G39+H39-IF(Dashboard!D$19=1,IF(A39&gt;=Dashboard!D$8,Dashboard!D$20,0),0)</f>
        <v>25085.373081514579</v>
      </c>
      <c r="J39" s="58">
        <f>-(C39+E39+F39+G39+H39)*Dashboard!G$24</f>
        <v>0</v>
      </c>
      <c r="K39" s="58">
        <f t="shared" si="2"/>
        <v>25085.373081514579</v>
      </c>
      <c r="L39" s="58">
        <f>IF(A39&gt;=Dashboard!D$8,Dashboard!G$22*(1+Dashboard!G$23)^MAX(0,A39-Dashboard!D$8),0)</f>
        <v>10053.277381404328</v>
      </c>
      <c r="M39" s="58">
        <f t="shared" si="3"/>
        <v>15032.095700110251</v>
      </c>
      <c r="N39" s="58">
        <f>IF(A39&lt;Dashboard!D$8,IF(Dashboard!D$34=0,Dashboard!D$31+Dashboard!D$32+Dashboard!D$33+Dashboard!D$38*12*(A39-Dashboard!D$7),(Dashboard!D$31+Dashboard!D$32+Dashboard!D$33)*(1+Dashboard!D$34)^(A39-Dashboard!D$7)+Dashboard!D$38*12*((1+Dashboard!D$34)^(A39-Dashboard!D$7)-1)/Dashboard!D$34),IF(A39=Dashboard!D$8,Dashboard!G$40,MAX(0,(N38-E38*12)*(1+Dashboard!D$34))))</f>
        <v>4849102.0202689879</v>
      </c>
      <c r="O39" s="58">
        <f>N39*Dashboard!D$35</f>
        <v>193964.08081075951</v>
      </c>
    </row>
    <row r="40" spans="1:15" x14ac:dyDescent="0.35">
      <c r="A40" s="51">
        <f>Dashboard!D$7+37</f>
        <v>77</v>
      </c>
      <c r="B40" s="51">
        <f ca="1">YEAR(TODAY())+37</f>
        <v>2063</v>
      </c>
      <c r="C40" s="58">
        <f>IF(Dashboard!D$15=1,IF(A40&gt;=Dashboard!D$8,Dashboard!D$16*(1+Dashboard!D$18)^MAX(0,A40-Dashboard!D$8),0),0)</f>
        <v>3840.2536325890715</v>
      </c>
      <c r="D40" s="58">
        <f>IF(Dashboard!D$23=1,IF(A40&gt;=Dashboard!D$8,Dashboard!D$25*(1+Dashboard!D$26)^MAX(0,A40-Dashboard!D$8),0),0)</f>
        <v>3200.2113604908927</v>
      </c>
      <c r="E40" s="58">
        <f>IF(Dashboard!D$30=1,IF(A40&gt;=Dashboard!D$8,IF(Dashboard!D$36=1,N40*Dashboard!D$35/12,Dashboard!D$37),0),0)</f>
        <v>17068.839111346839</v>
      </c>
      <c r="F40" s="58">
        <f>IF(Dashboard!D$41=1,IF(A40&gt;=Dashboard!D$43,Dashboard!D$42*(1+0.025)^MAX(0,A40-Dashboard!D$43),0),0)</f>
        <v>2304.1521795534427</v>
      </c>
      <c r="G40" s="58">
        <f>IF(Dashboard!D$44=1,IF(AND(A40&gt;=Dashboard!D$8,A40&lt;Dashboard!D$46),Dashboard!D$45,0),0)</f>
        <v>0</v>
      </c>
      <c r="H40" s="58">
        <f>IF(Dashboard!D$47=1,IF(A40&gt;=Dashboard!D$8,Dashboard!D$48*(1+Dashboard!D$49)^MAX(0,A40-Dashboard!D$8),0),0)</f>
        <v>0</v>
      </c>
      <c r="I40" s="58">
        <f>C40+D40+E40+F40+G40+H40-IF(Dashboard!D$19=1,IF(A40&gt;=Dashboard!D$8,Dashboard!D$20,0),0)</f>
        <v>26218.456283980246</v>
      </c>
      <c r="J40" s="58">
        <f>-(C40+E40+F40+G40+H40)*Dashboard!G$24</f>
        <v>0</v>
      </c>
      <c r="K40" s="58">
        <f t="shared" si="2"/>
        <v>26218.456283980246</v>
      </c>
      <c r="L40" s="58">
        <f>IF(A40&gt;=Dashboard!D$8,Dashboard!G$22*(1+Dashboard!G$23)^MAX(0,A40-Dashboard!D$8),0)</f>
        <v>10354.875702846459</v>
      </c>
      <c r="M40" s="58">
        <f t="shared" si="3"/>
        <v>15863.580581133787</v>
      </c>
      <c r="N40" s="58">
        <f>IF(A40&lt;Dashboard!D$8,IF(Dashboard!D$34=0,Dashboard!D$31+Dashboard!D$32+Dashboard!D$33+Dashboard!D$38*12*(A40-Dashboard!D$7),(Dashboard!D$31+Dashboard!D$32+Dashboard!D$33)*(1+Dashboard!D$34)^(A40-Dashboard!D$7)+Dashboard!D$38*12*((1+Dashboard!D$34)^(A40-Dashboard!D$7)-1)/Dashboard!D$34),IF(A40=Dashboard!D$8,Dashboard!G$40,MAX(0,(N39-E39*12)*(1+Dashboard!D$34))))</f>
        <v>5120651.7334040515</v>
      </c>
      <c r="O40" s="58">
        <f>N40*Dashboard!D$35</f>
        <v>204826.06933616207</v>
      </c>
    </row>
    <row r="41" spans="1:15" x14ac:dyDescent="0.35">
      <c r="A41" s="51">
        <f>Dashboard!D$7+38</f>
        <v>78</v>
      </c>
      <c r="B41" s="51">
        <f ca="1">YEAR(TODAY())+38</f>
        <v>2064</v>
      </c>
      <c r="C41" s="58">
        <f>IF(Dashboard!D$15=1,IF(A41&gt;=Dashboard!D$8,Dashboard!D$16*(1+Dashboard!D$18)^MAX(0,A41-Dashboard!D$8),0),0)</f>
        <v>3936.2599734037981</v>
      </c>
      <c r="D41" s="58">
        <f>IF(Dashboard!D$23=1,IF(A41&gt;=Dashboard!D$8,Dashboard!D$25*(1+Dashboard!D$26)^MAX(0,A41-Dashboard!D$8),0),0)</f>
        <v>3280.2166445031648</v>
      </c>
      <c r="E41" s="58">
        <f>IF(Dashboard!D$30=1,IF(A41&gt;=Dashboard!D$8,IF(Dashboard!D$36=1,N41*Dashboard!D$35/12,Dashboard!D$37),0),0)</f>
        <v>18024.694101582263</v>
      </c>
      <c r="F41" s="58">
        <f>IF(Dashboard!D$41=1,IF(A41&gt;=Dashboard!D$43,Dashboard!D$42*(1+0.025)^MAX(0,A41-Dashboard!D$43),0),0)</f>
        <v>2361.7559840422787</v>
      </c>
      <c r="G41" s="58">
        <f>IF(Dashboard!D$44=1,IF(AND(A41&gt;=Dashboard!D$8,A41&lt;Dashboard!D$46),Dashboard!D$45,0),0)</f>
        <v>0</v>
      </c>
      <c r="H41" s="58">
        <f>IF(Dashboard!D$47=1,IF(A41&gt;=Dashboard!D$8,Dashboard!D$48*(1+Dashboard!D$49)^MAX(0,A41-Dashboard!D$8),0),0)</f>
        <v>0</v>
      </c>
      <c r="I41" s="58">
        <f>C41+D41+E41+F41+G41+H41-IF(Dashboard!D$19=1,IF(A41&gt;=Dashboard!D$8,Dashboard!D$20,0),0)</f>
        <v>27407.926703531506</v>
      </c>
      <c r="J41" s="58">
        <f>-(C41+E41+F41+G41+H41)*Dashboard!G$24</f>
        <v>0</v>
      </c>
      <c r="K41" s="58">
        <f t="shared" si="2"/>
        <v>27407.926703531506</v>
      </c>
      <c r="L41" s="58">
        <f>IF(A41&gt;=Dashboard!D$8,Dashboard!G$22*(1+Dashboard!G$23)^MAX(0,A41-Dashboard!D$8),0)</f>
        <v>10665.521973931853</v>
      </c>
      <c r="M41" s="58">
        <f t="shared" si="3"/>
        <v>16742.404729599653</v>
      </c>
      <c r="N41" s="58">
        <f>IF(A41&lt;Dashboard!D$8,IF(Dashboard!D$34=0,Dashboard!D$31+Dashboard!D$32+Dashboard!D$33+Dashboard!D$38*12*(A41-Dashboard!D$7),(Dashboard!D$31+Dashboard!D$32+Dashboard!D$33)*(1+Dashboard!D$34)^(A41-Dashboard!D$7)+Dashboard!D$38*12*((1+Dashboard!D$34)^(A41-Dashboard!D$7)-1)/Dashboard!D$34),IF(A41=Dashboard!D$8,Dashboard!G$40,MAX(0,(N40-E40*12)*(1+Dashboard!D$34))))</f>
        <v>5407408.2304746788</v>
      </c>
      <c r="O41" s="58">
        <f>N41*Dashboard!D$35</f>
        <v>216296.32921898714</v>
      </c>
    </row>
    <row r="42" spans="1:15" x14ac:dyDescent="0.35">
      <c r="A42" s="51">
        <f>Dashboard!D$7+39</f>
        <v>79</v>
      </c>
      <c r="B42" s="51">
        <f ca="1">YEAR(TODAY())+39</f>
        <v>2065</v>
      </c>
      <c r="C42" s="58">
        <f>IF(Dashboard!D$15=1,IF(A42&gt;=Dashboard!D$8,Dashboard!D$16*(1+Dashboard!D$18)^MAX(0,A42-Dashboard!D$8),0),0)</f>
        <v>4034.6664727388925</v>
      </c>
      <c r="D42" s="58">
        <f>IF(Dashboard!D$23=1,IF(A42&gt;=Dashboard!D$8,Dashboard!D$25*(1+Dashboard!D$26)^MAX(0,A42-Dashboard!D$8),0),0)</f>
        <v>3362.2220606157439</v>
      </c>
      <c r="E42" s="58">
        <f>IF(Dashboard!D$30=1,IF(A42&gt;=Dashboard!D$8,IF(Dashboard!D$36=1,N42*Dashboard!D$35/12,Dashboard!D$37),0),0)</f>
        <v>19034.076971270872</v>
      </c>
      <c r="F42" s="58">
        <f>IF(Dashboard!D$41=1,IF(A42&gt;=Dashboard!D$43,Dashboard!D$42*(1+0.025)^MAX(0,A42-Dashboard!D$43),0),0)</f>
        <v>2420.7998836433358</v>
      </c>
      <c r="G42" s="58">
        <f>IF(Dashboard!D$44=1,IF(AND(A42&gt;=Dashboard!D$8,A42&lt;Dashboard!D$46),Dashboard!D$45,0),0)</f>
        <v>0</v>
      </c>
      <c r="H42" s="58">
        <f>IF(Dashboard!D$47=1,IF(A42&gt;=Dashboard!D$8,Dashboard!D$48*(1+Dashboard!D$49)^MAX(0,A42-Dashboard!D$8),0),0)</f>
        <v>0</v>
      </c>
      <c r="I42" s="58">
        <f>C42+D42+E42+F42+G42+H42-IF(Dashboard!D$19=1,IF(A42&gt;=Dashboard!D$8,Dashboard!D$20,0),0)</f>
        <v>28656.765388268843</v>
      </c>
      <c r="J42" s="58">
        <f>-(C42+E42+F42+G42+H42)*Dashboard!G$24</f>
        <v>0</v>
      </c>
      <c r="K42" s="58">
        <f t="shared" si="2"/>
        <v>28656.765388268843</v>
      </c>
      <c r="L42" s="58">
        <f>IF(A42&gt;=Dashboard!D$8,Dashboard!G$22*(1+Dashboard!G$23)^MAX(0,A42-Dashboard!D$8),0)</f>
        <v>10985.487633149807</v>
      </c>
      <c r="M42" s="58">
        <f t="shared" si="3"/>
        <v>17671.277755119037</v>
      </c>
      <c r="N42" s="58">
        <f>IF(A42&lt;Dashboard!D$8,IF(Dashboard!D$34=0,Dashboard!D$31+Dashboard!D$32+Dashboard!D$33+Dashboard!D$38*12*(A42-Dashboard!D$7),(Dashboard!D$31+Dashboard!D$32+Dashboard!D$33)*(1+Dashboard!D$34)^(A42-Dashboard!D$7)+Dashboard!D$38*12*((1+Dashboard!D$34)^(A42-Dashboard!D$7)-1)/Dashboard!D$34),IF(A42=Dashboard!D$8,Dashboard!G$40,MAX(0,(N41-E41*12)*(1+Dashboard!D$34))))</f>
        <v>5710223.0913812611</v>
      </c>
      <c r="O42" s="58">
        <f>N42*Dashboard!D$35</f>
        <v>228408.92365525046</v>
      </c>
    </row>
    <row r="43" spans="1:15" x14ac:dyDescent="0.35">
      <c r="A43" s="51">
        <f>Dashboard!D$7+40</f>
        <v>80</v>
      </c>
      <c r="B43" s="51">
        <f ca="1">YEAR(TODAY())+40</f>
        <v>2066</v>
      </c>
      <c r="C43" s="58">
        <f>IF(Dashboard!D$15=1,IF(A43&gt;=Dashboard!D$8,Dashboard!D$16*(1+Dashboard!D$18)^MAX(0,A43-Dashboard!D$8),0),0)</f>
        <v>4135.533134557365</v>
      </c>
      <c r="D43" s="58">
        <f>IF(Dashboard!D$23=1,IF(A43&gt;=Dashboard!D$8,Dashboard!D$25*(1+Dashboard!D$26)^MAX(0,A43-Dashboard!D$8),0),0)</f>
        <v>3446.2776121311372</v>
      </c>
      <c r="E43" s="58">
        <f>IF(Dashboard!D$30=1,IF(A43&gt;=Dashboard!D$8,IF(Dashboard!D$36=1,N43*Dashboard!D$35/12,Dashboard!D$37),0),0)</f>
        <v>20099.985281662041</v>
      </c>
      <c r="F43" s="58">
        <f>IF(Dashboard!D$41=1,IF(A43&gt;=Dashboard!D$43,Dashboard!D$42*(1+0.025)^MAX(0,A43-Dashboard!D$43),0),0)</f>
        <v>2481.3198807344188</v>
      </c>
      <c r="G43" s="58">
        <f>IF(Dashboard!D$44=1,IF(AND(A43&gt;=Dashboard!D$8,A43&lt;Dashboard!D$46),Dashboard!D$45,0),0)</f>
        <v>0</v>
      </c>
      <c r="H43" s="58">
        <f>IF(Dashboard!D$47=1,IF(A43&gt;=Dashboard!D$8,Dashboard!D$48*(1+Dashboard!D$49)^MAX(0,A43-Dashboard!D$8),0),0)</f>
        <v>0</v>
      </c>
      <c r="I43" s="58">
        <f>C43+D43+E43+F43+G43+H43-IF(Dashboard!D$19=1,IF(A43&gt;=Dashboard!D$8,Dashboard!D$20,0),0)</f>
        <v>29968.115909084961</v>
      </c>
      <c r="J43" s="58">
        <f>-(C43+E43+F43+G43+H43)*Dashboard!G$24</f>
        <v>0</v>
      </c>
      <c r="K43" s="58">
        <f t="shared" si="2"/>
        <v>29968.115909084961</v>
      </c>
      <c r="L43" s="58">
        <f>IF(A43&gt;=Dashboard!D$8,Dashboard!G$22*(1+Dashboard!G$23)^MAX(0,A43-Dashboard!D$8),0)</f>
        <v>11315.0522621443</v>
      </c>
      <c r="M43" s="58">
        <f t="shared" si="3"/>
        <v>18653.06364694066</v>
      </c>
      <c r="N43" s="58">
        <f>IF(A43&lt;Dashboard!D$8,IF(Dashboard!D$34=0,Dashboard!D$31+Dashboard!D$32+Dashboard!D$33+Dashboard!D$38*12*(A43-Dashboard!D$7),(Dashboard!D$31+Dashboard!D$32+Dashboard!D$33)*(1+Dashboard!D$34)^(A43-Dashboard!D$7)+Dashboard!D$38*12*((1+Dashboard!D$34)^(A43-Dashboard!D$7)-1)/Dashboard!D$34),IF(A43=Dashboard!D$8,Dashboard!G$40,MAX(0,(N42-E42*12)*(1+Dashboard!D$34))))</f>
        <v>6029995.5844986122</v>
      </c>
      <c r="O43" s="58">
        <f>N43*Dashboard!D$35</f>
        <v>241199.82337994449</v>
      </c>
    </row>
    <row r="44" spans="1:15" x14ac:dyDescent="0.35">
      <c r="A44" s="51">
        <f>Dashboard!D$7+41</f>
        <v>81</v>
      </c>
      <c r="B44" s="51">
        <f ca="1">YEAR(TODAY())+41</f>
        <v>2067</v>
      </c>
      <c r="C44" s="58">
        <f>IF(Dashboard!D$15=1,IF(A44&gt;=Dashboard!D$8,Dashboard!D$16*(1+Dashboard!D$18)^MAX(0,A44-Dashboard!D$8),0),0)</f>
        <v>4238.9214629212984</v>
      </c>
      <c r="D44" s="58">
        <f>IF(Dashboard!D$23=1,IF(A44&gt;=Dashboard!D$8,Dashboard!D$25*(1+Dashboard!D$26)^MAX(0,A44-Dashboard!D$8),0),0)</f>
        <v>3532.4345524344153</v>
      </c>
      <c r="E44" s="58">
        <f>IF(Dashboard!D$30=1,IF(A44&gt;=Dashboard!D$8,IF(Dashboard!D$36=1,N44*Dashboard!D$35/12,Dashboard!D$37),0),0)</f>
        <v>21225.584457435118</v>
      </c>
      <c r="F44" s="58">
        <f>IF(Dashboard!D$41=1,IF(A44&gt;=Dashboard!D$43,Dashboard!D$42*(1+0.025)^MAX(0,A44-Dashboard!D$43),0),0)</f>
        <v>2543.352877752779</v>
      </c>
      <c r="G44" s="58">
        <f>IF(Dashboard!D$44=1,IF(AND(A44&gt;=Dashboard!D$8,A44&lt;Dashboard!D$46),Dashboard!D$45,0),0)</f>
        <v>0</v>
      </c>
      <c r="H44" s="58">
        <f>IF(Dashboard!D$47=1,IF(A44&gt;=Dashboard!D$8,Dashboard!D$48*(1+Dashboard!D$49)^MAX(0,A44-Dashboard!D$8),0),0)</f>
        <v>0</v>
      </c>
      <c r="I44" s="58">
        <f>C44+D44+E44+F44+G44+H44-IF(Dashboard!D$19=1,IF(A44&gt;=Dashboard!D$8,Dashboard!D$20,0),0)</f>
        <v>31345.293350543612</v>
      </c>
      <c r="J44" s="58">
        <f>-(C44+E44+F44+G44+H44)*Dashboard!G$24</f>
        <v>0</v>
      </c>
      <c r="K44" s="58">
        <f t="shared" si="2"/>
        <v>31345.293350543612</v>
      </c>
      <c r="L44" s="58">
        <f>IF(A44&gt;=Dashboard!D$8,Dashboard!G$22*(1+Dashboard!G$23)^MAX(0,A44-Dashboard!D$8),0)</f>
        <v>11654.503830008631</v>
      </c>
      <c r="M44" s="58">
        <f t="shared" si="3"/>
        <v>19690.789520534981</v>
      </c>
      <c r="N44" s="58">
        <f>IF(A44&lt;Dashboard!D$8,IF(Dashboard!D$34=0,Dashboard!D$31+Dashboard!D$32+Dashboard!D$33+Dashboard!D$38*12*(A44-Dashboard!D$7),(Dashboard!D$31+Dashboard!D$32+Dashboard!D$33)*(1+Dashboard!D$34)^(A44-Dashboard!D$7)+Dashboard!D$38*12*((1+Dashboard!D$34)^(A44-Dashboard!D$7)-1)/Dashboard!D$34),IF(A44=Dashboard!D$8,Dashboard!G$40,MAX(0,(N43-E43*12)*(1+Dashboard!D$34))))</f>
        <v>6367675.3372305352</v>
      </c>
      <c r="O44" s="58">
        <f>N44*Dashboard!D$35</f>
        <v>254707.01348922143</v>
      </c>
    </row>
    <row r="45" spans="1:15" x14ac:dyDescent="0.35">
      <c r="A45" s="51">
        <f>Dashboard!D$7+42</f>
        <v>82</v>
      </c>
      <c r="B45" s="51">
        <f ca="1">YEAR(TODAY())+42</f>
        <v>2068</v>
      </c>
      <c r="C45" s="58">
        <f>IF(Dashboard!D$15=1,IF(A45&gt;=Dashboard!D$8,Dashboard!D$16*(1+Dashboard!D$18)^MAX(0,A45-Dashboard!D$8),0),0)</f>
        <v>4344.8944994943313</v>
      </c>
      <c r="D45" s="58">
        <f>IF(Dashboard!D$23=1,IF(A45&gt;=Dashboard!D$8,Dashboard!D$25*(1+Dashboard!D$26)^MAX(0,A45-Dashboard!D$8),0),0)</f>
        <v>3620.7454162452764</v>
      </c>
      <c r="E45" s="58">
        <f>IF(Dashboard!D$30=1,IF(A45&gt;=Dashboard!D$8,IF(Dashboard!D$36=1,N45*Dashboard!D$35/12,Dashboard!D$37),0),0)</f>
        <v>22414.217187051487</v>
      </c>
      <c r="F45" s="58">
        <f>IF(Dashboard!D$41=1,IF(A45&gt;=Dashboard!D$43,Dashboard!D$42*(1+0.025)^MAX(0,A45-Dashboard!D$43),0),0)</f>
        <v>2606.9366996965987</v>
      </c>
      <c r="G45" s="58">
        <f>IF(Dashboard!D$44=1,IF(AND(A45&gt;=Dashboard!D$8,A45&lt;Dashboard!D$46),Dashboard!D$45,0),0)</f>
        <v>0</v>
      </c>
      <c r="H45" s="58">
        <f>IF(Dashboard!D$47=1,IF(A45&gt;=Dashboard!D$8,Dashboard!D$48*(1+Dashboard!D$49)^MAX(0,A45-Dashboard!D$8),0),0)</f>
        <v>0</v>
      </c>
      <c r="I45" s="58">
        <f>C45+D45+E45+F45+G45+H45-IF(Dashboard!D$19=1,IF(A45&gt;=Dashboard!D$8,Dashboard!D$20,0),0)</f>
        <v>32791.793802487693</v>
      </c>
      <c r="J45" s="58">
        <f>-(C45+E45+F45+G45+H45)*Dashboard!G$24</f>
        <v>0</v>
      </c>
      <c r="K45" s="58">
        <f t="shared" si="2"/>
        <v>32791.793802487693</v>
      </c>
      <c r="L45" s="58">
        <f>IF(A45&gt;=Dashboard!D$8,Dashboard!G$22*(1+Dashboard!G$23)^MAX(0,A45-Dashboard!D$8),0)</f>
        <v>12004.138944908889</v>
      </c>
      <c r="M45" s="58">
        <f t="shared" si="3"/>
        <v>20787.654857578804</v>
      </c>
      <c r="N45" s="58">
        <f>IF(A45&lt;Dashboard!D$8,IF(Dashboard!D$34=0,Dashboard!D$31+Dashboard!D$32+Dashboard!D$33+Dashboard!D$38*12*(A45-Dashboard!D$7),(Dashboard!D$31+Dashboard!D$32+Dashboard!D$33)*(1+Dashboard!D$34)^(A45-Dashboard!D$7)+Dashboard!D$38*12*((1+Dashboard!D$34)^(A45-Dashboard!D$7)-1)/Dashboard!D$34),IF(A45=Dashboard!D$8,Dashboard!G$40,MAX(0,(N44-E44*12)*(1+Dashboard!D$34))))</f>
        <v>6724265.1561154462</v>
      </c>
      <c r="O45" s="58">
        <f>N45*Dashboard!D$35</f>
        <v>268970.60624461784</v>
      </c>
    </row>
    <row r="46" spans="1:15" x14ac:dyDescent="0.35">
      <c r="A46" s="51">
        <f>Dashboard!D$7+43</f>
        <v>83</v>
      </c>
      <c r="B46" s="51">
        <f ca="1">YEAR(TODAY())+43</f>
        <v>2069</v>
      </c>
      <c r="C46" s="58">
        <f>IF(Dashboard!D$15=1,IF(A46&gt;=Dashboard!D$8,Dashboard!D$16*(1+Dashboard!D$18)^MAX(0,A46-Dashboard!D$8),0),0)</f>
        <v>4453.5168619816895</v>
      </c>
      <c r="D46" s="58">
        <f>IF(Dashboard!D$23=1,IF(A46&gt;=Dashboard!D$8,Dashboard!D$25*(1+Dashboard!D$26)^MAX(0,A46-Dashboard!D$8),0),0)</f>
        <v>3711.264051651408</v>
      </c>
      <c r="E46" s="58">
        <f>IF(Dashboard!D$30=1,IF(A46&gt;=Dashboard!D$8,IF(Dashboard!D$36=1,N46*Dashboard!D$35/12,Dashboard!D$37),0),0)</f>
        <v>23669.41334952637</v>
      </c>
      <c r="F46" s="58">
        <f>IF(Dashboard!D$41=1,IF(A46&gt;=Dashboard!D$43,Dashboard!D$42*(1+0.025)^MAX(0,A46-Dashboard!D$43),0),0)</f>
        <v>2672.1101171890136</v>
      </c>
      <c r="G46" s="58">
        <f>IF(Dashboard!D$44=1,IF(AND(A46&gt;=Dashboard!D$8,A46&lt;Dashboard!D$46),Dashboard!D$45,0),0)</f>
        <v>0</v>
      </c>
      <c r="H46" s="58">
        <f>IF(Dashboard!D$47=1,IF(A46&gt;=Dashboard!D$8,Dashboard!D$48*(1+Dashboard!D$49)^MAX(0,A46-Dashboard!D$8),0),0)</f>
        <v>0</v>
      </c>
      <c r="I46" s="58">
        <f>C46+D46+E46+F46+G46+H46-IF(Dashboard!D$19=1,IF(A46&gt;=Dashboard!D$8,Dashboard!D$20,0),0)</f>
        <v>34311.304380348483</v>
      </c>
      <c r="J46" s="58">
        <f>-(C46+E46+F46+G46+H46)*Dashboard!G$24</f>
        <v>0</v>
      </c>
      <c r="K46" s="58">
        <f t="shared" si="2"/>
        <v>34311.304380348483</v>
      </c>
      <c r="L46" s="58">
        <f>IF(A46&gt;=Dashboard!D$8,Dashboard!G$22*(1+Dashboard!G$23)^MAX(0,A46-Dashboard!D$8),0)</f>
        <v>12364.263113256155</v>
      </c>
      <c r="M46" s="58">
        <f t="shared" si="3"/>
        <v>21947.041267092329</v>
      </c>
      <c r="N46" s="58">
        <f>IF(A46&lt;Dashboard!D$8,IF(Dashboard!D$34=0,Dashboard!D$31+Dashboard!D$32+Dashboard!D$33+Dashboard!D$38*12*(A46-Dashboard!D$7),(Dashboard!D$31+Dashboard!D$32+Dashboard!D$33)*(1+Dashboard!D$34)^(A46-Dashboard!D$7)+Dashboard!D$38*12*((1+Dashboard!D$34)^(A46-Dashboard!D$7)-1)/Dashboard!D$34),IF(A46=Dashboard!D$8,Dashboard!G$40,MAX(0,(N45-E45*12)*(1+Dashboard!D$34))))</f>
        <v>7100824.0048579117</v>
      </c>
      <c r="O46" s="58">
        <f>N46*Dashboard!D$35</f>
        <v>284032.96019431646</v>
      </c>
    </row>
    <row r="47" spans="1:15" x14ac:dyDescent="0.35">
      <c r="A47" s="51">
        <f>Dashboard!D$7+44</f>
        <v>84</v>
      </c>
      <c r="B47" s="51">
        <f ca="1">YEAR(TODAY())+44</f>
        <v>2070</v>
      </c>
      <c r="C47" s="58">
        <f>IF(Dashboard!D$15=1,IF(A47&gt;=Dashboard!D$8,Dashboard!D$16*(1+Dashboard!D$18)^MAX(0,A47-Dashboard!D$8),0),0)</f>
        <v>4564.8547835312311</v>
      </c>
      <c r="D47" s="58">
        <f>IF(Dashboard!D$23=1,IF(A47&gt;=Dashboard!D$8,Dashboard!D$25*(1+Dashboard!D$26)^MAX(0,A47-Dashboard!D$8),0),0)</f>
        <v>3804.0456529426924</v>
      </c>
      <c r="E47" s="58">
        <f>IF(Dashboard!D$30=1,IF(A47&gt;=Dashboard!D$8,IF(Dashboard!D$36=1,N47*Dashboard!D$35/12,Dashboard!D$37),0),0)</f>
        <v>24994.90049709985</v>
      </c>
      <c r="F47" s="58">
        <f>IF(Dashboard!D$41=1,IF(A47&gt;=Dashboard!D$43,Dashboard!D$42*(1+0.025)^MAX(0,A47-Dashboard!D$43),0),0)</f>
        <v>2738.9128701187387</v>
      </c>
      <c r="G47" s="58">
        <f>IF(Dashboard!D$44=1,IF(AND(A47&gt;=Dashboard!D$8,A47&lt;Dashboard!D$46),Dashboard!D$45,0),0)</f>
        <v>0</v>
      </c>
      <c r="H47" s="58">
        <f>IF(Dashboard!D$47=1,IF(A47&gt;=Dashboard!D$8,Dashboard!D$48*(1+Dashboard!D$49)^MAX(0,A47-Dashboard!D$8),0),0)</f>
        <v>0</v>
      </c>
      <c r="I47" s="58">
        <f>C47+D47+E47+F47+G47+H47-IF(Dashboard!D$19=1,IF(A47&gt;=Dashboard!D$8,Dashboard!D$20,0),0)</f>
        <v>35907.71380369251</v>
      </c>
      <c r="J47" s="58">
        <f>-(C47+E47+F47+G47+H47)*Dashboard!G$24</f>
        <v>0</v>
      </c>
      <c r="K47" s="58">
        <f t="shared" si="2"/>
        <v>35907.71380369251</v>
      </c>
      <c r="L47" s="58">
        <f>IF(A47&gt;=Dashboard!D$8,Dashboard!G$22*(1+Dashboard!G$23)^MAX(0,A47-Dashboard!D$8),0)</f>
        <v>12735.191006653838</v>
      </c>
      <c r="M47" s="58">
        <f t="shared" si="3"/>
        <v>23172.52279703867</v>
      </c>
      <c r="N47" s="58">
        <f>IF(A47&lt;Dashboard!D$8,IF(Dashboard!D$34=0,Dashboard!D$31+Dashboard!D$32+Dashboard!D$33+Dashboard!D$38*12*(A47-Dashboard!D$7),(Dashboard!D$31+Dashboard!D$32+Dashboard!D$33)*(1+Dashboard!D$34)^(A47-Dashboard!D$7)+Dashboard!D$38*12*((1+Dashboard!D$34)^(A47-Dashboard!D$7)-1)/Dashboard!D$34),IF(A47=Dashboard!D$8,Dashboard!G$40,MAX(0,(N46-E46*12)*(1+Dashboard!D$34))))</f>
        <v>7498470.1491299551</v>
      </c>
      <c r="O47" s="58">
        <f>N47*Dashboard!D$35</f>
        <v>299938.8059651982</v>
      </c>
    </row>
    <row r="48" spans="1:15" x14ac:dyDescent="0.35">
      <c r="A48" s="51">
        <f>Dashboard!D$7+45</f>
        <v>85</v>
      </c>
      <c r="B48" s="51">
        <f ca="1">YEAR(TODAY())+45</f>
        <v>2071</v>
      </c>
      <c r="C48" s="58">
        <f>IF(Dashboard!D$15=1,IF(A48&gt;=Dashboard!D$8,Dashboard!D$16*(1+Dashboard!D$18)^MAX(0,A48-Dashboard!D$8),0),0)</f>
        <v>4678.9761531195118</v>
      </c>
      <c r="D48" s="58">
        <f>IF(Dashboard!D$23=1,IF(A48&gt;=Dashboard!D$8,Dashboard!D$25*(1+Dashboard!D$26)^MAX(0,A48-Dashboard!D$8),0),0)</f>
        <v>3899.1467942662598</v>
      </c>
      <c r="E48" s="58">
        <f>IF(Dashboard!D$30=1,IF(A48&gt;=Dashboard!D$8,IF(Dashboard!D$36=1,N48*Dashboard!D$35/12,Dashboard!D$37),0),0)</f>
        <v>26394.614924937443</v>
      </c>
      <c r="F48" s="58">
        <f>IF(Dashboard!D$41=1,IF(A48&gt;=Dashboard!D$43,Dashboard!D$42*(1+0.025)^MAX(0,A48-Dashboard!D$43),0),0)</f>
        <v>2807.385691871707</v>
      </c>
      <c r="G48" s="58">
        <f>IF(Dashboard!D$44=1,IF(AND(A48&gt;=Dashboard!D$8,A48&lt;Dashboard!D$46),Dashboard!D$45,0),0)</f>
        <v>0</v>
      </c>
      <c r="H48" s="58">
        <f>IF(Dashboard!D$47=1,IF(A48&gt;=Dashboard!D$8,Dashboard!D$48*(1+Dashboard!D$49)^MAX(0,A48-Dashboard!D$8),0),0)</f>
        <v>0</v>
      </c>
      <c r="I48" s="58">
        <f>C48+D48+E48+F48+G48+H48-IF(Dashboard!D$19=1,IF(A48&gt;=Dashboard!D$8,Dashboard!D$20,0),0)</f>
        <v>37585.123564194917</v>
      </c>
      <c r="J48" s="58">
        <f>-(C48+E48+F48+G48+H48)*Dashboard!G$24</f>
        <v>0</v>
      </c>
      <c r="K48" s="58">
        <f t="shared" si="2"/>
        <v>37585.123564194917</v>
      </c>
      <c r="L48" s="58">
        <f>IF(A48&gt;=Dashboard!D$8,Dashboard!G$22*(1+Dashboard!G$23)^MAX(0,A48-Dashboard!D$8),0)</f>
        <v>13117.246736853454</v>
      </c>
      <c r="M48" s="58">
        <f t="shared" si="3"/>
        <v>24467.876827341461</v>
      </c>
      <c r="N48" s="58">
        <f>IF(A48&lt;Dashboard!D$8,IF(Dashboard!D$34=0,Dashboard!D$31+Dashboard!D$32+Dashboard!D$33+Dashboard!D$38*12*(A48-Dashboard!D$7),(Dashboard!D$31+Dashboard!D$32+Dashboard!D$33)*(1+Dashboard!D$34)^(A48-Dashboard!D$7)+Dashboard!D$38*12*((1+Dashboard!D$34)^(A48-Dashboard!D$7)-1)/Dashboard!D$34),IF(A48=Dashboard!D$8,Dashboard!G$40,MAX(0,(N47-E47*12)*(1+Dashboard!D$34))))</f>
        <v>7918384.477481233</v>
      </c>
      <c r="O48" s="58">
        <f>N48*Dashboard!D$35</f>
        <v>316735.37909924932</v>
      </c>
    </row>
    <row r="49" spans="1:15" x14ac:dyDescent="0.35">
      <c r="A49" s="51">
        <f>Dashboard!D$7+46</f>
        <v>86</v>
      </c>
      <c r="B49" s="51">
        <f ca="1">YEAR(TODAY())+46</f>
        <v>2072</v>
      </c>
      <c r="C49" s="58">
        <f>IF(Dashboard!D$15=1,IF(A49&gt;=Dashboard!D$8,Dashboard!D$16*(1+Dashboard!D$18)^MAX(0,A49-Dashboard!D$8),0),0)</f>
        <v>4795.9505569474995</v>
      </c>
      <c r="D49" s="58">
        <f>IF(Dashboard!D$23=1,IF(A49&gt;=Dashboard!D$8,Dashboard!D$25*(1+Dashboard!D$26)^MAX(0,A49-Dashboard!D$8),0),0)</f>
        <v>3996.6254641229166</v>
      </c>
      <c r="E49" s="58">
        <f>IF(Dashboard!D$30=1,IF(A49&gt;=Dashboard!D$8,IF(Dashboard!D$36=1,N49*Dashboard!D$35/12,Dashboard!D$37),0),0)</f>
        <v>27872.713360733946</v>
      </c>
      <c r="F49" s="58">
        <f>IF(Dashboard!D$41=1,IF(A49&gt;=Dashboard!D$43,Dashboard!D$42*(1+0.025)^MAX(0,A49-Dashboard!D$43),0),0)</f>
        <v>2877.5703341684998</v>
      </c>
      <c r="G49" s="58">
        <f>IF(Dashboard!D$44=1,IF(AND(A49&gt;=Dashboard!D$8,A49&lt;Dashboard!D$46),Dashboard!D$45,0),0)</f>
        <v>0</v>
      </c>
      <c r="H49" s="58">
        <f>IF(Dashboard!D$47=1,IF(A49&gt;=Dashboard!D$8,Dashboard!D$48*(1+Dashboard!D$49)^MAX(0,A49-Dashboard!D$8),0),0)</f>
        <v>0</v>
      </c>
      <c r="I49" s="58">
        <f>C49+D49+E49+F49+G49+H49-IF(Dashboard!D$19=1,IF(A49&gt;=Dashboard!D$8,Dashboard!D$20,0),0)</f>
        <v>39347.85971597286</v>
      </c>
      <c r="J49" s="58">
        <f>-(C49+E49+F49+G49+H49)*Dashboard!G$24</f>
        <v>0</v>
      </c>
      <c r="K49" s="58">
        <f t="shared" si="2"/>
        <v>39347.85971597286</v>
      </c>
      <c r="L49" s="58">
        <f>IF(A49&gt;=Dashboard!D$8,Dashboard!G$22*(1+Dashboard!G$23)^MAX(0,A49-Dashboard!D$8),0)</f>
        <v>13510.764138959057</v>
      </c>
      <c r="M49" s="58">
        <f t="shared" si="3"/>
        <v>25837.095577013803</v>
      </c>
      <c r="N49" s="58">
        <f>IF(A49&lt;Dashboard!D$8,IF(Dashboard!D$34=0,Dashboard!D$31+Dashboard!D$32+Dashboard!D$33+Dashboard!D$38*12*(A49-Dashboard!D$7),(Dashboard!D$31+Dashboard!D$32+Dashboard!D$33)*(1+Dashboard!D$34)^(A49-Dashboard!D$7)+Dashboard!D$38*12*((1+Dashboard!D$34)^(A49-Dashboard!D$7)-1)/Dashboard!D$34),IF(A49=Dashboard!D$8,Dashboard!G$40,MAX(0,(N48-E48*12)*(1+Dashboard!D$34))))</f>
        <v>8361814.0082201827</v>
      </c>
      <c r="O49" s="58">
        <f>N49*Dashboard!D$35</f>
        <v>334472.56032880733</v>
      </c>
    </row>
    <row r="50" spans="1:15" x14ac:dyDescent="0.35">
      <c r="A50" s="51">
        <f>Dashboard!D$7+47</f>
        <v>87</v>
      </c>
      <c r="B50" s="51">
        <f ca="1">YEAR(TODAY())+47</f>
        <v>2073</v>
      </c>
      <c r="C50" s="58">
        <f>IF(Dashboard!D$15=1,IF(A50&gt;=Dashboard!D$8,Dashboard!D$16*(1+Dashboard!D$18)^MAX(0,A50-Dashboard!D$8),0),0)</f>
        <v>4915.849320871187</v>
      </c>
      <c r="D50" s="58">
        <f>IF(Dashboard!D$23=1,IF(A50&gt;=Dashboard!D$8,Dashboard!D$25*(1+Dashboard!D$26)^MAX(0,A50-Dashboard!D$8),0),0)</f>
        <v>4096.5411007259891</v>
      </c>
      <c r="E50" s="58">
        <f>IF(Dashboard!D$30=1,IF(A50&gt;=Dashboard!D$8,IF(Dashboard!D$36=1,N50*Dashboard!D$35/12,Dashboard!D$37),0),0)</f>
        <v>29433.585308935046</v>
      </c>
      <c r="F50" s="58">
        <f>IF(Dashboard!D$41=1,IF(A50&gt;=Dashboard!D$43,Dashboard!D$42*(1+0.025)^MAX(0,A50-Dashboard!D$43),0),0)</f>
        <v>2949.509592522712</v>
      </c>
      <c r="G50" s="58">
        <f>IF(Dashboard!D$44=1,IF(AND(A50&gt;=Dashboard!D$8,A50&lt;Dashboard!D$46),Dashboard!D$45,0),0)</f>
        <v>0</v>
      </c>
      <c r="H50" s="58">
        <f>IF(Dashboard!D$47=1,IF(A50&gt;=Dashboard!D$8,Dashboard!D$48*(1+Dashboard!D$49)^MAX(0,A50-Dashboard!D$8),0),0)</f>
        <v>0</v>
      </c>
      <c r="I50" s="58">
        <f>C50+D50+E50+F50+G50+H50-IF(Dashboard!D$19=1,IF(A50&gt;=Dashboard!D$8,Dashboard!D$20,0),0)</f>
        <v>41200.485323054934</v>
      </c>
      <c r="J50" s="58">
        <f>-(C50+E50+F50+G50+H50)*Dashboard!G$24</f>
        <v>0</v>
      </c>
      <c r="K50" s="58">
        <f t="shared" si="2"/>
        <v>41200.485323054934</v>
      </c>
      <c r="L50" s="58">
        <f>IF(A50&gt;=Dashboard!D$8,Dashboard!G$22*(1+Dashboard!G$23)^MAX(0,A50-Dashboard!D$8),0)</f>
        <v>13916.087063127829</v>
      </c>
      <c r="M50" s="58">
        <f t="shared" si="3"/>
        <v>27284.398259927104</v>
      </c>
      <c r="N50" s="58">
        <f>IF(A50&lt;Dashboard!D$8,IF(Dashboard!D$34=0,Dashboard!D$31+Dashboard!D$32+Dashboard!D$33+Dashboard!D$38*12*(A50-Dashboard!D$7),(Dashboard!D$31+Dashboard!D$32+Dashboard!D$33)*(1+Dashboard!D$34)^(A50-Dashboard!D$7)+Dashboard!D$38*12*((1+Dashboard!D$34)^(A50-Dashboard!D$7)-1)/Dashboard!D$34),IF(A50=Dashboard!D$8,Dashboard!G$40,MAX(0,(N49-E49*12)*(1+Dashboard!D$34))))</f>
        <v>8830075.5926805139</v>
      </c>
      <c r="O50" s="58">
        <f>N50*Dashboard!D$35</f>
        <v>353203.02370722056</v>
      </c>
    </row>
    <row r="51" spans="1:15" x14ac:dyDescent="0.35">
      <c r="A51" s="51">
        <f>Dashboard!D$7+48</f>
        <v>88</v>
      </c>
      <c r="B51" s="51">
        <f ca="1">YEAR(TODAY())+48</f>
        <v>2074</v>
      </c>
      <c r="C51" s="58">
        <f>IF(Dashboard!D$15=1,IF(A51&gt;=Dashboard!D$8,Dashboard!D$16*(1+Dashboard!D$18)^MAX(0,A51-Dashboard!D$8),0),0)</f>
        <v>5038.7455538929662</v>
      </c>
      <c r="D51" s="58">
        <f>IF(Dashboard!D$23=1,IF(A51&gt;=Dashboard!D$8,Dashboard!D$25*(1+Dashboard!D$26)^MAX(0,A51-Dashboard!D$8),0),0)</f>
        <v>4198.9546282441379</v>
      </c>
      <c r="E51" s="58">
        <f>IF(Dashboard!D$30=1,IF(A51&gt;=Dashboard!D$8,IF(Dashboard!D$36=1,N51*Dashboard!D$35/12,Dashboard!D$37),0),0)</f>
        <v>31081.866086235415</v>
      </c>
      <c r="F51" s="58">
        <f>IF(Dashboard!D$41=1,IF(A51&gt;=Dashboard!D$43,Dashboard!D$42*(1+0.025)^MAX(0,A51-Dashboard!D$43),0),0)</f>
        <v>3023.2473323357794</v>
      </c>
      <c r="G51" s="58">
        <f>IF(Dashboard!D$44=1,IF(AND(A51&gt;=Dashboard!D$8,A51&lt;Dashboard!D$46),Dashboard!D$45,0),0)</f>
        <v>0</v>
      </c>
      <c r="H51" s="58">
        <f>IF(Dashboard!D$47=1,IF(A51&gt;=Dashboard!D$8,Dashboard!D$48*(1+Dashboard!D$49)^MAX(0,A51-Dashboard!D$8),0),0)</f>
        <v>0</v>
      </c>
      <c r="I51" s="58">
        <f>C51+D51+E51+F51+G51+H51-IF(Dashboard!D$19=1,IF(A51&gt;=Dashboard!D$8,Dashboard!D$20,0),0)</f>
        <v>43147.813600708301</v>
      </c>
      <c r="J51" s="58">
        <f>-(C51+E51+F51+G51+H51)*Dashboard!G$24</f>
        <v>0</v>
      </c>
      <c r="K51" s="58">
        <f t="shared" si="2"/>
        <v>43147.813600708301</v>
      </c>
      <c r="L51" s="58">
        <f>IF(A51&gt;=Dashboard!D$8,Dashboard!G$22*(1+Dashboard!G$23)^MAX(0,A51-Dashboard!D$8),0)</f>
        <v>14333.569675021663</v>
      </c>
      <c r="M51" s="58">
        <f t="shared" si="3"/>
        <v>28814.243925686638</v>
      </c>
      <c r="N51" s="58">
        <f>IF(A51&lt;Dashboard!D$8,IF(Dashboard!D$34=0,Dashboard!D$31+Dashboard!D$32+Dashboard!D$33+Dashboard!D$38*12*(A51-Dashboard!D$7),(Dashboard!D$31+Dashboard!D$32+Dashboard!D$33)*(1+Dashboard!D$34)^(A51-Dashboard!D$7)+Dashboard!D$38*12*((1+Dashboard!D$34)^(A51-Dashboard!D$7)-1)/Dashboard!D$34),IF(A51=Dashboard!D$8,Dashboard!G$40,MAX(0,(N50-E50*12)*(1+Dashboard!D$34))))</f>
        <v>9324559.8258706238</v>
      </c>
      <c r="O51" s="58">
        <f>N51*Dashboard!D$35</f>
        <v>372982.39303482499</v>
      </c>
    </row>
    <row r="52" spans="1:15" x14ac:dyDescent="0.35">
      <c r="A52" s="51">
        <f>Dashboard!D$7+49</f>
        <v>89</v>
      </c>
      <c r="B52" s="51">
        <f ca="1">YEAR(TODAY())+49</f>
        <v>2075</v>
      </c>
      <c r="C52" s="58">
        <f>IF(Dashboard!D$15=1,IF(A52&gt;=Dashboard!D$8,Dashboard!D$16*(1+Dashboard!D$18)^MAX(0,A52-Dashboard!D$8),0),0)</f>
        <v>5164.7141927402899</v>
      </c>
      <c r="D52" s="58">
        <f>IF(Dashboard!D$23=1,IF(A52&gt;=Dashboard!D$8,Dashboard!D$25*(1+Dashboard!D$26)^MAX(0,A52-Dashboard!D$8),0),0)</f>
        <v>4303.9284939502413</v>
      </c>
      <c r="E52" s="58">
        <f>IF(Dashboard!D$30=1,IF(A52&gt;=Dashboard!D$8,IF(Dashboard!D$36=1,N52*Dashboard!D$35/12,Dashboard!D$37),0),0)</f>
        <v>32822.450587064603</v>
      </c>
      <c r="F52" s="58">
        <f>IF(Dashboard!D$41=1,IF(A52&gt;=Dashboard!D$43,Dashboard!D$42*(1+0.025)^MAX(0,A52-Dashboard!D$43),0),0)</f>
        <v>3098.8285156441739</v>
      </c>
      <c r="G52" s="58">
        <f>IF(Dashboard!D$44=1,IF(AND(A52&gt;=Dashboard!D$8,A52&lt;Dashboard!D$46),Dashboard!D$45,0),0)</f>
        <v>0</v>
      </c>
      <c r="H52" s="58">
        <f>IF(Dashboard!D$47=1,IF(A52&gt;=Dashboard!D$8,Dashboard!D$48*(1+Dashboard!D$49)^MAX(0,A52-Dashboard!D$8),0),0)</f>
        <v>0</v>
      </c>
      <c r="I52" s="58">
        <f>C52+D52+E52+F52+G52+H52-IF(Dashboard!D$19=1,IF(A52&gt;=Dashboard!D$8,Dashboard!D$20,0),0)</f>
        <v>45194.921789399305</v>
      </c>
      <c r="J52" s="58">
        <f>-(C52+E52+F52+G52+H52)*Dashboard!G$24</f>
        <v>0</v>
      </c>
      <c r="K52" s="58">
        <f t="shared" si="2"/>
        <v>45194.921789399305</v>
      </c>
      <c r="L52" s="58">
        <f>IF(A52&gt;=Dashboard!D$8,Dashboard!G$22*(1+Dashboard!G$23)^MAX(0,A52-Dashboard!D$8),0)</f>
        <v>14763.576765272313</v>
      </c>
      <c r="M52" s="58">
        <f t="shared" si="3"/>
        <v>30431.345024126989</v>
      </c>
      <c r="N52" s="58">
        <f>IF(A52&lt;Dashboard!D$8,IF(Dashboard!D$34=0,Dashboard!D$31+Dashboard!D$32+Dashboard!D$33+Dashboard!D$38*12*(A52-Dashboard!D$7),(Dashboard!D$31+Dashboard!D$32+Dashboard!D$33)*(1+Dashboard!D$34)^(A52-Dashboard!D$7)+Dashboard!D$38*12*((1+Dashboard!D$34)^(A52-Dashboard!D$7)-1)/Dashboard!D$34),IF(A52=Dashboard!D$8,Dashboard!G$40,MAX(0,(N51-E51*12)*(1+Dashboard!D$34))))</f>
        <v>9846735.1761193797</v>
      </c>
      <c r="O52" s="58">
        <f>N52*Dashboard!D$35</f>
        <v>393869.4070447752</v>
      </c>
    </row>
    <row r="53" spans="1:15" x14ac:dyDescent="0.35">
      <c r="A53" s="51">
        <f>Dashboard!D$7+50</f>
        <v>90</v>
      </c>
      <c r="B53" s="51">
        <f ca="1">YEAR(TODAY())+50</f>
        <v>2076</v>
      </c>
      <c r="C53" s="58">
        <f>IF(Dashboard!D$15=1,IF(A53&gt;=Dashboard!D$8,Dashboard!D$16*(1+Dashboard!D$18)^MAX(0,A53-Dashboard!D$8),0),0)</f>
        <v>5293.8320475587971</v>
      </c>
      <c r="D53" s="58">
        <f>IF(Dashboard!D$23=1,IF(A53&gt;=Dashboard!D$8,Dashboard!D$25*(1+Dashboard!D$26)^MAX(0,A53-Dashboard!D$8),0),0)</f>
        <v>4411.5267062989979</v>
      </c>
      <c r="E53" s="58">
        <f>IF(Dashboard!D$30=1,IF(A53&gt;=Dashboard!D$8,IF(Dashboard!D$36=1,N53*Dashboard!D$35/12,Dashboard!D$37),0),0)</f>
        <v>34660.50781994022</v>
      </c>
      <c r="F53" s="58">
        <f>IF(Dashboard!D$41=1,IF(A53&gt;=Dashboard!D$43,Dashboard!D$42*(1+0.025)^MAX(0,A53-Dashboard!D$43),0),0)</f>
        <v>3176.2992285352784</v>
      </c>
      <c r="G53" s="58">
        <f>IF(Dashboard!D$44=1,IF(AND(A53&gt;=Dashboard!D$8,A53&lt;Dashboard!D$46),Dashboard!D$45,0),0)</f>
        <v>0</v>
      </c>
      <c r="H53" s="58">
        <f>IF(Dashboard!D$47=1,IF(A53&gt;=Dashboard!D$8,Dashboard!D$48*(1+Dashboard!D$49)^MAX(0,A53-Dashboard!D$8),0),0)</f>
        <v>0</v>
      </c>
      <c r="I53" s="58">
        <f>C53+D53+E53+F53+G53+H53-IF(Dashboard!D$19=1,IF(A53&gt;=Dashboard!D$8,Dashboard!D$20,0),0)</f>
        <v>47347.1658023333</v>
      </c>
      <c r="J53" s="58">
        <f>-(C53+E53+F53+G53+H53)*Dashboard!G$24</f>
        <v>0</v>
      </c>
      <c r="K53" s="58">
        <f t="shared" si="2"/>
        <v>47347.1658023333</v>
      </c>
      <c r="L53" s="58">
        <f>IF(A53&gt;=Dashboard!D$8,Dashboard!G$22*(1+Dashboard!G$23)^MAX(0,A53-Dashboard!D$8),0)</f>
        <v>15206.484068230484</v>
      </c>
      <c r="M53" s="58">
        <f t="shared" si="3"/>
        <v>32140.681734102815</v>
      </c>
      <c r="N53" s="58">
        <f>IF(A53&lt;Dashboard!D$8,IF(Dashboard!D$34=0,Dashboard!D$31+Dashboard!D$32+Dashboard!D$33+Dashboard!D$38*12*(A53-Dashboard!D$7),(Dashboard!D$31+Dashboard!D$32+Dashboard!D$33)*(1+Dashboard!D$34)^(A53-Dashboard!D$7)+Dashboard!D$38*12*((1+Dashboard!D$34)^(A53-Dashboard!D$7)-1)/Dashboard!D$34),IF(A53=Dashboard!D$8,Dashboard!G$40,MAX(0,(N52-E52*12)*(1+Dashboard!D$34))))</f>
        <v>10398152.345982065</v>
      </c>
      <c r="O53" s="58">
        <f>N53*Dashboard!D$35</f>
        <v>415926.09383928264</v>
      </c>
    </row>
  </sheetData>
  <mergeCells count="1">
    <mergeCell ref="B1:O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E3A1A"/>
  </sheetPr>
  <dimension ref="A1:O55"/>
  <sheetViews>
    <sheetView workbookViewId="0"/>
  </sheetViews>
  <sheetFormatPr defaultColWidth="8.6328125" defaultRowHeight="14.5" x14ac:dyDescent="0.35"/>
  <cols>
    <col min="1" max="5" width="18" customWidth="1"/>
  </cols>
  <sheetData>
    <row r="1" spans="1:15" ht="9.75" customHeight="1" x14ac:dyDescent="0.35">
      <c r="A1" s="28"/>
      <c r="B1" s="75" t="s">
        <v>101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7"/>
    </row>
    <row r="2" spans="1:15" ht="9.75" customHeight="1" x14ac:dyDescent="0.35">
      <c r="A2" s="28"/>
      <c r="B2" s="76" t="s">
        <v>102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8"/>
    </row>
    <row r="3" spans="1:15" ht="9.75" customHeight="1" x14ac:dyDescent="0.35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5" ht="6.65" customHeight="1" x14ac:dyDescent="0.35">
      <c r="A4" s="31" t="s">
        <v>86</v>
      </c>
      <c r="B4" s="31" t="s">
        <v>103</v>
      </c>
      <c r="C4" s="31" t="s">
        <v>104</v>
      </c>
      <c r="D4" s="31" t="s">
        <v>105</v>
      </c>
      <c r="E4" s="31" t="s">
        <v>106</v>
      </c>
    </row>
    <row r="5" spans="1:15" ht="6" customHeight="1" x14ac:dyDescent="0.35">
      <c r="A5" s="11">
        <f>'Annual Projection'!A3</f>
        <v>40</v>
      </c>
      <c r="B5" s="49">
        <f>'Annual Projection'!K3</f>
        <v>0</v>
      </c>
      <c r="C5" s="49">
        <f>'Annual Projection'!L3</f>
        <v>0</v>
      </c>
      <c r="D5" s="49">
        <f>'Annual Projection'!N3</f>
        <v>160000</v>
      </c>
      <c r="E5" s="49">
        <f>'Annual Projection'!M3</f>
        <v>0</v>
      </c>
    </row>
    <row r="6" spans="1:15" ht="6" customHeight="1" x14ac:dyDescent="0.35">
      <c r="A6" s="12">
        <f>'Annual Projection'!A4</f>
        <v>41</v>
      </c>
      <c r="B6" s="50">
        <f>'Annual Projection'!K4</f>
        <v>0</v>
      </c>
      <c r="C6" s="50">
        <f>'Annual Projection'!L4</f>
        <v>0</v>
      </c>
      <c r="D6" s="50">
        <f>'Annual Projection'!N4</f>
        <v>183200</v>
      </c>
      <c r="E6" s="50">
        <f>'Annual Projection'!M4</f>
        <v>0</v>
      </c>
    </row>
    <row r="7" spans="1:15" ht="6" customHeight="1" x14ac:dyDescent="0.35">
      <c r="A7" s="11">
        <f>'Annual Projection'!A5</f>
        <v>42</v>
      </c>
      <c r="B7" s="49">
        <f>'Annual Projection'!K5</f>
        <v>0</v>
      </c>
      <c r="C7" s="49">
        <f>'Annual Projection'!L5</f>
        <v>0</v>
      </c>
      <c r="D7" s="49">
        <f>'Annual Projection'!N5</f>
        <v>208720.00000000003</v>
      </c>
      <c r="E7" s="49">
        <f>'Annual Projection'!M5</f>
        <v>0</v>
      </c>
    </row>
    <row r="8" spans="1:15" ht="6" customHeight="1" x14ac:dyDescent="0.35">
      <c r="A8" s="12">
        <f>'Annual Projection'!A6</f>
        <v>43</v>
      </c>
      <c r="B8" s="50">
        <f>'Annual Projection'!K6</f>
        <v>0</v>
      </c>
      <c r="C8" s="50">
        <f>'Annual Projection'!L6</f>
        <v>0</v>
      </c>
      <c r="D8" s="50">
        <f>'Annual Projection'!N6</f>
        <v>236792.00000000009</v>
      </c>
      <c r="E8" s="50">
        <f>'Annual Projection'!M6</f>
        <v>0</v>
      </c>
    </row>
    <row r="9" spans="1:15" ht="6" customHeight="1" x14ac:dyDescent="0.35">
      <c r="A9" s="11">
        <f>'Annual Projection'!A7</f>
        <v>44</v>
      </c>
      <c r="B9" s="49">
        <f>'Annual Projection'!K7</f>
        <v>0</v>
      </c>
      <c r="C9" s="49">
        <f>'Annual Projection'!L7</f>
        <v>0</v>
      </c>
      <c r="D9" s="49">
        <f>'Annual Projection'!N7</f>
        <v>267671.20000000007</v>
      </c>
      <c r="E9" s="49">
        <f>'Annual Projection'!M7</f>
        <v>0</v>
      </c>
    </row>
    <row r="10" spans="1:15" ht="6" customHeight="1" x14ac:dyDescent="0.35">
      <c r="A10" s="12">
        <f>'Annual Projection'!A8</f>
        <v>45</v>
      </c>
      <c r="B10" s="50">
        <f>'Annual Projection'!K8</f>
        <v>0</v>
      </c>
      <c r="C10" s="50">
        <f>'Annual Projection'!L8</f>
        <v>0</v>
      </c>
      <c r="D10" s="50">
        <f>'Annual Projection'!N8</f>
        <v>301638.32000000012</v>
      </c>
      <c r="E10" s="50">
        <f>'Annual Projection'!M8</f>
        <v>0</v>
      </c>
    </row>
    <row r="11" spans="1:15" ht="6" customHeight="1" x14ac:dyDescent="0.35">
      <c r="A11" s="11">
        <f>'Annual Projection'!A9</f>
        <v>46</v>
      </c>
      <c r="B11" s="49">
        <f>'Annual Projection'!K9</f>
        <v>0</v>
      </c>
      <c r="C11" s="49">
        <f>'Annual Projection'!L9</f>
        <v>0</v>
      </c>
      <c r="D11" s="49">
        <f>'Annual Projection'!N9</f>
        <v>339002.15200000018</v>
      </c>
      <c r="E11" s="49">
        <f>'Annual Projection'!M9</f>
        <v>0</v>
      </c>
    </row>
    <row r="12" spans="1:15" ht="6" customHeight="1" x14ac:dyDescent="0.35">
      <c r="A12" s="12">
        <f>'Annual Projection'!A10</f>
        <v>47</v>
      </c>
      <c r="B12" s="50">
        <f>'Annual Projection'!K10</f>
        <v>0</v>
      </c>
      <c r="C12" s="50">
        <f>'Annual Projection'!L10</f>
        <v>0</v>
      </c>
      <c r="D12" s="50">
        <f>'Annual Projection'!N10</f>
        <v>380102.36720000027</v>
      </c>
      <c r="E12" s="50">
        <f>'Annual Projection'!M10</f>
        <v>0</v>
      </c>
    </row>
    <row r="13" spans="1:15" ht="6" customHeight="1" x14ac:dyDescent="0.35">
      <c r="A13" s="11">
        <f>'Annual Projection'!A11</f>
        <v>48</v>
      </c>
      <c r="B13" s="49">
        <f>'Annual Projection'!K11</f>
        <v>0</v>
      </c>
      <c r="C13" s="49">
        <f>'Annual Projection'!L11</f>
        <v>0</v>
      </c>
      <c r="D13" s="49">
        <f>'Annual Projection'!N11</f>
        <v>425312.60392000026</v>
      </c>
      <c r="E13" s="49">
        <f>'Annual Projection'!M11</f>
        <v>0</v>
      </c>
    </row>
    <row r="14" spans="1:15" ht="6" customHeight="1" x14ac:dyDescent="0.35">
      <c r="A14" s="12">
        <f>'Annual Projection'!A12</f>
        <v>49</v>
      </c>
      <c r="B14" s="50">
        <f>'Annual Projection'!K12</f>
        <v>0</v>
      </c>
      <c r="C14" s="50">
        <f>'Annual Projection'!L12</f>
        <v>0</v>
      </c>
      <c r="D14" s="50">
        <f>'Annual Projection'!N12</f>
        <v>475043.86431200034</v>
      </c>
      <c r="E14" s="50">
        <f>'Annual Projection'!M12</f>
        <v>0</v>
      </c>
    </row>
    <row r="15" spans="1:15" ht="6" customHeight="1" x14ac:dyDescent="0.35">
      <c r="A15" s="11">
        <f>'Annual Projection'!A13</f>
        <v>50</v>
      </c>
      <c r="B15" s="49">
        <f>'Annual Projection'!K13</f>
        <v>0</v>
      </c>
      <c r="C15" s="49">
        <f>'Annual Projection'!L13</f>
        <v>0</v>
      </c>
      <c r="D15" s="49">
        <f>'Annual Projection'!N13</f>
        <v>529748.25074320042</v>
      </c>
      <c r="E15" s="49">
        <f>'Annual Projection'!M13</f>
        <v>0</v>
      </c>
    </row>
    <row r="16" spans="1:15" ht="6" customHeight="1" x14ac:dyDescent="0.35">
      <c r="A16" s="12">
        <f>'Annual Projection'!A14</f>
        <v>51</v>
      </c>
      <c r="B16" s="50">
        <f>'Annual Projection'!K14</f>
        <v>0</v>
      </c>
      <c r="C16" s="50">
        <f>'Annual Projection'!L14</f>
        <v>0</v>
      </c>
      <c r="D16" s="50">
        <f>'Annual Projection'!N14</f>
        <v>589923.07581752061</v>
      </c>
      <c r="E16" s="50">
        <f>'Annual Projection'!M14</f>
        <v>0</v>
      </c>
    </row>
    <row r="17" spans="1:5" ht="6" customHeight="1" x14ac:dyDescent="0.35">
      <c r="A17" s="11">
        <f>'Annual Projection'!A15</f>
        <v>52</v>
      </c>
      <c r="B17" s="49">
        <f>'Annual Projection'!K15</f>
        <v>0</v>
      </c>
      <c r="C17" s="49">
        <f>'Annual Projection'!L15</f>
        <v>0</v>
      </c>
      <c r="D17" s="49">
        <f>'Annual Projection'!N15</f>
        <v>656115.38339927257</v>
      </c>
      <c r="E17" s="49">
        <f>'Annual Projection'!M15</f>
        <v>0</v>
      </c>
    </row>
    <row r="18" spans="1:5" ht="6" customHeight="1" x14ac:dyDescent="0.35">
      <c r="A18" s="12">
        <f>'Annual Projection'!A16</f>
        <v>53</v>
      </c>
      <c r="B18" s="50">
        <f>'Annual Projection'!K16</f>
        <v>0</v>
      </c>
      <c r="C18" s="50">
        <f>'Annual Projection'!L16</f>
        <v>0</v>
      </c>
      <c r="D18" s="50">
        <f>'Annual Projection'!N16</f>
        <v>728926.9217391999</v>
      </c>
      <c r="E18" s="50">
        <f>'Annual Projection'!M16</f>
        <v>0</v>
      </c>
    </row>
    <row r="19" spans="1:5" ht="6" customHeight="1" x14ac:dyDescent="0.35">
      <c r="A19" s="11">
        <f>'Annual Projection'!A17</f>
        <v>54</v>
      </c>
      <c r="B19" s="49">
        <f>'Annual Projection'!K17</f>
        <v>0</v>
      </c>
      <c r="C19" s="49">
        <f>'Annual Projection'!L17</f>
        <v>0</v>
      </c>
      <c r="D19" s="49">
        <f>'Annual Projection'!N17</f>
        <v>809019.61391312</v>
      </c>
      <c r="E19" s="49">
        <f>'Annual Projection'!M17</f>
        <v>0</v>
      </c>
    </row>
    <row r="20" spans="1:5" ht="6" customHeight="1" x14ac:dyDescent="0.35">
      <c r="A20" s="12">
        <f>'Annual Projection'!A18</f>
        <v>55</v>
      </c>
      <c r="B20" s="50">
        <f>'Annual Projection'!K18</f>
        <v>0</v>
      </c>
      <c r="C20" s="50">
        <f>'Annual Projection'!L18</f>
        <v>0</v>
      </c>
      <c r="D20" s="50">
        <f>'Annual Projection'!N18</f>
        <v>897121.57530443196</v>
      </c>
      <c r="E20" s="50">
        <f>'Annual Projection'!M18</f>
        <v>0</v>
      </c>
    </row>
    <row r="21" spans="1:5" ht="6" customHeight="1" x14ac:dyDescent="0.35">
      <c r="A21" s="11">
        <f>'Annual Projection'!A19</f>
        <v>56</v>
      </c>
      <c r="B21" s="49">
        <f>'Annual Projection'!K19</f>
        <v>0</v>
      </c>
      <c r="C21" s="49">
        <f>'Annual Projection'!L19</f>
        <v>0</v>
      </c>
      <c r="D21" s="49">
        <f>'Annual Projection'!N19</f>
        <v>994033.73283487535</v>
      </c>
      <c r="E21" s="49">
        <f>'Annual Projection'!M19</f>
        <v>0</v>
      </c>
    </row>
    <row r="22" spans="1:5" ht="6" customHeight="1" x14ac:dyDescent="0.35">
      <c r="A22" s="12">
        <f>'Annual Projection'!A20</f>
        <v>57</v>
      </c>
      <c r="B22" s="50">
        <f>'Annual Projection'!K20</f>
        <v>0</v>
      </c>
      <c r="C22" s="50">
        <f>'Annual Projection'!L20</f>
        <v>0</v>
      </c>
      <c r="D22" s="50">
        <f>'Annual Projection'!N20</f>
        <v>1100637.1061183629</v>
      </c>
      <c r="E22" s="50">
        <f>'Annual Projection'!M20</f>
        <v>0</v>
      </c>
    </row>
    <row r="23" spans="1:5" ht="6" customHeight="1" x14ac:dyDescent="0.35">
      <c r="A23" s="11">
        <f>'Annual Projection'!A21</f>
        <v>58</v>
      </c>
      <c r="B23" s="49">
        <f>'Annual Projection'!K21</f>
        <v>0</v>
      </c>
      <c r="C23" s="49">
        <f>'Annual Projection'!L21</f>
        <v>0</v>
      </c>
      <c r="D23" s="49">
        <f>'Annual Projection'!N21</f>
        <v>1217900.8167301991</v>
      </c>
      <c r="E23" s="49">
        <f>'Annual Projection'!M21</f>
        <v>0</v>
      </c>
    </row>
    <row r="24" spans="1:5" ht="6" customHeight="1" x14ac:dyDescent="0.35">
      <c r="A24" s="12">
        <f>'Annual Projection'!A22</f>
        <v>59</v>
      </c>
      <c r="B24" s="50">
        <f>'Annual Projection'!K22</f>
        <v>0</v>
      </c>
      <c r="C24" s="50">
        <f>'Annual Projection'!L22</f>
        <v>0</v>
      </c>
      <c r="D24" s="50">
        <f>'Annual Projection'!N22</f>
        <v>1346890.8984032194</v>
      </c>
      <c r="E24" s="50">
        <f>'Annual Projection'!M22</f>
        <v>0</v>
      </c>
    </row>
    <row r="25" spans="1:5" ht="6" customHeight="1" x14ac:dyDescent="0.35">
      <c r="A25" s="11">
        <f>'Annual Projection'!A23</f>
        <v>60</v>
      </c>
      <c r="B25" s="49">
        <f>'Annual Projection'!K23</f>
        <v>0</v>
      </c>
      <c r="C25" s="49">
        <f>'Annual Projection'!L23</f>
        <v>0</v>
      </c>
      <c r="D25" s="49">
        <f>'Annual Projection'!N23</f>
        <v>1488779.9882435412</v>
      </c>
      <c r="E25" s="49">
        <f>'Annual Projection'!M23</f>
        <v>0</v>
      </c>
    </row>
    <row r="26" spans="1:5" ht="6" customHeight="1" x14ac:dyDescent="0.35">
      <c r="A26" s="12">
        <f>'Annual Projection'!A24</f>
        <v>61</v>
      </c>
      <c r="B26" s="50">
        <f>'Annual Projection'!K24</f>
        <v>0</v>
      </c>
      <c r="C26" s="50">
        <f>'Annual Projection'!L24</f>
        <v>0</v>
      </c>
      <c r="D26" s="50">
        <f>'Annual Projection'!N24</f>
        <v>1644857.9870678957</v>
      </c>
      <c r="E26" s="50">
        <f>'Annual Projection'!M24</f>
        <v>0</v>
      </c>
    </row>
    <row r="27" spans="1:5" ht="6" customHeight="1" x14ac:dyDescent="0.35">
      <c r="A27" s="11">
        <f>'Annual Projection'!A25</f>
        <v>62</v>
      </c>
      <c r="B27" s="49">
        <f>'Annual Projection'!K25</f>
        <v>0</v>
      </c>
      <c r="C27" s="49">
        <f>'Annual Projection'!L25</f>
        <v>0</v>
      </c>
      <c r="D27" s="49">
        <f>'Annual Projection'!N25</f>
        <v>1816543.7857746854</v>
      </c>
      <c r="E27" s="49">
        <f>'Annual Projection'!M25</f>
        <v>0</v>
      </c>
    </row>
    <row r="28" spans="1:5" ht="6" customHeight="1" x14ac:dyDescent="0.35">
      <c r="A28" s="12">
        <f>'Annual Projection'!A26</f>
        <v>63</v>
      </c>
      <c r="B28" s="50">
        <f>'Annual Projection'!K26</f>
        <v>0</v>
      </c>
      <c r="C28" s="50">
        <f>'Annual Projection'!L26</f>
        <v>0</v>
      </c>
      <c r="D28" s="50">
        <f>'Annual Projection'!N26</f>
        <v>2005398.1643521541</v>
      </c>
      <c r="E28" s="50">
        <f>'Annual Projection'!M26</f>
        <v>0</v>
      </c>
    </row>
    <row r="29" spans="1:5" ht="6" customHeight="1" x14ac:dyDescent="0.35">
      <c r="A29" s="11">
        <f>'Annual Projection'!A27</f>
        <v>64</v>
      </c>
      <c r="B29" s="49">
        <f>'Annual Projection'!K27</f>
        <v>0</v>
      </c>
      <c r="C29" s="49">
        <f>'Annual Projection'!L27</f>
        <v>0</v>
      </c>
      <c r="D29" s="49">
        <f>'Annual Projection'!N27</f>
        <v>2213137.9807873694</v>
      </c>
      <c r="E29" s="49">
        <f>'Annual Projection'!M27</f>
        <v>0</v>
      </c>
    </row>
    <row r="30" spans="1:5" ht="6" customHeight="1" x14ac:dyDescent="0.35">
      <c r="A30" s="12">
        <f>'Annual Projection'!A28</f>
        <v>65</v>
      </c>
      <c r="B30" s="50">
        <f>'Annual Projection'!K28</f>
        <v>0</v>
      </c>
      <c r="C30" s="50">
        <f>'Annual Projection'!L28</f>
        <v>0</v>
      </c>
      <c r="D30" s="50">
        <f>'Annual Projection'!N28</f>
        <v>2441651.7788661066</v>
      </c>
      <c r="E30" s="50">
        <f>'Annual Projection'!M28</f>
        <v>0</v>
      </c>
    </row>
    <row r="31" spans="1:5" ht="6" customHeight="1" x14ac:dyDescent="0.35">
      <c r="A31" s="11">
        <f>'Annual Projection'!A29</f>
        <v>66</v>
      </c>
      <c r="B31" s="49">
        <f>'Annual Projection'!K29</f>
        <v>0</v>
      </c>
      <c r="C31" s="49">
        <f>'Annual Projection'!L29</f>
        <v>0</v>
      </c>
      <c r="D31" s="49">
        <f>'Annual Projection'!N29</f>
        <v>2693016.9567527175</v>
      </c>
      <c r="E31" s="49">
        <f>'Annual Projection'!M29</f>
        <v>0</v>
      </c>
    </row>
    <row r="32" spans="1:5" ht="6" customHeight="1" x14ac:dyDescent="0.35">
      <c r="A32" s="12">
        <f>'Annual Projection'!A30</f>
        <v>67</v>
      </c>
      <c r="B32" s="50">
        <f>'Annual Projection'!K30</f>
        <v>17003.395508093301</v>
      </c>
      <c r="C32" s="50">
        <f>'Annual Projection'!L30</f>
        <v>7705</v>
      </c>
      <c r="D32" s="50">
        <f>'Annual Projection'!N30</f>
        <v>2969518.65242799</v>
      </c>
      <c r="E32" s="50">
        <f>'Annual Projection'!M30</f>
        <v>9298.395508093301</v>
      </c>
    </row>
    <row r="33" spans="1:5" ht="6" customHeight="1" x14ac:dyDescent="0.35">
      <c r="A33" s="11">
        <f>'Annual Projection'!A31</f>
        <v>68</v>
      </c>
      <c r="B33" s="49">
        <f>'Annual Projection'!K31</f>
        <v>17740.205656546525</v>
      </c>
      <c r="C33" s="49">
        <f>'Annual Projection'!L31</f>
        <v>7936.1500000000005</v>
      </c>
      <c r="D33" s="49">
        <f>'Annual Projection'!N31</f>
        <v>3135811.696963958</v>
      </c>
      <c r="E33" s="49">
        <f>'Annual Projection'!M31</f>
        <v>9804.0556565465231</v>
      </c>
    </row>
    <row r="34" spans="1:5" ht="6" customHeight="1" x14ac:dyDescent="0.35">
      <c r="A34" s="12">
        <f>'Annual Projection'!A32</f>
        <v>69</v>
      </c>
      <c r="B34" s="50">
        <f>'Annual Projection'!K32</f>
        <v>18512.619673313136</v>
      </c>
      <c r="C34" s="50">
        <f>'Annual Projection'!L32</f>
        <v>8174.2344999999996</v>
      </c>
      <c r="D34" s="50">
        <f>'Annual Projection'!N32</f>
        <v>3311417.1519939401</v>
      </c>
      <c r="E34" s="50">
        <f>'Annual Projection'!M32</f>
        <v>10338.385173313138</v>
      </c>
    </row>
    <row r="35" spans="1:5" ht="6" customHeight="1" x14ac:dyDescent="0.35">
      <c r="A35" s="11">
        <f>'Annual Projection'!A33</f>
        <v>70</v>
      </c>
      <c r="B35" s="49">
        <f>'Annual Projection'!K33</f>
        <v>19322.489937518669</v>
      </c>
      <c r="C35" s="49">
        <f>'Annual Projection'!L33</f>
        <v>8419.4615350000004</v>
      </c>
      <c r="D35" s="49">
        <f>'Annual Projection'!N33</f>
        <v>3496856.5125056007</v>
      </c>
      <c r="E35" s="49">
        <f>'Annual Projection'!M33</f>
        <v>10903.028402518668</v>
      </c>
    </row>
    <row r="36" spans="1:5" ht="6" customHeight="1" x14ac:dyDescent="0.35">
      <c r="A36" s="12">
        <f>'Annual Projection'!A34</f>
        <v>71</v>
      </c>
      <c r="B36" s="50">
        <f>'Annual Projection'!K34</f>
        <v>20171.769025582213</v>
      </c>
      <c r="C36" s="50">
        <f>'Annual Projection'!L34</f>
        <v>8672.0453810499985</v>
      </c>
      <c r="D36" s="50">
        <f>'Annual Projection'!N34</f>
        <v>3692680.4772059149</v>
      </c>
      <c r="E36" s="50">
        <f>'Annual Projection'!M34</f>
        <v>11499.723644532214</v>
      </c>
    </row>
    <row r="37" spans="1:5" ht="6" customHeight="1" x14ac:dyDescent="0.35">
      <c r="A37" s="11">
        <f>'Annual Projection'!A35</f>
        <v>72</v>
      </c>
      <c r="B37" s="49">
        <f>'Annual Projection'!K35</f>
        <v>21062.515233866383</v>
      </c>
      <c r="C37" s="49">
        <f>'Annual Projection'!L35</f>
        <v>8932.2067424814995</v>
      </c>
      <c r="D37" s="49">
        <f>'Annual Projection'!N35</f>
        <v>3899470.5839294461</v>
      </c>
      <c r="E37" s="49">
        <f>'Annual Projection'!M35</f>
        <v>12130.308491384883</v>
      </c>
    </row>
    <row r="38" spans="1:5" ht="6" customHeight="1" x14ac:dyDescent="0.35">
      <c r="A38" s="12">
        <f>'Annual Projection'!A36</f>
        <v>73</v>
      </c>
      <c r="B38" s="50">
        <f>'Annual Projection'!K36</f>
        <v>21996.89840838575</v>
      </c>
      <c r="C38" s="50">
        <f>'Annual Projection'!L36</f>
        <v>9200.1729447559446</v>
      </c>
      <c r="D38" s="50">
        <f>'Annual Projection'!N36</f>
        <v>4117840.9366294951</v>
      </c>
      <c r="E38" s="50">
        <f>'Annual Projection'!M36</f>
        <v>12796.725463629806</v>
      </c>
    </row>
    <row r="39" spans="1:5" ht="6" customHeight="1" x14ac:dyDescent="0.35">
      <c r="A39" s="11">
        <f>'Annual Projection'!A37</f>
        <v>74</v>
      </c>
      <c r="B39" s="49">
        <f>'Annual Projection'!K37</f>
        <v>22977.206098713774</v>
      </c>
      <c r="C39" s="49">
        <f>'Annual Projection'!L37</f>
        <v>9476.1781330986232</v>
      </c>
      <c r="D39" s="49">
        <f>'Annual Projection'!N37</f>
        <v>4348440.0290807467</v>
      </c>
      <c r="E39" s="49">
        <f>'Annual Projection'!M37</f>
        <v>13501.027965615151</v>
      </c>
    </row>
    <row r="40" spans="1:5" ht="6" customHeight="1" x14ac:dyDescent="0.35">
      <c r="A40" s="12">
        <f>'Annual Projection'!A38</f>
        <v>75</v>
      </c>
      <c r="B40" s="50">
        <f>'Annual Projection'!K38</f>
        <v>24005.850054186631</v>
      </c>
      <c r="C40" s="50">
        <f>'Annual Projection'!L38</f>
        <v>9760.46347709158</v>
      </c>
      <c r="D40" s="50">
        <f>'Annual Projection'!N38</f>
        <v>4591952.6707092691</v>
      </c>
      <c r="E40" s="50">
        <f>'Annual Projection'!M38</f>
        <v>14245.386577095051</v>
      </c>
    </row>
    <row r="41" spans="1:5" ht="6" customHeight="1" x14ac:dyDescent="0.35">
      <c r="A41" s="11">
        <f>'Annual Projection'!A39</f>
        <v>76</v>
      </c>
      <c r="B41" s="49">
        <f>'Annual Projection'!K39</f>
        <v>25085.373081514579</v>
      </c>
      <c r="C41" s="49">
        <f>'Annual Projection'!L39</f>
        <v>10053.277381404328</v>
      </c>
      <c r="D41" s="49">
        <f>'Annual Projection'!N39</f>
        <v>4849102.0202689879</v>
      </c>
      <c r="E41" s="49">
        <f>'Annual Projection'!M39</f>
        <v>15032.095700110251</v>
      </c>
    </row>
    <row r="42" spans="1:5" ht="6" customHeight="1" x14ac:dyDescent="0.35">
      <c r="A42" s="12">
        <f>'Annual Projection'!A40</f>
        <v>77</v>
      </c>
      <c r="B42" s="50">
        <f>'Annual Projection'!K40</f>
        <v>26218.456283980246</v>
      </c>
      <c r="C42" s="50">
        <f>'Annual Projection'!L40</f>
        <v>10354.875702846459</v>
      </c>
      <c r="D42" s="50">
        <f>'Annual Projection'!N40</f>
        <v>5120651.7334040515</v>
      </c>
      <c r="E42" s="50">
        <f>'Annual Projection'!M40</f>
        <v>15863.580581133787</v>
      </c>
    </row>
    <row r="43" spans="1:5" ht="6" customHeight="1" x14ac:dyDescent="0.35">
      <c r="A43" s="11">
        <f>'Annual Projection'!A41</f>
        <v>78</v>
      </c>
      <c r="B43" s="49">
        <f>'Annual Projection'!K41</f>
        <v>27407.926703531506</v>
      </c>
      <c r="C43" s="49">
        <f>'Annual Projection'!L41</f>
        <v>10665.521973931853</v>
      </c>
      <c r="D43" s="49">
        <f>'Annual Projection'!N41</f>
        <v>5407408.2304746788</v>
      </c>
      <c r="E43" s="49">
        <f>'Annual Projection'!M41</f>
        <v>16742.404729599653</v>
      </c>
    </row>
    <row r="44" spans="1:5" ht="6" customHeight="1" x14ac:dyDescent="0.35">
      <c r="A44" s="12">
        <f>'Annual Projection'!A42</f>
        <v>79</v>
      </c>
      <c r="B44" s="50">
        <f>'Annual Projection'!K42</f>
        <v>28656.765388268843</v>
      </c>
      <c r="C44" s="50">
        <f>'Annual Projection'!L42</f>
        <v>10985.487633149807</v>
      </c>
      <c r="D44" s="50">
        <f>'Annual Projection'!N42</f>
        <v>5710223.0913812611</v>
      </c>
      <c r="E44" s="50">
        <f>'Annual Projection'!M42</f>
        <v>17671.277755119037</v>
      </c>
    </row>
    <row r="45" spans="1:5" ht="6" customHeight="1" x14ac:dyDescent="0.35">
      <c r="A45" s="11">
        <f>'Annual Projection'!A43</f>
        <v>80</v>
      </c>
      <c r="B45" s="49">
        <f>'Annual Projection'!K43</f>
        <v>29968.115909084961</v>
      </c>
      <c r="C45" s="49">
        <f>'Annual Projection'!L43</f>
        <v>11315.0522621443</v>
      </c>
      <c r="D45" s="49">
        <f>'Annual Projection'!N43</f>
        <v>6029995.5844986122</v>
      </c>
      <c r="E45" s="49">
        <f>'Annual Projection'!M43</f>
        <v>18653.06364694066</v>
      </c>
    </row>
    <row r="46" spans="1:5" ht="6" customHeight="1" x14ac:dyDescent="0.35">
      <c r="A46" s="12">
        <f>'Annual Projection'!A44</f>
        <v>81</v>
      </c>
      <c r="B46" s="50">
        <f>'Annual Projection'!K44</f>
        <v>31345.293350543612</v>
      </c>
      <c r="C46" s="50">
        <f>'Annual Projection'!L44</f>
        <v>11654.503830008631</v>
      </c>
      <c r="D46" s="50">
        <f>'Annual Projection'!N44</f>
        <v>6367675.3372305352</v>
      </c>
      <c r="E46" s="50">
        <f>'Annual Projection'!M44</f>
        <v>19690.789520534981</v>
      </c>
    </row>
    <row r="47" spans="1:5" ht="6" customHeight="1" x14ac:dyDescent="0.35">
      <c r="A47" s="11">
        <f>'Annual Projection'!A45</f>
        <v>82</v>
      </c>
      <c r="B47" s="49">
        <f>'Annual Projection'!K45</f>
        <v>32791.793802487693</v>
      </c>
      <c r="C47" s="49">
        <f>'Annual Projection'!L45</f>
        <v>12004.138944908889</v>
      </c>
      <c r="D47" s="49">
        <f>'Annual Projection'!N45</f>
        <v>6724265.1561154462</v>
      </c>
      <c r="E47" s="49">
        <f>'Annual Projection'!M45</f>
        <v>20787.654857578804</v>
      </c>
    </row>
    <row r="48" spans="1:5" ht="6" customHeight="1" x14ac:dyDescent="0.35">
      <c r="A48" s="12">
        <f>'Annual Projection'!A46</f>
        <v>83</v>
      </c>
      <c r="B48" s="50">
        <f>'Annual Projection'!K46</f>
        <v>34311.304380348483</v>
      </c>
      <c r="C48" s="50">
        <f>'Annual Projection'!L46</f>
        <v>12364.263113256155</v>
      </c>
      <c r="D48" s="50">
        <f>'Annual Projection'!N46</f>
        <v>7100824.0048579117</v>
      </c>
      <c r="E48" s="50">
        <f>'Annual Projection'!M46</f>
        <v>21947.041267092329</v>
      </c>
    </row>
    <row r="49" spans="1:5" ht="6" customHeight="1" x14ac:dyDescent="0.35">
      <c r="A49" s="11">
        <f>'Annual Projection'!A47</f>
        <v>84</v>
      </c>
      <c r="B49" s="49">
        <f>'Annual Projection'!K47</f>
        <v>35907.71380369251</v>
      </c>
      <c r="C49" s="49">
        <f>'Annual Projection'!L47</f>
        <v>12735.191006653838</v>
      </c>
      <c r="D49" s="49">
        <f>'Annual Projection'!N47</f>
        <v>7498470.1491299551</v>
      </c>
      <c r="E49" s="49">
        <f>'Annual Projection'!M47</f>
        <v>23172.52279703867</v>
      </c>
    </row>
    <row r="50" spans="1:5" ht="6" customHeight="1" x14ac:dyDescent="0.35">
      <c r="A50" s="12">
        <f>'Annual Projection'!A48</f>
        <v>85</v>
      </c>
      <c r="B50" s="50">
        <f>'Annual Projection'!K48</f>
        <v>37585.123564194917</v>
      </c>
      <c r="C50" s="50">
        <f>'Annual Projection'!L48</f>
        <v>13117.246736853454</v>
      </c>
      <c r="D50" s="50">
        <f>'Annual Projection'!N48</f>
        <v>7918384.477481233</v>
      </c>
      <c r="E50" s="50">
        <f>'Annual Projection'!M48</f>
        <v>24467.876827341461</v>
      </c>
    </row>
    <row r="51" spans="1:5" ht="6" customHeight="1" x14ac:dyDescent="0.35">
      <c r="A51" s="11">
        <f>'Annual Projection'!A49</f>
        <v>86</v>
      </c>
      <c r="B51" s="49">
        <f>'Annual Projection'!K49</f>
        <v>39347.85971597286</v>
      </c>
      <c r="C51" s="49">
        <f>'Annual Projection'!L49</f>
        <v>13510.764138959057</v>
      </c>
      <c r="D51" s="49">
        <f>'Annual Projection'!N49</f>
        <v>8361814.0082201827</v>
      </c>
      <c r="E51" s="49">
        <f>'Annual Projection'!M49</f>
        <v>25837.095577013803</v>
      </c>
    </row>
    <row r="52" spans="1:5" ht="6" customHeight="1" x14ac:dyDescent="0.35">
      <c r="A52" s="12">
        <f>'Annual Projection'!A50</f>
        <v>87</v>
      </c>
      <c r="B52" s="50">
        <f>'Annual Projection'!K50</f>
        <v>41200.485323054934</v>
      </c>
      <c r="C52" s="50">
        <f>'Annual Projection'!L50</f>
        <v>13916.087063127829</v>
      </c>
      <c r="D52" s="50">
        <f>'Annual Projection'!N50</f>
        <v>8830075.5926805139</v>
      </c>
      <c r="E52" s="50">
        <f>'Annual Projection'!M50</f>
        <v>27284.398259927104</v>
      </c>
    </row>
    <row r="53" spans="1:5" ht="6" customHeight="1" x14ac:dyDescent="0.35">
      <c r="A53" s="11">
        <f>'Annual Projection'!A51</f>
        <v>88</v>
      </c>
      <c r="B53" s="49">
        <f>'Annual Projection'!K51</f>
        <v>43147.813600708301</v>
      </c>
      <c r="C53" s="49">
        <f>'Annual Projection'!L51</f>
        <v>14333.569675021663</v>
      </c>
      <c r="D53" s="49">
        <f>'Annual Projection'!N51</f>
        <v>9324559.8258706238</v>
      </c>
      <c r="E53" s="49">
        <f>'Annual Projection'!M51</f>
        <v>28814.243925686638</v>
      </c>
    </row>
    <row r="54" spans="1:5" ht="6" customHeight="1" x14ac:dyDescent="0.35">
      <c r="A54" s="12">
        <f>'Annual Projection'!A52</f>
        <v>89</v>
      </c>
      <c r="B54" s="50">
        <f>'Annual Projection'!K52</f>
        <v>45194.921789399305</v>
      </c>
      <c r="C54" s="50">
        <f>'Annual Projection'!L52</f>
        <v>14763.576765272313</v>
      </c>
      <c r="D54" s="50">
        <f>'Annual Projection'!N52</f>
        <v>9846735.1761193797</v>
      </c>
      <c r="E54" s="50">
        <f>'Annual Projection'!M52</f>
        <v>30431.345024126989</v>
      </c>
    </row>
    <row r="55" spans="1:5" ht="6" customHeight="1" x14ac:dyDescent="0.35">
      <c r="A55" s="11">
        <f>'Annual Projection'!A53</f>
        <v>90</v>
      </c>
      <c r="B55" s="49">
        <f>'Annual Projection'!K53</f>
        <v>47347.1658023333</v>
      </c>
      <c r="C55" s="49">
        <f>'Annual Projection'!L53</f>
        <v>15206.484068230484</v>
      </c>
      <c r="D55" s="49">
        <f>'Annual Projection'!N53</f>
        <v>10398152.345982065</v>
      </c>
      <c r="E55" s="49">
        <f>'Annual Projection'!M53</f>
        <v>32140.681734102815</v>
      </c>
    </row>
  </sheetData>
  <mergeCells count="2">
    <mergeCell ref="B1:O1"/>
    <mergeCell ref="B2:O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555555"/>
  </sheetPr>
  <dimension ref="A1:O26"/>
  <sheetViews>
    <sheetView workbookViewId="0">
      <selection activeCell="H10" sqref="H10"/>
    </sheetView>
  </sheetViews>
  <sheetFormatPr defaultColWidth="8.6328125" defaultRowHeight="14.5" x14ac:dyDescent="0.35"/>
  <cols>
    <col min="1" max="1" width="18.6328125" customWidth="1"/>
    <col min="2" max="2" width="14.36328125" customWidth="1"/>
    <col min="3" max="3" width="12.1796875" customWidth="1"/>
    <col min="4" max="4" width="12.08984375" customWidth="1"/>
    <col min="5" max="5" width="11.26953125" customWidth="1"/>
    <col min="6" max="6" width="14.7265625" customWidth="1"/>
    <col min="7" max="7" width="9" customWidth="1"/>
    <col min="8" max="9" width="18" customWidth="1"/>
  </cols>
  <sheetData>
    <row r="1" spans="1:15" ht="21" x14ac:dyDescent="0.35">
      <c r="A1" s="28"/>
      <c r="B1" s="75" t="s">
        <v>107</v>
      </c>
      <c r="C1" s="75"/>
      <c r="D1" s="75"/>
      <c r="E1" s="75"/>
      <c r="F1" s="75"/>
      <c r="G1" s="75"/>
      <c r="H1" s="75"/>
      <c r="I1" s="75"/>
      <c r="J1" s="77"/>
      <c r="K1" s="77"/>
      <c r="L1" s="77"/>
      <c r="M1" s="77"/>
      <c r="N1" s="77"/>
      <c r="O1" s="77"/>
    </row>
    <row r="2" spans="1:15" ht="16.5" x14ac:dyDescent="0.35">
      <c r="A2" s="28"/>
      <c r="B2" s="76" t="s">
        <v>102</v>
      </c>
      <c r="C2" s="76"/>
      <c r="D2" s="76"/>
      <c r="E2" s="76"/>
      <c r="F2" s="76"/>
      <c r="G2" s="76"/>
      <c r="H2" s="76"/>
      <c r="I2" s="76"/>
      <c r="J2" s="78"/>
      <c r="K2" s="78"/>
      <c r="L2" s="78"/>
      <c r="M2" s="78"/>
      <c r="N2" s="78"/>
      <c r="O2" s="78"/>
    </row>
    <row r="3" spans="1:15" x14ac:dyDescent="0.35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5" x14ac:dyDescent="0.35">
      <c r="A4" s="79" t="s">
        <v>108</v>
      </c>
      <c r="B4" s="79"/>
      <c r="C4" s="79"/>
      <c r="D4" s="79"/>
      <c r="E4" s="79"/>
      <c r="F4" s="79"/>
      <c r="G4" s="80"/>
      <c r="H4" s="80"/>
      <c r="I4" s="80"/>
    </row>
    <row r="5" spans="1:15" x14ac:dyDescent="0.35">
      <c r="A5" s="32" t="s">
        <v>109</v>
      </c>
      <c r="B5" s="32" t="s">
        <v>110</v>
      </c>
      <c r="C5" s="32" t="s">
        <v>111</v>
      </c>
      <c r="D5" s="32" t="s">
        <v>112</v>
      </c>
      <c r="E5" s="32" t="s">
        <v>113</v>
      </c>
      <c r="F5" s="32" t="s">
        <v>114</v>
      </c>
    </row>
    <row r="6" spans="1:15" x14ac:dyDescent="0.35">
      <c r="A6" s="13" t="s">
        <v>115</v>
      </c>
      <c r="B6" s="14">
        <f>Dashboard!D8</f>
        <v>67</v>
      </c>
      <c r="C6" s="15">
        <v>60</v>
      </c>
      <c r="D6" s="15">
        <v>62</v>
      </c>
      <c r="E6" s="15">
        <v>60</v>
      </c>
      <c r="F6" s="15">
        <v>55</v>
      </c>
    </row>
    <row r="7" spans="1:15" x14ac:dyDescent="0.35">
      <c r="A7" s="16" t="s">
        <v>116</v>
      </c>
      <c r="B7" s="17">
        <f>Dashboard!D34</f>
        <v>0.1</v>
      </c>
      <c r="C7" s="40" t="s">
        <v>117</v>
      </c>
      <c r="D7" s="40" t="s">
        <v>118</v>
      </c>
      <c r="E7" s="40" t="s">
        <v>119</v>
      </c>
      <c r="F7" s="40" t="s">
        <v>117</v>
      </c>
    </row>
    <row r="8" spans="1:15" x14ac:dyDescent="0.35">
      <c r="A8" s="13" t="s">
        <v>120</v>
      </c>
      <c r="B8" s="19">
        <f>Dashboard!D35</f>
        <v>0.04</v>
      </c>
      <c r="C8" s="41" t="s">
        <v>119</v>
      </c>
      <c r="D8" s="41" t="s">
        <v>121</v>
      </c>
      <c r="E8" s="41" t="s">
        <v>122</v>
      </c>
      <c r="F8" s="41" t="s">
        <v>119</v>
      </c>
    </row>
    <row r="9" spans="1:15" x14ac:dyDescent="0.35">
      <c r="A9" s="16" t="s">
        <v>123</v>
      </c>
      <c r="B9" s="20">
        <f>Dashboard!D16</f>
        <v>3000</v>
      </c>
      <c r="C9" s="21">
        <v>2500</v>
      </c>
      <c r="D9" s="21">
        <v>2500</v>
      </c>
      <c r="E9" s="21">
        <v>2500</v>
      </c>
      <c r="F9" s="21">
        <v>2200</v>
      </c>
    </row>
    <row r="10" spans="1:15" x14ac:dyDescent="0.35">
      <c r="A10" s="13" t="s">
        <v>124</v>
      </c>
      <c r="B10" s="22">
        <f>Dashboard!D25</f>
        <v>2500</v>
      </c>
      <c r="C10" s="23">
        <v>1700</v>
      </c>
      <c r="D10" s="23">
        <v>1700</v>
      </c>
      <c r="E10" s="23">
        <v>1700</v>
      </c>
      <c r="F10" s="23">
        <v>1700</v>
      </c>
    </row>
    <row r="11" spans="1:15" x14ac:dyDescent="0.35">
      <c r="A11" s="16" t="s">
        <v>125</v>
      </c>
      <c r="B11" s="42">
        <f>Dashboard!G40</f>
        <v>2969518.65242799</v>
      </c>
      <c r="C11" s="43">
        <v>500000</v>
      </c>
      <c r="D11" s="43">
        <v>650000</v>
      </c>
      <c r="E11" s="43">
        <v>350000</v>
      </c>
      <c r="F11" s="43">
        <v>480000</v>
      </c>
    </row>
    <row r="12" spans="1:15" x14ac:dyDescent="0.35">
      <c r="A12" s="13" t="s">
        <v>104</v>
      </c>
      <c r="B12" s="44">
        <f>Dashboard!G22</f>
        <v>7705</v>
      </c>
      <c r="C12" s="45">
        <v>5705</v>
      </c>
      <c r="D12" s="45">
        <v>5000</v>
      </c>
      <c r="E12" s="45">
        <v>6200</v>
      </c>
      <c r="F12" s="45">
        <v>5705</v>
      </c>
    </row>
    <row r="13" spans="1:15" x14ac:dyDescent="0.35">
      <c r="A13" s="16" t="s">
        <v>126</v>
      </c>
      <c r="B13" s="20">
        <f>Dashboard!G36</f>
        <v>17003.395508093301</v>
      </c>
      <c r="C13" s="18" t="s">
        <v>127</v>
      </c>
      <c r="D13" s="18" t="s">
        <v>128</v>
      </c>
      <c r="E13" s="18" t="s">
        <v>129</v>
      </c>
      <c r="F13" s="18" t="s">
        <v>130</v>
      </c>
    </row>
    <row r="14" spans="1:15" x14ac:dyDescent="0.35">
      <c r="A14" s="13" t="s">
        <v>131</v>
      </c>
      <c r="B14" s="22">
        <f>Dashboard!G37</f>
        <v>9298.395508093301</v>
      </c>
      <c r="C14" s="15" t="s">
        <v>127</v>
      </c>
      <c r="D14" s="15" t="s">
        <v>132</v>
      </c>
      <c r="E14" s="15" t="s">
        <v>133</v>
      </c>
      <c r="F14" s="15" t="s">
        <v>134</v>
      </c>
    </row>
    <row r="15" spans="1:15" x14ac:dyDescent="0.35">
      <c r="A15" s="16" t="s">
        <v>135</v>
      </c>
      <c r="B15" s="16" t="s">
        <v>136</v>
      </c>
      <c r="C15" s="21">
        <v>85</v>
      </c>
      <c r="D15" s="18" t="s">
        <v>137</v>
      </c>
      <c r="E15" s="21">
        <v>80</v>
      </c>
      <c r="F15" s="21">
        <v>83</v>
      </c>
    </row>
    <row r="18" spans="1:9" x14ac:dyDescent="0.35">
      <c r="A18" s="69" t="s">
        <v>138</v>
      </c>
      <c r="B18" s="69"/>
      <c r="C18" s="69"/>
      <c r="D18" s="69"/>
      <c r="E18" s="69"/>
      <c r="F18" s="69"/>
      <c r="G18" s="69"/>
      <c r="H18" s="81"/>
      <c r="I18" s="81"/>
    </row>
    <row r="19" spans="1:9" x14ac:dyDescent="0.35">
      <c r="A19" s="34" t="s">
        <v>139</v>
      </c>
      <c r="B19" s="33">
        <v>300000</v>
      </c>
      <c r="C19" s="33">
        <v>400000</v>
      </c>
      <c r="D19" s="33">
        <v>500000</v>
      </c>
      <c r="E19" s="33">
        <v>600000</v>
      </c>
      <c r="F19" s="33">
        <v>750000</v>
      </c>
      <c r="G19" s="33">
        <v>1000000</v>
      </c>
    </row>
    <row r="20" spans="1:9" x14ac:dyDescent="0.35">
      <c r="A20" s="24">
        <v>0.03</v>
      </c>
      <c r="B20" s="46">
        <v>750</v>
      </c>
      <c r="C20" s="46">
        <v>1000</v>
      </c>
      <c r="D20" s="46">
        <v>1250</v>
      </c>
      <c r="E20" s="46">
        <v>1500</v>
      </c>
      <c r="F20" s="46">
        <v>1875</v>
      </c>
      <c r="G20" s="46">
        <v>2500</v>
      </c>
    </row>
    <row r="21" spans="1:9" x14ac:dyDescent="0.35">
      <c r="A21" s="24">
        <v>3.5000000000000003E-2</v>
      </c>
      <c r="B21" s="47">
        <v>875</v>
      </c>
      <c r="C21" s="47">
        <v>1166.6666666666699</v>
      </c>
      <c r="D21" s="47">
        <v>1458.3333333333301</v>
      </c>
      <c r="E21" s="47">
        <v>1750</v>
      </c>
      <c r="F21" s="47">
        <v>2187.5</v>
      </c>
      <c r="G21" s="47">
        <v>2916.6666666666702</v>
      </c>
    </row>
    <row r="22" spans="1:9" x14ac:dyDescent="0.35">
      <c r="A22" s="25">
        <v>0.04</v>
      </c>
      <c r="B22" s="48">
        <v>1000</v>
      </c>
      <c r="C22" s="48">
        <v>1333.3333333333301</v>
      </c>
      <c r="D22" s="48">
        <v>1666.6666666666699</v>
      </c>
      <c r="E22" s="48">
        <v>2000</v>
      </c>
      <c r="F22" s="48">
        <v>2500</v>
      </c>
      <c r="G22" s="48">
        <v>3333.3333333333298</v>
      </c>
    </row>
    <row r="23" spans="1:9" x14ac:dyDescent="0.35">
      <c r="A23" s="24">
        <v>4.4999999999999998E-2</v>
      </c>
      <c r="B23" s="47">
        <v>1125</v>
      </c>
      <c r="C23" s="47">
        <v>1500</v>
      </c>
      <c r="D23" s="47">
        <v>1875</v>
      </c>
      <c r="E23" s="47">
        <v>2250</v>
      </c>
      <c r="F23" s="47">
        <v>2812.5</v>
      </c>
      <c r="G23" s="47">
        <v>3750</v>
      </c>
    </row>
    <row r="24" spans="1:9" x14ac:dyDescent="0.35">
      <c r="A24" s="24">
        <v>0.05</v>
      </c>
      <c r="B24" s="46">
        <v>1250</v>
      </c>
      <c r="C24" s="46">
        <v>1666.6666666666699</v>
      </c>
      <c r="D24" s="46">
        <v>2083.3333333333298</v>
      </c>
      <c r="E24" s="46">
        <v>2500</v>
      </c>
      <c r="F24" s="46">
        <v>3125</v>
      </c>
      <c r="G24" s="46">
        <v>4166.6666666666697</v>
      </c>
    </row>
    <row r="26" spans="1:9" x14ac:dyDescent="0.35">
      <c r="A26" s="82" t="s">
        <v>140</v>
      </c>
      <c r="B26" s="82"/>
      <c r="C26" s="82"/>
      <c r="D26" s="82"/>
      <c r="E26" s="82"/>
      <c r="F26" s="82"/>
      <c r="G26" s="82"/>
      <c r="H26" s="82"/>
      <c r="I26" s="82"/>
    </row>
  </sheetData>
  <mergeCells count="5">
    <mergeCell ref="A4:I4"/>
    <mergeCell ref="A18:I18"/>
    <mergeCell ref="A26:I26"/>
    <mergeCell ref="B1:O1"/>
    <mergeCell ref="B2:O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8"/>
  <sheetViews>
    <sheetView workbookViewId="0"/>
  </sheetViews>
  <sheetFormatPr defaultRowHeight="14.5" x14ac:dyDescent="0.35"/>
  <cols>
    <col min="1" max="1" width="40" customWidth="1"/>
    <col min="2" max="2" width="24" customWidth="1"/>
    <col min="3" max="3" width="40" customWidth="1"/>
    <col min="4" max="4" width="70" customWidth="1"/>
  </cols>
  <sheetData>
    <row r="1" spans="1:4" x14ac:dyDescent="0.35">
      <c r="A1" s="59" t="s">
        <v>144</v>
      </c>
      <c r="B1" s="59" t="s">
        <v>145</v>
      </c>
      <c r="C1" s="59" t="s">
        <v>146</v>
      </c>
      <c r="D1" s="59" t="s">
        <v>147</v>
      </c>
    </row>
    <row r="2" spans="1:4" x14ac:dyDescent="0.35">
      <c r="A2" t="s">
        <v>148</v>
      </c>
      <c r="B2" t="s">
        <v>149</v>
      </c>
      <c r="C2" t="s">
        <v>150</v>
      </c>
      <c r="D2" t="s">
        <v>151</v>
      </c>
    </row>
    <row r="3" spans="1:4" x14ac:dyDescent="0.35">
      <c r="A3" t="s">
        <v>152</v>
      </c>
      <c r="B3" t="s">
        <v>153</v>
      </c>
      <c r="C3" t="s">
        <v>154</v>
      </c>
      <c r="D3" t="s">
        <v>151</v>
      </c>
    </row>
    <row r="4" spans="1:4" x14ac:dyDescent="0.35">
      <c r="A4" t="s">
        <v>155</v>
      </c>
      <c r="B4" t="s">
        <v>156</v>
      </c>
      <c r="C4" t="s">
        <v>157</v>
      </c>
      <c r="D4" t="s">
        <v>151</v>
      </c>
    </row>
    <row r="5" spans="1:4" x14ac:dyDescent="0.35">
      <c r="A5" t="s">
        <v>158</v>
      </c>
      <c r="B5" t="s">
        <v>159</v>
      </c>
      <c r="C5" t="s">
        <v>160</v>
      </c>
      <c r="D5" t="s">
        <v>161</v>
      </c>
    </row>
    <row r="6" spans="1:4" x14ac:dyDescent="0.35">
      <c r="A6" t="s">
        <v>162</v>
      </c>
      <c r="B6" t="s">
        <v>163</v>
      </c>
      <c r="C6" t="s">
        <v>164</v>
      </c>
      <c r="D6" t="s">
        <v>165</v>
      </c>
    </row>
    <row r="7" spans="1:4" x14ac:dyDescent="0.35">
      <c r="A7" t="s">
        <v>166</v>
      </c>
      <c r="B7" t="s">
        <v>167</v>
      </c>
      <c r="C7" t="s">
        <v>168</v>
      </c>
      <c r="D7" t="s">
        <v>169</v>
      </c>
    </row>
    <row r="8" spans="1:4" x14ac:dyDescent="0.35">
      <c r="A8" t="s">
        <v>170</v>
      </c>
      <c r="B8" t="s">
        <v>171</v>
      </c>
      <c r="C8" t="s">
        <v>172</v>
      </c>
      <c r="D8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Dashboard</vt:lpstr>
      <vt:lpstr>Annual Projection</vt:lpstr>
      <vt:lpstr>Charts &amp; Analysis</vt:lpstr>
      <vt:lpstr>Scenarios</vt:lpstr>
      <vt:lpstr>Corrections &amp; Sources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Vaughn</dc:creator>
  <cp:lastModifiedBy>Walter Vaughn</cp:lastModifiedBy>
  <dcterms:created xsi:type="dcterms:W3CDTF">2026-06-09T20:38:40Z</dcterms:created>
  <dcterms:modified xsi:type="dcterms:W3CDTF">2026-06-12T12:23:28Z</dcterms:modified>
</cp:coreProperties>
</file>