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fileSharing readOnlyRecommended="1"/>
  <workbookPr filterPrivacy="1" codeName="ThisWorkbook" defaultThemeVersion="124226"/>
  <xr:revisionPtr revIDLastSave="0" documentId="8_{3EEDDB9A-FE15-4286-88B5-E39F425A9E4D}" xr6:coauthVersionLast="47" xr6:coauthVersionMax="47" xr10:uidLastSave="{00000000-0000-0000-0000-000000000000}"/>
  <bookViews>
    <workbookView xWindow="1170" yWindow="17355" windowWidth="26175" windowHeight="14445" xr2:uid="{00000000-000D-0000-FFFF-FFFF00000000}"/>
  </bookViews>
  <sheets>
    <sheet name="Index" sheetId="4" r:id="rId1"/>
    <sheet name="1.Input --&gt;" sheetId="17" r:id="rId2"/>
    <sheet name="P&amp;L assumptions" sheetId="8" r:id="rId3"/>
    <sheet name="BS assumptions" sheetId="9" r:id="rId4"/>
    <sheet name="2.Output--&gt;" sheetId="18" r:id="rId5"/>
    <sheet name="P&amp;L" sheetId="5" r:id="rId6"/>
    <sheet name="BS" sheetId="7" r:id="rId7"/>
    <sheet name="Cash Flow" sheetId="6" r:id="rId8"/>
    <sheet name="DCF valuation" sheetId="11" r:id="rId9"/>
    <sheet name="3.Charts  --&gt;" sheetId="12" r:id="rId10"/>
    <sheet name="Cash flows" sheetId="14" r:id="rId11"/>
    <sheet name="4.Sources --&gt;" sheetId="1" r:id="rId12"/>
    <sheet name="P&amp;L source" sheetId="2" r:id="rId13"/>
    <sheet name="BS source" sheetId="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4" l="1"/>
  <c r="F3" i="14"/>
  <c r="E3" i="14"/>
  <c r="D3" i="14"/>
  <c r="C3" i="14"/>
  <c r="C20" i="11"/>
  <c r="C21" i="11"/>
  <c r="H10" i="11"/>
  <c r="I10" i="11"/>
  <c r="J10" i="11"/>
  <c r="K10" i="11"/>
  <c r="G10" i="11"/>
  <c r="E8" i="11"/>
  <c r="D8" i="11"/>
  <c r="K27" i="6"/>
  <c r="J27" i="6"/>
  <c r="I27" i="6"/>
  <c r="K19" i="6"/>
  <c r="J19" i="6"/>
  <c r="I19" i="6"/>
  <c r="H27" i="6"/>
  <c r="H19" i="6"/>
  <c r="F14" i="7"/>
  <c r="F25" i="7"/>
  <c r="F29" i="6"/>
  <c r="E29" i="6"/>
  <c r="G31" i="6"/>
  <c r="G27" i="6"/>
  <c r="G19" i="6"/>
  <c r="G6" i="6"/>
  <c r="E34" i="6"/>
  <c r="E31" i="6"/>
  <c r="E28" i="6"/>
  <c r="E27" i="6"/>
  <c r="E25" i="6"/>
  <c r="E21" i="6"/>
  <c r="E19" i="6"/>
  <c r="E18" i="6"/>
  <c r="E16" i="6"/>
  <c r="E14" i="6"/>
  <c r="E15" i="6" s="1"/>
  <c r="E13" i="6"/>
  <c r="E12" i="6"/>
  <c r="E9" i="6"/>
  <c r="E6" i="6"/>
  <c r="E4" i="6"/>
  <c r="D35" i="6"/>
  <c r="D34" i="6"/>
  <c r="D32" i="6"/>
  <c r="D31" i="6"/>
  <c r="D29" i="6"/>
  <c r="D28" i="6"/>
  <c r="D27" i="6"/>
  <c r="D26" i="6"/>
  <c r="D25" i="6"/>
  <c r="D23" i="6"/>
  <c r="D21" i="6"/>
  <c r="D19" i="6"/>
  <c r="D18" i="6"/>
  <c r="D16" i="6"/>
  <c r="D15" i="6"/>
  <c r="D14" i="6"/>
  <c r="D13" i="6"/>
  <c r="D12" i="6"/>
  <c r="D10" i="6"/>
  <c r="D9" i="6"/>
  <c r="D7" i="6"/>
  <c r="D5" i="6"/>
  <c r="D6" i="6"/>
  <c r="D4" i="6"/>
  <c r="H19" i="7"/>
  <c r="I19" i="7"/>
  <c r="J19" i="7"/>
  <c r="K19" i="7"/>
  <c r="G19" i="7"/>
  <c r="H6" i="7"/>
  <c r="I6" i="7"/>
  <c r="J6" i="7"/>
  <c r="K6" i="7"/>
  <c r="G6" i="7"/>
  <c r="H4" i="7"/>
  <c r="I4" i="7"/>
  <c r="J4" i="7"/>
  <c r="K4" i="7"/>
  <c r="G4" i="7"/>
  <c r="D25" i="7"/>
  <c r="E25" i="7"/>
  <c r="C25" i="7"/>
  <c r="D23" i="7"/>
  <c r="E23" i="7"/>
  <c r="C23" i="7"/>
  <c r="D14" i="7"/>
  <c r="E14" i="7"/>
  <c r="C14" i="7"/>
  <c r="D21" i="7"/>
  <c r="E21" i="7"/>
  <c r="C21" i="7"/>
  <c r="D19" i="7"/>
  <c r="E19" i="7"/>
  <c r="C19" i="7"/>
  <c r="D12" i="7"/>
  <c r="E12" i="7"/>
  <c r="C12" i="7"/>
  <c r="D6" i="7"/>
  <c r="E6" i="7"/>
  <c r="C6" i="7"/>
  <c r="D4" i="7"/>
  <c r="E4" i="7"/>
  <c r="C4" i="7"/>
  <c r="E17" i="7"/>
  <c r="D17" i="7"/>
  <c r="C17" i="7"/>
  <c r="E16" i="7"/>
  <c r="D16" i="7"/>
  <c r="C16" i="7"/>
  <c r="E10" i="7"/>
  <c r="D10" i="7"/>
  <c r="C10" i="7"/>
  <c r="E9" i="7"/>
  <c r="D9" i="7"/>
  <c r="C9" i="7"/>
  <c r="E8" i="7"/>
  <c r="D8" i="7"/>
  <c r="C8" i="7"/>
  <c r="D5" i="7"/>
  <c r="E5" i="7"/>
  <c r="C5" i="7"/>
  <c r="D24" i="5"/>
  <c r="E24" i="5"/>
  <c r="F24" i="5"/>
  <c r="D21" i="5"/>
  <c r="E21" i="5"/>
  <c r="D22" i="5"/>
  <c r="E22" i="5"/>
  <c r="C22" i="5"/>
  <c r="L5" i="5"/>
  <c r="G4" i="5"/>
  <c r="E18" i="5"/>
  <c r="D18" i="5"/>
  <c r="C18" i="5"/>
  <c r="E17" i="5"/>
  <c r="D17" i="5"/>
  <c r="C17" i="5"/>
  <c r="E14" i="5"/>
  <c r="D14" i="5"/>
  <c r="C14" i="5"/>
  <c r="E11" i="5"/>
  <c r="D11" i="5"/>
  <c r="C11" i="5"/>
  <c r="E8" i="5"/>
  <c r="D8" i="5"/>
  <c r="C8" i="5"/>
  <c r="E5" i="5"/>
  <c r="D5" i="5"/>
  <c r="C5" i="5"/>
  <c r="D4" i="5"/>
  <c r="E4" i="5"/>
  <c r="C4" i="5"/>
  <c r="F19" i="5"/>
  <c r="F15" i="5"/>
  <c r="F12" i="5"/>
  <c r="F9" i="5"/>
  <c r="F6" i="5"/>
  <c r="G17" i="9"/>
  <c r="G10" i="7" s="1"/>
  <c r="K21" i="9"/>
  <c r="J21" i="9"/>
  <c r="I21" i="9"/>
  <c r="H21" i="9"/>
  <c r="G21" i="9"/>
  <c r="K18" i="9"/>
  <c r="J18" i="9"/>
  <c r="I18" i="9"/>
  <c r="H18" i="9"/>
  <c r="G18" i="9"/>
  <c r="K15" i="9"/>
  <c r="J15" i="9"/>
  <c r="I15" i="9"/>
  <c r="H15" i="9"/>
  <c r="G15" i="9"/>
  <c r="D20" i="9"/>
  <c r="D21" i="9" s="1"/>
  <c r="E20" i="9"/>
  <c r="E21" i="9" s="1"/>
  <c r="C20" i="9"/>
  <c r="C21" i="9" s="1"/>
  <c r="E18" i="9"/>
  <c r="D18" i="9"/>
  <c r="C18" i="9"/>
  <c r="D15" i="9"/>
  <c r="E15" i="9"/>
  <c r="C15" i="9"/>
  <c r="D17" i="9"/>
  <c r="E17" i="9"/>
  <c r="C17" i="9"/>
  <c r="D14" i="9"/>
  <c r="E14" i="9"/>
  <c r="C14" i="9"/>
  <c r="G5" i="9"/>
  <c r="G9" i="7" s="1"/>
  <c r="G13" i="6" s="1"/>
  <c r="H12" i="9"/>
  <c r="I12" i="9"/>
  <c r="J12" i="9"/>
  <c r="K12" i="9"/>
  <c r="G12" i="9"/>
  <c r="H9" i="9"/>
  <c r="I9" i="9"/>
  <c r="J9" i="9"/>
  <c r="K9" i="9"/>
  <c r="G9" i="9"/>
  <c r="H6" i="9"/>
  <c r="I6" i="9"/>
  <c r="J6" i="9"/>
  <c r="K6" i="9"/>
  <c r="G6" i="9"/>
  <c r="E12" i="9"/>
  <c r="D12" i="9"/>
  <c r="C12" i="9"/>
  <c r="D9" i="9"/>
  <c r="E9" i="9"/>
  <c r="C9" i="9"/>
  <c r="D6" i="9"/>
  <c r="E6" i="9"/>
  <c r="C6" i="9"/>
  <c r="D11" i="9"/>
  <c r="E11" i="9"/>
  <c r="C11" i="9"/>
  <c r="D8" i="9"/>
  <c r="E8" i="9"/>
  <c r="C8" i="9"/>
  <c r="D5" i="9"/>
  <c r="E5" i="9"/>
  <c r="C5" i="9"/>
  <c r="K45" i="8"/>
  <c r="K21" i="5" s="1"/>
  <c r="J45" i="8"/>
  <c r="J21" i="5" s="1"/>
  <c r="I45" i="8"/>
  <c r="I21" i="5" s="1"/>
  <c r="H45" i="8"/>
  <c r="H21" i="5" s="1"/>
  <c r="G45" i="8"/>
  <c r="G21" i="5" s="1"/>
  <c r="D45" i="8"/>
  <c r="E45" i="8"/>
  <c r="C45" i="8"/>
  <c r="K40" i="8"/>
  <c r="J40" i="8"/>
  <c r="I40" i="8"/>
  <c r="H40" i="8"/>
  <c r="G40" i="8"/>
  <c r="D40" i="8"/>
  <c r="E40" i="8"/>
  <c r="C40" i="8"/>
  <c r="E35" i="8"/>
  <c r="D35" i="8"/>
  <c r="K35" i="8"/>
  <c r="J35" i="8"/>
  <c r="I35" i="8"/>
  <c r="H35" i="8"/>
  <c r="G35" i="8"/>
  <c r="G34" i="8" s="1"/>
  <c r="H34" i="8" s="1"/>
  <c r="I34" i="8" s="1"/>
  <c r="J34" i="8" s="1"/>
  <c r="K34" i="8" s="1"/>
  <c r="K17" i="5" s="1"/>
  <c r="K25" i="6" s="1"/>
  <c r="D44" i="8"/>
  <c r="E44" i="8"/>
  <c r="C44" i="8"/>
  <c r="D39" i="8"/>
  <c r="E39" i="8"/>
  <c r="C39" i="8"/>
  <c r="D34" i="8"/>
  <c r="E34" i="8"/>
  <c r="C34" i="8"/>
  <c r="K30" i="8"/>
  <c r="J30" i="8"/>
  <c r="I30" i="8"/>
  <c r="H30" i="8"/>
  <c r="G30" i="8"/>
  <c r="D30" i="8"/>
  <c r="E30" i="8"/>
  <c r="C30" i="8"/>
  <c r="D29" i="8"/>
  <c r="E29" i="8"/>
  <c r="C29" i="8"/>
  <c r="D25" i="8"/>
  <c r="E25" i="8"/>
  <c r="C25" i="8"/>
  <c r="D20" i="8"/>
  <c r="E20" i="8"/>
  <c r="C20" i="8"/>
  <c r="K25" i="8"/>
  <c r="J25" i="8"/>
  <c r="I25" i="8"/>
  <c r="H25" i="8"/>
  <c r="G25" i="8"/>
  <c r="K20" i="8"/>
  <c r="J20" i="8"/>
  <c r="I20" i="8"/>
  <c r="H20" i="8"/>
  <c r="G20" i="8"/>
  <c r="K15" i="8"/>
  <c r="J15" i="8"/>
  <c r="I15" i="8"/>
  <c r="H15" i="8"/>
  <c r="G15" i="8"/>
  <c r="G14" i="8" s="1"/>
  <c r="H14" i="8" s="1"/>
  <c r="I14" i="8" s="1"/>
  <c r="J14" i="8" s="1"/>
  <c r="J5" i="5" s="1"/>
  <c r="D24" i="8"/>
  <c r="E24" i="8"/>
  <c r="C24" i="8"/>
  <c r="D19" i="8"/>
  <c r="E19" i="8"/>
  <c r="C19" i="8"/>
  <c r="D8" i="8"/>
  <c r="E9" i="8" s="1"/>
  <c r="E8" i="8"/>
  <c r="C8" i="8"/>
  <c r="D14" i="8"/>
  <c r="D15" i="8" s="1"/>
  <c r="E14" i="8"/>
  <c r="E15" i="8" s="1"/>
  <c r="C14" i="8"/>
  <c r="H9" i="8"/>
  <c r="I9" i="8"/>
  <c r="J9" i="8"/>
  <c r="K9" i="8"/>
  <c r="G9" i="8"/>
  <c r="G8" i="8" s="1"/>
  <c r="B6" i="4"/>
  <c r="B7" i="4" s="1"/>
  <c r="B8" i="4" s="1"/>
  <c r="B9" i="4" s="1"/>
  <c r="B10" i="4" s="1"/>
  <c r="B11" i="4" s="1"/>
  <c r="B12" i="4" s="1"/>
  <c r="B13" i="4" s="1"/>
  <c r="B15" i="4" l="1"/>
  <c r="B16" i="4" s="1"/>
  <c r="B17" i="4" s="1"/>
  <c r="H17" i="5"/>
  <c r="H25" i="6" s="1"/>
  <c r="H6" i="6"/>
  <c r="G17" i="5"/>
  <c r="G25" i="6" s="1"/>
  <c r="G29" i="8"/>
  <c r="G14" i="5" s="1"/>
  <c r="G9" i="6" s="1"/>
  <c r="I17" i="5"/>
  <c r="I25" i="6" s="1"/>
  <c r="I6" i="6"/>
  <c r="G20" i="9"/>
  <c r="G17" i="7" s="1"/>
  <c r="G16" i="6" s="1"/>
  <c r="G5" i="5"/>
  <c r="G6" i="5" s="1"/>
  <c r="J6" i="6"/>
  <c r="H5" i="5"/>
  <c r="J17" i="5"/>
  <c r="J25" i="6" s="1"/>
  <c r="K6" i="6"/>
  <c r="G14" i="9"/>
  <c r="G5" i="7" s="1"/>
  <c r="I5" i="5"/>
  <c r="E5" i="6"/>
  <c r="E26" i="6" s="1"/>
  <c r="E6" i="5"/>
  <c r="E9" i="5" s="1"/>
  <c r="E12" i="5" s="1"/>
  <c r="E15" i="5" s="1"/>
  <c r="E19" i="5" s="1"/>
  <c r="C6" i="5"/>
  <c r="C9" i="5" s="1"/>
  <c r="C12" i="5" s="1"/>
  <c r="D6" i="5"/>
  <c r="D9" i="5" s="1"/>
  <c r="D12" i="5" s="1"/>
  <c r="D15" i="5" s="1"/>
  <c r="D19" i="5" s="1"/>
  <c r="K14" i="8"/>
  <c r="K5" i="5" s="1"/>
  <c r="G19" i="8"/>
  <c r="H8" i="8"/>
  <c r="G24" i="8"/>
  <c r="G11" i="5" s="1"/>
  <c r="G39" i="8"/>
  <c r="G18" i="5" s="1"/>
  <c r="G21" i="6" s="1"/>
  <c r="D9" i="8"/>
  <c r="F6" i="2"/>
  <c r="F14" i="2" s="1"/>
  <c r="F18" i="2" s="1"/>
  <c r="F23" i="2" s="1"/>
  <c r="F27" i="2" s="1"/>
  <c r="E6" i="2"/>
  <c r="E14" i="2" s="1"/>
  <c r="E18" i="2" s="1"/>
  <c r="E23" i="2" s="1"/>
  <c r="E27" i="2" s="1"/>
  <c r="D6" i="2"/>
  <c r="D14" i="2" s="1"/>
  <c r="D18" i="2" s="1"/>
  <c r="D23" i="2" s="1"/>
  <c r="D27" i="2" s="1"/>
  <c r="C15" i="5" l="1"/>
  <c r="C19" i="5" s="1"/>
  <c r="G8" i="9"/>
  <c r="G8" i="7" s="1"/>
  <c r="G12" i="6" s="1"/>
  <c r="G11" i="9"/>
  <c r="G16" i="7" s="1"/>
  <c r="G8" i="5"/>
  <c r="G9" i="5" s="1"/>
  <c r="G12" i="5" s="1"/>
  <c r="G18" i="6"/>
  <c r="H24" i="8"/>
  <c r="H11" i="5" s="1"/>
  <c r="H20" i="9"/>
  <c r="H17" i="7" s="1"/>
  <c r="H17" i="9"/>
  <c r="H10" i="7" s="1"/>
  <c r="H16" i="6" s="1"/>
  <c r="H4" i="5"/>
  <c r="H14" i="9"/>
  <c r="H5" i="7" s="1"/>
  <c r="H5" i="9"/>
  <c r="H9" i="7" s="1"/>
  <c r="H13" i="6" s="1"/>
  <c r="E7" i="6"/>
  <c r="E10" i="6" s="1"/>
  <c r="E23" i="6" s="1"/>
  <c r="E32" i="6" s="1"/>
  <c r="E35" i="6" s="1"/>
  <c r="I8" i="8"/>
  <c r="H19" i="8"/>
  <c r="H39" i="8"/>
  <c r="H18" i="5" s="1"/>
  <c r="H21" i="6" s="1"/>
  <c r="H29" i="8"/>
  <c r="H14" i="5" s="1"/>
  <c r="H9" i="6" s="1"/>
  <c r="E8" i="3"/>
  <c r="K17" i="3"/>
  <c r="J17" i="3"/>
  <c r="D15" i="3"/>
  <c r="F15" i="3"/>
  <c r="F8" i="3"/>
  <c r="D8" i="3"/>
  <c r="L17" i="3"/>
  <c r="E15" i="3"/>
  <c r="L8" i="3"/>
  <c r="K8" i="3"/>
  <c r="J8" i="3"/>
  <c r="G15" i="5" l="1"/>
  <c r="C24" i="5"/>
  <c r="C21" i="5"/>
  <c r="H8" i="9"/>
  <c r="H8" i="7" s="1"/>
  <c r="H12" i="6" s="1"/>
  <c r="H11" i="9"/>
  <c r="H16" i="7" s="1"/>
  <c r="H8" i="5"/>
  <c r="I17" i="9"/>
  <c r="I10" i="7" s="1"/>
  <c r="I14" i="9"/>
  <c r="I5" i="7" s="1"/>
  <c r="I20" i="9"/>
  <c r="I17" i="7" s="1"/>
  <c r="I4" i="5"/>
  <c r="I5" i="9"/>
  <c r="I9" i="7" s="1"/>
  <c r="I13" i="6" s="1"/>
  <c r="H6" i="5"/>
  <c r="G14" i="6"/>
  <c r="G15" i="6" s="1"/>
  <c r="H18" i="6"/>
  <c r="J8" i="8"/>
  <c r="I29" i="8"/>
  <c r="I14" i="5" s="1"/>
  <c r="I9" i="6" s="1"/>
  <c r="I19" i="8"/>
  <c r="I39" i="8"/>
  <c r="I18" i="5" s="1"/>
  <c r="I21" i="6" s="1"/>
  <c r="I24" i="8"/>
  <c r="I11" i="5" s="1"/>
  <c r="D19" i="3"/>
  <c r="F19" i="3"/>
  <c r="L19" i="3"/>
  <c r="J19" i="3"/>
  <c r="K19" i="3"/>
  <c r="E19" i="3"/>
  <c r="I18" i="6" l="1"/>
  <c r="H14" i="6"/>
  <c r="H15" i="6" s="1"/>
  <c r="I6" i="5"/>
  <c r="I8" i="9"/>
  <c r="I8" i="7" s="1"/>
  <c r="I12" i="6" s="1"/>
  <c r="I11" i="9"/>
  <c r="I16" i="7" s="1"/>
  <c r="I8" i="5"/>
  <c r="I16" i="6"/>
  <c r="J20" i="9"/>
  <c r="J17" i="7" s="1"/>
  <c r="J5" i="9"/>
  <c r="J9" i="7" s="1"/>
  <c r="J13" i="6" s="1"/>
  <c r="J4" i="5"/>
  <c r="J17" i="9"/>
  <c r="J10" i="7" s="1"/>
  <c r="J14" i="9"/>
  <c r="J5" i="7" s="1"/>
  <c r="H9" i="5"/>
  <c r="H12" i="5" s="1"/>
  <c r="G19" i="5"/>
  <c r="G22" i="5" s="1"/>
  <c r="G24" i="5" s="1"/>
  <c r="G21" i="7" s="1"/>
  <c r="G4" i="6"/>
  <c r="J29" i="8"/>
  <c r="J14" i="5" s="1"/>
  <c r="J9" i="6" s="1"/>
  <c r="J19" i="8"/>
  <c r="J39" i="8"/>
  <c r="J18" i="5" s="1"/>
  <c r="J21" i="6" s="1"/>
  <c r="J24" i="8"/>
  <c r="J11" i="5" s="1"/>
  <c r="K8" i="8"/>
  <c r="L22" i="3"/>
  <c r="K22" i="3"/>
  <c r="J22" i="3"/>
  <c r="J8" i="9" l="1"/>
  <c r="J8" i="7" s="1"/>
  <c r="J12" i="6" s="1"/>
  <c r="J11" i="9"/>
  <c r="J16" i="7" s="1"/>
  <c r="J8" i="5"/>
  <c r="G5" i="6"/>
  <c r="G26" i="6" s="1"/>
  <c r="G7" i="6"/>
  <c r="G10" i="6" s="1"/>
  <c r="G23" i="6" s="1"/>
  <c r="I9" i="5"/>
  <c r="I12" i="5" s="1"/>
  <c r="G28" i="6"/>
  <c r="G23" i="7"/>
  <c r="J6" i="5"/>
  <c r="J9" i="5" s="1"/>
  <c r="J12" i="5" s="1"/>
  <c r="H15" i="5"/>
  <c r="J18" i="6"/>
  <c r="I14" i="6"/>
  <c r="I15" i="6" s="1"/>
  <c r="K14" i="9"/>
  <c r="K5" i="7" s="1"/>
  <c r="K20" i="9"/>
  <c r="K17" i="7" s="1"/>
  <c r="K17" i="9"/>
  <c r="K10" i="7" s="1"/>
  <c r="K16" i="6" s="1"/>
  <c r="K4" i="5"/>
  <c r="K5" i="9"/>
  <c r="K9" i="7" s="1"/>
  <c r="K13" i="6" s="1"/>
  <c r="J16" i="6"/>
  <c r="K29" i="8"/>
  <c r="K14" i="5" s="1"/>
  <c r="K9" i="6" s="1"/>
  <c r="K19" i="8"/>
  <c r="K39" i="8"/>
  <c r="K18" i="5" s="1"/>
  <c r="K21" i="6" s="1"/>
  <c r="K24" i="8"/>
  <c r="K11" i="5" s="1"/>
  <c r="K6" i="5" l="1"/>
  <c r="K18" i="6"/>
  <c r="G8" i="11"/>
  <c r="G29" i="6"/>
  <c r="G12" i="7" s="1"/>
  <c r="H19" i="5"/>
  <c r="H22" i="5" s="1"/>
  <c r="H24" i="5" s="1"/>
  <c r="H21" i="7" s="1"/>
  <c r="H4" i="6"/>
  <c r="J15" i="5"/>
  <c r="J14" i="6"/>
  <c r="J15" i="6" s="1"/>
  <c r="I15" i="5"/>
  <c r="K11" i="9"/>
  <c r="K16" i="7" s="1"/>
  <c r="K8" i="5"/>
  <c r="K8" i="9"/>
  <c r="K8" i="7" s="1"/>
  <c r="K12" i="6" s="1"/>
  <c r="H28" i="6" l="1"/>
  <c r="H23" i="7"/>
  <c r="J19" i="5"/>
  <c r="J22" i="5" s="1"/>
  <c r="J24" i="5" s="1"/>
  <c r="J4" i="6"/>
  <c r="H5" i="6"/>
  <c r="H26" i="6" s="1"/>
  <c r="C4" i="14"/>
  <c r="G11" i="11"/>
  <c r="G32" i="6"/>
  <c r="G35" i="6" s="1"/>
  <c r="I19" i="5"/>
  <c r="I22" i="5" s="1"/>
  <c r="I24" i="5" s="1"/>
  <c r="I21" i="7" s="1"/>
  <c r="I4" i="6"/>
  <c r="K9" i="5"/>
  <c r="K12" i="5" s="1"/>
  <c r="G34" i="6"/>
  <c r="H31" i="6"/>
  <c r="G14" i="7"/>
  <c r="G25" i="7" s="1"/>
  <c r="K14" i="6"/>
  <c r="K15" i="6" s="1"/>
  <c r="J21" i="7" l="1"/>
  <c r="I28" i="6"/>
  <c r="I23" i="7"/>
  <c r="H7" i="6"/>
  <c r="H10" i="6" s="1"/>
  <c r="H23" i="6" s="1"/>
  <c r="I5" i="6"/>
  <c r="I26" i="6" s="1"/>
  <c r="J5" i="6"/>
  <c r="J26" i="6" s="1"/>
  <c r="C5" i="14"/>
  <c r="K15" i="5"/>
  <c r="J7" i="6" l="1"/>
  <c r="J10" i="6" s="1"/>
  <c r="J23" i="6" s="1"/>
  <c r="J8" i="11" s="1"/>
  <c r="I7" i="6"/>
  <c r="I10" i="6" s="1"/>
  <c r="I23" i="6" s="1"/>
  <c r="I8" i="11" s="1"/>
  <c r="H29" i="6"/>
  <c r="H8" i="11"/>
  <c r="K19" i="5"/>
  <c r="K22" i="5" s="1"/>
  <c r="K24" i="5" s="1"/>
  <c r="K21" i="7" s="1"/>
  <c r="K4" i="6"/>
  <c r="J28" i="6"/>
  <c r="J29" i="6" s="1"/>
  <c r="J23" i="7"/>
  <c r="K28" i="6" l="1"/>
  <c r="K23" i="7"/>
  <c r="D4" i="14"/>
  <c r="H11" i="11"/>
  <c r="E4" i="14"/>
  <c r="I11" i="11"/>
  <c r="E5" i="14" s="1"/>
  <c r="F4" i="14"/>
  <c r="J11" i="11"/>
  <c r="F5" i="14" s="1"/>
  <c r="K5" i="6"/>
  <c r="K26" i="6" s="1"/>
  <c r="H12" i="7"/>
  <c r="H32" i="6"/>
  <c r="I29" i="6"/>
  <c r="I31" i="6" l="1"/>
  <c r="H14" i="7"/>
  <c r="H25" i="7" s="1"/>
  <c r="I12" i="7"/>
  <c r="H34" i="6"/>
  <c r="H35" i="6" s="1"/>
  <c r="D5" i="14"/>
  <c r="K7" i="6"/>
  <c r="K10" i="6" s="1"/>
  <c r="K23" i="6" s="1"/>
  <c r="K8" i="11" s="1"/>
  <c r="I32" i="6"/>
  <c r="C16" i="11" l="1"/>
  <c r="C17" i="11" s="1"/>
  <c r="G4" i="14"/>
  <c r="K11" i="11"/>
  <c r="K29" i="6"/>
  <c r="J12" i="7"/>
  <c r="I34" i="6"/>
  <c r="I35" i="6" s="1"/>
  <c r="J31" i="6"/>
  <c r="J32" i="6" s="1"/>
  <c r="I14" i="7"/>
  <c r="I25" i="7" s="1"/>
  <c r="J34" i="6" l="1"/>
  <c r="J35" i="6" s="1"/>
  <c r="K31" i="6"/>
  <c r="K32" i="6" s="1"/>
  <c r="K12" i="7"/>
  <c r="J14" i="7"/>
  <c r="J25" i="7" s="1"/>
  <c r="G5" i="14"/>
  <c r="C15" i="11"/>
  <c r="C18" i="11" s="1"/>
  <c r="E17" i="11" s="1"/>
  <c r="G22" i="11" l="1"/>
  <c r="C22" i="11"/>
  <c r="K14" i="7"/>
  <c r="K25" i="7" s="1"/>
  <c r="K34" i="6"/>
  <c r="K35" i="6" s="1"/>
  <c r="E15" i="11"/>
</calcChain>
</file>

<file path=xl/sharedStrings.xml><?xml version="1.0" encoding="utf-8"?>
<sst xmlns="http://schemas.openxmlformats.org/spreadsheetml/2006/main" count="281" uniqueCount="148">
  <si>
    <t>BS source</t>
  </si>
  <si>
    <t>P&amp;L source</t>
  </si>
  <si>
    <t xml:space="preserve">#                </t>
  </si>
  <si>
    <t>Worksheet</t>
  </si>
  <si>
    <t>DCF Valuation</t>
  </si>
  <si>
    <t>Sheet index</t>
  </si>
  <si>
    <t>P&amp;L</t>
  </si>
  <si>
    <t>Revenue from sales and services</t>
  </si>
  <si>
    <t>Other revenue</t>
  </si>
  <si>
    <t>Revenue</t>
  </si>
  <si>
    <t>Raw materials</t>
  </si>
  <si>
    <t>Cost for services</t>
  </si>
  <si>
    <t>Lease costs</t>
  </si>
  <si>
    <t>Other operating expenses</t>
  </si>
  <si>
    <t>EBITDA</t>
  </si>
  <si>
    <t>D&amp;A</t>
  </si>
  <si>
    <t>EBIT</t>
  </si>
  <si>
    <t>Financial income/expenses</t>
  </si>
  <si>
    <t>Extraordinary income</t>
  </si>
  <si>
    <t>EBT</t>
  </si>
  <si>
    <t>2011
Act</t>
  </si>
  <si>
    <t>2012
Act</t>
  </si>
  <si>
    <t>2013
Act</t>
  </si>
  <si>
    <t>Taxes</t>
  </si>
  <si>
    <t>Net Income</t>
  </si>
  <si>
    <t>BS</t>
  </si>
  <si>
    <t>P&amp;L assumptions</t>
  </si>
  <si>
    <t>BS assumptions</t>
  </si>
  <si>
    <t>Cash Flow</t>
  </si>
  <si>
    <t>Intangible assets</t>
  </si>
  <si>
    <t>Trade receivables</t>
  </si>
  <si>
    <t>Other assets</t>
  </si>
  <si>
    <t>Inventory</t>
  </si>
  <si>
    <t>31Dec11
Act</t>
  </si>
  <si>
    <t>31Dec12
Act</t>
  </si>
  <si>
    <t>31Dec13
Act</t>
  </si>
  <si>
    <t>Cash and equivalents</t>
  </si>
  <si>
    <t>Total Assets</t>
  </si>
  <si>
    <t>Share Capital</t>
  </si>
  <si>
    <t>Reserves</t>
  </si>
  <si>
    <t>Retained earnings</t>
  </si>
  <si>
    <t>Profit/(loss) for the year</t>
  </si>
  <si>
    <t>Total Equity</t>
  </si>
  <si>
    <t>PP&amp;E</t>
  </si>
  <si>
    <t>Trade payable</t>
  </si>
  <si>
    <t>Other liabilities</t>
  </si>
  <si>
    <t>Provisions for retirement benefits</t>
  </si>
  <si>
    <t>Bank borrowings</t>
  </si>
  <si>
    <t>Other Financial liabilities</t>
  </si>
  <si>
    <t>Total Liabilities</t>
  </si>
  <si>
    <t>Total Liabilities &amp; Equity</t>
  </si>
  <si>
    <t>Deferred taxes</t>
  </si>
  <si>
    <t>Financial assets</t>
  </si>
  <si>
    <t>$ in thousands</t>
  </si>
  <si>
    <t>FY11
Actual</t>
  </si>
  <si>
    <t>FY12
Actual</t>
  </si>
  <si>
    <t>FY13
Actual</t>
  </si>
  <si>
    <t>FY14
Forecast</t>
  </si>
  <si>
    <t>FY15
Forecast</t>
  </si>
  <si>
    <t>FY16
Forecast</t>
  </si>
  <si>
    <t>FY17
Forecast</t>
  </si>
  <si>
    <t>FY18
Forecast</t>
  </si>
  <si>
    <t>USD in thousands</t>
  </si>
  <si>
    <t>Fixed assets</t>
  </si>
  <si>
    <t>Non fixed assets</t>
  </si>
  <si>
    <t>DCF valuation</t>
  </si>
  <si>
    <t>Note</t>
  </si>
  <si>
    <t>Balance Sheet</t>
  </si>
  <si>
    <t>Cash flows</t>
  </si>
  <si>
    <t>1.Input --&gt;</t>
  </si>
  <si>
    <t>2.Output --&gt;</t>
  </si>
  <si>
    <t>DCF results</t>
  </si>
  <si>
    <t>4. Sources --&gt;</t>
  </si>
  <si>
    <t>3.Charts --&gt;</t>
  </si>
  <si>
    <t>4.Sources --&gt;</t>
  </si>
  <si>
    <t>Direct costs</t>
  </si>
  <si>
    <t>.</t>
  </si>
  <si>
    <t>Selected Case</t>
  </si>
  <si>
    <t>Scenario:</t>
  </si>
  <si>
    <t>Case 1</t>
  </si>
  <si>
    <t>Case 3</t>
  </si>
  <si>
    <t>Case 2</t>
  </si>
  <si>
    <t>Base case</t>
  </si>
  <si>
    <t>Worst case</t>
  </si>
  <si>
    <t>Optomistic case</t>
  </si>
  <si>
    <t>Better than historical growth</t>
  </si>
  <si>
    <t>Average historical growth</t>
  </si>
  <si>
    <t>Lower than average historical growth</t>
  </si>
  <si>
    <t>Revenues</t>
  </si>
  <si>
    <t>y-o-y growth percentage</t>
  </si>
  <si>
    <t>Other revenues</t>
  </si>
  <si>
    <t>y-o-y growth %</t>
  </si>
  <si>
    <t>Cost of goods sold</t>
  </si>
  <si>
    <t>Operating expenses</t>
  </si>
  <si>
    <t>Interest expense</t>
  </si>
  <si>
    <t>% of revenue</t>
  </si>
  <si>
    <t>% of revenues</t>
  </si>
  <si>
    <t>% of EBT</t>
  </si>
  <si>
    <t>Days recievable</t>
  </si>
  <si>
    <t>Days inventory</t>
  </si>
  <si>
    <t>Trade payables</t>
  </si>
  <si>
    <t>Days payable</t>
  </si>
  <si>
    <t>as a % of revenue</t>
  </si>
  <si>
    <t>Total Revenues</t>
  </si>
  <si>
    <t>Gross Margin</t>
  </si>
  <si>
    <t>Interest expenses</t>
  </si>
  <si>
    <t>Tax rate</t>
  </si>
  <si>
    <t>Net income</t>
  </si>
  <si>
    <t>Financial liabilitites</t>
  </si>
  <si>
    <t>Shareholders' equity</t>
  </si>
  <si>
    <t>Total Liabilities &amp; Equities</t>
  </si>
  <si>
    <t>Check</t>
  </si>
  <si>
    <t>Flat</t>
  </si>
  <si>
    <t>Operating taxes</t>
  </si>
  <si>
    <t>Operating tax rate</t>
  </si>
  <si>
    <t>NOPAT</t>
  </si>
  <si>
    <t>Add-back D&amp;A</t>
  </si>
  <si>
    <t>Gross Cash Flow</t>
  </si>
  <si>
    <t>Investments in working capital</t>
  </si>
  <si>
    <t>Investments in other assets/liabilitites</t>
  </si>
  <si>
    <t>Capex</t>
  </si>
  <si>
    <t>Other Investments (financial &amp; intangibles)</t>
  </si>
  <si>
    <t>Extraordinary items</t>
  </si>
  <si>
    <t>UFCF</t>
  </si>
  <si>
    <t>Delta Taxes vs Operating taxes</t>
  </si>
  <si>
    <t>Delta Financial liabilities</t>
  </si>
  <si>
    <t>Delta Equity (incl. dividends)</t>
  </si>
  <si>
    <t>Net Cash Flow</t>
  </si>
  <si>
    <t>1)</t>
  </si>
  <si>
    <t>2)</t>
  </si>
  <si>
    <t>3)</t>
  </si>
  <si>
    <t>4)</t>
  </si>
  <si>
    <t>5)</t>
  </si>
  <si>
    <t>6)</t>
  </si>
  <si>
    <t>1) + 2) + 3) + 4) + 5) + 6)</t>
  </si>
  <si>
    <t>Opening cash</t>
  </si>
  <si>
    <t>Closing cash</t>
  </si>
  <si>
    <t>WACC</t>
  </si>
  <si>
    <t>g</t>
  </si>
  <si>
    <t>Discount factor</t>
  </si>
  <si>
    <t>Present value of UFCF</t>
  </si>
  <si>
    <t>PV of Cash flows</t>
  </si>
  <si>
    <t>Continuing value</t>
  </si>
  <si>
    <t>PV of Continuing value</t>
  </si>
  <si>
    <t>Enterprise value</t>
  </si>
  <si>
    <t>() Financial liabilities</t>
  </si>
  <si>
    <t>Cash</t>
  </si>
  <si>
    <t>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</si>
</sst>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.0_);_(* \(#,##0.0\);_(* &quot;-&quot;?_);@_)"/>
    <numFmt numFmtId="165" formatCode="_(* #,##0.0_);_(* \(#,##0.0\);_(* &quot;-&quot;?_);@_l"/>
    <numFmt numFmtId="166" formatCode="_(* #,##0_);_(* \(#,##0\);_(* &quot;-&quot;?_);@_)"/>
    <numFmt numFmtId="167" formatCode="0.0%"/>
    <numFmt numFmtId="168" formatCode="_(* #,##0_);_(* \(#,##0\);_(* &quot;-&quot;??_);_(@_)"/>
    <numFmt numFmtId="169" formatCode="_(* #,##0_);_(* \(#,##0\);_(* &quot;-&quot;?_);@_l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_-* #,##0\ _D_M_-;\-* #,##0\ _D_M_-;_-* &quot;-&quot;\ _D_M_-;_-@_-"/>
    <numFmt numFmtId="173" formatCode="_-* #,##0.00\ &quot;Kc&quot;_-;\-* #,##0.00\ &quot;Kc&quot;_-;_-* &quot;-&quot;??\ &quot;Kc&quot;_-;_-@_-"/>
    <numFmt numFmtId="174" formatCode="\(0\'\)"/>
    <numFmt numFmtId="175" formatCode="0.00_)"/>
    <numFmt numFmtId="176" formatCode="#,##0;\(#,##0\);&quot;-&quot;"/>
    <numFmt numFmtId="177" formatCode="_-* #,##0_-;\-* #,##0_-;_-* &quot;-&quot;_-;_-@_-"/>
    <numFmt numFmtId="178" formatCode="#,##0_);\(#,##0\);&quot; - &quot;_);@_)"/>
    <numFmt numFmtId="179" formatCode="\ #,##0.0_);\(#,##0.0\);&quot; - &quot;_);@_)"/>
    <numFmt numFmtId="180" formatCode="_(* #,##0.0_);_(* \(#,##0.0\);_(* &quot;-&quot;??_);_(@_)"/>
    <numFmt numFmtId="181" formatCode="_(* #,##0.00_);_(* \(#,##0.00\);_(* &quot;-&quot;?_);@_)"/>
  </numFmts>
  <fonts count="66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rgb="FF002060"/>
      <name val="Arial"/>
      <family val="2"/>
    </font>
    <font>
      <b/>
      <sz val="9"/>
      <color theme="1"/>
      <name val="Arial"/>
      <family val="2"/>
    </font>
    <font>
      <b/>
      <sz val="32"/>
      <color rgb="FF002060"/>
      <name val="Arial"/>
      <family val="2"/>
    </font>
    <font>
      <b/>
      <sz val="9"/>
      <color theme="3"/>
      <name val="Calibri"/>
      <family val="2"/>
      <scheme val="minor"/>
    </font>
    <font>
      <b/>
      <sz val="9"/>
      <color rgb="FF002060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rgb="FF00206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 CE"/>
      <charset val="238"/>
    </font>
    <font>
      <sz val="10"/>
      <name val="Helv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8"/>
      <name val="Verdana"/>
      <family val="2"/>
    </font>
    <font>
      <sz val="10"/>
      <name val="Garamond"/>
      <family val="1"/>
    </font>
    <font>
      <sz val="10"/>
      <color indexed="8"/>
      <name val="MS Sans Serif"/>
      <family val="2"/>
    </font>
    <font>
      <sz val="10"/>
      <name val="Verdana"/>
      <family val="2"/>
    </font>
    <font>
      <sz val="7"/>
      <color indexed="10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4"/>
      <color indexed="25"/>
      <name val="Arial"/>
      <family val="2"/>
    </font>
    <font>
      <b/>
      <sz val="10"/>
      <color indexed="25"/>
      <name val="Arial Narrow"/>
      <family val="2"/>
    </font>
    <font>
      <i/>
      <sz val="10"/>
      <color indexed="25"/>
      <name val="Arial Narrow"/>
      <family val="2"/>
    </font>
    <font>
      <sz val="8"/>
      <color indexed="25"/>
      <name val="Arial Narrow"/>
      <family val="2"/>
    </font>
    <font>
      <sz val="10"/>
      <name val="Tahoma"/>
      <family val="2"/>
    </font>
    <font>
      <sz val="12"/>
      <name val="Arial Narrow"/>
      <family val="2"/>
    </font>
    <font>
      <b/>
      <sz val="12"/>
      <color theme="1"/>
      <name val="Tahoma                        "/>
    </font>
    <font>
      <sz val="8"/>
      <color theme="1"/>
      <name val="Tahoma                        "/>
    </font>
    <font>
      <b/>
      <sz val="8"/>
      <color theme="1"/>
      <name val="Tahoma                        "/>
    </font>
    <font>
      <b/>
      <sz val="10"/>
      <color theme="1"/>
      <name val="Tahoma                        "/>
    </font>
    <font>
      <b/>
      <sz val="8"/>
      <color theme="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7030A0"/>
        <bgColor indexed="64"/>
      </patternFill>
    </fill>
    <fill>
      <patternFill patternType="mediumGray">
        <bgColor theme="0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hair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67">
    <xf numFmtId="0" fontId="0" fillId="0" borderId="0"/>
    <xf numFmtId="0" fontId="5" fillId="0" borderId="1" applyFill="0" applyProtection="0">
      <alignment horizontal="right" wrapText="1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" borderId="5"/>
    <xf numFmtId="0" fontId="16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7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13" fillId="0" borderId="0"/>
    <xf numFmtId="0" fontId="20" fillId="7" borderId="0" applyNumberFormat="0" applyBorder="0" applyAlignment="0" applyProtection="0"/>
    <xf numFmtId="0" fontId="21" fillId="24" borderId="6" applyNumberFormat="0" applyAlignment="0" applyProtection="0"/>
    <xf numFmtId="0" fontId="22" fillId="25" borderId="7" applyNumberFormat="0" applyAlignment="0" applyProtection="0"/>
    <xf numFmtId="49" fontId="14" fillId="0" borderId="0">
      <alignment horizontal="left" vertical="top" wrapText="1"/>
    </xf>
    <xf numFmtId="170" fontId="1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38" fontId="14" fillId="26" borderId="0" applyNumberFormat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11" borderId="6" applyNumberFormat="0" applyAlignment="0" applyProtection="0"/>
    <xf numFmtId="10" fontId="14" fillId="5" borderId="11" applyNumberFormat="0" applyBorder="0" applyAlignment="0" applyProtection="0"/>
    <xf numFmtId="0" fontId="29" fillId="0" borderId="12" applyNumberFormat="0" applyFill="0" applyAlignment="0" applyProtection="0"/>
    <xf numFmtId="173" fontId="30" fillId="0" borderId="0" applyFont="0" applyFill="0" applyBorder="0" applyAlignment="0" applyProtection="0"/>
    <xf numFmtId="172" fontId="13" fillId="0" borderId="0" applyFont="0" applyFill="0" applyBorder="0" applyAlignment="0" applyProtection="0"/>
    <xf numFmtId="4" fontId="31" fillId="0" borderId="0" applyFont="0" applyFill="0" applyBorder="0" applyAlignment="0" applyProtection="0"/>
    <xf numFmtId="4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32" fillId="27" borderId="0" applyNumberFormat="0" applyBorder="0" applyAlignment="0" applyProtection="0"/>
    <xf numFmtId="175" fontId="33" fillId="0" borderId="0"/>
    <xf numFmtId="0" fontId="30" fillId="0" borderId="0"/>
    <xf numFmtId="0" fontId="18" fillId="28" borderId="13" applyNumberFormat="0" applyFont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5" fillId="24" borderId="14" applyNumberFormat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6" fillId="0" borderId="15">
      <alignment horizontal="center"/>
    </xf>
    <xf numFmtId="3" fontId="34" fillId="0" borderId="0" applyFont="0" applyFill="0" applyBorder="0" applyAlignment="0" applyProtection="0"/>
    <xf numFmtId="0" fontId="34" fillId="29" borderId="0" applyNumberFormat="0" applyFont="0" applyBorder="0" applyAlignment="0" applyProtection="0"/>
    <xf numFmtId="3" fontId="46" fillId="30" borderId="0" applyFont="0" applyFill="0" applyBorder="0" applyAlignment="0" applyProtection="0"/>
    <xf numFmtId="4" fontId="37" fillId="31" borderId="14" applyNumberFormat="0" applyProtection="0">
      <alignment vertical="center"/>
    </xf>
    <xf numFmtId="4" fontId="38" fillId="31" borderId="14" applyNumberFormat="0" applyProtection="0">
      <alignment vertical="center"/>
    </xf>
    <xf numFmtId="4" fontId="37" fillId="31" borderId="14" applyNumberFormat="0" applyProtection="0">
      <alignment horizontal="left" vertical="center" indent="1"/>
    </xf>
    <xf numFmtId="4" fontId="37" fillId="31" borderId="14" applyNumberFormat="0" applyProtection="0">
      <alignment horizontal="left" vertical="center" indent="1"/>
    </xf>
    <xf numFmtId="0" fontId="13" fillId="32" borderId="14" applyNumberFormat="0" applyProtection="0">
      <alignment horizontal="left" vertical="center" indent="1"/>
    </xf>
    <xf numFmtId="4" fontId="37" fillId="33" borderId="14" applyNumberFormat="0" applyProtection="0">
      <alignment horizontal="right" vertical="center"/>
    </xf>
    <xf numFmtId="4" fontId="37" fillId="34" borderId="14" applyNumberFormat="0" applyProtection="0">
      <alignment horizontal="right" vertical="center"/>
    </xf>
    <xf numFmtId="4" fontId="37" fillId="35" borderId="14" applyNumberFormat="0" applyProtection="0">
      <alignment horizontal="right" vertical="center"/>
    </xf>
    <xf numFmtId="4" fontId="37" fillId="36" borderId="14" applyNumberFormat="0" applyProtection="0">
      <alignment horizontal="right" vertical="center"/>
    </xf>
    <xf numFmtId="4" fontId="37" fillId="37" borderId="14" applyNumberFormat="0" applyProtection="0">
      <alignment horizontal="right" vertical="center"/>
    </xf>
    <xf numFmtId="4" fontId="37" fillId="38" borderId="14" applyNumberFormat="0" applyProtection="0">
      <alignment horizontal="right" vertical="center"/>
    </xf>
    <xf numFmtId="4" fontId="37" fillId="39" borderId="14" applyNumberFormat="0" applyProtection="0">
      <alignment horizontal="right" vertical="center"/>
    </xf>
    <xf numFmtId="4" fontId="37" fillId="40" borderId="14" applyNumberFormat="0" applyProtection="0">
      <alignment horizontal="right" vertical="center"/>
    </xf>
    <xf numFmtId="4" fontId="37" fillId="41" borderId="14" applyNumberFormat="0" applyProtection="0">
      <alignment horizontal="right" vertical="center"/>
    </xf>
    <xf numFmtId="4" fontId="39" fillId="42" borderId="14" applyNumberFormat="0" applyProtection="0">
      <alignment horizontal="left" vertical="center" indent="1"/>
    </xf>
    <xf numFmtId="4" fontId="37" fillId="43" borderId="16" applyNumberFormat="0" applyProtection="0">
      <alignment horizontal="left" vertical="center" indent="1"/>
    </xf>
    <xf numFmtId="4" fontId="40" fillId="44" borderId="0" applyNumberFormat="0" applyProtection="0">
      <alignment horizontal="left" vertical="center" indent="1"/>
    </xf>
    <xf numFmtId="0" fontId="13" fillId="32" borderId="14" applyNumberFormat="0" applyProtection="0">
      <alignment horizontal="left" vertical="center" indent="1"/>
    </xf>
    <xf numFmtId="4" fontId="37" fillId="43" borderId="14" applyNumberFormat="0" applyProtection="0">
      <alignment horizontal="left" vertical="center" indent="1"/>
    </xf>
    <xf numFmtId="4" fontId="37" fillId="45" borderId="14" applyNumberFormat="0" applyProtection="0">
      <alignment horizontal="left" vertical="center" indent="1"/>
    </xf>
    <xf numFmtId="0" fontId="13" fillId="45" borderId="14" applyNumberFormat="0" applyProtection="0">
      <alignment horizontal="left" vertical="center" indent="1"/>
    </xf>
    <xf numFmtId="0" fontId="13" fillId="45" borderId="14" applyNumberFormat="0" applyProtection="0">
      <alignment horizontal="left" vertical="center" indent="1"/>
    </xf>
    <xf numFmtId="0" fontId="13" fillId="46" borderId="14" applyNumberFormat="0" applyProtection="0">
      <alignment horizontal="left" vertical="center" indent="1"/>
    </xf>
    <xf numFmtId="0" fontId="13" fillId="46" borderId="14" applyNumberFormat="0" applyProtection="0">
      <alignment horizontal="left" vertical="center" indent="1"/>
    </xf>
    <xf numFmtId="0" fontId="13" fillId="26" borderId="14" applyNumberFormat="0" applyProtection="0">
      <alignment horizontal="left" vertical="center" indent="1"/>
    </xf>
    <xf numFmtId="0" fontId="13" fillId="26" borderId="14" applyNumberFormat="0" applyProtection="0">
      <alignment horizontal="left" vertical="center" indent="1"/>
    </xf>
    <xf numFmtId="0" fontId="13" fillId="32" borderId="14" applyNumberFormat="0" applyProtection="0">
      <alignment horizontal="left" vertical="center" indent="1"/>
    </xf>
    <xf numFmtId="0" fontId="13" fillId="32" borderId="14" applyNumberFormat="0" applyProtection="0">
      <alignment horizontal="left" vertical="center" indent="1"/>
    </xf>
    <xf numFmtId="4" fontId="37" fillId="5" borderId="14" applyNumberFormat="0" applyProtection="0">
      <alignment vertical="center"/>
    </xf>
    <xf numFmtId="4" fontId="38" fillId="5" borderId="14" applyNumberFormat="0" applyProtection="0">
      <alignment vertical="center"/>
    </xf>
    <xf numFmtId="4" fontId="37" fillId="5" borderId="14" applyNumberFormat="0" applyProtection="0">
      <alignment horizontal="left" vertical="center" indent="1"/>
    </xf>
    <xf numFmtId="4" fontId="37" fillId="5" borderId="14" applyNumberFormat="0" applyProtection="0">
      <alignment horizontal="left" vertical="center" indent="1"/>
    </xf>
    <xf numFmtId="4" fontId="37" fillId="43" borderId="14" applyNumberFormat="0" applyProtection="0">
      <alignment horizontal="right" vertical="center"/>
    </xf>
    <xf numFmtId="4" fontId="38" fillId="43" borderId="14" applyNumberFormat="0" applyProtection="0">
      <alignment horizontal="right" vertical="center"/>
    </xf>
    <xf numFmtId="0" fontId="13" fillId="32" borderId="14" applyNumberFormat="0" applyProtection="0">
      <alignment horizontal="left" vertical="center" indent="1"/>
    </xf>
    <xf numFmtId="0" fontId="13" fillId="32" borderId="14" applyNumberFormat="0" applyProtection="0">
      <alignment horizontal="left" vertical="center" indent="1"/>
    </xf>
    <xf numFmtId="0" fontId="41" fillId="0" borderId="0"/>
    <xf numFmtId="4" fontId="15" fillId="43" borderId="14" applyNumberFormat="0" applyProtection="0">
      <alignment horizontal="right" vertical="center"/>
    </xf>
    <xf numFmtId="0" fontId="13" fillId="0" borderId="0"/>
    <xf numFmtId="0" fontId="42" fillId="0" borderId="0" applyNumberFormat="0" applyFill="0" applyBorder="0" applyAlignment="0" applyProtection="0"/>
    <xf numFmtId="0" fontId="43" fillId="0" borderId="17" applyNumberFormat="0" applyFill="0" applyAlignment="0" applyProtection="0"/>
    <xf numFmtId="3" fontId="44" fillId="0" borderId="2" applyNumberFormat="0"/>
    <xf numFmtId="0" fontId="4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47" fillId="0" borderId="0"/>
    <xf numFmtId="0" fontId="13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9" fillId="0" borderId="0"/>
    <xf numFmtId="0" fontId="50" fillId="0" borderId="0"/>
    <xf numFmtId="176" fontId="51" fillId="0" borderId="0"/>
    <xf numFmtId="176" fontId="13" fillId="0" borderId="0"/>
    <xf numFmtId="176" fontId="53" fillId="0" borderId="0"/>
    <xf numFmtId="0" fontId="54" fillId="0" borderId="0">
      <alignment horizontal="left"/>
    </xf>
    <xf numFmtId="177" fontId="52" fillId="0" borderId="18" applyFill="0" applyBorder="0" applyProtection="0">
      <alignment horizontal="right" vertical="top"/>
    </xf>
    <xf numFmtId="176" fontId="55" fillId="0" borderId="18">
      <alignment horizontal="left"/>
    </xf>
    <xf numFmtId="0" fontId="54" fillId="0" borderId="18">
      <alignment horizontal="right" wrapText="1"/>
    </xf>
    <xf numFmtId="0" fontId="52" fillId="0" borderId="0" applyFill="0" applyBorder="0">
      <alignment horizontal="left" vertical="top" wrapText="1"/>
    </xf>
    <xf numFmtId="178" fontId="52" fillId="0" borderId="0" applyFill="0" applyBorder="0">
      <alignment horizontal="right" vertical="top"/>
    </xf>
    <xf numFmtId="179" fontId="52" fillId="0" borderId="0" applyFill="0" applyBorder="0">
      <alignment horizontal="right" vertical="top"/>
    </xf>
    <xf numFmtId="49" fontId="52" fillId="0" borderId="0" applyNumberFormat="0" applyFill="0" applyBorder="0" applyProtection="0">
      <alignment horizontal="center" vertical="top"/>
    </xf>
    <xf numFmtId="176" fontId="56" fillId="0" borderId="0">
      <alignment horizontal="left" vertical="top"/>
    </xf>
    <xf numFmtId="0" fontId="57" fillId="0" borderId="0"/>
    <xf numFmtId="0" fontId="7" fillId="0" borderId="0"/>
    <xf numFmtId="0" fontId="58" fillId="0" borderId="0"/>
    <xf numFmtId="0" fontId="7" fillId="0" borderId="0"/>
    <xf numFmtId="17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59" fillId="0" borderId="0"/>
    <xf numFmtId="0" fontId="60" fillId="0" borderId="0"/>
    <xf numFmtId="0" fontId="61" fillId="0" borderId="0"/>
    <xf numFmtId="0" fontId="62" fillId="0" borderId="0"/>
    <xf numFmtId="0" fontId="62" fillId="0" borderId="0"/>
    <xf numFmtId="0" fontId="59" fillId="0" borderId="0"/>
    <xf numFmtId="0" fontId="60" fillId="0" borderId="0"/>
    <xf numFmtId="0" fontId="61" fillId="0" borderId="0"/>
    <xf numFmtId="0" fontId="65" fillId="0" borderId="0" applyNumberFormat="0" applyFill="0" applyBorder="0" applyAlignment="0" applyProtection="0"/>
  </cellStyleXfs>
  <cellXfs count="1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5" fillId="2" borderId="1" xfId="1" applyFill="1" applyAlignment="1">
      <alignment horizontal="left" wrapText="1"/>
    </xf>
    <xf numFmtId="0" fontId="6" fillId="2" borderId="0" xfId="0" applyFont="1" applyFill="1"/>
    <xf numFmtId="164" fontId="2" fillId="2" borderId="0" xfId="0" applyNumberFormat="1" applyFont="1" applyFill="1"/>
    <xf numFmtId="164" fontId="1" fillId="2" borderId="0" xfId="0" applyNumberFormat="1" applyFont="1" applyFill="1"/>
    <xf numFmtId="164" fontId="3" fillId="2" borderId="2" xfId="0" applyNumberFormat="1" applyFont="1" applyFill="1" applyBorder="1"/>
    <xf numFmtId="164" fontId="3" fillId="2" borderId="2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/>
    <xf numFmtId="165" fontId="1" fillId="2" borderId="0" xfId="0" applyNumberFormat="1" applyFont="1" applyFill="1"/>
    <xf numFmtId="165" fontId="2" fillId="2" borderId="0" xfId="0" applyNumberFormat="1" applyFont="1" applyFill="1"/>
    <xf numFmtId="166" fontId="1" fillId="2" borderId="0" xfId="0" applyNumberFormat="1" applyFont="1" applyFill="1"/>
    <xf numFmtId="166" fontId="3" fillId="2" borderId="3" xfId="0" applyNumberFormat="1" applyFont="1" applyFill="1" applyBorder="1"/>
    <xf numFmtId="164" fontId="1" fillId="2" borderId="3" xfId="0" applyNumberFormat="1" applyFont="1" applyFill="1" applyBorder="1"/>
    <xf numFmtId="164" fontId="8" fillId="2" borderId="0" xfId="0" applyNumberFormat="1" applyFont="1" applyFill="1"/>
    <xf numFmtId="164" fontId="6" fillId="2" borderId="4" xfId="0" applyNumberFormat="1" applyFont="1" applyFill="1" applyBorder="1"/>
    <xf numFmtId="164" fontId="6" fillId="2" borderId="4" xfId="0" applyNumberFormat="1" applyFont="1" applyFill="1" applyBorder="1" applyAlignment="1">
      <alignment horizontal="right" wrapText="1"/>
    </xf>
    <xf numFmtId="164" fontId="6" fillId="3" borderId="4" xfId="0" applyNumberFormat="1" applyFont="1" applyFill="1" applyBorder="1" applyAlignment="1">
      <alignment horizontal="right" wrapText="1"/>
    </xf>
    <xf numFmtId="164" fontId="1" fillId="3" borderId="0" xfId="0" applyNumberFormat="1" applyFont="1" applyFill="1"/>
    <xf numFmtId="164" fontId="1" fillId="2" borderId="0" xfId="0" applyNumberFormat="1" applyFont="1" applyFill="1" applyBorder="1"/>
    <xf numFmtId="164" fontId="6" fillId="2" borderId="0" xfId="0" applyNumberFormat="1" applyFont="1" applyFill="1" applyBorder="1" applyAlignment="1">
      <alignment horizontal="right" wrapText="1"/>
    </xf>
    <xf numFmtId="164" fontId="6" fillId="2" borderId="4" xfId="0" applyNumberFormat="1" applyFont="1" applyFill="1" applyBorder="1" applyAlignment="1">
      <alignment wrapText="1"/>
    </xf>
    <xf numFmtId="164" fontId="6" fillId="2" borderId="0" xfId="0" applyNumberFormat="1" applyFont="1" applyFill="1" applyBorder="1"/>
    <xf numFmtId="9" fontId="1" fillId="2" borderId="0" xfId="2" applyFont="1" applyFill="1"/>
    <xf numFmtId="167" fontId="1" fillId="2" borderId="0" xfId="2" applyNumberFormat="1" applyFont="1" applyFill="1"/>
    <xf numFmtId="9" fontId="1" fillId="3" borderId="0" xfId="2" applyFont="1" applyFill="1"/>
    <xf numFmtId="166" fontId="1" fillId="3" borderId="0" xfId="0" applyNumberFormat="1" applyFont="1" applyFill="1"/>
    <xf numFmtId="0" fontId="9" fillId="2" borderId="0" xfId="0" applyFont="1" applyFill="1" applyAlignment="1">
      <alignment horizontal="left"/>
    </xf>
    <xf numFmtId="166" fontId="12" fillId="2" borderId="0" xfId="0" applyNumberFormat="1" applyFont="1" applyFill="1" applyBorder="1"/>
    <xf numFmtId="166" fontId="1" fillId="2" borderId="3" xfId="0" applyNumberFormat="1" applyFont="1" applyFill="1" applyBorder="1"/>
    <xf numFmtId="169" fontId="1" fillId="2" borderId="0" xfId="0" applyNumberFormat="1" applyFont="1" applyFill="1"/>
    <xf numFmtId="169" fontId="1" fillId="3" borderId="0" xfId="0" applyNumberFormat="1" applyFont="1" applyFill="1"/>
    <xf numFmtId="164" fontId="3" fillId="2" borderId="19" xfId="0" applyNumberFormat="1" applyFont="1" applyFill="1" applyBorder="1"/>
    <xf numFmtId="166" fontId="3" fillId="2" borderId="19" xfId="0" applyNumberFormat="1" applyFont="1" applyFill="1" applyBorder="1"/>
    <xf numFmtId="166" fontId="1" fillId="3" borderId="0" xfId="0" applyNumberFormat="1" applyFont="1" applyFill="1" applyBorder="1"/>
    <xf numFmtId="166" fontId="6" fillId="3" borderId="0" xfId="0" applyNumberFormat="1" applyFont="1" applyFill="1" applyBorder="1"/>
    <xf numFmtId="166" fontId="1" fillId="2" borderId="0" xfId="0" applyNumberFormat="1" applyFont="1" applyFill="1" applyBorder="1"/>
    <xf numFmtId="9" fontId="1" fillId="2" borderId="0" xfId="2" applyFont="1" applyFill="1" applyBorder="1"/>
    <xf numFmtId="166" fontId="6" fillId="2" borderId="0" xfId="0" applyNumberFormat="1" applyFont="1" applyFill="1" applyBorder="1"/>
    <xf numFmtId="164" fontId="10" fillId="2" borderId="0" xfId="0" applyNumberFormat="1" applyFont="1" applyFill="1" applyBorder="1"/>
    <xf numFmtId="164" fontId="12" fillId="2" borderId="0" xfId="0" applyNumberFormat="1" applyFont="1" applyFill="1" applyBorder="1"/>
    <xf numFmtId="9" fontId="1" fillId="3" borderId="0" xfId="2" applyFont="1" applyFill="1" applyBorder="1"/>
    <xf numFmtId="165" fontId="1" fillId="2" borderId="0" xfId="0" applyNumberFormat="1" applyFont="1" applyFill="1" applyBorder="1"/>
    <xf numFmtId="169" fontId="1" fillId="2" borderId="0" xfId="0" applyNumberFormat="1" applyFont="1" applyFill="1" applyBorder="1"/>
    <xf numFmtId="165" fontId="6" fillId="2" borderId="0" xfId="0" applyNumberFormat="1" applyFont="1" applyFill="1" applyBorder="1"/>
    <xf numFmtId="169" fontId="6" fillId="2" borderId="0" xfId="0" applyNumberFormat="1" applyFont="1" applyFill="1" applyBorder="1"/>
    <xf numFmtId="165" fontId="12" fillId="2" borderId="0" xfId="0" applyNumberFormat="1" applyFont="1" applyFill="1" applyBorder="1"/>
    <xf numFmtId="166" fontId="1" fillId="2" borderId="0" xfId="0" applyNumberFormat="1" applyFont="1" applyFill="1" applyAlignment="1">
      <alignment horizontal="right"/>
    </xf>
    <xf numFmtId="168" fontId="1" fillId="2" borderId="0" xfId="0" applyNumberFormat="1" applyFont="1" applyFill="1"/>
    <xf numFmtId="167" fontId="8" fillId="2" borderId="0" xfId="2" applyNumberFormat="1" applyFont="1" applyFill="1"/>
    <xf numFmtId="164" fontId="8" fillId="3" borderId="0" xfId="0" applyNumberFormat="1" applyFont="1" applyFill="1"/>
    <xf numFmtId="0" fontId="63" fillId="4" borderId="0" xfId="0" applyFont="1" applyFill="1" applyAlignment="1">
      <alignment horizontal="left"/>
    </xf>
    <xf numFmtId="0" fontId="11" fillId="4" borderId="0" xfId="0" applyFont="1" applyFill="1"/>
    <xf numFmtId="180" fontId="1" fillId="2" borderId="0" xfId="3" applyNumberFormat="1" applyFont="1" applyFill="1"/>
    <xf numFmtId="165" fontId="64" fillId="2" borderId="0" xfId="0" applyNumberFormat="1" applyFont="1" applyFill="1" applyBorder="1"/>
    <xf numFmtId="43" fontId="1" fillId="3" borderId="0" xfId="3" applyFont="1" applyFill="1" applyBorder="1"/>
    <xf numFmtId="9" fontId="1" fillId="2" borderId="0" xfId="2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6" fontId="1" fillId="2" borderId="0" xfId="0" applyNumberFormat="1" applyFont="1" applyFill="1" applyBorder="1" applyAlignment="1">
      <alignment horizontal="right"/>
    </xf>
    <xf numFmtId="9" fontId="6" fillId="2" borderId="0" xfId="2" applyFont="1" applyFill="1" applyBorder="1"/>
    <xf numFmtId="164" fontId="11" fillId="2" borderId="0" xfId="0" applyNumberFormat="1" applyFont="1" applyFill="1" applyBorder="1"/>
    <xf numFmtId="166" fontId="11" fillId="2" borderId="0" xfId="0" applyNumberFormat="1" applyFont="1" applyFill="1" applyBorder="1"/>
    <xf numFmtId="165" fontId="9" fillId="2" borderId="0" xfId="0" applyNumberFormat="1" applyFont="1" applyFill="1" applyBorder="1"/>
    <xf numFmtId="166" fontId="9" fillId="2" borderId="0" xfId="0" applyNumberFormat="1" applyFont="1" applyFill="1" applyBorder="1"/>
    <xf numFmtId="0" fontId="12" fillId="2" borderId="0" xfId="166" applyFont="1" applyFill="1"/>
    <xf numFmtId="181" fontId="1" fillId="2" borderId="0" xfId="0" applyNumberFormat="1" applyFont="1" applyFill="1"/>
    <xf numFmtId="165" fontId="1" fillId="3" borderId="0" xfId="0" applyNumberFormat="1" applyFont="1" applyFill="1" applyBorder="1"/>
    <xf numFmtId="166" fontId="11" fillId="3" borderId="0" xfId="0" applyNumberFormat="1" applyFont="1" applyFill="1" applyBorder="1"/>
    <xf numFmtId="164" fontId="1" fillId="48" borderId="0" xfId="0" applyNumberFormat="1" applyFont="1" applyFill="1"/>
    <xf numFmtId="166" fontId="10" fillId="47" borderId="0" xfId="0" applyNumberFormat="1" applyFont="1" applyFill="1"/>
    <xf numFmtId="164" fontId="3" fillId="2" borderId="0" xfId="0" applyNumberFormat="1" applyFont="1" applyFill="1"/>
    <xf numFmtId="9" fontId="1" fillId="3" borderId="0" xfId="2" applyNumberFormat="1" applyFont="1" applyFill="1"/>
    <xf numFmtId="167" fontId="1" fillId="2" borderId="0" xfId="0" applyNumberFormat="1" applyFont="1" applyFill="1"/>
    <xf numFmtId="166" fontId="1" fillId="3" borderId="0" xfId="2" applyNumberFormat="1" applyFont="1" applyFill="1"/>
    <xf numFmtId="164" fontId="1" fillId="3" borderId="0" xfId="2" applyNumberFormat="1" applyFont="1" applyFill="1"/>
    <xf numFmtId="164" fontId="11" fillId="4" borderId="0" xfId="0" applyNumberFormat="1" applyFont="1" applyFill="1" applyBorder="1"/>
    <xf numFmtId="166" fontId="11" fillId="4" borderId="0" xfId="0" applyNumberFormat="1" applyFont="1" applyFill="1" applyBorder="1"/>
    <xf numFmtId="164" fontId="10" fillId="4" borderId="0" xfId="0" applyNumberFormat="1" applyFont="1" applyFill="1" applyBorder="1"/>
    <xf numFmtId="164" fontId="6" fillId="2" borderId="19" xfId="0" applyNumberFormat="1" applyFont="1" applyFill="1" applyBorder="1"/>
    <xf numFmtId="166" fontId="6" fillId="2" borderId="19" xfId="0" applyNumberFormat="1" applyFont="1" applyFill="1" applyBorder="1"/>
    <xf numFmtId="164" fontId="12" fillId="2" borderId="19" xfId="0" applyNumberFormat="1" applyFont="1" applyFill="1" applyBorder="1"/>
    <xf numFmtId="166" fontId="1" fillId="3" borderId="19" xfId="0" applyNumberFormat="1" applyFont="1" applyFill="1" applyBorder="1"/>
    <xf numFmtId="166" fontId="6" fillId="2" borderId="20" xfId="0" applyNumberFormat="1" applyFont="1" applyFill="1" applyBorder="1"/>
    <xf numFmtId="164" fontId="6" fillId="2" borderId="3" xfId="0" applyNumberFormat="1" applyFont="1" applyFill="1" applyBorder="1"/>
    <xf numFmtId="166" fontId="6" fillId="2" borderId="3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Border="1"/>
    <xf numFmtId="166" fontId="3" fillId="3" borderId="3" xfId="0" applyNumberFormat="1" applyFont="1" applyFill="1" applyBorder="1"/>
    <xf numFmtId="166" fontId="12" fillId="2" borderId="19" xfId="0" applyNumberFormat="1" applyFont="1" applyFill="1" applyBorder="1"/>
    <xf numFmtId="166" fontId="6" fillId="3" borderId="19" xfId="0" applyNumberFormat="1" applyFont="1" applyFill="1" applyBorder="1"/>
    <xf numFmtId="165" fontId="1" fillId="2" borderId="19" xfId="0" applyNumberFormat="1" applyFont="1" applyFill="1" applyBorder="1"/>
    <xf numFmtId="169" fontId="1" fillId="2" borderId="19" xfId="0" applyNumberFormat="1" applyFont="1" applyFill="1" applyBorder="1"/>
    <xf numFmtId="165" fontId="6" fillId="2" borderId="19" xfId="0" applyNumberFormat="1" applyFont="1" applyFill="1" applyBorder="1"/>
    <xf numFmtId="165" fontId="64" fillId="2" borderId="19" xfId="0" applyNumberFormat="1" applyFont="1" applyFill="1" applyBorder="1"/>
    <xf numFmtId="169" fontId="6" fillId="2" borderId="19" xfId="0" applyNumberFormat="1" applyFont="1" applyFill="1" applyBorder="1"/>
    <xf numFmtId="164" fontId="3" fillId="0" borderId="0" xfId="0" applyNumberFormat="1" applyFont="1" applyFill="1" applyBorder="1"/>
    <xf numFmtId="165" fontId="3" fillId="2" borderId="0" xfId="0" applyNumberFormat="1" applyFont="1" applyFill="1" applyBorder="1"/>
    <xf numFmtId="165" fontId="11" fillId="4" borderId="0" xfId="0" applyNumberFormat="1" applyFont="1" applyFill="1" applyBorder="1"/>
    <xf numFmtId="165" fontId="63" fillId="4" borderId="0" xfId="0" applyNumberFormat="1" applyFont="1" applyFill="1" applyBorder="1"/>
    <xf numFmtId="165" fontId="9" fillId="4" borderId="0" xfId="0" applyNumberFormat="1" applyFont="1" applyFill="1" applyBorder="1"/>
    <xf numFmtId="169" fontId="12" fillId="2" borderId="0" xfId="0" applyNumberFormat="1" applyFont="1" applyFill="1" applyBorder="1"/>
    <xf numFmtId="169" fontId="3" fillId="2" borderId="0" xfId="0" applyNumberFormat="1" applyFont="1" applyFill="1" applyBorder="1"/>
    <xf numFmtId="166" fontId="3" fillId="2" borderId="0" xfId="0" applyNumberFormat="1" applyFont="1" applyFill="1" applyBorder="1"/>
    <xf numFmtId="169" fontId="11" fillId="4" borderId="0" xfId="0" applyNumberFormat="1" applyFont="1" applyFill="1" applyBorder="1"/>
    <xf numFmtId="167" fontId="11" fillId="4" borderId="0" xfId="2" applyNumberFormat="1" applyFont="1" applyFill="1"/>
    <xf numFmtId="9" fontId="3" fillId="2" borderId="2" xfId="2" applyFont="1" applyFill="1" applyBorder="1"/>
    <xf numFmtId="9" fontId="3" fillId="2" borderId="21" xfId="2" applyFont="1" applyFill="1" applyBorder="1"/>
    <xf numFmtId="0" fontId="6" fillId="2" borderId="2" xfId="0" applyFont="1" applyFill="1" applyBorder="1"/>
    <xf numFmtId="0" fontId="6" fillId="3" borderId="2" xfId="0" applyFont="1" applyFill="1" applyBorder="1" applyAlignment="1">
      <alignment wrapText="1"/>
    </xf>
    <xf numFmtId="166" fontId="12" fillId="3" borderId="0" xfId="0" applyNumberFormat="1" applyFont="1" applyFill="1" applyBorder="1"/>
    <xf numFmtId="166" fontId="3" fillId="3" borderId="19" xfId="0" applyNumberFormat="1" applyFont="1" applyFill="1" applyBorder="1"/>
    <xf numFmtId="0" fontId="11" fillId="4" borderId="0" xfId="134" applyNumberFormat="1" applyFont="1" applyFill="1" applyBorder="1" applyAlignment="1">
      <alignment horizontal="center"/>
    </xf>
    <xf numFmtId="166" fontId="11" fillId="4" borderId="0" xfId="0" applyNumberFormat="1" applyFont="1" applyFill="1" applyBorder="1" applyAlignment="1">
      <alignment horizontal="center"/>
    </xf>
  </cellXfs>
  <cellStyles count="167">
    <cellStyle name="%" xfId="136" xr:uid="{00000000-0005-0000-0000-000000000000}"/>
    <cellStyle name="_x0002_._x0011__x0002_._x001b__x0002_ _x0015_%_x0018__x0001_" xfId="5" xr:uid="{00000000-0005-0000-0000-000001000000}"/>
    <cellStyle name="_060510 Goal Setting CNV" xfId="6" xr:uid="{00000000-0005-0000-0000-000002000000}"/>
    <cellStyle name="_2008-08-18 WC SRL" xfId="7" xr:uid="{00000000-0005-0000-0000-000003000000}"/>
    <cellStyle name="_2008-10-06 Goodwill Test KPMG incl PL 19 (2)" xfId="8" xr:uid="{00000000-0005-0000-0000-000004000000}"/>
    <cellStyle name="_2008-10-06 Goodwill Test KPMG incl PL 19 (3)" xfId="9" xr:uid="{00000000-0005-0000-0000-000005000000}"/>
    <cellStyle name="_2009-03-17 Version für 53-19" xfId="10" xr:uid="{00000000-0005-0000-0000-000006000000}"/>
    <cellStyle name="_Access Bluebook 2007 DCL V7" xfId="11" xr:uid="{00000000-0005-0000-0000-000007000000}"/>
    <cellStyle name="_AL_cost_outlook_070405_Bluebook2007" xfId="12" xr:uid="{00000000-0005-0000-0000-000008000000}"/>
    <cellStyle name="_BB_08_BG_COM" xfId="13" xr:uid="{00000000-0005-0000-0000-000009000000}"/>
    <cellStyle name="_Bluebook-2005-PL-Projections-COM-SR2" xfId="14" xr:uid="{00000000-0005-0000-0000-00000A000000}"/>
    <cellStyle name="_COM Cash Flow Bluebook 2008" xfId="15" xr:uid="{00000000-0005-0000-0000-00000B000000}"/>
    <cellStyle name="_Cordless_Bizcase_070524" xfId="16" xr:uid="{00000000-0005-0000-0000-00000C000000}"/>
    <cellStyle name="_Cordless_Bizcase_Bluebook (2)" xfId="17" xr:uid="{00000000-0005-0000-0000-00000D000000}"/>
    <cellStyle name="_Cordless_Bizcase_Master" xfId="18" xr:uid="{00000000-0005-0000-0000-00000E000000}"/>
    <cellStyle name="_Data" xfId="19" xr:uid="{00000000-0005-0000-0000-00000F000000}"/>
    <cellStyle name="_Foundry Wafer Price Database - BU" xfId="20" xr:uid="{00000000-0005-0000-0000-000010000000}"/>
    <cellStyle name="_Segment_DCL_FRFC_2007_03" xfId="21" xr:uid="{00000000-0005-0000-0000-000011000000}"/>
    <cellStyle name="_SR_CSP_Segments" xfId="22" xr:uid="{00000000-0005-0000-0000-000012000000}"/>
    <cellStyle name="_Wireless_MPP_FRFC0810_V3" xfId="23" xr:uid="{00000000-0005-0000-0000-000013000000}"/>
    <cellStyle name="_WLS_MPP_BB2008_vs_VRFC0904_bw (2)" xfId="24" xr:uid="{00000000-0005-0000-0000-000014000000}"/>
    <cellStyle name="0,0_x000d__x000a_NA_x000d__x000a_" xfId="25" xr:uid="{00000000-0005-0000-0000-000015000000}"/>
    <cellStyle name="20% - Accent1 2" xfId="26" xr:uid="{00000000-0005-0000-0000-000016000000}"/>
    <cellStyle name="20% - Accent2 2" xfId="27" xr:uid="{00000000-0005-0000-0000-000017000000}"/>
    <cellStyle name="20% - Accent3 2" xfId="28" xr:uid="{00000000-0005-0000-0000-000018000000}"/>
    <cellStyle name="20% - Accent4 2" xfId="29" xr:uid="{00000000-0005-0000-0000-000019000000}"/>
    <cellStyle name="20% - Accent5 2" xfId="30" xr:uid="{00000000-0005-0000-0000-00001A000000}"/>
    <cellStyle name="20% - Accent6 2" xfId="31" xr:uid="{00000000-0005-0000-0000-00001B000000}"/>
    <cellStyle name="40% - Accent1 2" xfId="32" xr:uid="{00000000-0005-0000-0000-00001C000000}"/>
    <cellStyle name="40% - Accent2 2" xfId="33" xr:uid="{00000000-0005-0000-0000-00001D000000}"/>
    <cellStyle name="40% - Accent3 2" xfId="34" xr:uid="{00000000-0005-0000-0000-00001E000000}"/>
    <cellStyle name="40% - Accent4 2" xfId="35" xr:uid="{00000000-0005-0000-0000-00001F000000}"/>
    <cellStyle name="40% - Accent5 2" xfId="36" xr:uid="{00000000-0005-0000-0000-000020000000}"/>
    <cellStyle name="40% - Accent6 2" xfId="37" xr:uid="{00000000-0005-0000-0000-000021000000}"/>
    <cellStyle name="60% - Accent1 2" xfId="38" xr:uid="{00000000-0005-0000-0000-000022000000}"/>
    <cellStyle name="60% - Accent2 2" xfId="39" xr:uid="{00000000-0005-0000-0000-000023000000}"/>
    <cellStyle name="60% - Accent3 2" xfId="40" xr:uid="{00000000-0005-0000-0000-000024000000}"/>
    <cellStyle name="60% - Accent4 2" xfId="41" xr:uid="{00000000-0005-0000-0000-000025000000}"/>
    <cellStyle name="60% - Accent5 2" xfId="42" xr:uid="{00000000-0005-0000-0000-000026000000}"/>
    <cellStyle name="60% - Accent6 2" xfId="43" xr:uid="{00000000-0005-0000-0000-000027000000}"/>
    <cellStyle name="Accent1 2" xfId="44" xr:uid="{00000000-0005-0000-0000-000028000000}"/>
    <cellStyle name="Accent2 2" xfId="45" xr:uid="{00000000-0005-0000-0000-000029000000}"/>
    <cellStyle name="Accent3 2" xfId="46" xr:uid="{00000000-0005-0000-0000-00002A000000}"/>
    <cellStyle name="Accent4 2" xfId="47" xr:uid="{00000000-0005-0000-0000-00002B000000}"/>
    <cellStyle name="Accent5 2" xfId="48" xr:uid="{00000000-0005-0000-0000-00002C000000}"/>
    <cellStyle name="Accent6 2" xfId="49" xr:uid="{00000000-0005-0000-0000-00002D000000}"/>
    <cellStyle name="AFE" xfId="50" xr:uid="{00000000-0005-0000-0000-00002E000000}"/>
    <cellStyle name="AFE 2" xfId="133" xr:uid="{00000000-0005-0000-0000-00002F000000}"/>
    <cellStyle name="Bad 2" xfId="51" xr:uid="{00000000-0005-0000-0000-000030000000}"/>
    <cellStyle name="Calculation 2" xfId="52" xr:uid="{00000000-0005-0000-0000-000031000000}"/>
    <cellStyle name="Check Cell 2" xfId="53" xr:uid="{00000000-0005-0000-0000-000032000000}"/>
    <cellStyle name="Comma" xfId="3" builtinId="3"/>
    <cellStyle name="Comma 2" xfId="155" xr:uid="{00000000-0005-0000-0000-000034000000}"/>
    <cellStyle name="Detail" xfId="54" xr:uid="{00000000-0005-0000-0000-000035000000}"/>
    <cellStyle name="Euro" xfId="55" xr:uid="{00000000-0005-0000-0000-000036000000}"/>
    <cellStyle name="Explanatory Text 2" xfId="56" xr:uid="{00000000-0005-0000-0000-000037000000}"/>
    <cellStyle name="EY Narrative text" xfId="149" xr:uid="{00000000-0005-0000-0000-000038000000}"/>
    <cellStyle name="EY0dp" xfId="147" xr:uid="{00000000-0005-0000-0000-000039000000}"/>
    <cellStyle name="EY1dp" xfId="148" xr:uid="{00000000-0005-0000-0000-00003A000000}"/>
    <cellStyle name="EYChartTitle" xfId="142" xr:uid="{00000000-0005-0000-0000-00003B000000}"/>
    <cellStyle name="EYColumnHeading" xfId="145" xr:uid="{00000000-0005-0000-0000-00003C000000}"/>
    <cellStyle name="EYCurrency" xfId="144" xr:uid="{00000000-0005-0000-0000-00003D000000}"/>
    <cellStyle name="EYnumber" xfId="143" xr:uid="{00000000-0005-0000-0000-00003E000000}"/>
    <cellStyle name="EYSectionHeading" xfId="139" xr:uid="{00000000-0005-0000-0000-00003F000000}"/>
    <cellStyle name="EYSheetHeading" xfId="141" xr:uid="{00000000-0005-0000-0000-000040000000}"/>
    <cellStyle name="EYsmallheading" xfId="140" xr:uid="{00000000-0005-0000-0000-000041000000}"/>
    <cellStyle name="EYSource" xfId="150" xr:uid="{00000000-0005-0000-0000-000042000000}"/>
    <cellStyle name="EYtext" xfId="146" xr:uid="{00000000-0005-0000-0000-000043000000}"/>
    <cellStyle name="Good 2" xfId="57" xr:uid="{00000000-0005-0000-0000-000044000000}"/>
    <cellStyle name="Grey" xfId="58" xr:uid="{00000000-0005-0000-0000-000045000000}"/>
    <cellStyle name="Heading 1 2" xfId="59" xr:uid="{00000000-0005-0000-0000-000046000000}"/>
    <cellStyle name="Heading 2 2" xfId="60" xr:uid="{00000000-0005-0000-0000-000047000000}"/>
    <cellStyle name="Heading 3 2" xfId="61" xr:uid="{00000000-0005-0000-0000-000048000000}"/>
    <cellStyle name="Heading 4 2" xfId="62" xr:uid="{00000000-0005-0000-0000-000049000000}"/>
    <cellStyle name="Hyperlink" xfId="166" builtinId="8"/>
    <cellStyle name="Input [yellow]" xfId="64" xr:uid="{00000000-0005-0000-0000-00004B000000}"/>
    <cellStyle name="Input 2" xfId="63" xr:uid="{00000000-0005-0000-0000-00004C000000}"/>
    <cellStyle name="Linked Cell 2" xfId="65" xr:uid="{00000000-0005-0000-0000-00004D000000}"/>
    <cellStyle name="meny_33-34" xfId="66" xr:uid="{00000000-0005-0000-0000-00004E000000}"/>
    <cellStyle name="Milliers [0]_foxz" xfId="67" xr:uid="{00000000-0005-0000-0000-00004F000000}"/>
    <cellStyle name="Milliers_foxz" xfId="68" xr:uid="{00000000-0005-0000-0000-000050000000}"/>
    <cellStyle name="Monétaire [0]_foxz" xfId="69" xr:uid="{00000000-0005-0000-0000-000051000000}"/>
    <cellStyle name="Monétaire_foxz" xfId="70" xr:uid="{00000000-0005-0000-0000-000052000000}"/>
    <cellStyle name="Neutral 2" xfId="71" xr:uid="{00000000-0005-0000-0000-000053000000}"/>
    <cellStyle name="Normal" xfId="0" builtinId="0"/>
    <cellStyle name="Normal - Style1" xfId="72" xr:uid="{00000000-0005-0000-0000-000055000000}"/>
    <cellStyle name="Normal 2" xfId="151" xr:uid="{00000000-0005-0000-0000-000056000000}"/>
    <cellStyle name="Normal 2 2" xfId="153" xr:uid="{00000000-0005-0000-0000-000057000000}"/>
    <cellStyle name="Normal 3" xfId="152" xr:uid="{00000000-0005-0000-0000-000058000000}"/>
    <cellStyle name="Normal 4" xfId="154" xr:uid="{00000000-0005-0000-0000-000059000000}"/>
    <cellStyle name="Normal 5" xfId="4" xr:uid="{00000000-0005-0000-0000-00005A000000}"/>
    <cellStyle name="Normal_Project Accel Valuation v56" xfId="134" xr:uid="{00000000-0005-0000-0000-00005B000000}"/>
    <cellStyle name="normální_33-34" xfId="73" xr:uid="{00000000-0005-0000-0000-00005C000000}"/>
    <cellStyle name="Note 2" xfId="74" xr:uid="{00000000-0005-0000-0000-00005D000000}"/>
    <cellStyle name="Œ…‹æØ‚è [0.00]_laroux" xfId="75" xr:uid="{00000000-0005-0000-0000-00005E000000}"/>
    <cellStyle name="Œ…‹æØ‚è_laroux" xfId="76" xr:uid="{00000000-0005-0000-0000-00005F000000}"/>
    <cellStyle name="Output 2" xfId="77" xr:uid="{00000000-0005-0000-0000-000060000000}"/>
    <cellStyle name="Percent" xfId="2" builtinId="5"/>
    <cellStyle name="Percent [2]" xfId="79" xr:uid="{00000000-0005-0000-0000-000062000000}"/>
    <cellStyle name="Percent 2" xfId="156" xr:uid="{00000000-0005-0000-0000-000063000000}"/>
    <cellStyle name="Percent 3" xfId="78" xr:uid="{00000000-0005-0000-0000-000064000000}"/>
    <cellStyle name="Percent 5" xfId="80" xr:uid="{00000000-0005-0000-0000-000065000000}"/>
    <cellStyle name="Prozent 2" xfId="135" xr:uid="{00000000-0005-0000-0000-000066000000}"/>
    <cellStyle name="PSChar" xfId="81" xr:uid="{00000000-0005-0000-0000-000067000000}"/>
    <cellStyle name="PSDate" xfId="82" xr:uid="{00000000-0005-0000-0000-000068000000}"/>
    <cellStyle name="PSDec" xfId="83" xr:uid="{00000000-0005-0000-0000-000069000000}"/>
    <cellStyle name="PSHeading" xfId="84" xr:uid="{00000000-0005-0000-0000-00006A000000}"/>
    <cellStyle name="PSInt" xfId="85" xr:uid="{00000000-0005-0000-0000-00006B000000}"/>
    <cellStyle name="PSSpacer" xfId="86" xr:uid="{00000000-0005-0000-0000-00006C000000}"/>
    <cellStyle name="Revenue" xfId="87" xr:uid="{00000000-0005-0000-0000-00006D000000}"/>
    <cellStyle name="SAPBEXaggData" xfId="88" xr:uid="{00000000-0005-0000-0000-00006E000000}"/>
    <cellStyle name="SAPBEXaggDataEmph" xfId="89" xr:uid="{00000000-0005-0000-0000-00006F000000}"/>
    <cellStyle name="SAPBEXaggItem" xfId="90" xr:uid="{00000000-0005-0000-0000-000070000000}"/>
    <cellStyle name="SAPBEXaggItemX" xfId="91" xr:uid="{00000000-0005-0000-0000-000071000000}"/>
    <cellStyle name="SAPBEXchaText" xfId="92" xr:uid="{00000000-0005-0000-0000-000072000000}"/>
    <cellStyle name="SAPBEXexcBad7" xfId="93" xr:uid="{00000000-0005-0000-0000-000073000000}"/>
    <cellStyle name="SAPBEXexcBad8" xfId="94" xr:uid="{00000000-0005-0000-0000-000074000000}"/>
    <cellStyle name="SAPBEXexcBad9" xfId="95" xr:uid="{00000000-0005-0000-0000-000075000000}"/>
    <cellStyle name="SAPBEXexcCritical4" xfId="96" xr:uid="{00000000-0005-0000-0000-000076000000}"/>
    <cellStyle name="SAPBEXexcCritical5" xfId="97" xr:uid="{00000000-0005-0000-0000-000077000000}"/>
    <cellStyle name="SAPBEXexcCritical6" xfId="98" xr:uid="{00000000-0005-0000-0000-000078000000}"/>
    <cellStyle name="SAPBEXexcGood1" xfId="99" xr:uid="{00000000-0005-0000-0000-000079000000}"/>
    <cellStyle name="SAPBEXexcGood2" xfId="100" xr:uid="{00000000-0005-0000-0000-00007A000000}"/>
    <cellStyle name="SAPBEXexcGood3" xfId="101" xr:uid="{00000000-0005-0000-0000-00007B000000}"/>
    <cellStyle name="SAPBEXfilterDrill" xfId="102" xr:uid="{00000000-0005-0000-0000-00007C000000}"/>
    <cellStyle name="SAPBEXfilterItem" xfId="103" xr:uid="{00000000-0005-0000-0000-00007D000000}"/>
    <cellStyle name="SAPBEXfilterText" xfId="104" xr:uid="{00000000-0005-0000-0000-00007E000000}"/>
    <cellStyle name="SAPBEXformats" xfId="105" xr:uid="{00000000-0005-0000-0000-00007F000000}"/>
    <cellStyle name="SAPBEXheaderItem" xfId="106" xr:uid="{00000000-0005-0000-0000-000080000000}"/>
    <cellStyle name="SAPBEXheaderText" xfId="107" xr:uid="{00000000-0005-0000-0000-000081000000}"/>
    <cellStyle name="SAPBEXHLevel0" xfId="108" xr:uid="{00000000-0005-0000-0000-000082000000}"/>
    <cellStyle name="SAPBEXHLevel0X" xfId="109" xr:uid="{00000000-0005-0000-0000-000083000000}"/>
    <cellStyle name="SAPBEXHLevel1" xfId="110" xr:uid="{00000000-0005-0000-0000-000084000000}"/>
    <cellStyle name="SAPBEXHLevel1X" xfId="111" xr:uid="{00000000-0005-0000-0000-000085000000}"/>
    <cellStyle name="SAPBEXHLevel2" xfId="112" xr:uid="{00000000-0005-0000-0000-000086000000}"/>
    <cellStyle name="SAPBEXHLevel2X" xfId="113" xr:uid="{00000000-0005-0000-0000-000087000000}"/>
    <cellStyle name="SAPBEXHLevel3" xfId="114" xr:uid="{00000000-0005-0000-0000-000088000000}"/>
    <cellStyle name="SAPBEXHLevel3X" xfId="115" xr:uid="{00000000-0005-0000-0000-000089000000}"/>
    <cellStyle name="SAPBEXresData" xfId="116" xr:uid="{00000000-0005-0000-0000-00008A000000}"/>
    <cellStyle name="SAPBEXresDataEmph" xfId="117" xr:uid="{00000000-0005-0000-0000-00008B000000}"/>
    <cellStyle name="SAPBEXresItem" xfId="118" xr:uid="{00000000-0005-0000-0000-00008C000000}"/>
    <cellStyle name="SAPBEXresItemX" xfId="119" xr:uid="{00000000-0005-0000-0000-00008D000000}"/>
    <cellStyle name="SAPBEXstdData" xfId="120" xr:uid="{00000000-0005-0000-0000-00008E000000}"/>
    <cellStyle name="SAPBEXstdDataEmph" xfId="121" xr:uid="{00000000-0005-0000-0000-00008F000000}"/>
    <cellStyle name="SAPBEXstdItem" xfId="122" xr:uid="{00000000-0005-0000-0000-000090000000}"/>
    <cellStyle name="SAPBEXstdItemX" xfId="123" xr:uid="{00000000-0005-0000-0000-000091000000}"/>
    <cellStyle name="SAPBEXtitle" xfId="124" xr:uid="{00000000-0005-0000-0000-000092000000}"/>
    <cellStyle name="SAPBEXundefined" xfId="125" xr:uid="{00000000-0005-0000-0000-000093000000}"/>
    <cellStyle name="Smart Subtitle 1" xfId="1" xr:uid="{00000000-0005-0000-0000-000094000000}"/>
    <cellStyle name="Standard 2" xfId="132" xr:uid="{00000000-0005-0000-0000-000095000000}"/>
    <cellStyle name="Standard 3" xfId="137" xr:uid="{00000000-0005-0000-0000-000096000000}"/>
    <cellStyle name="Standard 4" xfId="157" xr:uid="{00000000-0005-0000-0000-000097000000}"/>
    <cellStyle name="Stil 1" xfId="131" xr:uid="{00000000-0005-0000-0000-000098000000}"/>
    <cellStyle name="Style 1" xfId="126" xr:uid="{00000000-0005-0000-0000-000099000000}"/>
    <cellStyle name="Tahoma:10:1" xfId="161" xr:uid="{00000000-0005-0000-0000-00009A000000}"/>
    <cellStyle name="Tahoma:10:129" xfId="162" xr:uid="{00000000-0005-0000-0000-00009B000000}"/>
    <cellStyle name="Tahoma:12:1" xfId="158" xr:uid="{00000000-0005-0000-0000-00009C000000}"/>
    <cellStyle name="Tahoma:12:129" xfId="163" xr:uid="{00000000-0005-0000-0000-00009D000000}"/>
    <cellStyle name="Tahoma:8:0" xfId="159" xr:uid="{00000000-0005-0000-0000-00009E000000}"/>
    <cellStyle name="Tahoma:8:1" xfId="160" xr:uid="{00000000-0005-0000-0000-00009F000000}"/>
    <cellStyle name="Tahoma:8:128" xfId="164" xr:uid="{00000000-0005-0000-0000-0000A0000000}"/>
    <cellStyle name="Tahoma:8:129" xfId="165" xr:uid="{00000000-0005-0000-0000-0000A1000000}"/>
    <cellStyle name="Title 2" xfId="127" xr:uid="{00000000-0005-0000-0000-0000A2000000}"/>
    <cellStyle name="Total 2" xfId="128" xr:uid="{00000000-0005-0000-0000-0000A3000000}"/>
    <cellStyle name="Total Row" xfId="129" xr:uid="{00000000-0005-0000-0000-0000A4000000}"/>
    <cellStyle name="TTS" xfId="138" xr:uid="{00000000-0005-0000-0000-0000A5000000}"/>
    <cellStyle name="Warning Text 2" xfId="130" xr:uid="{00000000-0005-0000-0000-0000A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'Cash flows'!$B$4</c:f>
              <c:strCache>
                <c:ptCount val="1"/>
                <c:pt idx="0">
                  <c:v>UFCF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strRef>
              <c:f>'Cash flows'!$C$3:$G$3</c:f>
              <c:strCache>
                <c:ptCount val="5"/>
                <c:pt idx="0">
                  <c:v>FY14
Forecast</c:v>
                </c:pt>
                <c:pt idx="1">
                  <c:v>FY15
Forecast</c:v>
                </c:pt>
                <c:pt idx="2">
                  <c:v>FY16
Forecast</c:v>
                </c:pt>
                <c:pt idx="3">
                  <c:v>FY17
Forecast</c:v>
                </c:pt>
                <c:pt idx="4">
                  <c:v>FY18
Forecast</c:v>
                </c:pt>
              </c:strCache>
            </c:strRef>
          </c:cat>
          <c:val>
            <c:numRef>
              <c:f>'Cash flows'!$C$4:$G$4</c:f>
              <c:numCache>
                <c:formatCode>_(* #,##0_);_(* \(#,##0\);_(* "-"?_);@_)</c:formatCode>
                <c:ptCount val="5"/>
                <c:pt idx="0">
                  <c:v>13354.817763280242</c:v>
                </c:pt>
                <c:pt idx="1">
                  <c:v>9666.0812950941799</c:v>
                </c:pt>
                <c:pt idx="2">
                  <c:v>10273.927798701716</c:v>
                </c:pt>
                <c:pt idx="3">
                  <c:v>10930.40202259782</c:v>
                </c:pt>
                <c:pt idx="4">
                  <c:v>11639.394184405712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A-4A77-BDCF-D1674849BF5C}"/>
            </c:ext>
          </c:extLst>
        </c:ser>
        <c:ser>
          <c:idx val="1"/>
          <c:order val="1"/>
          <c:tx>
            <c:strRef>
              <c:f>'Cash flows'!$B$5</c:f>
              <c:strCache>
                <c:ptCount val="1"/>
                <c:pt idx="0">
                  <c:v>Present value of UFCF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strRef>
              <c:f>'Cash flows'!$C$3:$G$3</c:f>
              <c:strCache>
                <c:ptCount val="5"/>
                <c:pt idx="0">
                  <c:v>FY14
Forecast</c:v>
                </c:pt>
                <c:pt idx="1">
                  <c:v>FY15
Forecast</c:v>
                </c:pt>
                <c:pt idx="2">
                  <c:v>FY16
Forecast</c:v>
                </c:pt>
                <c:pt idx="3">
                  <c:v>FY17
Forecast</c:v>
                </c:pt>
                <c:pt idx="4">
                  <c:v>FY18
Forecast</c:v>
                </c:pt>
              </c:strCache>
            </c:strRef>
          </c:cat>
          <c:val>
            <c:numRef>
              <c:f>'Cash flows'!$C$5:$G$5</c:f>
              <c:numCache>
                <c:formatCode>_(* #,##0_);_(* \(#,##0\);_(* "-"?_);@_)</c:formatCode>
                <c:ptCount val="5"/>
                <c:pt idx="0">
                  <c:v>12140.743421163856</c:v>
                </c:pt>
                <c:pt idx="1">
                  <c:v>7988.496938094363</c:v>
                </c:pt>
                <c:pt idx="2">
                  <c:v>7718.9540185587621</c:v>
                </c:pt>
                <c:pt idx="3">
                  <c:v>7465.6116539838931</c:v>
                </c:pt>
                <c:pt idx="4">
                  <c:v>7227.148036588228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A-4A77-BDCF-D1674849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322224"/>
        <c:axId val="592318896"/>
      </c:areaChart>
      <c:catAx>
        <c:axId val="59232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318896"/>
        <c:crosses val="autoZero"/>
        <c:auto val="1"/>
        <c:lblAlgn val="ctr"/>
        <c:lblOffset val="100"/>
        <c:noMultiLvlLbl val="0"/>
      </c:catAx>
      <c:valAx>
        <c:axId val="592318896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32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28575</xdr:rowOff>
    </xdr:from>
    <xdr:to>
      <xdr:col>6</xdr:col>
      <xdr:colOff>400050</xdr:colOff>
      <xdr:row>25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955540-ED21-5768-35F2-4C0CB16F8BEA}"/>
            </a:ext>
          </a:extLst>
        </xdr:cNvPr>
        <xdr:cNvSpPr txBox="1"/>
      </xdr:nvSpPr>
      <xdr:spPr>
        <a:xfrm>
          <a:off x="3829050" y="3533775"/>
          <a:ext cx="400050" cy="5334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100011</xdr:colOff>
      <xdr:row>6</xdr:row>
      <xdr:rowOff>28575</xdr:rowOff>
    </xdr:from>
    <xdr:to>
      <xdr:col>9</xdr:col>
      <xdr:colOff>295274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3DFDAE-BFDF-A8D5-2057-F01BD1FB18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:C17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22" sqref="C22:C23"/>
    </sheetView>
  </sheetViews>
  <sheetFormatPr defaultRowHeight="12"/>
  <cols>
    <col min="1" max="1" width="2" style="1" customWidth="1"/>
    <col min="2" max="2" width="10" style="1" customWidth="1"/>
    <col min="3" max="3" width="26" style="1" customWidth="1"/>
    <col min="4" max="16384" width="9.140625" style="1"/>
  </cols>
  <sheetData>
    <row r="1" spans="2:3" ht="15.75">
      <c r="B1" s="2" t="s">
        <v>4</v>
      </c>
    </row>
    <row r="2" spans="2:3">
      <c r="B2" s="5" t="s">
        <v>5</v>
      </c>
    </row>
    <row r="4" spans="2:3" ht="12.75" thickBot="1">
      <c r="B4" s="4" t="s">
        <v>2</v>
      </c>
      <c r="C4" s="4" t="s">
        <v>3</v>
      </c>
    </row>
    <row r="5" spans="2:3">
      <c r="B5" s="53">
        <v>1</v>
      </c>
      <c r="C5" s="54" t="s">
        <v>69</v>
      </c>
    </row>
    <row r="6" spans="2:3">
      <c r="B6" s="29">
        <f>B5+1</f>
        <v>2</v>
      </c>
      <c r="C6" s="66" t="s">
        <v>26</v>
      </c>
    </row>
    <row r="7" spans="2:3">
      <c r="B7" s="29">
        <f t="shared" ref="B7:B17" si="0">B6+1</f>
        <v>3</v>
      </c>
      <c r="C7" s="66" t="s">
        <v>27</v>
      </c>
    </row>
    <row r="8" spans="2:3">
      <c r="B8" s="53">
        <f t="shared" si="0"/>
        <v>4</v>
      </c>
      <c r="C8" s="54" t="s">
        <v>70</v>
      </c>
    </row>
    <row r="9" spans="2:3">
      <c r="B9" s="29">
        <f t="shared" si="0"/>
        <v>5</v>
      </c>
      <c r="C9" s="66" t="s">
        <v>6</v>
      </c>
    </row>
    <row r="10" spans="2:3">
      <c r="B10" s="29">
        <f t="shared" si="0"/>
        <v>6</v>
      </c>
      <c r="C10" s="66" t="s">
        <v>25</v>
      </c>
    </row>
    <row r="11" spans="2:3">
      <c r="B11" s="29">
        <f t="shared" si="0"/>
        <v>7</v>
      </c>
      <c r="C11" s="66" t="s">
        <v>28</v>
      </c>
    </row>
    <row r="12" spans="2:3">
      <c r="B12" s="29">
        <f t="shared" si="0"/>
        <v>8</v>
      </c>
      <c r="C12" s="66" t="s">
        <v>65</v>
      </c>
    </row>
    <row r="13" spans="2:3">
      <c r="B13" s="53">
        <f t="shared" si="0"/>
        <v>9</v>
      </c>
      <c r="C13" s="54" t="s">
        <v>73</v>
      </c>
    </row>
    <row r="14" spans="2:3">
      <c r="B14" s="29">
        <v>10</v>
      </c>
      <c r="C14" s="66" t="s">
        <v>71</v>
      </c>
    </row>
    <row r="15" spans="2:3">
      <c r="B15" s="53">
        <f t="shared" si="0"/>
        <v>11</v>
      </c>
      <c r="C15" s="54" t="s">
        <v>72</v>
      </c>
    </row>
    <row r="16" spans="2:3">
      <c r="B16" s="29">
        <f t="shared" si="0"/>
        <v>12</v>
      </c>
      <c r="C16" s="66" t="s">
        <v>1</v>
      </c>
    </row>
    <row r="17" spans="2:3">
      <c r="B17" s="29">
        <f t="shared" si="0"/>
        <v>13</v>
      </c>
      <c r="C17" s="66" t="s">
        <v>0</v>
      </c>
    </row>
  </sheetData>
  <hyperlinks>
    <hyperlink ref="C6" location="'P&amp;L assumptions'!A1" display="P&amp;L assumptions" xr:uid="{00000000-0004-0000-0000-000000000000}"/>
    <hyperlink ref="C7" location="'BS assumptions'!A1" display="BS assumptions" xr:uid="{00000000-0004-0000-0000-000001000000}"/>
    <hyperlink ref="C9" location="'P&amp;L'!A1" display="P&amp;L" xr:uid="{00000000-0004-0000-0000-000002000000}"/>
    <hyperlink ref="C10" location="BS!A1" display="BS" xr:uid="{00000000-0004-0000-0000-000003000000}"/>
    <hyperlink ref="C11" location="'Cash Flow'!A1" display="Cash Flow" xr:uid="{00000000-0004-0000-0000-000004000000}"/>
    <hyperlink ref="C12" location="'DCF valuation'!A1" display="DCF valuation" xr:uid="{00000000-0004-0000-0000-000005000000}"/>
    <hyperlink ref="C14" location="'Cash flows'!A1" display="DCF results" xr:uid="{00000000-0004-0000-0000-00000A000000}"/>
    <hyperlink ref="C16" location="'P&amp;L source'!A1" display="P&amp;L source" xr:uid="{00000000-0004-0000-0000-00000B000000}"/>
    <hyperlink ref="C17" location="'BS source'!A1" display="BS source" xr:uid="{00000000-0004-0000-0000-00000C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B11"/>
  <sheetViews>
    <sheetView workbookViewId="0"/>
  </sheetViews>
  <sheetFormatPr defaultRowHeight="12"/>
  <cols>
    <col min="1" max="1" width="2" style="1" customWidth="1"/>
    <col min="2" max="16384" width="9.140625" style="1"/>
  </cols>
  <sheetData>
    <row r="1" spans="2:2" ht="15.75">
      <c r="B1" s="2"/>
    </row>
    <row r="11" spans="2:2" ht="41.25">
      <c r="B11" s="3" t="s">
        <v>69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60"/>
  <sheetViews>
    <sheetView topLeftCell="A3" zoomScaleNormal="100" workbookViewId="0">
      <pane ySplit="5" topLeftCell="A8" activePane="bottomLeft" state="frozen"/>
      <selection activeCell="A3" sqref="A3"/>
      <selection pane="bottomLeft" activeCell="B21" sqref="B21:B32"/>
    </sheetView>
  </sheetViews>
  <sheetFormatPr defaultRowHeight="12"/>
  <cols>
    <col min="1" max="1" width="2" style="7" customWidth="1"/>
    <col min="2" max="2" width="21.85546875" style="7" bestFit="1" customWidth="1"/>
    <col min="3" max="5" width="10.5703125" style="7" bestFit="1" customWidth="1"/>
    <col min="6" max="6" width="2" style="21" customWidth="1"/>
    <col min="7" max="7" width="11" style="7" bestFit="1" customWidth="1"/>
    <col min="8" max="8" width="14.42578125" style="7" bestFit="1" customWidth="1"/>
    <col min="9" max="9" width="11.140625" style="7" bestFit="1" customWidth="1"/>
    <col min="10" max="10" width="13.5703125" style="7" customWidth="1"/>
    <col min="11" max="11" width="11.140625" style="7" bestFit="1" customWidth="1"/>
    <col min="12" max="12" width="9.140625" style="7"/>
    <col min="13" max="13" width="22.140625" style="7" bestFit="1" customWidth="1"/>
    <col min="14" max="16384" width="9.140625" style="7"/>
  </cols>
  <sheetData>
    <row r="1" spans="2:14" ht="15.75">
      <c r="B1" s="6" t="s">
        <v>26</v>
      </c>
    </row>
    <row r="2" spans="2:14" ht="15.75">
      <c r="B2" s="6"/>
      <c r="G2" s="7" t="s">
        <v>78</v>
      </c>
    </row>
    <row r="3" spans="2:14" ht="15.75">
      <c r="B3" s="6"/>
      <c r="G3" s="7" t="s">
        <v>79</v>
      </c>
      <c r="H3" s="7" t="s">
        <v>84</v>
      </c>
      <c r="J3" s="7" t="s">
        <v>85</v>
      </c>
    </row>
    <row r="4" spans="2:14" ht="13.5" customHeight="1">
      <c r="G4" s="7" t="s">
        <v>81</v>
      </c>
      <c r="H4" s="7" t="s">
        <v>82</v>
      </c>
      <c r="J4" s="7" t="s">
        <v>86</v>
      </c>
    </row>
    <row r="5" spans="2:14" ht="14.25" customHeight="1">
      <c r="B5" s="72" t="s">
        <v>77</v>
      </c>
      <c r="C5" s="71">
        <v>2</v>
      </c>
      <c r="G5" s="7" t="s">
        <v>80</v>
      </c>
      <c r="H5" s="7" t="s">
        <v>83</v>
      </c>
      <c r="J5" s="7" t="s">
        <v>87</v>
      </c>
    </row>
    <row r="6" spans="2:14" ht="14.25" customHeight="1"/>
    <row r="7" spans="2:14" ht="24.75" thickBot="1">
      <c r="B7" s="17" t="s">
        <v>53</v>
      </c>
      <c r="C7" s="18" t="s">
        <v>54</v>
      </c>
      <c r="D7" s="18" t="s">
        <v>55</v>
      </c>
      <c r="E7" s="18" t="s">
        <v>56</v>
      </c>
      <c r="F7" s="22"/>
      <c r="G7" s="19" t="s">
        <v>57</v>
      </c>
      <c r="H7" s="19" t="s">
        <v>58</v>
      </c>
      <c r="I7" s="19" t="s">
        <v>59</v>
      </c>
      <c r="J7" s="19" t="s">
        <v>60</v>
      </c>
      <c r="K7" s="19" t="s">
        <v>61</v>
      </c>
    </row>
    <row r="8" spans="2:14">
      <c r="B8" s="72" t="s">
        <v>88</v>
      </c>
      <c r="C8" s="13">
        <f>'P&amp;L source'!D4</f>
        <v>177203</v>
      </c>
      <c r="D8" s="13">
        <f>'P&amp;L source'!E4</f>
        <v>188618</v>
      </c>
      <c r="E8" s="13">
        <f>'P&amp;L source'!F4</f>
        <v>208366</v>
      </c>
      <c r="G8" s="28">
        <f>E8*(1+G9)</f>
        <v>225035.28000000003</v>
      </c>
      <c r="H8" s="28">
        <f>G8*(1+H9)</f>
        <v>243038.10240000003</v>
      </c>
      <c r="I8" s="28">
        <f t="shared" ref="I8:K8" si="0">H8*(1+I9)</f>
        <v>262481.15059200005</v>
      </c>
      <c r="J8" s="28">
        <f t="shared" si="0"/>
        <v>283479.6426393601</v>
      </c>
      <c r="K8" s="28">
        <f t="shared" si="0"/>
        <v>306158.01405050891</v>
      </c>
      <c r="N8" s="22"/>
    </row>
    <row r="9" spans="2:14">
      <c r="B9" s="7" t="s">
        <v>89</v>
      </c>
      <c r="C9" s="49"/>
      <c r="D9" s="26">
        <f>D8/C8-1</f>
        <v>6.4417645299458703E-2</v>
      </c>
      <c r="E9" s="26">
        <f>E8/D8-1</f>
        <v>0.10469838509580209</v>
      </c>
      <c r="G9" s="27">
        <f>CHOOSE($C$5,G10,G11,G12)</f>
        <v>0.08</v>
      </c>
      <c r="H9" s="27">
        <f t="shared" ref="H9:K9" si="1">CHOOSE($C$5,H10,H11,H12)</f>
        <v>0.08</v>
      </c>
      <c r="I9" s="27">
        <f t="shared" si="1"/>
        <v>0.08</v>
      </c>
      <c r="J9" s="27">
        <f t="shared" si="1"/>
        <v>0.08</v>
      </c>
      <c r="K9" s="27">
        <f t="shared" si="1"/>
        <v>0.08</v>
      </c>
    </row>
    <row r="10" spans="2:14">
      <c r="B10" s="7" t="s">
        <v>79</v>
      </c>
      <c r="C10" s="70"/>
      <c r="D10" s="70"/>
      <c r="E10" s="70"/>
      <c r="G10" s="27">
        <v>0.1</v>
      </c>
      <c r="H10" s="27">
        <v>0.1</v>
      </c>
      <c r="I10" s="27">
        <v>0.1</v>
      </c>
      <c r="J10" s="27">
        <v>0.1</v>
      </c>
      <c r="K10" s="27">
        <v>0.1</v>
      </c>
    </row>
    <row r="11" spans="2:14">
      <c r="B11" s="7" t="s">
        <v>81</v>
      </c>
      <c r="C11" s="70"/>
      <c r="D11" s="70"/>
      <c r="E11" s="70"/>
      <c r="G11" s="27">
        <v>0.08</v>
      </c>
      <c r="H11" s="27">
        <v>0.08</v>
      </c>
      <c r="I11" s="27">
        <v>0.08</v>
      </c>
      <c r="J11" s="27">
        <v>0.08</v>
      </c>
      <c r="K11" s="27">
        <v>0.08</v>
      </c>
    </row>
    <row r="12" spans="2:14">
      <c r="B12" s="7" t="s">
        <v>80</v>
      </c>
      <c r="C12" s="70"/>
      <c r="D12" s="70"/>
      <c r="E12" s="70"/>
      <c r="G12" s="27">
        <v>0.04</v>
      </c>
      <c r="H12" s="27">
        <v>0.04</v>
      </c>
      <c r="I12" s="27">
        <v>0.04</v>
      </c>
      <c r="J12" s="27">
        <v>0.04</v>
      </c>
      <c r="K12" s="27">
        <v>0.04</v>
      </c>
    </row>
    <row r="13" spans="2:14" ht="3.75" customHeight="1">
      <c r="G13" s="28"/>
      <c r="H13" s="28"/>
      <c r="I13" s="28"/>
      <c r="J13" s="28"/>
      <c r="K13" s="28"/>
    </row>
    <row r="14" spans="2:14">
      <c r="B14" s="72" t="s">
        <v>90</v>
      </c>
      <c r="C14" s="7">
        <f>'P&amp;L source'!D5</f>
        <v>3520</v>
      </c>
      <c r="D14" s="7">
        <f>'P&amp;L source'!E5</f>
        <v>2416</v>
      </c>
      <c r="E14" s="7">
        <f>'P&amp;L source'!F5</f>
        <v>2585</v>
      </c>
      <c r="G14" s="28">
        <f>E14*(1+G15)</f>
        <v>2585</v>
      </c>
      <c r="H14" s="28">
        <f>G14*(1+H15)</f>
        <v>2585</v>
      </c>
      <c r="I14" s="28">
        <f t="shared" ref="I14" si="2">H14*(1+I15)</f>
        <v>2585</v>
      </c>
      <c r="J14" s="28">
        <f t="shared" ref="J14" si="3">I14*(1+J15)</f>
        <v>2585</v>
      </c>
      <c r="K14" s="28">
        <f t="shared" ref="K14" si="4">J14*(1+K15)</f>
        <v>2585</v>
      </c>
    </row>
    <row r="15" spans="2:14">
      <c r="B15" s="7" t="s">
        <v>91</v>
      </c>
      <c r="D15" s="26">
        <f>D14/C14-1</f>
        <v>-0.3136363636363636</v>
      </c>
      <c r="E15" s="26">
        <f>E14/D14-1</f>
        <v>6.9950331125827825E-2</v>
      </c>
      <c r="G15" s="27">
        <f>CHOOSE($C$5,G16,G17,G18)</f>
        <v>0</v>
      </c>
      <c r="H15" s="27">
        <f>CHOOSE($C$5,H16,H17,H18)</f>
        <v>0</v>
      </c>
      <c r="I15" s="27">
        <f>CHOOSE($C$5,I16,I17,I18)</f>
        <v>0</v>
      </c>
      <c r="J15" s="27">
        <f>CHOOSE($C$5,J16,J17,J18)</f>
        <v>0</v>
      </c>
      <c r="K15" s="27">
        <f>CHOOSE($C$5,K16,K17,K18)</f>
        <v>0</v>
      </c>
    </row>
    <row r="16" spans="2:14">
      <c r="B16" s="7" t="s">
        <v>79</v>
      </c>
      <c r="C16" s="70"/>
      <c r="D16" s="70"/>
      <c r="E16" s="70"/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2:11">
      <c r="B17" s="7" t="s">
        <v>81</v>
      </c>
      <c r="C17" s="70"/>
      <c r="D17" s="70"/>
      <c r="E17" s="70"/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2:11">
      <c r="B18" s="7" t="s">
        <v>80</v>
      </c>
      <c r="C18" s="70"/>
      <c r="D18" s="70"/>
      <c r="E18" s="70"/>
      <c r="G18" s="27">
        <v>0</v>
      </c>
      <c r="H18" s="27">
        <v>0</v>
      </c>
      <c r="I18" s="27">
        <v>0</v>
      </c>
      <c r="J18" s="27">
        <v>0</v>
      </c>
      <c r="K18" s="27">
        <v>0</v>
      </c>
    </row>
    <row r="19" spans="2:11">
      <c r="B19" s="72" t="s">
        <v>92</v>
      </c>
      <c r="C19" s="7">
        <f>SUM('P&amp;L source'!D8:D9)</f>
        <v>-142394.36746666671</v>
      </c>
      <c r="D19" s="7">
        <f>SUM('P&amp;L source'!E8:E9)</f>
        <v>-150572.16639999999</v>
      </c>
      <c r="E19" s="7">
        <f>SUM('P&amp;L source'!F8:F9)</f>
        <v>-157523.118425397</v>
      </c>
      <c r="G19" s="20">
        <f>G$8*G20</f>
        <v>-175527.51840000003</v>
      </c>
      <c r="H19" s="20">
        <f t="shared" ref="H19:K19" si="5">H$8*H20</f>
        <v>-189569.71987200005</v>
      </c>
      <c r="I19" s="20">
        <f t="shared" si="5"/>
        <v>-204735.29746176006</v>
      </c>
      <c r="J19" s="20">
        <f t="shared" si="5"/>
        <v>-221114.12125870088</v>
      </c>
      <c r="K19" s="20">
        <f t="shared" si="5"/>
        <v>-238803.25095939694</v>
      </c>
    </row>
    <row r="20" spans="2:11">
      <c r="B20" s="7" t="s">
        <v>95</v>
      </c>
      <c r="C20" s="26">
        <f>C19/C8</f>
        <v>-0.8035663474470901</v>
      </c>
      <c r="D20" s="26">
        <f t="shared" ref="D20:E20" si="6">D19/D8</f>
        <v>-0.79829160737575411</v>
      </c>
      <c r="E20" s="26">
        <f t="shared" si="6"/>
        <v>-0.75599242882906514</v>
      </c>
      <c r="G20" s="27">
        <f>CHOOSE($C$5,G21,G22,G23)</f>
        <v>-0.78</v>
      </c>
      <c r="H20" s="27">
        <f t="shared" ref="H20:K20" si="7">CHOOSE($C$5,H21,H22,H23)</f>
        <v>-0.78</v>
      </c>
      <c r="I20" s="27">
        <f t="shared" si="7"/>
        <v>-0.78</v>
      </c>
      <c r="J20" s="27">
        <f t="shared" si="7"/>
        <v>-0.78</v>
      </c>
      <c r="K20" s="27">
        <f t="shared" si="7"/>
        <v>-0.78</v>
      </c>
    </row>
    <row r="21" spans="2:11">
      <c r="B21" s="7" t="s">
        <v>79</v>
      </c>
      <c r="C21" s="70"/>
      <c r="D21" s="70"/>
      <c r="E21" s="70"/>
      <c r="G21" s="27">
        <v>-0.76</v>
      </c>
      <c r="H21" s="27">
        <v>-0.76</v>
      </c>
      <c r="I21" s="27">
        <v>-0.76</v>
      </c>
      <c r="J21" s="27">
        <v>-0.76</v>
      </c>
      <c r="K21" s="27">
        <v>-0.76</v>
      </c>
    </row>
    <row r="22" spans="2:11">
      <c r="B22" s="7" t="s">
        <v>81</v>
      </c>
      <c r="C22" s="70"/>
      <c r="D22" s="70"/>
      <c r="E22" s="70"/>
      <c r="G22" s="27">
        <v>-0.78</v>
      </c>
      <c r="H22" s="27">
        <v>-0.78</v>
      </c>
      <c r="I22" s="27">
        <v>-0.78</v>
      </c>
      <c r="J22" s="27">
        <v>-0.78</v>
      </c>
      <c r="K22" s="27">
        <v>-0.78</v>
      </c>
    </row>
    <row r="23" spans="2:11">
      <c r="B23" s="7" t="s">
        <v>80</v>
      </c>
      <c r="C23" s="70"/>
      <c r="D23" s="70"/>
      <c r="E23" s="70"/>
      <c r="G23" s="27">
        <v>-0.8</v>
      </c>
      <c r="H23" s="27">
        <v>-0.8</v>
      </c>
      <c r="I23" s="27">
        <v>-0.8</v>
      </c>
      <c r="J23" s="27">
        <v>-0.8</v>
      </c>
      <c r="K23" s="27">
        <v>-0.8</v>
      </c>
    </row>
    <row r="24" spans="2:11" ht="12" customHeight="1">
      <c r="B24" s="72" t="s">
        <v>93</v>
      </c>
      <c r="C24" s="7">
        <f>SUM('P&amp;L source'!D10:D12)</f>
        <v>-18011.315200000005</v>
      </c>
      <c r="D24" s="7">
        <f>SUM('P&amp;L source'!E10:E12)</f>
        <v>-19247.897599999997</v>
      </c>
      <c r="E24" s="7">
        <f>SUM('P&amp;L source'!F10:F12)</f>
        <v>-23867.008000000009</v>
      </c>
      <c r="G24" s="20">
        <f>G$8*G25</f>
        <v>-23628.704400000002</v>
      </c>
      <c r="H24" s="20">
        <f t="shared" ref="H24" si="8">H$8*H25</f>
        <v>-25519.000752000004</v>
      </c>
      <c r="I24" s="20">
        <f t="shared" ref="I24" si="9">I$8*I25</f>
        <v>-27560.520812160004</v>
      </c>
      <c r="J24" s="20">
        <f t="shared" ref="J24" si="10">J$8*J25</f>
        <v>-29765.36247713281</v>
      </c>
      <c r="K24" s="20">
        <f t="shared" ref="K24" si="11">K$8*K25</f>
        <v>-32146.591475303434</v>
      </c>
    </row>
    <row r="25" spans="2:11">
      <c r="B25" s="7" t="s">
        <v>96</v>
      </c>
      <c r="C25" s="26">
        <f>C24/C8</f>
        <v>-0.10164227016472635</v>
      </c>
      <c r="D25" s="26">
        <f t="shared" ref="D25:E25" si="12">D24/D8</f>
        <v>-0.10204698173026963</v>
      </c>
      <c r="E25" s="26">
        <f t="shared" si="12"/>
        <v>-0.11454367795129727</v>
      </c>
      <c r="G25" s="27">
        <f>CHOOSE($C$5,G26,G27,G28)</f>
        <v>-0.105</v>
      </c>
      <c r="H25" s="27">
        <f t="shared" ref="H25:K25" si="13">CHOOSE($C$5,H26,H27,H28)</f>
        <v>-0.105</v>
      </c>
      <c r="I25" s="27">
        <f t="shared" si="13"/>
        <v>-0.105</v>
      </c>
      <c r="J25" s="27">
        <f t="shared" si="13"/>
        <v>-0.105</v>
      </c>
      <c r="K25" s="27">
        <f t="shared" si="13"/>
        <v>-0.105</v>
      </c>
    </row>
    <row r="26" spans="2:11" ht="12" customHeight="1">
      <c r="B26" s="7" t="s">
        <v>79</v>
      </c>
      <c r="C26" s="70"/>
      <c r="D26" s="70"/>
      <c r="E26" s="70"/>
      <c r="G26" s="27">
        <v>-0.1</v>
      </c>
      <c r="H26" s="27">
        <v>-0.1</v>
      </c>
      <c r="I26" s="27">
        <v>-0.1</v>
      </c>
      <c r="J26" s="27">
        <v>-0.1</v>
      </c>
      <c r="K26" s="27">
        <v>-0.1</v>
      </c>
    </row>
    <row r="27" spans="2:11" ht="12" customHeight="1">
      <c r="B27" s="7" t="s">
        <v>81</v>
      </c>
      <c r="C27" s="70"/>
      <c r="D27" s="70"/>
      <c r="E27" s="70"/>
      <c r="G27" s="73">
        <v>-0.105</v>
      </c>
      <c r="H27" s="73">
        <v>-0.105</v>
      </c>
      <c r="I27" s="73">
        <v>-0.105</v>
      </c>
      <c r="J27" s="73">
        <v>-0.105</v>
      </c>
      <c r="K27" s="73">
        <v>-0.105</v>
      </c>
    </row>
    <row r="28" spans="2:11" ht="12" customHeight="1">
      <c r="B28" s="7" t="s">
        <v>80</v>
      </c>
      <c r="C28" s="70"/>
      <c r="D28" s="70"/>
      <c r="E28" s="70"/>
      <c r="G28" s="27">
        <v>-0.11</v>
      </c>
      <c r="H28" s="27">
        <v>-0.11</v>
      </c>
      <c r="I28" s="27">
        <v>-0.11</v>
      </c>
      <c r="J28" s="27">
        <v>-0.11</v>
      </c>
      <c r="K28" s="27">
        <v>-0.11</v>
      </c>
    </row>
    <row r="29" spans="2:11" ht="12" customHeight="1">
      <c r="B29" s="72" t="s">
        <v>15</v>
      </c>
      <c r="C29" s="7">
        <f>'P&amp;L source'!D16</f>
        <v>-2907.8000000000006</v>
      </c>
      <c r="D29" s="7">
        <f>'P&amp;L source'!E16</f>
        <v>-4649.8</v>
      </c>
      <c r="E29" s="7">
        <f>'P&amp;L source'!F16</f>
        <v>-6430.6600000000008</v>
      </c>
      <c r="G29" s="20">
        <f>G$8*G30</f>
        <v>-5625.8820000000014</v>
      </c>
      <c r="H29" s="20">
        <f t="shared" ref="H29" si="14">H$8*H30</f>
        <v>-6075.9525600000015</v>
      </c>
      <c r="I29" s="20">
        <f t="shared" ref="I29" si="15">I$8*I30</f>
        <v>-6562.0287648000012</v>
      </c>
      <c r="J29" s="20">
        <f t="shared" ref="J29" si="16">J$8*J30</f>
        <v>-7086.9910659840025</v>
      </c>
      <c r="K29" s="20">
        <f t="shared" ref="K29" si="17">K$8*K30</f>
        <v>-7653.9503512627234</v>
      </c>
    </row>
    <row r="30" spans="2:11" ht="12" customHeight="1">
      <c r="B30" s="7" t="s">
        <v>96</v>
      </c>
      <c r="C30" s="26">
        <f>C29/C8</f>
        <v>-1.6409428734276511E-2</v>
      </c>
      <c r="D30" s="26">
        <f t="shared" ref="D30:E30" si="18">D29/D8</f>
        <v>-2.4651942020379815E-2</v>
      </c>
      <c r="E30" s="26">
        <f t="shared" si="18"/>
        <v>-3.0862328786846225E-2</v>
      </c>
      <c r="G30" s="27">
        <f>CHOOSE($C$5,G31,G32,G33)</f>
        <v>-2.5000000000000001E-2</v>
      </c>
      <c r="H30" s="27">
        <f t="shared" ref="H30:K30" si="19">CHOOSE($C$5,H31,H32,H33)</f>
        <v>-2.5000000000000001E-2</v>
      </c>
      <c r="I30" s="27">
        <f t="shared" si="19"/>
        <v>-2.5000000000000001E-2</v>
      </c>
      <c r="J30" s="27">
        <f t="shared" si="19"/>
        <v>-2.5000000000000001E-2</v>
      </c>
      <c r="K30" s="27">
        <f t="shared" si="19"/>
        <v>-2.5000000000000001E-2</v>
      </c>
    </row>
    <row r="31" spans="2:11">
      <c r="B31" s="7" t="s">
        <v>79</v>
      </c>
      <c r="C31" s="70"/>
      <c r="D31" s="70"/>
      <c r="E31" s="70"/>
      <c r="G31" s="27">
        <v>-0.02</v>
      </c>
      <c r="H31" s="27">
        <v>-0.02</v>
      </c>
      <c r="I31" s="27">
        <v>-0.02</v>
      </c>
      <c r="J31" s="27">
        <v>-0.02</v>
      </c>
      <c r="K31" s="27">
        <v>-0.02</v>
      </c>
    </row>
    <row r="32" spans="2:11">
      <c r="B32" s="7" t="s">
        <v>81</v>
      </c>
      <c r="C32" s="70"/>
      <c r="D32" s="70"/>
      <c r="E32" s="70"/>
      <c r="G32" s="27">
        <v>-2.5000000000000001E-2</v>
      </c>
      <c r="H32" s="27">
        <v>-2.5000000000000001E-2</v>
      </c>
      <c r="I32" s="27">
        <v>-2.5000000000000001E-2</v>
      </c>
      <c r="J32" s="27">
        <v>-2.5000000000000001E-2</v>
      </c>
      <c r="K32" s="27">
        <v>-2.5000000000000001E-2</v>
      </c>
    </row>
    <row r="33" spans="2:11">
      <c r="B33" s="7" t="s">
        <v>80</v>
      </c>
      <c r="C33" s="70"/>
      <c r="D33" s="70"/>
      <c r="E33" s="70"/>
      <c r="G33" s="27">
        <v>-0.03</v>
      </c>
      <c r="H33" s="27">
        <v>-0.03</v>
      </c>
      <c r="I33" s="27">
        <v>-0.03</v>
      </c>
      <c r="J33" s="27">
        <v>-0.03</v>
      </c>
      <c r="K33" s="27">
        <v>-0.03</v>
      </c>
    </row>
    <row r="34" spans="2:11">
      <c r="B34" s="72" t="s">
        <v>94</v>
      </c>
      <c r="C34" s="7">
        <f>'P&amp;L source'!D20</f>
        <v>-1266.3000000000002</v>
      </c>
      <c r="D34" s="7">
        <f>'P&amp;L source'!E20</f>
        <v>-2190.9</v>
      </c>
      <c r="E34" s="7">
        <f>'P&amp;L source'!F20</f>
        <v>-2663.92</v>
      </c>
      <c r="G34" s="75">
        <f>E34*(1+G35)</f>
        <v>-2663.92</v>
      </c>
      <c r="H34" s="75">
        <f>G34*(1+H35)</f>
        <v>-2663.92</v>
      </c>
      <c r="I34" s="75">
        <f t="shared" ref="I34" si="20">H34*(1+I35)</f>
        <v>-2663.92</v>
      </c>
      <c r="J34" s="75">
        <f t="shared" ref="J34" si="21">I34*(1+J35)</f>
        <v>-2663.92</v>
      </c>
      <c r="K34" s="75">
        <f t="shared" ref="K34" si="22">J34*(1+K35)</f>
        <v>-2663.92</v>
      </c>
    </row>
    <row r="35" spans="2:11">
      <c r="B35" s="7" t="s">
        <v>91</v>
      </c>
      <c r="D35" s="74">
        <f>D34/C34-1</f>
        <v>0.73015873015873001</v>
      </c>
      <c r="E35" s="74">
        <f>E34/D34-1</f>
        <v>0.21590214067278279</v>
      </c>
      <c r="G35" s="27">
        <f>CHOOSE($C$5,G36,G37,G38)</f>
        <v>0</v>
      </c>
      <c r="H35" s="27">
        <f t="shared" ref="H35:K35" si="23">CHOOSE($C$5,H36,H37,H38)</f>
        <v>0</v>
      </c>
      <c r="I35" s="27">
        <f t="shared" si="23"/>
        <v>0</v>
      </c>
      <c r="J35" s="27">
        <f t="shared" si="23"/>
        <v>0</v>
      </c>
      <c r="K35" s="27">
        <f t="shared" si="23"/>
        <v>0</v>
      </c>
    </row>
    <row r="36" spans="2:11" ht="12" customHeight="1">
      <c r="B36" s="7" t="s">
        <v>79</v>
      </c>
      <c r="C36" s="70"/>
      <c r="D36" s="70"/>
      <c r="E36" s="70"/>
      <c r="G36" s="27">
        <v>0</v>
      </c>
      <c r="H36" s="27">
        <v>0</v>
      </c>
      <c r="I36" s="27">
        <v>0</v>
      </c>
      <c r="J36" s="27">
        <v>0</v>
      </c>
      <c r="K36" s="27">
        <v>0</v>
      </c>
    </row>
    <row r="37" spans="2:11">
      <c r="B37" s="7" t="s">
        <v>81</v>
      </c>
      <c r="C37" s="70"/>
      <c r="D37" s="70"/>
      <c r="E37" s="70"/>
      <c r="G37" s="27">
        <v>0</v>
      </c>
      <c r="H37" s="27">
        <v>0</v>
      </c>
      <c r="I37" s="27">
        <v>0</v>
      </c>
      <c r="J37" s="27">
        <v>0</v>
      </c>
      <c r="K37" s="27">
        <v>0</v>
      </c>
    </row>
    <row r="38" spans="2:11" ht="12" customHeight="1">
      <c r="B38" s="7" t="s">
        <v>80</v>
      </c>
      <c r="C38" s="70"/>
      <c r="D38" s="70"/>
      <c r="E38" s="70"/>
      <c r="G38" s="27">
        <v>0</v>
      </c>
      <c r="H38" s="27">
        <v>0</v>
      </c>
      <c r="I38" s="27">
        <v>0</v>
      </c>
      <c r="J38" s="27">
        <v>0</v>
      </c>
      <c r="K38" s="27">
        <v>0</v>
      </c>
    </row>
    <row r="39" spans="2:11" ht="12" customHeight="1">
      <c r="B39" s="72" t="s">
        <v>18</v>
      </c>
      <c r="C39" s="7">
        <f>'P&amp;L source'!D21</f>
        <v>-317.58000000000004</v>
      </c>
      <c r="D39" s="7">
        <f>'P&amp;L source'!E21</f>
        <v>-864.30000000000007</v>
      </c>
      <c r="E39" s="7">
        <f>'P&amp;L source'!F21</f>
        <v>-320.26</v>
      </c>
      <c r="G39" s="76">
        <f>G$8*G40</f>
        <v>0</v>
      </c>
      <c r="H39" s="76">
        <f t="shared" ref="H39" si="24">H$8*H40</f>
        <v>0</v>
      </c>
      <c r="I39" s="76">
        <f t="shared" ref="I39" si="25">I$8*I40</f>
        <v>0</v>
      </c>
      <c r="J39" s="76">
        <f t="shared" ref="J39" si="26">J$8*J40</f>
        <v>0</v>
      </c>
      <c r="K39" s="76">
        <f t="shared" ref="K39" si="27">K$8*K40</f>
        <v>0</v>
      </c>
    </row>
    <row r="40" spans="2:11" ht="12" customHeight="1">
      <c r="B40" s="7" t="s">
        <v>95</v>
      </c>
      <c r="C40" s="74">
        <f>C39/C8</f>
        <v>-1.7921818479371119E-3</v>
      </c>
      <c r="D40" s="74">
        <f t="shared" ref="D40:E40" si="28">D39/D8</f>
        <v>-4.5822774072463929E-3</v>
      </c>
      <c r="E40" s="74">
        <f t="shared" si="28"/>
        <v>-1.5370069973028228E-3</v>
      </c>
      <c r="G40" s="27">
        <f>CHOOSE($C$5,G41,G42,G43)</f>
        <v>0</v>
      </c>
      <c r="H40" s="27">
        <f t="shared" ref="H40:K40" si="29">CHOOSE($C$5,H41,H42,H43)</f>
        <v>0</v>
      </c>
      <c r="I40" s="27">
        <f t="shared" si="29"/>
        <v>0</v>
      </c>
      <c r="J40" s="27">
        <f t="shared" si="29"/>
        <v>0</v>
      </c>
      <c r="K40" s="27">
        <f t="shared" si="29"/>
        <v>0</v>
      </c>
    </row>
    <row r="41" spans="2:11" ht="12" customHeight="1">
      <c r="B41" s="7" t="s">
        <v>79</v>
      </c>
      <c r="C41" s="70"/>
      <c r="D41" s="70"/>
      <c r="E41" s="70"/>
      <c r="G41" s="27">
        <v>0</v>
      </c>
      <c r="H41" s="27">
        <v>0</v>
      </c>
      <c r="I41" s="27">
        <v>0</v>
      </c>
      <c r="J41" s="27">
        <v>0</v>
      </c>
      <c r="K41" s="27">
        <v>0</v>
      </c>
    </row>
    <row r="42" spans="2:11" ht="12" customHeight="1">
      <c r="B42" s="7" t="s">
        <v>81</v>
      </c>
      <c r="C42" s="70"/>
      <c r="D42" s="70"/>
      <c r="E42" s="70"/>
      <c r="G42" s="27">
        <v>0</v>
      </c>
      <c r="H42" s="27">
        <v>0</v>
      </c>
      <c r="I42" s="27">
        <v>0</v>
      </c>
      <c r="J42" s="27">
        <v>0</v>
      </c>
      <c r="K42" s="27">
        <v>0</v>
      </c>
    </row>
    <row r="43" spans="2:11">
      <c r="B43" s="7" t="s">
        <v>80</v>
      </c>
      <c r="C43" s="70"/>
      <c r="D43" s="70"/>
      <c r="E43" s="70"/>
      <c r="G43" s="27">
        <v>0</v>
      </c>
      <c r="H43" s="27">
        <v>0</v>
      </c>
      <c r="I43" s="27">
        <v>0</v>
      </c>
      <c r="J43" s="27">
        <v>0</v>
      </c>
      <c r="K43" s="27">
        <v>0</v>
      </c>
    </row>
    <row r="44" spans="2:11" ht="12" customHeight="1">
      <c r="B44" s="72" t="s">
        <v>23</v>
      </c>
      <c r="C44" s="7">
        <f>'P&amp;L source'!D25</f>
        <v>-3805.7759999999998</v>
      </c>
      <c r="D44" s="7">
        <f>'P&amp;L source'!E25</f>
        <v>-3050.192</v>
      </c>
      <c r="E44" s="7">
        <f>'P&amp;L source'!F25</f>
        <v>-3814.88</v>
      </c>
      <c r="G44" s="27"/>
      <c r="H44" s="27"/>
      <c r="I44" s="27"/>
      <c r="J44" s="27"/>
      <c r="K44" s="27"/>
    </row>
    <row r="45" spans="2:11" ht="12" customHeight="1">
      <c r="B45" s="7" t="s">
        <v>97</v>
      </c>
      <c r="C45" s="74">
        <f>'P&amp;L assumptions'!C44/'P&amp;L source'!D23</f>
        <v>-0.2404816892893126</v>
      </c>
      <c r="D45" s="74">
        <f>'P&amp;L assumptions'!D44/'P&amp;L source'!E23</f>
        <v>-0.22579069143565386</v>
      </c>
      <c r="E45" s="74">
        <f>'P&amp;L assumptions'!E44/'P&amp;L source'!F23</f>
        <v>-0.18936134430001197</v>
      </c>
      <c r="G45" s="27">
        <f>CHOOSE($C$5,G46,G47,G48)</f>
        <v>-0.2</v>
      </c>
      <c r="H45" s="27">
        <f t="shared" ref="H45:K45" si="30">CHOOSE($C$5,H46,H47,H48)</f>
        <v>-0.2</v>
      </c>
      <c r="I45" s="27">
        <f t="shared" si="30"/>
        <v>-0.2</v>
      </c>
      <c r="J45" s="27">
        <f t="shared" si="30"/>
        <v>-0.2</v>
      </c>
      <c r="K45" s="27">
        <f t="shared" si="30"/>
        <v>-0.2</v>
      </c>
    </row>
    <row r="46" spans="2:11" ht="12" customHeight="1">
      <c r="B46" s="7" t="s">
        <v>79</v>
      </c>
      <c r="C46" s="70"/>
      <c r="D46" s="70"/>
      <c r="E46" s="70"/>
      <c r="G46" s="27">
        <v>-0.18</v>
      </c>
      <c r="H46" s="27">
        <v>-0.18</v>
      </c>
      <c r="I46" s="27">
        <v>-0.18</v>
      </c>
      <c r="J46" s="27">
        <v>-0.18</v>
      </c>
      <c r="K46" s="27">
        <v>-0.18</v>
      </c>
    </row>
    <row r="47" spans="2:11" ht="12" customHeight="1">
      <c r="B47" s="7" t="s">
        <v>81</v>
      </c>
      <c r="C47" s="70"/>
      <c r="D47" s="70"/>
      <c r="E47" s="70"/>
      <c r="G47" s="27">
        <v>-0.2</v>
      </c>
      <c r="H47" s="27">
        <v>-0.2</v>
      </c>
      <c r="I47" s="27">
        <v>-0.2</v>
      </c>
      <c r="J47" s="27">
        <v>-0.2</v>
      </c>
      <c r="K47" s="27">
        <v>-0.2</v>
      </c>
    </row>
    <row r="48" spans="2:11" ht="12" customHeight="1">
      <c r="B48" s="7" t="s">
        <v>80</v>
      </c>
      <c r="C48" s="70"/>
      <c r="D48" s="70"/>
      <c r="E48" s="70"/>
      <c r="G48" s="27">
        <v>-0.22</v>
      </c>
      <c r="H48" s="27">
        <v>-0.22</v>
      </c>
      <c r="I48" s="27">
        <v>-0.22</v>
      </c>
      <c r="J48" s="27">
        <v>-0.22</v>
      </c>
      <c r="K48" s="27">
        <v>-0.22</v>
      </c>
    </row>
    <row r="49" spans="7:11" ht="3.75" customHeight="1">
      <c r="G49" s="13"/>
      <c r="H49" s="13"/>
      <c r="I49" s="13"/>
      <c r="J49" s="13"/>
      <c r="K49" s="13"/>
    </row>
    <row r="50" spans="7:11">
      <c r="G50" s="13"/>
      <c r="H50" s="13"/>
      <c r="I50" s="13"/>
      <c r="J50" s="13"/>
      <c r="K50" s="13"/>
    </row>
    <row r="51" spans="7:11">
      <c r="G51" s="25"/>
      <c r="H51" s="25"/>
      <c r="I51" s="25"/>
      <c r="J51" s="25"/>
      <c r="K51" s="25"/>
    </row>
    <row r="52" spans="7:11">
      <c r="G52" s="25"/>
      <c r="H52" s="25"/>
      <c r="I52" s="25"/>
      <c r="J52" s="25"/>
      <c r="K52" s="25"/>
    </row>
    <row r="53" spans="7:11">
      <c r="G53" s="25"/>
      <c r="H53" s="25"/>
      <c r="I53" s="25"/>
      <c r="J53" s="25"/>
      <c r="K53" s="25"/>
    </row>
    <row r="54" spans="7:11">
      <c r="G54" s="25"/>
      <c r="H54" s="25"/>
      <c r="I54" s="25"/>
      <c r="J54" s="25"/>
      <c r="K54" s="25"/>
    </row>
    <row r="56" spans="7:11">
      <c r="G56" s="50"/>
      <c r="H56" s="50"/>
      <c r="I56" s="50"/>
      <c r="J56" s="50"/>
      <c r="K56" s="50"/>
    </row>
    <row r="57" spans="7:11">
      <c r="G57" s="25"/>
      <c r="H57" s="25"/>
      <c r="I57" s="25"/>
      <c r="J57" s="25"/>
      <c r="K57" s="25"/>
    </row>
    <row r="58" spans="7:11">
      <c r="G58" s="25"/>
      <c r="H58" s="25"/>
      <c r="I58" s="25"/>
      <c r="J58" s="25"/>
      <c r="K58" s="25"/>
    </row>
    <row r="59" spans="7:11">
      <c r="G59" s="25"/>
      <c r="H59" s="25"/>
      <c r="I59" s="25"/>
      <c r="J59" s="25"/>
      <c r="K59" s="25"/>
    </row>
    <row r="60" spans="7:11">
      <c r="G60" s="25"/>
      <c r="H60" s="25"/>
      <c r="I60" s="25"/>
      <c r="J60" s="25"/>
      <c r="K60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1"/>
  <sheetViews>
    <sheetView zoomScaleNormal="100" workbookViewId="0"/>
  </sheetViews>
  <sheetFormatPr defaultRowHeight="12"/>
  <cols>
    <col min="1" max="1" width="2" style="7" customWidth="1"/>
    <col min="2" max="2" width="17.28515625" style="7" customWidth="1"/>
    <col min="3" max="4" width="9.140625" style="7"/>
    <col min="5" max="5" width="10" style="7" bestFit="1" customWidth="1"/>
    <col min="6" max="6" width="2" style="7" customWidth="1"/>
    <col min="7" max="7" width="11" style="7" bestFit="1" customWidth="1"/>
    <col min="8" max="16384" width="9.140625" style="7"/>
  </cols>
  <sheetData>
    <row r="1" spans="2:11" ht="15.75">
      <c r="B1" s="6" t="s">
        <v>27</v>
      </c>
    </row>
    <row r="3" spans="2:11" ht="3.75" customHeight="1"/>
    <row r="4" spans="2:11" ht="24.75" thickBot="1">
      <c r="B4" s="17" t="s">
        <v>53</v>
      </c>
      <c r="C4" s="18" t="s">
        <v>54</v>
      </c>
      <c r="D4" s="18" t="s">
        <v>55</v>
      </c>
      <c r="E4" s="18" t="s">
        <v>56</v>
      </c>
      <c r="F4" s="22"/>
      <c r="G4" s="19" t="s">
        <v>57</v>
      </c>
      <c r="H4" s="19" t="s">
        <v>58</v>
      </c>
      <c r="I4" s="19" t="s">
        <v>59</v>
      </c>
      <c r="J4" s="19" t="s">
        <v>60</v>
      </c>
      <c r="K4" s="19" t="s">
        <v>61</v>
      </c>
    </row>
    <row r="5" spans="2:11">
      <c r="B5" s="7" t="s">
        <v>30</v>
      </c>
      <c r="C5" s="13">
        <f>'BS source'!D11</f>
        <v>32883.599999999999</v>
      </c>
      <c r="D5" s="13">
        <f>'BS source'!E11</f>
        <v>38556</v>
      </c>
      <c r="E5" s="13">
        <f>'BS source'!F11</f>
        <v>43581.599999999999</v>
      </c>
      <c r="G5" s="28">
        <f>G6*'P&amp;L assumptions'!G$8/360</f>
        <v>47068.128000000004</v>
      </c>
      <c r="H5" s="28">
        <f>H6*'P&amp;L assumptions'!H$8/360</f>
        <v>50833.578240000003</v>
      </c>
      <c r="I5" s="28">
        <f>I6*'P&amp;L assumptions'!I$8/360</f>
        <v>54900.264499199999</v>
      </c>
      <c r="J5" s="28">
        <f>J6*'P&amp;L assumptions'!J$8/360</f>
        <v>59292.285659136011</v>
      </c>
      <c r="K5" s="28">
        <f>K6*'P&amp;L assumptions'!K$8/360</f>
        <v>64035.66851186689</v>
      </c>
    </row>
    <row r="6" spans="2:11">
      <c r="B6" s="16" t="s">
        <v>98</v>
      </c>
      <c r="C6" s="16">
        <f>(C5/'P&amp;L assumptions'!C8)*360</f>
        <v>66.805279820319072</v>
      </c>
      <c r="D6" s="16">
        <f>(D5/'P&amp;L assumptions'!D8)*360</f>
        <v>73.588734903349632</v>
      </c>
      <c r="E6" s="16">
        <f>(E5/'P&amp;L assumptions'!E8)*360</f>
        <v>75.297198199322338</v>
      </c>
      <c r="G6" s="52">
        <f>$E$6</f>
        <v>75.297198199322338</v>
      </c>
      <c r="H6" s="52">
        <f t="shared" ref="H6:K6" si="0">$E$6</f>
        <v>75.297198199322338</v>
      </c>
      <c r="I6" s="52">
        <f t="shared" si="0"/>
        <v>75.297198199322338</v>
      </c>
      <c r="J6" s="52">
        <f t="shared" si="0"/>
        <v>75.297198199322338</v>
      </c>
      <c r="K6" s="52">
        <f t="shared" si="0"/>
        <v>75.297198199322338</v>
      </c>
    </row>
    <row r="7" spans="2:11">
      <c r="C7" s="13"/>
      <c r="D7" s="13"/>
      <c r="E7" s="13"/>
      <c r="G7" s="20"/>
      <c r="H7" s="20"/>
      <c r="I7" s="20"/>
      <c r="J7" s="20"/>
      <c r="K7" s="20"/>
    </row>
    <row r="8" spans="2:11">
      <c r="B8" s="7" t="s">
        <v>32</v>
      </c>
      <c r="C8" s="13">
        <f>'BS source'!D10</f>
        <v>31167.200000000001</v>
      </c>
      <c r="D8" s="13">
        <f>'BS source'!E10</f>
        <v>36396.800000000003</v>
      </c>
      <c r="E8" s="13">
        <f>'BS source'!F10</f>
        <v>46212</v>
      </c>
      <c r="G8" s="28">
        <f>-G9*'P&amp;L assumptions'!G$19/360</f>
        <v>51493.887128335395</v>
      </c>
      <c r="H8" s="28">
        <f>-H9*'P&amp;L assumptions'!H$19/360</f>
        <v>55613.398098602222</v>
      </c>
      <c r="I8" s="28">
        <f>-I9*'P&amp;L assumptions'!I$19/360</f>
        <v>60062.469946490404</v>
      </c>
      <c r="J8" s="28">
        <f>-J9*'P&amp;L assumptions'!J$19/360</f>
        <v>64867.467542209641</v>
      </c>
      <c r="K8" s="28">
        <f>-K9*'P&amp;L assumptions'!K$19/360</f>
        <v>70056.864945586407</v>
      </c>
    </row>
    <row r="9" spans="2:11">
      <c r="B9" s="16" t="s">
        <v>99</v>
      </c>
      <c r="C9" s="16">
        <f>-C8/'P&amp;L assumptions'!C$19*360</f>
        <v>78.796599890979181</v>
      </c>
      <c r="D9" s="16">
        <f>-D8/'P&amp;L assumptions'!D$19*360</f>
        <v>87.020385727810066</v>
      </c>
      <c r="E9" s="16">
        <f>-E8/'P&amp;L assumptions'!E$19*360</f>
        <v>105.61192646702818</v>
      </c>
      <c r="G9" s="52">
        <f>$E$9</f>
        <v>105.61192646702818</v>
      </c>
      <c r="H9" s="52">
        <f t="shared" ref="H9:K9" si="1">$E$9</f>
        <v>105.61192646702818</v>
      </c>
      <c r="I9" s="52">
        <f t="shared" si="1"/>
        <v>105.61192646702818</v>
      </c>
      <c r="J9" s="52">
        <f t="shared" si="1"/>
        <v>105.61192646702818</v>
      </c>
      <c r="K9" s="52">
        <f t="shared" si="1"/>
        <v>105.61192646702818</v>
      </c>
    </row>
    <row r="10" spans="2:11">
      <c r="C10" s="13"/>
      <c r="D10" s="13"/>
      <c r="E10" s="13"/>
      <c r="G10" s="20"/>
      <c r="H10" s="20"/>
      <c r="I10" s="20"/>
      <c r="J10" s="20"/>
      <c r="K10" s="20"/>
    </row>
    <row r="11" spans="2:11">
      <c r="B11" s="7" t="s">
        <v>100</v>
      </c>
      <c r="C11" s="13">
        <f>'BS source'!J10</f>
        <v>15891.2</v>
      </c>
      <c r="D11" s="13">
        <f>'BS source'!K10</f>
        <v>26351.599999999999</v>
      </c>
      <c r="E11" s="13">
        <f>'BS source'!L10</f>
        <v>36189.599999999999</v>
      </c>
      <c r="G11" s="28">
        <f>-G12*'P&amp;L assumptions'!G$19/360</f>
        <v>40325.958141166935</v>
      </c>
      <c r="H11" s="28">
        <f>-H12*'P&amp;L assumptions'!H$19/360</f>
        <v>43552.034792460297</v>
      </c>
      <c r="I11" s="28">
        <f>-I12*'P&amp;L assumptions'!I$19/360</f>
        <v>47036.197575857121</v>
      </c>
      <c r="J11" s="28">
        <f>-J12*'P&amp;L assumptions'!J$19/360</f>
        <v>50799.09338192569</v>
      </c>
      <c r="K11" s="28">
        <f>-K12*'P&amp;L assumptions'!K$19/360</f>
        <v>54863.020852479742</v>
      </c>
    </row>
    <row r="12" spans="2:11">
      <c r="B12" s="16" t="s">
        <v>101</v>
      </c>
      <c r="C12" s="16">
        <f>-C11/'P&amp;L assumptions'!C$19*360</f>
        <v>40.175971155173656</v>
      </c>
      <c r="D12" s="16">
        <f>-D11/'P&amp;L assumptions'!D$19*360</f>
        <v>63.003516697758023</v>
      </c>
      <c r="E12" s="16">
        <f>-E11/'P&amp;L assumptions'!E$19*360</f>
        <v>82.706945686643365</v>
      </c>
      <c r="G12" s="52">
        <f>$E$12</f>
        <v>82.706945686643365</v>
      </c>
      <c r="H12" s="52">
        <f t="shared" ref="H12:K12" si="2">$E$12</f>
        <v>82.706945686643365</v>
      </c>
      <c r="I12" s="52">
        <f t="shared" si="2"/>
        <v>82.706945686643365</v>
      </c>
      <c r="J12" s="52">
        <f t="shared" si="2"/>
        <v>82.706945686643365</v>
      </c>
      <c r="K12" s="52">
        <f t="shared" si="2"/>
        <v>82.706945686643365</v>
      </c>
    </row>
    <row r="13" spans="2:11">
      <c r="C13" s="13"/>
      <c r="D13" s="13"/>
      <c r="E13" s="13"/>
      <c r="G13" s="20"/>
      <c r="H13" s="20"/>
      <c r="I13" s="20"/>
      <c r="J13" s="20"/>
      <c r="K13" s="20"/>
    </row>
    <row r="14" spans="2:11">
      <c r="B14" s="7" t="s">
        <v>43</v>
      </c>
      <c r="C14" s="13">
        <f>'BS source'!D5</f>
        <v>45106.400000000001</v>
      </c>
      <c r="D14" s="13">
        <f>'BS source'!E5</f>
        <v>49072.4</v>
      </c>
      <c r="E14" s="13">
        <f>'BS source'!F5</f>
        <v>56109.2</v>
      </c>
      <c r="G14" s="28">
        <f>G15*'P&amp;L assumptions'!G$8</f>
        <v>58808.963882665172</v>
      </c>
      <c r="H14" s="28">
        <f>H15*'P&amp;L assumptions'!H$8</f>
        <v>63513.680993278387</v>
      </c>
      <c r="I14" s="28">
        <f>I15*'P&amp;L assumptions'!I$8</f>
        <v>68594.775472740657</v>
      </c>
      <c r="J14" s="28">
        <f>J15*'P&amp;L assumptions'!J$8</f>
        <v>74082.35751055993</v>
      </c>
      <c r="K14" s="28">
        <f>K15*'P&amp;L assumptions'!K$8</f>
        <v>80008.946111404715</v>
      </c>
    </row>
    <row r="15" spans="2:11">
      <c r="B15" s="16" t="s">
        <v>102</v>
      </c>
      <c r="C15" s="51">
        <f>C14/'P&amp;L assumptions'!C$8</f>
        <v>0.25454648059005774</v>
      </c>
      <c r="D15" s="51">
        <f>D14/'P&amp;L assumptions'!D$8</f>
        <v>0.26016817058817293</v>
      </c>
      <c r="E15" s="51">
        <f>E14/'P&amp;L assumptions'!E$8</f>
        <v>0.26928193659234229</v>
      </c>
      <c r="G15" s="27">
        <f>AVERAGE($C15:$E15)</f>
        <v>0.26133219592352436</v>
      </c>
      <c r="H15" s="27">
        <f t="shared" ref="H15:K15" si="3">AVERAGE($C15:$E15)</f>
        <v>0.26133219592352436</v>
      </c>
      <c r="I15" s="27">
        <f t="shared" si="3"/>
        <v>0.26133219592352436</v>
      </c>
      <c r="J15" s="27">
        <f t="shared" si="3"/>
        <v>0.26133219592352436</v>
      </c>
      <c r="K15" s="27">
        <f t="shared" si="3"/>
        <v>0.26133219592352436</v>
      </c>
    </row>
    <row r="16" spans="2:11">
      <c r="C16" s="13"/>
      <c r="D16" s="13"/>
      <c r="E16" s="13"/>
      <c r="G16" s="20"/>
      <c r="H16" s="20"/>
      <c r="I16" s="20"/>
      <c r="J16" s="20"/>
      <c r="K16" s="20"/>
    </row>
    <row r="17" spans="2:11">
      <c r="B17" s="7" t="s">
        <v>31</v>
      </c>
      <c r="C17" s="13">
        <f>'BS source'!D12</f>
        <v>8841.6</v>
      </c>
      <c r="D17" s="13">
        <f>'BS source'!E12</f>
        <v>11359.199999999999</v>
      </c>
      <c r="E17" s="13">
        <f>'BS source'!F12</f>
        <v>17602.8</v>
      </c>
      <c r="G17" s="28">
        <f>G18*'P&amp;L assumptions'!G$8</f>
        <v>14597.199966442211</v>
      </c>
      <c r="H17" s="28">
        <f>H18*'P&amp;L assumptions'!H$8</f>
        <v>15764.975963757588</v>
      </c>
      <c r="I17" s="28">
        <f>I18*'P&amp;L assumptions'!I$8</f>
        <v>17026.174040858194</v>
      </c>
      <c r="J17" s="28">
        <f>J18*'P&amp;L assumptions'!J$8</f>
        <v>18388.267964126855</v>
      </c>
      <c r="K17" s="28">
        <f>K18*'P&amp;L assumptions'!K$8</f>
        <v>19859.329401257</v>
      </c>
    </row>
    <row r="18" spans="2:11">
      <c r="B18" s="16" t="s">
        <v>102</v>
      </c>
      <c r="C18" s="51">
        <f>C17/'P&amp;L assumptions'!C$8</f>
        <v>4.9895317799360059E-2</v>
      </c>
      <c r="D18" s="51">
        <f>D17/'P&amp;L assumptions'!D$8</f>
        <v>6.0223308485934532E-2</v>
      </c>
      <c r="E18" s="51">
        <f>E17/'P&amp;L assumptions'!E$8</f>
        <v>8.4480193505658316E-2</v>
      </c>
      <c r="G18" s="27">
        <f>AVERAGE($C18:$E18)</f>
        <v>6.4866273263650964E-2</v>
      </c>
      <c r="H18" s="27">
        <f t="shared" ref="H18:K18" si="4">AVERAGE($C18:$E18)</f>
        <v>6.4866273263650964E-2</v>
      </c>
      <c r="I18" s="27">
        <f t="shared" si="4"/>
        <v>6.4866273263650964E-2</v>
      </c>
      <c r="J18" s="27">
        <f t="shared" si="4"/>
        <v>6.4866273263650964E-2</v>
      </c>
      <c r="K18" s="27">
        <f t="shared" si="4"/>
        <v>6.4866273263650964E-2</v>
      </c>
    </row>
    <row r="19" spans="2:11">
      <c r="C19" s="13"/>
      <c r="D19" s="13"/>
      <c r="E19" s="13"/>
      <c r="G19" s="20"/>
      <c r="H19" s="20"/>
      <c r="I19" s="20"/>
      <c r="J19" s="20"/>
      <c r="K19" s="20"/>
    </row>
    <row r="20" spans="2:11">
      <c r="B20" s="7" t="s">
        <v>45</v>
      </c>
      <c r="C20" s="13">
        <f>SUM('BS source'!J11,'BS source'!J12,'BS source'!J13)</f>
        <v>5969.0386666666891</v>
      </c>
      <c r="D20" s="13">
        <f>SUM('BS source'!K11,'BS source'!K12,'BS source'!K13)</f>
        <v>5800.3560000000052</v>
      </c>
      <c r="E20" s="13">
        <f>SUM('BS source'!L11,'BS source'!L12,'BS source'!L13)</f>
        <v>8473.4464253970418</v>
      </c>
      <c r="G20" s="28">
        <f>G21*'P&amp;L assumptions'!G$8</f>
        <v>7883.9448649531369</v>
      </c>
      <c r="H20" s="28">
        <f>H21*'P&amp;L assumptions'!H$8</f>
        <v>8514.6604541493871</v>
      </c>
      <c r="I20" s="28">
        <f>I21*'P&amp;L assumptions'!I$8</f>
        <v>9195.8332904813396</v>
      </c>
      <c r="J20" s="28">
        <f>J21*'P&amp;L assumptions'!J$8</f>
        <v>9931.4999537198473</v>
      </c>
      <c r="K20" s="28">
        <f>K21*'P&amp;L assumptions'!K$8</f>
        <v>10726.019950017435</v>
      </c>
    </row>
    <row r="21" spans="2:11">
      <c r="B21" s="16" t="s">
        <v>102</v>
      </c>
      <c r="C21" s="51">
        <f>C20/'P&amp;L assumptions'!C$8</f>
        <v>3.368474950574589E-2</v>
      </c>
      <c r="D21" s="51">
        <f>D20/'P&amp;L assumptions'!D$8</f>
        <v>3.0751868856630889E-2</v>
      </c>
      <c r="E21" s="51">
        <f>E20/'P&amp;L assumptions'!E$8</f>
        <v>4.0666166387016318E-2</v>
      </c>
      <c r="G21" s="27">
        <f>AVERAGE($C21:$E21)</f>
        <v>3.5034261583131034E-2</v>
      </c>
      <c r="H21" s="27">
        <f t="shared" ref="H21:K21" si="5">AVERAGE($C21:$E21)</f>
        <v>3.5034261583131034E-2</v>
      </c>
      <c r="I21" s="27">
        <f t="shared" si="5"/>
        <v>3.5034261583131034E-2</v>
      </c>
      <c r="J21" s="27">
        <f t="shared" si="5"/>
        <v>3.5034261583131034E-2</v>
      </c>
      <c r="K21" s="27">
        <f t="shared" si="5"/>
        <v>3.5034261583131034E-2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:B11"/>
  <sheetViews>
    <sheetView workbookViewId="0"/>
  </sheetViews>
  <sheetFormatPr defaultRowHeight="12"/>
  <cols>
    <col min="1" max="1" width="2" style="1" customWidth="1"/>
    <col min="2" max="16384" width="9.140625" style="1"/>
  </cols>
  <sheetData>
    <row r="1" spans="2:2" ht="15.75">
      <c r="B1" s="2"/>
    </row>
    <row r="11" spans="2:2" ht="41.25">
      <c r="B11" s="3" t="s">
        <v>70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57"/>
  <sheetViews>
    <sheetView workbookViewId="0"/>
  </sheetViews>
  <sheetFormatPr defaultRowHeight="12"/>
  <cols>
    <col min="1" max="1" width="2" style="7" customWidth="1"/>
    <col min="2" max="2" width="18.28515625" style="7" bestFit="1" customWidth="1"/>
    <col min="3" max="3" width="10.5703125" style="7" bestFit="1" customWidth="1"/>
    <col min="4" max="5" width="9.140625" style="7"/>
    <col min="6" max="6" width="2" style="7" customWidth="1"/>
    <col min="7" max="7" width="10.5703125" style="7" bestFit="1" customWidth="1"/>
    <col min="8" max="11" width="9.140625" style="7"/>
    <col min="12" max="12" width="2" style="7" customWidth="1"/>
    <col min="13" max="16384" width="9.140625" style="7"/>
  </cols>
  <sheetData>
    <row r="1" spans="2:17" ht="15.75">
      <c r="B1" s="6" t="s">
        <v>6</v>
      </c>
    </row>
    <row r="3" spans="2:17" ht="24.75" thickBot="1">
      <c r="B3" s="17" t="s">
        <v>53</v>
      </c>
      <c r="C3" s="18" t="s">
        <v>54</v>
      </c>
      <c r="D3" s="18" t="s">
        <v>55</v>
      </c>
      <c r="E3" s="18" t="s">
        <v>56</v>
      </c>
      <c r="F3" s="22"/>
      <c r="G3" s="19" t="s">
        <v>57</v>
      </c>
      <c r="H3" s="19" t="s">
        <v>58</v>
      </c>
      <c r="I3" s="19" t="s">
        <v>59</v>
      </c>
      <c r="J3" s="19" t="s">
        <v>60</v>
      </c>
      <c r="K3" s="19" t="s">
        <v>61</v>
      </c>
      <c r="M3" s="23" t="s">
        <v>66</v>
      </c>
    </row>
    <row r="4" spans="2:17" ht="12.75" customHeight="1">
      <c r="B4" s="7" t="s">
        <v>88</v>
      </c>
      <c r="C4" s="13">
        <f>SUMIF('P&amp;L assumptions'!$B:$B,'P&amp;L'!$B4,'P&amp;L assumptions'!C:C)</f>
        <v>177203</v>
      </c>
      <c r="D4" s="13">
        <f>SUMIF('P&amp;L assumptions'!$B:$B,'P&amp;L'!$B4,'P&amp;L assumptions'!D:D)</f>
        <v>188618</v>
      </c>
      <c r="E4" s="13">
        <f>SUMIF('P&amp;L assumptions'!$B:$B,'P&amp;L'!$B4,'P&amp;L assumptions'!E:E)</f>
        <v>208366</v>
      </c>
      <c r="G4" s="28">
        <f>SUMIF('P&amp;L assumptions'!$B:$B,'P&amp;L'!$B4,'P&amp;L assumptions'!G:G)</f>
        <v>225035.28000000003</v>
      </c>
      <c r="H4" s="28">
        <f>SUMIF('P&amp;L assumptions'!$B:$B,'P&amp;L'!$B4,'P&amp;L assumptions'!H:H)</f>
        <v>243038.10240000003</v>
      </c>
      <c r="I4" s="28">
        <f>SUMIF('P&amp;L assumptions'!$B:$B,'P&amp;L'!$B4,'P&amp;L assumptions'!I:I)</f>
        <v>262481.15059200005</v>
      </c>
      <c r="J4" s="28">
        <f>SUMIF('P&amp;L assumptions'!$B:$B,'P&amp;L'!$B4,'P&amp;L assumptions'!J:J)</f>
        <v>283479.6426393601</v>
      </c>
      <c r="K4" s="28">
        <f>SUMIF('P&amp;L assumptions'!$B:$B,'P&amp;L'!$B4,'P&amp;L assumptions'!K:K)</f>
        <v>306158.01405050891</v>
      </c>
    </row>
    <row r="5" spans="2:17" ht="12.75" customHeight="1">
      <c r="B5" s="21" t="s">
        <v>90</v>
      </c>
      <c r="C5" s="38">
        <f>SUMIF('P&amp;L assumptions'!$B:$B,'P&amp;L'!$B5,'P&amp;L assumptions'!C:C)</f>
        <v>3520</v>
      </c>
      <c r="D5" s="38">
        <f>SUMIF('P&amp;L assumptions'!$B:$B,'P&amp;L'!$B5,'P&amp;L assumptions'!D:D)</f>
        <v>2416</v>
      </c>
      <c r="E5" s="38">
        <f>SUMIF('P&amp;L assumptions'!$B:$B,'P&amp;L'!$B5,'P&amp;L assumptions'!E:E)</f>
        <v>2585</v>
      </c>
      <c r="F5" s="21"/>
      <c r="G5" s="28">
        <f>SUMIF('P&amp;L assumptions'!$B:$B,'P&amp;L'!$B5,'P&amp;L assumptions'!G:G)</f>
        <v>2585</v>
      </c>
      <c r="H5" s="28">
        <f>SUMIF('P&amp;L assumptions'!$B:$B,'P&amp;L'!$B5,'P&amp;L assumptions'!H:H)</f>
        <v>2585</v>
      </c>
      <c r="I5" s="28">
        <f>SUMIF('P&amp;L assumptions'!$B:$B,'P&amp;L'!$B5,'P&amp;L assumptions'!I:I)</f>
        <v>2585</v>
      </c>
      <c r="J5" s="28">
        <f>SUMIF('P&amp;L assumptions'!$B:$B,'P&amp;L'!$B5,'P&amp;L assumptions'!J:J)</f>
        <v>2585</v>
      </c>
      <c r="K5" s="28">
        <f>SUMIF('P&amp;L assumptions'!$B:$B,'P&amp;L'!$B5,'P&amp;L assumptions'!K:K)</f>
        <v>2585</v>
      </c>
      <c r="L5" s="28">
        <f>SUMIF('P&amp;L assumptions'!$B:$B,'P&amp;L'!$B5,'P&amp;L assumptions'!L:L)</f>
        <v>0</v>
      </c>
      <c r="M5" s="21"/>
      <c r="N5" s="21"/>
      <c r="O5" s="21"/>
      <c r="P5" s="21"/>
      <c r="Q5" s="21"/>
    </row>
    <row r="6" spans="2:17">
      <c r="B6" s="80" t="s">
        <v>103</v>
      </c>
      <c r="C6" s="81">
        <f>C5+C4</f>
        <v>180723</v>
      </c>
      <c r="D6" s="81">
        <f t="shared" ref="D6:K6" si="0">D5+D4</f>
        <v>191034</v>
      </c>
      <c r="E6" s="81">
        <f t="shared" si="0"/>
        <v>210951</v>
      </c>
      <c r="F6" s="82">
        <f t="shared" si="0"/>
        <v>0</v>
      </c>
      <c r="G6" s="112">
        <f t="shared" si="0"/>
        <v>227620.28000000003</v>
      </c>
      <c r="H6" s="112">
        <f t="shared" si="0"/>
        <v>245623.10240000003</v>
      </c>
      <c r="I6" s="112">
        <f t="shared" si="0"/>
        <v>265066.15059200005</v>
      </c>
      <c r="J6" s="112">
        <f t="shared" si="0"/>
        <v>286064.6426393601</v>
      </c>
      <c r="K6" s="112">
        <f t="shared" si="0"/>
        <v>308743.01405050891</v>
      </c>
      <c r="L6" s="21"/>
      <c r="M6" s="21"/>
      <c r="N6" s="21"/>
      <c r="O6" s="21"/>
      <c r="P6" s="21"/>
      <c r="Q6" s="21"/>
    </row>
    <row r="7" spans="2:17" ht="5.25" customHeight="1">
      <c r="B7" s="24"/>
      <c r="C7" s="40"/>
      <c r="D7" s="40"/>
      <c r="E7" s="40"/>
      <c r="F7" s="42"/>
      <c r="G7" s="28"/>
      <c r="H7" s="28"/>
      <c r="I7" s="28"/>
      <c r="J7" s="28"/>
      <c r="K7" s="28"/>
      <c r="L7" s="21"/>
      <c r="M7" s="21"/>
      <c r="N7" s="21"/>
      <c r="O7" s="21"/>
      <c r="P7" s="21"/>
      <c r="Q7" s="21"/>
    </row>
    <row r="8" spans="2:17">
      <c r="B8" s="21" t="s">
        <v>92</v>
      </c>
      <c r="C8" s="38">
        <f>SUMIF('P&amp;L assumptions'!$B:$B,'P&amp;L'!$B8,'P&amp;L assumptions'!C:C)</f>
        <v>-142394.36746666671</v>
      </c>
      <c r="D8" s="38">
        <f>SUMIF('P&amp;L assumptions'!$B:$B,'P&amp;L'!$B8,'P&amp;L assumptions'!D:D)</f>
        <v>-150572.16639999999</v>
      </c>
      <c r="E8" s="38">
        <f>SUMIF('P&amp;L assumptions'!$B:$B,'P&amp;L'!$B8,'P&amp;L assumptions'!E:E)</f>
        <v>-157523.118425397</v>
      </c>
      <c r="F8" s="21"/>
      <c r="G8" s="28">
        <f>SUMIF('P&amp;L assumptions'!$B:$B,'P&amp;L'!$B8,'P&amp;L assumptions'!G:G)</f>
        <v>-175527.51840000003</v>
      </c>
      <c r="H8" s="28">
        <f>SUMIF('P&amp;L assumptions'!$B:$B,'P&amp;L'!$B8,'P&amp;L assumptions'!H:H)</f>
        <v>-189569.71987200005</v>
      </c>
      <c r="I8" s="28">
        <f>SUMIF('P&amp;L assumptions'!$B:$B,'P&amp;L'!$B8,'P&amp;L assumptions'!I:I)</f>
        <v>-204735.29746176006</v>
      </c>
      <c r="J8" s="28">
        <f>SUMIF('P&amp;L assumptions'!$B:$B,'P&amp;L'!$B8,'P&amp;L assumptions'!J:J)</f>
        <v>-221114.12125870088</v>
      </c>
      <c r="K8" s="28">
        <f>SUMIF('P&amp;L assumptions'!$B:$B,'P&amp;L'!$B8,'P&amp;L assumptions'!K:K)</f>
        <v>-238803.25095939694</v>
      </c>
      <c r="L8" s="21"/>
      <c r="M8" s="21"/>
      <c r="N8" s="21"/>
      <c r="O8" s="21"/>
      <c r="P8" s="21"/>
      <c r="Q8" s="21"/>
    </row>
    <row r="9" spans="2:17">
      <c r="B9" s="80" t="s">
        <v>104</v>
      </c>
      <c r="C9" s="81">
        <f>C6+C8</f>
        <v>38328.632533333293</v>
      </c>
      <c r="D9" s="81">
        <f t="shared" ref="D9:K9" si="1">D6+D8</f>
        <v>40461.833600000013</v>
      </c>
      <c r="E9" s="81">
        <f t="shared" si="1"/>
        <v>53427.881574603001</v>
      </c>
      <c r="F9" s="82">
        <f t="shared" si="1"/>
        <v>0</v>
      </c>
      <c r="G9" s="112">
        <f t="shared" si="1"/>
        <v>52092.761599999998</v>
      </c>
      <c r="H9" s="112">
        <f t="shared" si="1"/>
        <v>56053.382527999987</v>
      </c>
      <c r="I9" s="112">
        <f t="shared" si="1"/>
        <v>60330.853130239993</v>
      </c>
      <c r="J9" s="112">
        <f t="shared" si="1"/>
        <v>64950.521380659222</v>
      </c>
      <c r="K9" s="112">
        <f t="shared" si="1"/>
        <v>69939.763091111963</v>
      </c>
      <c r="L9" s="21"/>
      <c r="M9" s="21"/>
      <c r="N9" s="21"/>
      <c r="O9" s="21"/>
      <c r="P9" s="21"/>
      <c r="Q9" s="21"/>
    </row>
    <row r="10" spans="2:17" ht="3.75" customHeight="1">
      <c r="B10" s="21"/>
      <c r="C10" s="21"/>
      <c r="D10" s="21"/>
      <c r="E10" s="21"/>
      <c r="F10" s="21"/>
      <c r="G10" s="28"/>
      <c r="H10" s="28"/>
      <c r="I10" s="28"/>
      <c r="J10" s="28"/>
      <c r="K10" s="28"/>
      <c r="L10" s="21"/>
      <c r="M10" s="21"/>
      <c r="N10" s="21"/>
      <c r="O10" s="21"/>
      <c r="P10" s="21"/>
      <c r="Q10" s="21"/>
    </row>
    <row r="11" spans="2:17">
      <c r="B11" s="21" t="s">
        <v>93</v>
      </c>
      <c r="C11" s="38">
        <f>SUMIF('P&amp;L assumptions'!$B:$B,'P&amp;L'!$B11,'P&amp;L assumptions'!C:C)</f>
        <v>-18011.315200000005</v>
      </c>
      <c r="D11" s="38">
        <f>SUMIF('P&amp;L assumptions'!$B:$B,'P&amp;L'!$B11,'P&amp;L assumptions'!D:D)</f>
        <v>-19247.897599999997</v>
      </c>
      <c r="E11" s="38">
        <f>SUMIF('P&amp;L assumptions'!$B:$B,'P&amp;L'!$B11,'P&amp;L assumptions'!E:E)</f>
        <v>-23867.008000000009</v>
      </c>
      <c r="F11" s="38"/>
      <c r="G11" s="36">
        <f>SUMIF('P&amp;L assumptions'!$B:$B,'P&amp;L'!$B11,'P&amp;L assumptions'!G:G)</f>
        <v>-23628.704400000002</v>
      </c>
      <c r="H11" s="36">
        <f>SUMIF('P&amp;L assumptions'!$B:$B,'P&amp;L'!$B11,'P&amp;L assumptions'!H:H)</f>
        <v>-25519.000752000004</v>
      </c>
      <c r="I11" s="36">
        <f>SUMIF('P&amp;L assumptions'!$B:$B,'P&amp;L'!$B11,'P&amp;L assumptions'!I:I)</f>
        <v>-27560.520812160004</v>
      </c>
      <c r="J11" s="36">
        <f>SUMIF('P&amp;L assumptions'!$B:$B,'P&amp;L'!$B11,'P&amp;L assumptions'!J:J)</f>
        <v>-29765.36247713281</v>
      </c>
      <c r="K11" s="36">
        <f>SUMIF('P&amp;L assumptions'!$B:$B,'P&amp;L'!$B11,'P&amp;L assumptions'!K:K)</f>
        <v>-32146.591475303434</v>
      </c>
      <c r="L11" s="21"/>
      <c r="M11" s="21"/>
      <c r="N11" s="21"/>
      <c r="O11" s="21"/>
      <c r="P11" s="21"/>
      <c r="Q11" s="21"/>
    </row>
    <row r="12" spans="2:17" ht="13.5" customHeight="1">
      <c r="B12" s="80" t="s">
        <v>14</v>
      </c>
      <c r="C12" s="81">
        <f>C11+C9</f>
        <v>20317.317333333289</v>
      </c>
      <c r="D12" s="81">
        <f t="shared" ref="D12:K12" si="2">D11+D9</f>
        <v>21213.936000000016</v>
      </c>
      <c r="E12" s="81">
        <f t="shared" si="2"/>
        <v>29560.873574602992</v>
      </c>
      <c r="F12" s="82">
        <f t="shared" si="2"/>
        <v>0</v>
      </c>
      <c r="G12" s="112">
        <f t="shared" si="2"/>
        <v>28464.057199999996</v>
      </c>
      <c r="H12" s="112">
        <f t="shared" si="2"/>
        <v>30534.381775999984</v>
      </c>
      <c r="I12" s="112">
        <f t="shared" si="2"/>
        <v>32770.332318079993</v>
      </c>
      <c r="J12" s="112">
        <f t="shared" si="2"/>
        <v>35185.158903526411</v>
      </c>
      <c r="K12" s="112">
        <f t="shared" si="2"/>
        <v>37793.171615808533</v>
      </c>
      <c r="L12" s="21"/>
      <c r="M12" s="21"/>
      <c r="N12" s="21"/>
      <c r="O12" s="21"/>
      <c r="P12" s="21"/>
      <c r="Q12" s="21"/>
    </row>
    <row r="13" spans="2:17" ht="6" customHeight="1">
      <c r="B13" s="21"/>
      <c r="C13" s="38"/>
      <c r="D13" s="38"/>
      <c r="E13" s="38"/>
      <c r="F13" s="38"/>
      <c r="G13" s="28"/>
      <c r="H13" s="28"/>
      <c r="I13" s="28"/>
      <c r="J13" s="28"/>
      <c r="K13" s="28"/>
      <c r="L13" s="21"/>
      <c r="M13" s="21"/>
      <c r="N13" s="21"/>
      <c r="O13" s="21"/>
      <c r="P13" s="21"/>
      <c r="Q13" s="21"/>
    </row>
    <row r="14" spans="2:17">
      <c r="B14" s="21" t="s">
        <v>15</v>
      </c>
      <c r="C14" s="38">
        <f>SUMIF('P&amp;L assumptions'!$B:$B,'P&amp;L'!$B14,'P&amp;L assumptions'!C:C)</f>
        <v>-2907.8000000000006</v>
      </c>
      <c r="D14" s="38">
        <f>SUMIF('P&amp;L assumptions'!$B:$B,'P&amp;L'!$B14,'P&amp;L assumptions'!D:D)</f>
        <v>-4649.8</v>
      </c>
      <c r="E14" s="38">
        <f>SUMIF('P&amp;L assumptions'!$B:$B,'P&amp;L'!$B14,'P&amp;L assumptions'!E:E)</f>
        <v>-6430.6600000000008</v>
      </c>
      <c r="F14" s="38"/>
      <c r="G14" s="28">
        <f>SUMIF('P&amp;L assumptions'!$B:$B,'P&amp;L'!$B14,'P&amp;L assumptions'!G:G)</f>
        <v>-5625.8820000000014</v>
      </c>
      <c r="H14" s="28">
        <f>SUMIF('P&amp;L assumptions'!$B:$B,'P&amp;L'!$B14,'P&amp;L assumptions'!H:H)</f>
        <v>-6075.9525600000015</v>
      </c>
      <c r="I14" s="28">
        <f>SUMIF('P&amp;L assumptions'!$B:$B,'P&amp;L'!$B14,'P&amp;L assumptions'!I:I)</f>
        <v>-6562.0287648000012</v>
      </c>
      <c r="J14" s="28">
        <f>SUMIF('P&amp;L assumptions'!$B:$B,'P&amp;L'!$B14,'P&amp;L assumptions'!J:J)</f>
        <v>-7086.9910659840025</v>
      </c>
      <c r="K14" s="28">
        <f>SUMIF('P&amp;L assumptions'!$B:$B,'P&amp;L'!$B14,'P&amp;L assumptions'!K:K)</f>
        <v>-7653.9503512627234</v>
      </c>
      <c r="L14" s="21"/>
      <c r="M14" s="21"/>
      <c r="N14" s="21"/>
      <c r="O14" s="21"/>
      <c r="P14" s="21"/>
      <c r="Q14" s="21"/>
    </row>
    <row r="15" spans="2:17">
      <c r="B15" s="80" t="s">
        <v>16</v>
      </c>
      <c r="C15" s="81">
        <f>C12+C14</f>
        <v>17409.51733333329</v>
      </c>
      <c r="D15" s="81">
        <f t="shared" ref="D15:K15" si="3">D12+D14</f>
        <v>16564.136000000017</v>
      </c>
      <c r="E15" s="81">
        <f t="shared" si="3"/>
        <v>23130.213574602993</v>
      </c>
      <c r="F15" s="82">
        <f t="shared" si="3"/>
        <v>0</v>
      </c>
      <c r="G15" s="112">
        <f t="shared" si="3"/>
        <v>22838.175199999994</v>
      </c>
      <c r="H15" s="112">
        <f t="shared" si="3"/>
        <v>24458.429215999982</v>
      </c>
      <c r="I15" s="112">
        <f t="shared" si="3"/>
        <v>26208.303553279991</v>
      </c>
      <c r="J15" s="112">
        <f t="shared" si="3"/>
        <v>28098.167837542409</v>
      </c>
      <c r="K15" s="112">
        <f t="shared" si="3"/>
        <v>30139.221264545809</v>
      </c>
      <c r="L15" s="21"/>
      <c r="M15" s="21"/>
      <c r="N15" s="21"/>
      <c r="O15" s="21"/>
      <c r="P15" s="21"/>
      <c r="Q15" s="21"/>
    </row>
    <row r="16" spans="2:17" ht="6" customHeight="1">
      <c r="B16" s="24"/>
      <c r="C16" s="30"/>
      <c r="D16" s="30"/>
      <c r="E16" s="30"/>
      <c r="F16" s="30"/>
      <c r="G16" s="28"/>
      <c r="H16" s="28"/>
      <c r="I16" s="28"/>
      <c r="J16" s="28"/>
      <c r="K16" s="28"/>
      <c r="L16" s="21"/>
      <c r="M16" s="21"/>
      <c r="N16" s="21"/>
      <c r="O16" s="21"/>
      <c r="P16" s="21"/>
      <c r="Q16" s="21"/>
    </row>
    <row r="17" spans="2:17" ht="12" customHeight="1">
      <c r="B17" s="21" t="s">
        <v>94</v>
      </c>
      <c r="C17" s="38">
        <f>SUMIF('P&amp;L assumptions'!$B:$B,'P&amp;L'!$B17,'P&amp;L assumptions'!C:C)</f>
        <v>-1266.3000000000002</v>
      </c>
      <c r="D17" s="38">
        <f>SUMIF('P&amp;L assumptions'!$B:$B,'P&amp;L'!$B17,'P&amp;L assumptions'!D:D)</f>
        <v>-2190.9</v>
      </c>
      <c r="E17" s="38">
        <f>SUMIF('P&amp;L assumptions'!$B:$B,'P&amp;L'!$B17,'P&amp;L assumptions'!E:E)</f>
        <v>-2663.92</v>
      </c>
      <c r="F17" s="38"/>
      <c r="G17" s="28">
        <f>SUMIF('P&amp;L assumptions'!$B:$B,'P&amp;L'!$B17,'P&amp;L assumptions'!G:G)</f>
        <v>-2663.92</v>
      </c>
      <c r="H17" s="28">
        <f>SUMIF('P&amp;L assumptions'!$B:$B,'P&amp;L'!$B17,'P&amp;L assumptions'!H:H)</f>
        <v>-2663.92</v>
      </c>
      <c r="I17" s="28">
        <f>SUMIF('P&amp;L assumptions'!$B:$B,'P&amp;L'!$B17,'P&amp;L assumptions'!I:I)</f>
        <v>-2663.92</v>
      </c>
      <c r="J17" s="28">
        <f>SUMIF('P&amp;L assumptions'!$B:$B,'P&amp;L'!$B17,'P&amp;L assumptions'!J:J)</f>
        <v>-2663.92</v>
      </c>
      <c r="K17" s="28">
        <f>SUMIF('P&amp;L assumptions'!$B:$B,'P&amp;L'!$B17,'P&amp;L assumptions'!K:K)</f>
        <v>-2663.92</v>
      </c>
      <c r="L17" s="21"/>
      <c r="M17" s="21"/>
      <c r="N17" s="21"/>
      <c r="O17" s="21"/>
      <c r="P17" s="21"/>
      <c r="Q17" s="21"/>
    </row>
    <row r="18" spans="2:17" ht="12" customHeight="1">
      <c r="B18" s="21" t="s">
        <v>18</v>
      </c>
      <c r="C18" s="38">
        <f>SUMIF('P&amp;L assumptions'!$B:$B,'P&amp;L'!$B18,'P&amp;L assumptions'!C:C)</f>
        <v>-317.58000000000004</v>
      </c>
      <c r="D18" s="38">
        <f>SUMIF('P&amp;L assumptions'!$B:$B,'P&amp;L'!$B18,'P&amp;L assumptions'!D:D)</f>
        <v>-864.30000000000007</v>
      </c>
      <c r="E18" s="38">
        <f>SUMIF('P&amp;L assumptions'!$B:$B,'P&amp;L'!$B18,'P&amp;L assumptions'!E:E)</f>
        <v>-320.26</v>
      </c>
      <c r="F18" s="38"/>
      <c r="G18" s="28">
        <f>SUMIF('P&amp;L assumptions'!$B:$B,'P&amp;L'!$B18,'P&amp;L assumptions'!G:G)</f>
        <v>0</v>
      </c>
      <c r="H18" s="28">
        <f>SUMIF('P&amp;L assumptions'!$B:$B,'P&amp;L'!$B18,'P&amp;L assumptions'!H:H)</f>
        <v>0</v>
      </c>
      <c r="I18" s="28">
        <f>SUMIF('P&amp;L assumptions'!$B:$B,'P&amp;L'!$B18,'P&amp;L assumptions'!I:I)</f>
        <v>0</v>
      </c>
      <c r="J18" s="28">
        <f>SUMIF('P&amp;L assumptions'!$B:$B,'P&amp;L'!$B18,'P&amp;L assumptions'!J:J)</f>
        <v>0</v>
      </c>
      <c r="K18" s="28">
        <f>SUMIF('P&amp;L assumptions'!$B:$B,'P&amp;L'!$B18,'P&amp;L assumptions'!K:K)</f>
        <v>0</v>
      </c>
      <c r="L18" s="21"/>
      <c r="M18" s="21"/>
      <c r="N18" s="21"/>
      <c r="O18" s="21"/>
      <c r="P18" s="21"/>
      <c r="Q18" s="21"/>
    </row>
    <row r="19" spans="2:17" ht="12" customHeight="1">
      <c r="B19" s="80" t="s">
        <v>19</v>
      </c>
      <c r="C19" s="81">
        <f>C18+C17+C15</f>
        <v>15825.637333333289</v>
      </c>
      <c r="D19" s="81">
        <f t="shared" ref="D19:K19" si="4">D18+D17+D15</f>
        <v>13508.936000000016</v>
      </c>
      <c r="E19" s="81">
        <f t="shared" si="4"/>
        <v>20146.033574602992</v>
      </c>
      <c r="F19" s="82">
        <f t="shared" si="4"/>
        <v>0</v>
      </c>
      <c r="G19" s="112">
        <f t="shared" si="4"/>
        <v>20174.255199999992</v>
      </c>
      <c r="H19" s="112">
        <f t="shared" si="4"/>
        <v>21794.509215999984</v>
      </c>
      <c r="I19" s="112">
        <f t="shared" si="4"/>
        <v>23544.383553279993</v>
      </c>
      <c r="J19" s="112">
        <f t="shared" si="4"/>
        <v>25434.247837542411</v>
      </c>
      <c r="K19" s="112">
        <f t="shared" si="4"/>
        <v>27475.301264545807</v>
      </c>
      <c r="L19" s="21"/>
      <c r="M19" s="21"/>
      <c r="N19" s="21"/>
      <c r="O19" s="21"/>
      <c r="P19" s="21"/>
      <c r="Q19" s="21"/>
    </row>
    <row r="20" spans="2:17" ht="3.75" customHeight="1">
      <c r="B20" s="21"/>
      <c r="C20" s="38"/>
      <c r="D20" s="38"/>
      <c r="E20" s="38"/>
      <c r="F20" s="38"/>
      <c r="G20" s="28"/>
      <c r="H20" s="28"/>
      <c r="I20" s="28"/>
      <c r="J20" s="28"/>
      <c r="K20" s="28"/>
      <c r="L20" s="21"/>
      <c r="M20" s="21"/>
      <c r="N20" s="21"/>
      <c r="O20" s="21"/>
      <c r="P20" s="21"/>
      <c r="Q20" s="21"/>
    </row>
    <row r="21" spans="2:17">
      <c r="B21" s="21" t="s">
        <v>106</v>
      </c>
      <c r="C21" s="39">
        <f>C22/C19</f>
        <v>-0.24048168928931249</v>
      </c>
      <c r="D21" s="39">
        <f t="shared" ref="D21:E21" si="5">D22/D19</f>
        <v>-0.22579069143565389</v>
      </c>
      <c r="E21" s="39">
        <f t="shared" si="5"/>
        <v>-0.18936134430001206</v>
      </c>
      <c r="F21" s="38"/>
      <c r="G21" s="43">
        <f>'P&amp;L assumptions'!G45</f>
        <v>-0.2</v>
      </c>
      <c r="H21" s="43">
        <f>'P&amp;L assumptions'!H45</f>
        <v>-0.2</v>
      </c>
      <c r="I21" s="43">
        <f>'P&amp;L assumptions'!I45</f>
        <v>-0.2</v>
      </c>
      <c r="J21" s="43">
        <f>'P&amp;L assumptions'!J45</f>
        <v>-0.2</v>
      </c>
      <c r="K21" s="43">
        <f>'P&amp;L assumptions'!K45</f>
        <v>-0.2</v>
      </c>
      <c r="L21" s="21"/>
      <c r="M21" s="21"/>
      <c r="N21" s="21"/>
      <c r="O21" s="21"/>
      <c r="P21" s="21"/>
      <c r="Q21" s="21"/>
    </row>
    <row r="22" spans="2:17">
      <c r="B22" s="21" t="s">
        <v>23</v>
      </c>
      <c r="C22" s="38">
        <f>'P&amp;L assumptions'!C44</f>
        <v>-3805.7759999999998</v>
      </c>
      <c r="D22" s="38">
        <f>'P&amp;L assumptions'!D44</f>
        <v>-3050.192</v>
      </c>
      <c r="E22" s="38">
        <f>'P&amp;L assumptions'!E44</f>
        <v>-3814.88</v>
      </c>
      <c r="F22" s="38"/>
      <c r="G22" s="36">
        <f>G21*G19</f>
        <v>-4034.8510399999986</v>
      </c>
      <c r="H22" s="36">
        <f t="shared" ref="H22:K22" si="6">H21*H19</f>
        <v>-4358.9018431999966</v>
      </c>
      <c r="I22" s="36">
        <f t="shared" si="6"/>
        <v>-4708.876710655999</v>
      </c>
      <c r="J22" s="36">
        <f t="shared" si="6"/>
        <v>-5086.8495675084823</v>
      </c>
      <c r="K22" s="36">
        <f t="shared" si="6"/>
        <v>-5495.060252909162</v>
      </c>
      <c r="L22" s="21"/>
      <c r="M22" s="21"/>
      <c r="N22" s="21"/>
      <c r="O22" s="21"/>
      <c r="P22" s="21"/>
      <c r="Q22" s="21"/>
    </row>
    <row r="23" spans="2:17" ht="3.75" customHeight="1">
      <c r="B23" s="21"/>
      <c r="C23" s="38"/>
      <c r="D23" s="38"/>
      <c r="E23" s="38"/>
      <c r="F23" s="38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>
      <c r="B24" s="77" t="s">
        <v>107</v>
      </c>
      <c r="C24" s="78">
        <f>SUM(C22,C19)</f>
        <v>12019.861333333289</v>
      </c>
      <c r="D24" s="78">
        <f t="shared" ref="D24:K24" si="7">SUM(D22,D19)</f>
        <v>10458.744000000017</v>
      </c>
      <c r="E24" s="78">
        <f t="shared" si="7"/>
        <v>16331.153574602991</v>
      </c>
      <c r="F24" s="78">
        <f t="shared" si="7"/>
        <v>0</v>
      </c>
      <c r="G24" s="78">
        <f t="shared" si="7"/>
        <v>16139.404159999995</v>
      </c>
      <c r="H24" s="78">
        <f t="shared" si="7"/>
        <v>17435.607372799986</v>
      </c>
      <c r="I24" s="78">
        <f t="shared" si="7"/>
        <v>18835.506842623996</v>
      </c>
      <c r="J24" s="78">
        <f t="shared" si="7"/>
        <v>20347.398270033929</v>
      </c>
      <c r="K24" s="78">
        <f t="shared" si="7"/>
        <v>21980.241011636645</v>
      </c>
      <c r="L24" s="79"/>
      <c r="M24" s="79"/>
      <c r="N24" s="21"/>
      <c r="O24" s="21"/>
      <c r="P24" s="21"/>
      <c r="Q24" s="21"/>
    </row>
    <row r="25" spans="2:17">
      <c r="B25" s="21"/>
      <c r="C25" s="38"/>
      <c r="D25" s="38"/>
      <c r="E25" s="38"/>
      <c r="F25" s="38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>
      <c r="B26" s="21"/>
      <c r="C26" s="38"/>
      <c r="D26" s="38"/>
      <c r="E26" s="38"/>
      <c r="F26" s="38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>
      <c r="B27" s="21"/>
      <c r="C27" s="38"/>
      <c r="D27" s="38"/>
      <c r="E27" s="38"/>
      <c r="F27" s="38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>
      <c r="B28" s="21"/>
      <c r="C28" s="38"/>
      <c r="D28" s="38"/>
      <c r="E28" s="38"/>
      <c r="F28" s="38"/>
      <c r="G28" s="21"/>
      <c r="H28" s="21"/>
      <c r="I28" s="21"/>
      <c r="J28" s="21"/>
      <c r="K28" s="21"/>
      <c r="L28" s="21"/>
      <c r="M28" s="21"/>
      <c r="N28" s="21"/>
    </row>
    <row r="29" spans="2:17">
      <c r="B29" s="21"/>
      <c r="C29" s="38"/>
      <c r="D29" s="38"/>
      <c r="E29" s="38"/>
      <c r="F29" s="38"/>
      <c r="G29" s="21"/>
      <c r="H29" s="21"/>
      <c r="I29" s="21"/>
      <c r="J29" s="21"/>
      <c r="K29" s="21"/>
      <c r="L29" s="21"/>
      <c r="M29" s="21"/>
      <c r="N29" s="21"/>
    </row>
    <row r="30" spans="2:17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57" spans="2:2">
      <c r="B57" s="7">
        <v>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25"/>
  <sheetViews>
    <sheetView workbookViewId="0"/>
  </sheetViews>
  <sheetFormatPr defaultRowHeight="12"/>
  <cols>
    <col min="1" max="1" width="2" style="7" customWidth="1"/>
    <col min="2" max="2" width="22.7109375" style="7" bestFit="1" customWidth="1"/>
    <col min="3" max="3" width="9.140625" style="7"/>
    <col min="4" max="4" width="9.5703125" style="7" bestFit="1" customWidth="1"/>
    <col min="5" max="5" width="9.140625" style="7"/>
    <col min="6" max="6" width="2" style="7" customWidth="1"/>
    <col min="7" max="7" width="10.5703125" style="7" bestFit="1" customWidth="1"/>
    <col min="8" max="11" width="9.5703125" style="7" bestFit="1" customWidth="1"/>
    <col min="12" max="12" width="2" style="7" customWidth="1"/>
    <col min="13" max="16384" width="9.140625" style="7"/>
  </cols>
  <sheetData>
    <row r="1" spans="2:13" ht="15.75">
      <c r="B1" s="6" t="s">
        <v>67</v>
      </c>
    </row>
    <row r="3" spans="2:13" ht="24.75" thickBot="1">
      <c r="B3" s="17" t="s">
        <v>53</v>
      </c>
      <c r="C3" s="18" t="s">
        <v>54</v>
      </c>
      <c r="D3" s="18" t="s">
        <v>55</v>
      </c>
      <c r="E3" s="18" t="s">
        <v>56</v>
      </c>
      <c r="F3" s="22"/>
      <c r="G3" s="19" t="s">
        <v>57</v>
      </c>
      <c r="H3" s="19" t="s">
        <v>58</v>
      </c>
      <c r="I3" s="19" t="s">
        <v>59</v>
      </c>
      <c r="J3" s="19" t="s">
        <v>60</v>
      </c>
      <c r="K3" s="19" t="s">
        <v>61</v>
      </c>
      <c r="M3" s="23" t="s">
        <v>66</v>
      </c>
    </row>
    <row r="4" spans="2:13">
      <c r="B4" s="7" t="s">
        <v>29</v>
      </c>
      <c r="C4" s="13">
        <f>'BS source'!D4</f>
        <v>5961.6</v>
      </c>
      <c r="D4" s="13">
        <f>'BS source'!E4</f>
        <v>5840</v>
      </c>
      <c r="E4" s="13">
        <f>'BS source'!F4</f>
        <v>5650</v>
      </c>
      <c r="G4" s="28">
        <f>$E$4</f>
        <v>5650</v>
      </c>
      <c r="H4" s="28">
        <f t="shared" ref="H4:K4" si="0">$E$4</f>
        <v>5650</v>
      </c>
      <c r="I4" s="28">
        <f t="shared" si="0"/>
        <v>5650</v>
      </c>
      <c r="J4" s="28">
        <f t="shared" si="0"/>
        <v>5650</v>
      </c>
      <c r="K4" s="28">
        <f t="shared" si="0"/>
        <v>5650</v>
      </c>
      <c r="M4" s="7" t="s">
        <v>112</v>
      </c>
    </row>
    <row r="5" spans="2:13">
      <c r="B5" s="87" t="s">
        <v>43</v>
      </c>
      <c r="C5" s="13">
        <f>SUMIF('BS assumptions'!$B:$B,BS!$B5,'BS assumptions'!C:C)</f>
        <v>45106.400000000001</v>
      </c>
      <c r="D5" s="13">
        <f>SUMIF('BS assumptions'!$B:$B,BS!$B5,'BS assumptions'!D:D)</f>
        <v>49072.4</v>
      </c>
      <c r="E5" s="13">
        <f>SUMIF('BS assumptions'!$B:$B,BS!$B5,'BS assumptions'!E:E)</f>
        <v>56109.2</v>
      </c>
      <c r="G5" s="28">
        <f>SUMIF('BS assumptions'!$B:$B,BS!$B5,'BS assumptions'!G:G)</f>
        <v>58808.963882665172</v>
      </c>
      <c r="H5" s="28">
        <f>SUMIF('BS assumptions'!$B:$B,BS!$B5,'BS assumptions'!H:H)</f>
        <v>63513.680993278387</v>
      </c>
      <c r="I5" s="28">
        <f>SUMIF('BS assumptions'!$B:$B,BS!$B5,'BS assumptions'!I:I)</f>
        <v>68594.775472740657</v>
      </c>
      <c r="J5" s="28">
        <f>SUMIF('BS assumptions'!$B:$B,BS!$B5,'BS assumptions'!J:J)</f>
        <v>74082.35751055993</v>
      </c>
      <c r="K5" s="28">
        <f>SUMIF('BS assumptions'!$B:$B,BS!$B5,'BS assumptions'!K:K)</f>
        <v>80008.946111404715</v>
      </c>
    </row>
    <row r="6" spans="2:13">
      <c r="B6" s="7" t="s">
        <v>52</v>
      </c>
      <c r="C6" s="13">
        <f>'BS source'!D6</f>
        <v>8824</v>
      </c>
      <c r="D6" s="13">
        <f>'BS source'!E6</f>
        <v>9831</v>
      </c>
      <c r="E6" s="13">
        <f>'BS source'!F6</f>
        <v>10323</v>
      </c>
      <c r="G6" s="28">
        <f>$E$6</f>
        <v>10323</v>
      </c>
      <c r="H6" s="28">
        <f t="shared" ref="H6:K6" si="1">$E$6</f>
        <v>10323</v>
      </c>
      <c r="I6" s="28">
        <f t="shared" si="1"/>
        <v>10323</v>
      </c>
      <c r="J6" s="28">
        <f t="shared" si="1"/>
        <v>10323</v>
      </c>
      <c r="K6" s="28">
        <f t="shared" si="1"/>
        <v>10323</v>
      </c>
      <c r="M6" s="7" t="s">
        <v>112</v>
      </c>
    </row>
    <row r="7" spans="2:13" ht="3.75" customHeight="1">
      <c r="C7" s="13"/>
      <c r="D7" s="13"/>
      <c r="E7" s="13"/>
      <c r="G7" s="28"/>
      <c r="H7" s="28"/>
      <c r="I7" s="28"/>
      <c r="J7" s="28"/>
      <c r="K7" s="28"/>
    </row>
    <row r="8" spans="2:13">
      <c r="B8" s="21" t="s">
        <v>32</v>
      </c>
      <c r="C8" s="13">
        <f>SUMIF('BS assumptions'!$B:$B,BS!$B8,'BS assumptions'!C:C)</f>
        <v>31167.200000000001</v>
      </c>
      <c r="D8" s="13">
        <f>SUMIF('BS assumptions'!$B:$B,BS!$B8,'BS assumptions'!D:D)</f>
        <v>36396.800000000003</v>
      </c>
      <c r="E8" s="13">
        <f>SUMIF('BS assumptions'!$B:$B,BS!$B8,'BS assumptions'!E:E)</f>
        <v>46212</v>
      </c>
      <c r="G8" s="28">
        <f>SUMIF('BS assumptions'!$B:$B,BS!$B8,'BS assumptions'!G:G)</f>
        <v>51493.887128335395</v>
      </c>
      <c r="H8" s="28">
        <f>SUMIF('BS assumptions'!$B:$B,BS!$B8,'BS assumptions'!H:H)</f>
        <v>55613.398098602222</v>
      </c>
      <c r="I8" s="28">
        <f>SUMIF('BS assumptions'!$B:$B,BS!$B8,'BS assumptions'!I:I)</f>
        <v>60062.469946490404</v>
      </c>
      <c r="J8" s="28">
        <f>SUMIF('BS assumptions'!$B:$B,BS!$B8,'BS assumptions'!J:J)</f>
        <v>64867.467542209641</v>
      </c>
      <c r="K8" s="28">
        <f>SUMIF('BS assumptions'!$B:$B,BS!$B8,'BS assumptions'!K:K)</f>
        <v>70056.864945586407</v>
      </c>
    </row>
    <row r="9" spans="2:13">
      <c r="B9" s="21" t="s">
        <v>30</v>
      </c>
      <c r="C9" s="13">
        <f>SUMIF('BS assumptions'!$B:$B,BS!$B9,'BS assumptions'!C:C)</f>
        <v>32883.599999999999</v>
      </c>
      <c r="D9" s="13">
        <f>SUMIF('BS assumptions'!$B:$B,BS!$B9,'BS assumptions'!D:D)</f>
        <v>38556</v>
      </c>
      <c r="E9" s="13">
        <f>SUMIF('BS assumptions'!$B:$B,BS!$B9,'BS assumptions'!E:E)</f>
        <v>43581.599999999999</v>
      </c>
      <c r="G9" s="28">
        <f>SUMIF('BS assumptions'!$B:$B,BS!$B9,'BS assumptions'!G:G)</f>
        <v>47068.128000000004</v>
      </c>
      <c r="H9" s="28">
        <f>SUMIF('BS assumptions'!$B:$B,BS!$B9,'BS assumptions'!H:H)</f>
        <v>50833.578240000003</v>
      </c>
      <c r="I9" s="28">
        <f>SUMIF('BS assumptions'!$B:$B,BS!$B9,'BS assumptions'!I:I)</f>
        <v>54900.264499199999</v>
      </c>
      <c r="J9" s="28">
        <f>SUMIF('BS assumptions'!$B:$B,BS!$B9,'BS assumptions'!J:J)</f>
        <v>59292.285659136011</v>
      </c>
      <c r="K9" s="28">
        <f>SUMIF('BS assumptions'!$B:$B,BS!$B9,'BS assumptions'!K:K)</f>
        <v>64035.66851186689</v>
      </c>
    </row>
    <row r="10" spans="2:13">
      <c r="B10" s="21" t="s">
        <v>31</v>
      </c>
      <c r="C10" s="38">
        <f>SUMIF('BS assumptions'!$B:$B,BS!$B10,'BS assumptions'!C:C)</f>
        <v>8841.6</v>
      </c>
      <c r="D10" s="38">
        <f>SUMIF('BS assumptions'!$B:$B,BS!$B10,'BS assumptions'!D:D)</f>
        <v>11359.199999999999</v>
      </c>
      <c r="E10" s="38">
        <f>SUMIF('BS assumptions'!$B:$B,BS!$B10,'BS assumptions'!E:E)</f>
        <v>17602.8</v>
      </c>
      <c r="F10" s="21"/>
      <c r="G10" s="36">
        <f>SUMIF('BS assumptions'!$B:$B,BS!$B10,'BS assumptions'!G:G)</f>
        <v>14597.199966442211</v>
      </c>
      <c r="H10" s="36">
        <f>SUMIF('BS assumptions'!$B:$B,BS!$B10,'BS assumptions'!H:H)</f>
        <v>15764.975963757588</v>
      </c>
      <c r="I10" s="36">
        <f>SUMIF('BS assumptions'!$B:$B,BS!$B10,'BS assumptions'!I:I)</f>
        <v>17026.174040858194</v>
      </c>
      <c r="J10" s="36">
        <f>SUMIF('BS assumptions'!$B:$B,BS!$B10,'BS assumptions'!J:J)</f>
        <v>18388.267964126855</v>
      </c>
      <c r="K10" s="36">
        <f>SUMIF('BS assumptions'!$B:$B,BS!$B10,'BS assumptions'!K:K)</f>
        <v>19859.329401257</v>
      </c>
      <c r="L10" s="21"/>
      <c r="M10" s="21"/>
    </row>
    <row r="11" spans="2:13" ht="3.75" customHeight="1">
      <c r="B11" s="21"/>
      <c r="C11" s="38"/>
      <c r="D11" s="38"/>
      <c r="E11" s="38"/>
      <c r="F11" s="21"/>
      <c r="G11" s="36"/>
      <c r="H11" s="36"/>
      <c r="I11" s="36"/>
      <c r="J11" s="36"/>
      <c r="K11" s="36"/>
      <c r="L11" s="21"/>
      <c r="M11" s="21"/>
    </row>
    <row r="12" spans="2:13">
      <c r="B12" s="21" t="s">
        <v>36</v>
      </c>
      <c r="C12" s="38">
        <f>'BS source'!D14</f>
        <v>11791.199999999999</v>
      </c>
      <c r="D12" s="38">
        <f>'BS source'!E14</f>
        <v>19408.8</v>
      </c>
      <c r="E12" s="38">
        <f>'BS source'!F14</f>
        <v>8173.6</v>
      </c>
      <c r="F12" s="21"/>
      <c r="G12" s="36">
        <f>E12+'Cash Flow'!G29</f>
        <v>19397.28176328024</v>
      </c>
      <c r="H12" s="36">
        <f>G12+'Cash Flow'!H29</f>
        <v>26932.227058374418</v>
      </c>
      <c r="I12" s="36">
        <f>H12+'Cash Flow'!I29</f>
        <v>35075.018857076131</v>
      </c>
      <c r="J12" s="36">
        <f>I12+'Cash Flow'!J29</f>
        <v>43874.284879673949</v>
      </c>
      <c r="K12" s="36">
        <f>J12+'Cash Flow'!K29</f>
        <v>53382.543064079662</v>
      </c>
      <c r="L12" s="21"/>
      <c r="M12" s="21"/>
    </row>
    <row r="13" spans="2:13" ht="3.75" customHeight="1">
      <c r="B13" s="21"/>
      <c r="C13" s="21"/>
      <c r="D13" s="21"/>
      <c r="E13" s="21"/>
      <c r="F13" s="21"/>
      <c r="G13" s="36"/>
      <c r="H13" s="36"/>
      <c r="I13" s="36"/>
      <c r="J13" s="36"/>
      <c r="K13" s="36"/>
      <c r="L13" s="21"/>
      <c r="M13" s="21"/>
    </row>
    <row r="14" spans="2:13" ht="12.75" thickBot="1">
      <c r="B14" s="80" t="s">
        <v>37</v>
      </c>
      <c r="C14" s="84">
        <f>SUM(C3:C12)</f>
        <v>144575.6</v>
      </c>
      <c r="D14" s="84">
        <f t="shared" ref="D14:K14" si="2">SUM(D3:D12)</f>
        <v>170464.2</v>
      </c>
      <c r="E14" s="84">
        <f t="shared" si="2"/>
        <v>187652.19999999998</v>
      </c>
      <c r="F14" s="84">
        <f t="shared" si="2"/>
        <v>0</v>
      </c>
      <c r="G14" s="84">
        <f t="shared" si="2"/>
        <v>207338.46074072304</v>
      </c>
      <c r="H14" s="84">
        <f t="shared" si="2"/>
        <v>228630.86035401261</v>
      </c>
      <c r="I14" s="84">
        <f t="shared" si="2"/>
        <v>251631.70281636537</v>
      </c>
      <c r="J14" s="84">
        <f t="shared" si="2"/>
        <v>276477.66355570639</v>
      </c>
      <c r="K14" s="84">
        <f t="shared" si="2"/>
        <v>303316.35203419469</v>
      </c>
      <c r="L14" s="21"/>
      <c r="M14" s="21"/>
    </row>
    <row r="15" spans="2:13" ht="12.75" thickTop="1">
      <c r="B15" s="21"/>
      <c r="C15" s="38"/>
      <c r="D15" s="38"/>
      <c r="E15" s="38"/>
      <c r="F15" s="38"/>
      <c r="G15" s="36"/>
      <c r="H15" s="36"/>
      <c r="I15" s="36"/>
      <c r="J15" s="36"/>
      <c r="K15" s="36"/>
      <c r="L15" s="21"/>
      <c r="M15" s="21"/>
    </row>
    <row r="16" spans="2:13" ht="10.5" customHeight="1">
      <c r="B16" s="21" t="s">
        <v>100</v>
      </c>
      <c r="C16" s="38">
        <f>SUMIF('BS assumptions'!$B:$B,BS!$B16,'BS assumptions'!C:C)</f>
        <v>15891.2</v>
      </c>
      <c r="D16" s="38">
        <f>SUMIF('BS assumptions'!$B:$B,BS!$B16,'BS assumptions'!D:D)</f>
        <v>26351.599999999999</v>
      </c>
      <c r="E16" s="38">
        <f>SUMIF('BS assumptions'!$B:$B,BS!$B16,'BS assumptions'!E:E)</f>
        <v>36189.599999999999</v>
      </c>
      <c r="F16" s="38"/>
      <c r="G16" s="36">
        <f>SUMIF('BS assumptions'!$B:$B,BS!$B16,'BS assumptions'!G:G)</f>
        <v>40325.958141166935</v>
      </c>
      <c r="H16" s="36">
        <f>SUMIF('BS assumptions'!$B:$B,BS!$B16,'BS assumptions'!H:H)</f>
        <v>43552.034792460297</v>
      </c>
      <c r="I16" s="36">
        <f>SUMIF('BS assumptions'!$B:$B,BS!$B16,'BS assumptions'!I:I)</f>
        <v>47036.197575857121</v>
      </c>
      <c r="J16" s="36">
        <f>SUMIF('BS assumptions'!$B:$B,BS!$B16,'BS assumptions'!J:J)</f>
        <v>50799.09338192569</v>
      </c>
      <c r="K16" s="36">
        <f>SUMIF('BS assumptions'!$B:$B,BS!$B16,'BS assumptions'!K:K)</f>
        <v>54863.020852479742</v>
      </c>
      <c r="L16" s="21"/>
      <c r="M16" s="21"/>
    </row>
    <row r="17" spans="2:13">
      <c r="B17" s="21" t="s">
        <v>45</v>
      </c>
      <c r="C17" s="38">
        <f>SUMIF('BS assumptions'!$B:$B,BS!$B17,'BS assumptions'!C:C)</f>
        <v>5969.0386666666891</v>
      </c>
      <c r="D17" s="38">
        <f>SUMIF('BS assumptions'!$B:$B,BS!$B17,'BS assumptions'!D:D)</f>
        <v>5800.3560000000052</v>
      </c>
      <c r="E17" s="38">
        <f>SUMIF('BS assumptions'!$B:$B,BS!$B17,'BS assumptions'!E:E)</f>
        <v>8473.4464253970418</v>
      </c>
      <c r="F17" s="38"/>
      <c r="G17" s="36">
        <f>SUMIF('BS assumptions'!$B:$B,BS!$B17,'BS assumptions'!G:G)</f>
        <v>7883.9448649531369</v>
      </c>
      <c r="H17" s="36">
        <f>SUMIF('BS assumptions'!$B:$B,BS!$B17,'BS assumptions'!H:H)</f>
        <v>8514.6604541493871</v>
      </c>
      <c r="I17" s="36">
        <f>SUMIF('BS assumptions'!$B:$B,BS!$B17,'BS assumptions'!I:I)</f>
        <v>9195.8332904813396</v>
      </c>
      <c r="J17" s="36">
        <f>SUMIF('BS assumptions'!$B:$B,BS!$B17,'BS assumptions'!J:J)</f>
        <v>9931.4999537198473</v>
      </c>
      <c r="K17" s="36">
        <f>SUMIF('BS assumptions'!$B:$B,BS!$B17,'BS assumptions'!K:K)</f>
        <v>10726.019950017435</v>
      </c>
      <c r="L17" s="21"/>
      <c r="M17" s="21"/>
    </row>
    <row r="18" spans="2:13" ht="3.75" customHeight="1">
      <c r="B18" s="21"/>
      <c r="C18" s="38"/>
      <c r="D18" s="38"/>
      <c r="E18" s="38"/>
      <c r="F18" s="38"/>
      <c r="G18" s="36"/>
      <c r="H18" s="36"/>
      <c r="I18" s="36"/>
      <c r="J18" s="36"/>
      <c r="K18" s="36"/>
      <c r="L18" s="21"/>
      <c r="M18" s="21"/>
    </row>
    <row r="19" spans="2:13">
      <c r="B19" s="21" t="s">
        <v>108</v>
      </c>
      <c r="C19" s="38">
        <f>'BS source'!J15+'BS source'!J16</f>
        <v>41293.000000000007</v>
      </c>
      <c r="D19" s="38">
        <f>'BS source'!K15+'BS source'!K16</f>
        <v>50645.4</v>
      </c>
      <c r="E19" s="38">
        <f>'BS source'!L15+'BS source'!L16</f>
        <v>51120.799999999996</v>
      </c>
      <c r="F19" s="38"/>
      <c r="G19" s="36">
        <f>$E$19</f>
        <v>51120.799999999996</v>
      </c>
      <c r="H19" s="36">
        <f t="shared" ref="H19:K19" si="3">$E$19</f>
        <v>51120.799999999996</v>
      </c>
      <c r="I19" s="36">
        <f t="shared" si="3"/>
        <v>51120.799999999996</v>
      </c>
      <c r="J19" s="36">
        <f t="shared" si="3"/>
        <v>51120.799999999996</v>
      </c>
      <c r="K19" s="36">
        <f t="shared" si="3"/>
        <v>51120.799999999996</v>
      </c>
      <c r="L19" s="21"/>
      <c r="M19" s="21" t="s">
        <v>112</v>
      </c>
    </row>
    <row r="20" spans="2:13" ht="3.75" customHeight="1">
      <c r="B20" s="21"/>
      <c r="C20" s="38"/>
      <c r="D20" s="38"/>
      <c r="E20" s="38"/>
      <c r="F20" s="38"/>
      <c r="G20" s="36"/>
      <c r="H20" s="36"/>
      <c r="I20" s="36"/>
      <c r="J20" s="36"/>
      <c r="K20" s="36"/>
      <c r="L20" s="21"/>
      <c r="M20" s="21"/>
    </row>
    <row r="21" spans="2:13">
      <c r="B21" s="21" t="s">
        <v>109</v>
      </c>
      <c r="C21" s="38">
        <f>'BS source'!J8</f>
        <v>81422.361333333276</v>
      </c>
      <c r="D21" s="38">
        <f>'BS source'!K8</f>
        <v>87666.844000000026</v>
      </c>
      <c r="E21" s="38">
        <f>'BS source'!L8</f>
        <v>91868.353574602996</v>
      </c>
      <c r="F21" s="38"/>
      <c r="G21" s="36">
        <f>E21+'P&amp;L'!G24</f>
        <v>108007.75773460299</v>
      </c>
      <c r="H21" s="36">
        <f>G21+'P&amp;L'!H24</f>
        <v>125443.36510740298</v>
      </c>
      <c r="I21" s="36">
        <f>H21+'P&amp;L'!I24</f>
        <v>144278.87195002698</v>
      </c>
      <c r="J21" s="36">
        <f>I21+'P&amp;L'!J24</f>
        <v>164626.27022006092</v>
      </c>
      <c r="K21" s="36">
        <f>J21+'P&amp;L'!K24</f>
        <v>186606.51123169757</v>
      </c>
      <c r="L21" s="21"/>
      <c r="M21" s="21"/>
    </row>
    <row r="22" spans="2:13" ht="3.75" customHeight="1">
      <c r="B22" s="21"/>
      <c r="C22" s="38"/>
      <c r="D22" s="38"/>
      <c r="E22" s="38"/>
      <c r="F22" s="38"/>
      <c r="G22" s="36"/>
      <c r="H22" s="36"/>
      <c r="I22" s="36"/>
      <c r="J22" s="36"/>
      <c r="K22" s="36"/>
      <c r="L22" s="21"/>
      <c r="M22" s="21"/>
    </row>
    <row r="23" spans="2:13" ht="12.75" thickBot="1">
      <c r="B23" s="85" t="s">
        <v>110</v>
      </c>
      <c r="C23" s="86">
        <f>SUM(C16:C22)</f>
        <v>144575.59999999998</v>
      </c>
      <c r="D23" s="86">
        <f t="shared" ref="D23:E23" si="4">SUM(D16:D22)</f>
        <v>170464.2</v>
      </c>
      <c r="E23" s="86">
        <f t="shared" si="4"/>
        <v>187652.2</v>
      </c>
      <c r="F23" s="38"/>
      <c r="G23" s="89">
        <f>SUM(G16:G21)</f>
        <v>207338.46074072307</v>
      </c>
      <c r="H23" s="89">
        <f t="shared" ref="H23:K23" si="5">SUM(H16:H21)</f>
        <v>228630.86035401264</v>
      </c>
      <c r="I23" s="89">
        <f t="shared" si="5"/>
        <v>251631.70281636543</v>
      </c>
      <c r="J23" s="89">
        <f t="shared" si="5"/>
        <v>276477.66355570644</v>
      </c>
      <c r="K23" s="89">
        <f t="shared" si="5"/>
        <v>303316.35203419474</v>
      </c>
      <c r="L23" s="21"/>
      <c r="M23" s="21"/>
    </row>
    <row r="24" spans="2:13">
      <c r="B24" s="21"/>
      <c r="C24" s="21"/>
      <c r="D24" s="21"/>
      <c r="E24" s="21"/>
      <c r="F24" s="21"/>
      <c r="G24" s="38"/>
      <c r="H24" s="38"/>
      <c r="I24" s="38"/>
      <c r="J24" s="38"/>
      <c r="K24" s="38"/>
      <c r="L24" s="21"/>
      <c r="M24" s="21"/>
    </row>
    <row r="25" spans="2:13">
      <c r="B25" s="21" t="s">
        <v>111</v>
      </c>
      <c r="C25" s="21">
        <f>C14-C23</f>
        <v>0</v>
      </c>
      <c r="D25" s="21">
        <f t="shared" ref="D25:K25" si="6">D14-D23</f>
        <v>0</v>
      </c>
      <c r="E25" s="21">
        <f t="shared" si="6"/>
        <v>0</v>
      </c>
      <c r="F25" s="21">
        <f t="shared" si="6"/>
        <v>0</v>
      </c>
      <c r="G25" s="21">
        <f t="shared" si="6"/>
        <v>0</v>
      </c>
      <c r="H25" s="21">
        <f t="shared" si="6"/>
        <v>0</v>
      </c>
      <c r="I25" s="21">
        <f t="shared" si="6"/>
        <v>0</v>
      </c>
      <c r="J25" s="21">
        <f t="shared" si="6"/>
        <v>0</v>
      </c>
      <c r="K25" s="21">
        <f t="shared" si="6"/>
        <v>0</v>
      </c>
      <c r="L25" s="21"/>
      <c r="M25" s="2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5"/>
  <sheetViews>
    <sheetView workbookViewId="0"/>
  </sheetViews>
  <sheetFormatPr defaultRowHeight="12" outlineLevelRow="1"/>
  <cols>
    <col min="1" max="1" width="2" style="11" customWidth="1"/>
    <col min="2" max="2" width="31.5703125" style="11" bestFit="1" customWidth="1"/>
    <col min="3" max="3" width="9.140625" style="11" customWidth="1"/>
    <col min="4" max="5" width="9.5703125" style="11" bestFit="1" customWidth="1"/>
    <col min="6" max="6" width="2" style="11" customWidth="1"/>
    <col min="7" max="7" width="9.5703125" style="11" bestFit="1" customWidth="1"/>
    <col min="8" max="8" width="10" style="11" bestFit="1" customWidth="1"/>
    <col min="9" max="11" width="9.140625" style="11"/>
    <col min="12" max="12" width="2" style="11" customWidth="1"/>
    <col min="13" max="16384" width="9.140625" style="11"/>
  </cols>
  <sheetData>
    <row r="1" spans="2:15" ht="15.75">
      <c r="B1" s="12" t="s">
        <v>28</v>
      </c>
      <c r="C1" s="12"/>
    </row>
    <row r="2" spans="2:15">
      <c r="B2" s="11" t="s">
        <v>76</v>
      </c>
    </row>
    <row r="3" spans="2:15" ht="24.75" thickBot="1">
      <c r="B3" s="17" t="s">
        <v>53</v>
      </c>
      <c r="C3" s="17"/>
      <c r="D3" s="18" t="s">
        <v>55</v>
      </c>
      <c r="E3" s="18" t="s">
        <v>56</v>
      </c>
      <c r="F3" s="22"/>
      <c r="G3" s="19" t="s">
        <v>57</v>
      </c>
      <c r="H3" s="19" t="s">
        <v>58</v>
      </c>
      <c r="I3" s="19" t="s">
        <v>59</v>
      </c>
      <c r="J3" s="19" t="s">
        <v>60</v>
      </c>
      <c r="K3" s="19" t="s">
        <v>61</v>
      </c>
      <c r="L3" s="7"/>
      <c r="M3" s="23" t="s">
        <v>66</v>
      </c>
    </row>
    <row r="4" spans="2:15">
      <c r="B4" s="11" t="s">
        <v>16</v>
      </c>
      <c r="D4" s="32">
        <f>'P&amp;L'!D15</f>
        <v>16564.136000000017</v>
      </c>
      <c r="E4" s="32">
        <f>'P&amp;L'!E15</f>
        <v>23130.213574602993</v>
      </c>
      <c r="F4" s="32"/>
      <c r="G4" s="33">
        <f>'P&amp;L'!G15</f>
        <v>22838.175199999994</v>
      </c>
      <c r="H4" s="33">
        <f>'P&amp;L'!H15</f>
        <v>24458.429215999982</v>
      </c>
      <c r="I4" s="33">
        <f>'P&amp;L'!I15</f>
        <v>26208.303553279991</v>
      </c>
      <c r="J4" s="33">
        <f>'P&amp;L'!J15</f>
        <v>28098.167837542409</v>
      </c>
      <c r="K4" s="33">
        <f>'P&amp;L'!K15</f>
        <v>30139.221264545809</v>
      </c>
    </row>
    <row r="5" spans="2:15">
      <c r="B5" s="11" t="s">
        <v>113</v>
      </c>
      <c r="D5" s="50">
        <f>D6*D4</f>
        <v>-3740.0277204742097</v>
      </c>
      <c r="E5" s="50">
        <f>E6*E4</f>
        <v>-4379.9683364332077</v>
      </c>
      <c r="F5" s="32"/>
      <c r="G5" s="33">
        <f>G6*G4</f>
        <v>-4567.6350399999992</v>
      </c>
      <c r="H5" s="33">
        <f>H6*H4</f>
        <v>-4891.6858431999963</v>
      </c>
      <c r="I5" s="33">
        <f t="shared" ref="I5:K5" si="0">I6*I4</f>
        <v>-5241.6607106559986</v>
      </c>
      <c r="J5" s="33">
        <f t="shared" si="0"/>
        <v>-5619.633567508482</v>
      </c>
      <c r="K5" s="33">
        <f t="shared" si="0"/>
        <v>-6027.8442529091626</v>
      </c>
    </row>
    <row r="6" spans="2:15">
      <c r="B6" s="44" t="s">
        <v>114</v>
      </c>
      <c r="C6" s="44"/>
      <c r="D6" s="39">
        <f>'P&amp;L assumptions'!D45</f>
        <v>-0.22579069143565386</v>
      </c>
      <c r="E6" s="39">
        <f>'P&amp;L assumptions'!E45</f>
        <v>-0.18936134430001197</v>
      </c>
      <c r="F6" s="39"/>
      <c r="G6" s="43">
        <f>'P&amp;L assumptions'!G45</f>
        <v>-0.2</v>
      </c>
      <c r="H6" s="43">
        <f>'P&amp;L assumptions'!H45</f>
        <v>-0.2</v>
      </c>
      <c r="I6" s="43">
        <f>'P&amp;L assumptions'!I45</f>
        <v>-0.2</v>
      </c>
      <c r="J6" s="43">
        <f>'P&amp;L assumptions'!J45</f>
        <v>-0.2</v>
      </c>
      <c r="K6" s="43">
        <f>'P&amp;L assumptions'!K45</f>
        <v>-0.2</v>
      </c>
      <c r="L6" s="44"/>
      <c r="M6" s="44"/>
      <c r="N6" s="44"/>
      <c r="O6" s="44"/>
    </row>
    <row r="7" spans="2:15">
      <c r="B7" s="80" t="s">
        <v>115</v>
      </c>
      <c r="C7" s="80"/>
      <c r="D7" s="81">
        <f>SUM(D4:D5)</f>
        <v>12824.108279525808</v>
      </c>
      <c r="E7" s="81">
        <f>SUM(E4:E5)</f>
        <v>18750.245238169784</v>
      </c>
      <c r="F7" s="90"/>
      <c r="G7" s="91">
        <f>SUM(G4:G5)</f>
        <v>18270.540159999997</v>
      </c>
      <c r="H7" s="91">
        <f>SUM(H4:H5)</f>
        <v>19566.743372799985</v>
      </c>
      <c r="I7" s="91">
        <f t="shared" ref="I7:K7" si="1">SUM(I4:I5)</f>
        <v>20966.642842623995</v>
      </c>
      <c r="J7" s="91">
        <f t="shared" si="1"/>
        <v>22478.534270033928</v>
      </c>
      <c r="K7" s="91">
        <f t="shared" si="1"/>
        <v>24111.377011636647</v>
      </c>
      <c r="L7" s="44"/>
      <c r="N7" s="44"/>
      <c r="O7" s="44"/>
    </row>
    <row r="8" spans="2:15" ht="5.25" customHeight="1">
      <c r="B8" s="44"/>
      <c r="C8" s="44"/>
      <c r="D8" s="45"/>
      <c r="E8" s="45"/>
      <c r="F8" s="44"/>
      <c r="G8" s="36"/>
      <c r="H8" s="36"/>
      <c r="I8" s="36"/>
      <c r="J8" s="36"/>
      <c r="K8" s="36"/>
      <c r="L8" s="44"/>
      <c r="N8" s="44"/>
      <c r="O8" s="44"/>
    </row>
    <row r="9" spans="2:15">
      <c r="B9" s="44" t="s">
        <v>116</v>
      </c>
      <c r="C9" s="44"/>
      <c r="D9" s="45">
        <f>-'P&amp;L'!D14</f>
        <v>4649.8</v>
      </c>
      <c r="E9" s="45">
        <f>-'P&amp;L'!E14</f>
        <v>6430.6600000000008</v>
      </c>
      <c r="F9" s="44"/>
      <c r="G9" s="36">
        <f>-'P&amp;L'!G14</f>
        <v>5625.8820000000014</v>
      </c>
      <c r="H9" s="36">
        <f>-'P&amp;L'!H14</f>
        <v>6075.9525600000015</v>
      </c>
      <c r="I9" s="36">
        <f>-'P&amp;L'!I14</f>
        <v>6562.0287648000012</v>
      </c>
      <c r="J9" s="36">
        <f>-'P&amp;L'!J14</f>
        <v>7086.9910659840025</v>
      </c>
      <c r="K9" s="36">
        <f>-'P&amp;L'!K14</f>
        <v>7653.9503512627234</v>
      </c>
      <c r="L9" s="44"/>
      <c r="N9" s="44"/>
      <c r="O9" s="44"/>
    </row>
    <row r="10" spans="2:15">
      <c r="B10" s="80" t="s">
        <v>117</v>
      </c>
      <c r="C10" s="92"/>
      <c r="D10" s="93">
        <f>SUM(D7:D9)</f>
        <v>17473.908279525807</v>
      </c>
      <c r="E10" s="93">
        <f>SUM(E7:E9)</f>
        <v>25180.905238169784</v>
      </c>
      <c r="F10" s="92"/>
      <c r="G10" s="83">
        <f>SUM(G7:G9)</f>
        <v>23896.422159999998</v>
      </c>
      <c r="H10" s="83">
        <f>SUM(H7:H9)</f>
        <v>25642.695932799987</v>
      </c>
      <c r="I10" s="83">
        <f t="shared" ref="I10:K10" si="2">SUM(I7:I9)</f>
        <v>27528.671607423996</v>
      </c>
      <c r="J10" s="83">
        <f t="shared" si="2"/>
        <v>29565.52533601793</v>
      </c>
      <c r="K10" s="83">
        <f t="shared" si="2"/>
        <v>31765.32736289937</v>
      </c>
      <c r="L10" s="44"/>
      <c r="M10" s="11" t="s">
        <v>128</v>
      </c>
      <c r="N10" s="44"/>
      <c r="O10" s="44"/>
    </row>
    <row r="11" spans="2:15">
      <c r="B11" s="24"/>
      <c r="C11" s="24"/>
      <c r="D11" s="40"/>
      <c r="E11" s="40"/>
      <c r="F11" s="30"/>
      <c r="G11" s="37"/>
      <c r="H11" s="37"/>
      <c r="I11" s="37"/>
      <c r="J11" s="37"/>
      <c r="K11" s="37"/>
      <c r="L11" s="44"/>
      <c r="N11" s="44"/>
      <c r="O11" s="44"/>
    </row>
    <row r="12" spans="2:15">
      <c r="B12" s="48" t="s">
        <v>32</v>
      </c>
      <c r="C12" s="56"/>
      <c r="D12" s="102">
        <f>-(BS!D8-BS!C8)</f>
        <v>-5229.6000000000022</v>
      </c>
      <c r="E12" s="47">
        <f>-(BS!E8-BS!D8)</f>
        <v>-9815.1999999999971</v>
      </c>
      <c r="F12" s="48"/>
      <c r="G12" s="37">
        <f>-(BS!G8-BS!E8)</f>
        <v>-5281.8871283353947</v>
      </c>
      <c r="H12" s="37">
        <f>-(BS!H8-BS!G8)</f>
        <v>-4119.5109702668269</v>
      </c>
      <c r="I12" s="37">
        <f>-(BS!I8-BS!H8)</f>
        <v>-4449.0718478881827</v>
      </c>
      <c r="J12" s="37">
        <f>-(BS!J8-BS!I8)</f>
        <v>-4804.9975957192364</v>
      </c>
      <c r="K12" s="37">
        <f>-(BS!K8-BS!J8)</f>
        <v>-5189.3974033767663</v>
      </c>
      <c r="L12" s="44"/>
      <c r="N12" s="44"/>
      <c r="O12" s="44"/>
    </row>
    <row r="13" spans="2:15">
      <c r="B13" s="48" t="s">
        <v>30</v>
      </c>
      <c r="C13" s="56"/>
      <c r="D13" s="102">
        <f>-(BS!D9-BS!C9)</f>
        <v>-5672.4000000000015</v>
      </c>
      <c r="E13" s="48">
        <f>-(BS!E9-BS!D9)</f>
        <v>-5025.5999999999985</v>
      </c>
      <c r="F13" s="48"/>
      <c r="G13" s="36">
        <f>-(BS!G9-BS!E9)</f>
        <v>-3486.5280000000057</v>
      </c>
      <c r="H13" s="36">
        <f>-(BS!H9-BS!G9)</f>
        <v>-3765.4502399999983</v>
      </c>
      <c r="I13" s="36">
        <f>-(BS!I9-BS!H9)</f>
        <v>-4066.6862591999961</v>
      </c>
      <c r="J13" s="36">
        <f>-(BS!J9-BS!I9)</f>
        <v>-4392.0211599360118</v>
      </c>
      <c r="K13" s="36">
        <f>-(BS!K9-BS!J9)</f>
        <v>-4743.3828527308797</v>
      </c>
      <c r="L13" s="44"/>
      <c r="N13" s="44"/>
      <c r="O13" s="44"/>
    </row>
    <row r="14" spans="2:15">
      <c r="B14" s="48" t="s">
        <v>100</v>
      </c>
      <c r="C14" s="56"/>
      <c r="D14" s="102">
        <f>BS!D16-BS!C16</f>
        <v>10460.399999999998</v>
      </c>
      <c r="E14" s="47">
        <f>BS!E16-BS!D16</f>
        <v>9838</v>
      </c>
      <c r="F14" s="44"/>
      <c r="G14" s="37">
        <f>BS!G16-BS!E16</f>
        <v>4136.3581411669365</v>
      </c>
      <c r="H14" s="37">
        <f>BS!H16-BS!G16</f>
        <v>3226.0766512933624</v>
      </c>
      <c r="I14" s="37">
        <f>BS!I16-BS!H16</f>
        <v>3484.1627833968232</v>
      </c>
      <c r="J14" s="37">
        <f>BS!J16-BS!I16</f>
        <v>3762.8958060685691</v>
      </c>
      <c r="K14" s="37">
        <f>BS!K16-BS!J16</f>
        <v>4063.927470554052</v>
      </c>
      <c r="L14" s="44"/>
      <c r="N14" s="44"/>
      <c r="O14" s="44"/>
    </row>
    <row r="15" spans="2:15">
      <c r="B15" s="94" t="s">
        <v>118</v>
      </c>
      <c r="C15" s="95"/>
      <c r="D15" s="96">
        <f>D14+D13+D12</f>
        <v>-441.60000000000582</v>
      </c>
      <c r="E15" s="96">
        <f>E14+E13+E12</f>
        <v>-5002.7999999999956</v>
      </c>
      <c r="F15" s="92"/>
      <c r="G15" s="91">
        <f>G14+G13+G12</f>
        <v>-4632.0569871684638</v>
      </c>
      <c r="H15" s="91">
        <f>H14+H13+H12</f>
        <v>-4658.8845589734628</v>
      </c>
      <c r="I15" s="91">
        <f t="shared" ref="I15:K15" si="3">I14+I13+I12</f>
        <v>-5031.5953236913556</v>
      </c>
      <c r="J15" s="91">
        <f t="shared" si="3"/>
        <v>-5434.1229495866792</v>
      </c>
      <c r="K15" s="91">
        <f t="shared" si="3"/>
        <v>-5868.852785553594</v>
      </c>
      <c r="L15" s="44"/>
      <c r="M15" s="11" t="s">
        <v>129</v>
      </c>
      <c r="N15" s="44"/>
      <c r="O15" s="44"/>
    </row>
    <row r="16" spans="2:15" ht="14.25" customHeight="1">
      <c r="B16" s="98" t="s">
        <v>119</v>
      </c>
      <c r="C16" s="44"/>
      <c r="D16" s="103">
        <f>-(BS!D10-BS!C10)+BS!D17-BS!C17</f>
        <v>-2686.2826666666824</v>
      </c>
      <c r="E16" s="44">
        <f>-(BS!E10-BS!D10)+BS!E17-BS!D17</f>
        <v>-3570.5095746029638</v>
      </c>
      <c r="F16" s="44"/>
      <c r="G16" s="37">
        <f>-(BS!G10-BS!E10)+BS!G17-BS!E17</f>
        <v>2416.0984731138833</v>
      </c>
      <c r="H16" s="37">
        <f>-(BS!H10-BS!G10)+BS!H17-BS!G17</f>
        <v>-537.06040811912681</v>
      </c>
      <c r="I16" s="37">
        <f>-(BS!I10-BS!H10)+BS!I17-BS!H17</f>
        <v>-580.02524076865302</v>
      </c>
      <c r="J16" s="37">
        <f>-(BS!J10-BS!I10)+BS!J17-BS!I17</f>
        <v>-626.42726003015378</v>
      </c>
      <c r="K16" s="37">
        <f>-(BS!K10-BS!J10)+BS!K17-BS!J17</f>
        <v>-676.54144083255778</v>
      </c>
      <c r="L16" s="44"/>
      <c r="M16" s="11" t="s">
        <v>130</v>
      </c>
      <c r="N16" s="44"/>
      <c r="O16" s="44"/>
    </row>
    <row r="17" spans="2:15" ht="4.5" customHeight="1">
      <c r="B17" s="44"/>
      <c r="C17" s="44"/>
      <c r="D17" s="44"/>
      <c r="E17" s="44"/>
      <c r="F17" s="44"/>
      <c r="G17" s="37"/>
      <c r="H17" s="37"/>
      <c r="I17" s="37"/>
      <c r="J17" s="37"/>
      <c r="K17" s="37"/>
      <c r="L17" s="44"/>
      <c r="N17" s="44"/>
      <c r="O17" s="44"/>
    </row>
    <row r="18" spans="2:15" ht="12" customHeight="1">
      <c r="B18" s="46" t="s">
        <v>120</v>
      </c>
      <c r="C18" s="56"/>
      <c r="D18" s="47">
        <f>-(BS!D5-BS!C5-'P&amp;L'!D14)</f>
        <v>-8615.7999999999993</v>
      </c>
      <c r="E18" s="47">
        <f>-(BS!E5-BS!D5-'P&amp;L'!E14)</f>
        <v>-13467.459999999995</v>
      </c>
      <c r="F18" s="44"/>
      <c r="G18" s="37">
        <f>-(BS!G5-BS!E5-'P&amp;L'!G14)</f>
        <v>-8325.645882665176</v>
      </c>
      <c r="H18" s="37">
        <f>-(BS!H5-BS!G5-'P&amp;L'!H14)</f>
        <v>-10780.669670613217</v>
      </c>
      <c r="I18" s="37">
        <f>-(BS!I5-BS!H5-'P&amp;L'!I14)</f>
        <v>-11643.123244262271</v>
      </c>
      <c r="J18" s="37">
        <f>-(BS!J5-BS!I5-'P&amp;L'!J14)</f>
        <v>-12574.573103803275</v>
      </c>
      <c r="K18" s="37">
        <f>-(BS!K5-BS!J5-'P&amp;L'!K14)</f>
        <v>-13580.538952107509</v>
      </c>
      <c r="L18" s="44"/>
      <c r="M18" s="11" t="s">
        <v>131</v>
      </c>
      <c r="N18" s="44"/>
      <c r="O18" s="44"/>
    </row>
    <row r="19" spans="2:15" ht="12" customHeight="1">
      <c r="B19" s="98" t="s">
        <v>121</v>
      </c>
      <c r="C19" s="44"/>
      <c r="D19" s="103">
        <f>-(BS!D4-BS!C4)-(BS!D6-BS!C6)</f>
        <v>-885.39999999999964</v>
      </c>
      <c r="E19" s="44">
        <f>-(BS!E4-BS!D4)-(BS!E6-BS!D6)</f>
        <v>-302</v>
      </c>
      <c r="F19" s="44"/>
      <c r="G19" s="68">
        <f>-(BS!G4-BS!E4)-(BS!G6-BS!E6)</f>
        <v>0</v>
      </c>
      <c r="H19" s="68">
        <f>-(BS!H4-BS!G4)-(BS!H6-BS!G6)</f>
        <v>0</v>
      </c>
      <c r="I19" s="68">
        <f>-(BS!I4-BS!H4)-(BS!I6-BS!H6)</f>
        <v>0</v>
      </c>
      <c r="J19" s="68">
        <f>-(BS!J4-BS!I4)-(BS!J6-BS!I6)</f>
        <v>0</v>
      </c>
      <c r="K19" s="68">
        <f>-(BS!K4-BS!J4)-(BS!K6-BS!J6)</f>
        <v>0</v>
      </c>
      <c r="L19" s="44"/>
      <c r="M19" s="11" t="s">
        <v>132</v>
      </c>
      <c r="N19" s="44"/>
      <c r="O19" s="44"/>
    </row>
    <row r="20" spans="2:15" ht="4.5" customHeight="1">
      <c r="C20" s="62"/>
      <c r="D20" s="63"/>
      <c r="E20" s="63"/>
      <c r="F20" s="62"/>
      <c r="G20" s="69"/>
      <c r="H20" s="69"/>
      <c r="I20" s="69"/>
      <c r="J20" s="69"/>
      <c r="K20" s="69"/>
      <c r="L20" s="44"/>
      <c r="N20" s="44"/>
      <c r="O20" s="44"/>
    </row>
    <row r="21" spans="2:15" ht="12.75" customHeight="1">
      <c r="B21" s="97" t="s">
        <v>122</v>
      </c>
      <c r="C21" s="44"/>
      <c r="D21" s="103">
        <f>'P&amp;L'!D18</f>
        <v>-864.30000000000007</v>
      </c>
      <c r="E21" s="44">
        <f>'P&amp;L'!E18</f>
        <v>-320.26</v>
      </c>
      <c r="F21" s="44"/>
      <c r="G21" s="68">
        <f>'P&amp;L'!G18</f>
        <v>0</v>
      </c>
      <c r="H21" s="68">
        <f>'P&amp;L'!H18</f>
        <v>0</v>
      </c>
      <c r="I21" s="68">
        <f>'P&amp;L'!I18</f>
        <v>0</v>
      </c>
      <c r="J21" s="68">
        <f>'P&amp;L'!J18</f>
        <v>0</v>
      </c>
      <c r="K21" s="68">
        <f>'P&amp;L'!K18</f>
        <v>0</v>
      </c>
      <c r="L21" s="44"/>
      <c r="M21" s="11" t="s">
        <v>133</v>
      </c>
      <c r="N21" s="44"/>
      <c r="O21" s="44"/>
    </row>
    <row r="22" spans="2:15" ht="5.25" customHeight="1">
      <c r="B22" s="44"/>
      <c r="C22" s="44"/>
      <c r="D22" s="45"/>
      <c r="E22" s="45"/>
      <c r="F22" s="44"/>
      <c r="G22" s="37"/>
      <c r="H22" s="37"/>
      <c r="I22" s="37"/>
      <c r="J22" s="37"/>
      <c r="K22" s="37"/>
      <c r="L22" s="44"/>
      <c r="N22" s="44"/>
      <c r="O22" s="44"/>
    </row>
    <row r="23" spans="2:15">
      <c r="B23" s="99" t="s">
        <v>123</v>
      </c>
      <c r="C23" s="99"/>
      <c r="D23" s="105">
        <f>SUM(D15:D21,D10)</f>
        <v>3980.5256128591209</v>
      </c>
      <c r="E23" s="99">
        <f>SUM(E15:E21,E10)</f>
        <v>2517.8756635668287</v>
      </c>
      <c r="F23" s="99"/>
      <c r="G23" s="78">
        <f>SUM(G15:G21,G10)</f>
        <v>13354.817763280242</v>
      </c>
      <c r="H23" s="78">
        <f>SUM(H15:H21,H10)</f>
        <v>9666.0812950941799</v>
      </c>
      <c r="I23" s="78">
        <f t="shared" ref="I23:K23" si="4">SUM(I15:I21,I10)</f>
        <v>10273.927798701716</v>
      </c>
      <c r="J23" s="78">
        <f t="shared" si="4"/>
        <v>10930.40202259782</v>
      </c>
      <c r="K23" s="78">
        <f t="shared" si="4"/>
        <v>11639.394184405712</v>
      </c>
      <c r="L23" s="44"/>
      <c r="M23" s="11" t="s">
        <v>134</v>
      </c>
      <c r="N23" s="44"/>
      <c r="O23" s="44"/>
    </row>
    <row r="24" spans="2:15" ht="6.75" customHeight="1">
      <c r="B24" s="44"/>
      <c r="C24" s="44"/>
      <c r="D24" s="45"/>
      <c r="E24" s="45"/>
      <c r="F24" s="44"/>
      <c r="G24" s="40"/>
      <c r="H24" s="40"/>
      <c r="I24" s="40"/>
      <c r="J24" s="40"/>
      <c r="K24" s="40"/>
      <c r="L24" s="44"/>
      <c r="N24" s="44"/>
      <c r="O24" s="44"/>
    </row>
    <row r="25" spans="2:15">
      <c r="B25" s="44" t="s">
        <v>105</v>
      </c>
      <c r="C25" s="44"/>
      <c r="D25" s="45">
        <f>'P&amp;L'!D17</f>
        <v>-2190.9</v>
      </c>
      <c r="E25" s="45">
        <f>'P&amp;L'!E17</f>
        <v>-2663.92</v>
      </c>
      <c r="F25" s="44"/>
      <c r="G25" s="40">
        <f>'P&amp;L'!G17</f>
        <v>-2663.92</v>
      </c>
      <c r="H25" s="40">
        <f>'P&amp;L'!H17</f>
        <v>-2663.92</v>
      </c>
      <c r="I25" s="40">
        <f>'P&amp;L'!I17</f>
        <v>-2663.92</v>
      </c>
      <c r="J25" s="40">
        <f>'P&amp;L'!J17</f>
        <v>-2663.92</v>
      </c>
      <c r="K25" s="40">
        <f>'P&amp;L'!K17</f>
        <v>-2663.92</v>
      </c>
      <c r="L25" s="44"/>
      <c r="N25" s="44"/>
      <c r="O25" s="44"/>
    </row>
    <row r="26" spans="2:15" ht="13.5" customHeight="1">
      <c r="B26" s="44" t="s">
        <v>124</v>
      </c>
      <c r="C26" s="44"/>
      <c r="D26" s="44">
        <f>'P&amp;L'!D22-'Cash Flow'!D5</f>
        <v>689.83572047420967</v>
      </c>
      <c r="E26" s="44">
        <f>'P&amp;L'!E22-'Cash Flow'!E5</f>
        <v>565.08833643320759</v>
      </c>
      <c r="F26" s="44"/>
      <c r="G26" s="44">
        <f>'P&amp;L'!G22-'Cash Flow'!G5</f>
        <v>532.78400000000056</v>
      </c>
      <c r="H26" s="44">
        <f>'P&amp;L'!H22-'Cash Flow'!H5</f>
        <v>532.78399999999965</v>
      </c>
      <c r="I26" s="44">
        <f>'P&amp;L'!I22-'Cash Flow'!I5</f>
        <v>532.78399999999965</v>
      </c>
      <c r="J26" s="44">
        <f>'P&amp;L'!J22-'Cash Flow'!J5</f>
        <v>532.78399999999965</v>
      </c>
      <c r="K26" s="44">
        <f>'P&amp;L'!K22-'Cash Flow'!K5</f>
        <v>532.78400000000056</v>
      </c>
      <c r="L26" s="44"/>
      <c r="N26" s="44"/>
      <c r="O26" s="44"/>
    </row>
    <row r="27" spans="2:15">
      <c r="B27" s="88" t="s">
        <v>125</v>
      </c>
      <c r="C27" s="62"/>
      <c r="D27" s="104">
        <f>BS!D19-BS!C19</f>
        <v>9352.3999999999942</v>
      </c>
      <c r="E27" s="63">
        <f>BS!E19-BS!D19</f>
        <v>475.39999999999418</v>
      </c>
      <c r="F27" s="62"/>
      <c r="G27" s="63">
        <f>BS!G19-BS!E19</f>
        <v>0</v>
      </c>
      <c r="H27" s="63">
        <f>BS!H19-BS!G19</f>
        <v>0</v>
      </c>
      <c r="I27" s="63">
        <f>BS!I19-BS!H19</f>
        <v>0</v>
      </c>
      <c r="J27" s="63">
        <f>BS!J19-BS!I19</f>
        <v>0</v>
      </c>
      <c r="K27" s="63">
        <f>BS!K19-BS!J19</f>
        <v>0</v>
      </c>
      <c r="L27" s="44"/>
      <c r="N27" s="44"/>
      <c r="O27" s="44"/>
    </row>
    <row r="28" spans="2:15">
      <c r="B28" s="44" t="s">
        <v>126</v>
      </c>
      <c r="C28" s="44"/>
      <c r="D28" s="44">
        <f>BS!D21-BS!C21-'P&amp;L'!D24</f>
        <v>-4214.2613333332665</v>
      </c>
      <c r="E28" s="44">
        <f>BS!E21-BS!D21-'P&amp;L'!E24</f>
        <v>-12129.644000000022</v>
      </c>
      <c r="F28" s="44"/>
      <c r="G28" s="44">
        <f>BS!G21-BS!E21-'P&amp;L'!G24</f>
        <v>0</v>
      </c>
      <c r="H28" s="44">
        <f>BS!H21-BS!G21-'P&amp;L'!H24</f>
        <v>0</v>
      </c>
      <c r="I28" s="44">
        <f>BS!I21-BS!H21-'P&amp;L'!I24</f>
        <v>0</v>
      </c>
      <c r="J28" s="44">
        <f>BS!J21-BS!I21-'P&amp;L'!J24</f>
        <v>0</v>
      </c>
      <c r="K28" s="44">
        <f>BS!K21-BS!J21-'P&amp;L'!K24</f>
        <v>0</v>
      </c>
      <c r="L28" s="44"/>
    </row>
    <row r="29" spans="2:15" ht="15.75" customHeight="1">
      <c r="B29" s="100" t="s">
        <v>127</v>
      </c>
      <c r="C29" s="101"/>
      <c r="D29" s="78">
        <f>SUM(D25:D28,D23)</f>
        <v>7617.6000000000586</v>
      </c>
      <c r="E29" s="78">
        <f>SUM(E25:E28,E23)</f>
        <v>-11235.199999999992</v>
      </c>
      <c r="F29" s="78">
        <f t="shared" ref="F29:H29" si="5">SUM(F25:F28,F23)</f>
        <v>0</v>
      </c>
      <c r="G29" s="78">
        <f t="shared" si="5"/>
        <v>11223.681763280241</v>
      </c>
      <c r="H29" s="78">
        <f t="shared" si="5"/>
        <v>7534.9452950941795</v>
      </c>
      <c r="I29" s="78">
        <f t="shared" ref="I29" si="6">SUM(I25:I28,I23)</f>
        <v>8142.7917987017154</v>
      </c>
      <c r="J29" s="78">
        <f t="shared" ref="J29" si="7">SUM(J25:J28,J23)</f>
        <v>8799.2660225978198</v>
      </c>
      <c r="K29" s="78">
        <f t="shared" ref="K29" si="8">SUM(K25:K28,K23)</f>
        <v>9508.2581844057131</v>
      </c>
      <c r="L29" s="44"/>
    </row>
    <row r="30" spans="2:15">
      <c r="B30" s="64"/>
      <c r="C30" s="64"/>
      <c r="D30" s="65"/>
      <c r="E30" s="65"/>
      <c r="F30" s="65"/>
      <c r="G30" s="65"/>
      <c r="H30" s="65"/>
      <c r="I30" s="65"/>
      <c r="J30" s="65"/>
      <c r="K30" s="65"/>
      <c r="L30" s="44"/>
    </row>
    <row r="31" spans="2:15">
      <c r="B31" s="44" t="s">
        <v>135</v>
      </c>
      <c r="C31" s="44"/>
      <c r="D31" s="45">
        <f>BS!C12</f>
        <v>11791.199999999999</v>
      </c>
      <c r="E31" s="44">
        <f>BS!D12</f>
        <v>19408.8</v>
      </c>
      <c r="F31" s="44"/>
      <c r="G31" s="44">
        <f>BS!E12</f>
        <v>8173.6</v>
      </c>
      <c r="H31" s="44">
        <f>BS!G12</f>
        <v>19397.28176328024</v>
      </c>
      <c r="I31" s="44">
        <f>BS!H12</f>
        <v>26932.227058374418</v>
      </c>
      <c r="J31" s="44">
        <f>BS!I12</f>
        <v>35075.018857076131</v>
      </c>
      <c r="K31" s="44">
        <f>BS!J12</f>
        <v>43874.284879673949</v>
      </c>
      <c r="L31" s="44"/>
    </row>
    <row r="32" spans="2:15" outlineLevel="1">
      <c r="B32" s="44" t="s">
        <v>136</v>
      </c>
      <c r="C32" s="44"/>
      <c r="D32" s="44">
        <f>D31+D29</f>
        <v>19408.800000000057</v>
      </c>
      <c r="E32" s="44">
        <f>E31+E29</f>
        <v>8173.6000000000076</v>
      </c>
      <c r="F32" s="44"/>
      <c r="G32" s="45">
        <f>G31+G29</f>
        <v>19397.28176328024</v>
      </c>
      <c r="H32" s="45">
        <f>H31+H29</f>
        <v>26932.227058374418</v>
      </c>
      <c r="I32" s="45">
        <f t="shared" ref="I32:K32" si="9">I31+I29</f>
        <v>35075.018857076131</v>
      </c>
      <c r="J32" s="45">
        <f t="shared" si="9"/>
        <v>43874.284879673949</v>
      </c>
      <c r="K32" s="45">
        <f t="shared" si="9"/>
        <v>53382.543064079662</v>
      </c>
      <c r="L32" s="44"/>
    </row>
    <row r="33" spans="2:11" outlineLevel="1">
      <c r="D33" s="55"/>
      <c r="E33" s="55"/>
    </row>
    <row r="34" spans="2:11">
      <c r="B34" s="11" t="s">
        <v>111</v>
      </c>
      <c r="D34" s="11">
        <f>BS!D12</f>
        <v>19408.8</v>
      </c>
      <c r="E34" s="11">
        <f>BS!E12</f>
        <v>8173.6</v>
      </c>
      <c r="G34" s="11">
        <f>BS!G12</f>
        <v>19397.28176328024</v>
      </c>
      <c r="H34" s="11">
        <f>BS!H12</f>
        <v>26932.227058374418</v>
      </c>
      <c r="I34" s="11">
        <f>BS!I12</f>
        <v>35075.018857076131</v>
      </c>
      <c r="J34" s="11">
        <f>BS!J12</f>
        <v>43874.284879673949</v>
      </c>
      <c r="K34" s="11">
        <f>BS!K12</f>
        <v>53382.543064079662</v>
      </c>
    </row>
    <row r="35" spans="2:11">
      <c r="D35" s="32">
        <f>D34-D32</f>
        <v>-5.8207660913467407E-11</v>
      </c>
      <c r="E35" s="32">
        <f>E34-E32</f>
        <v>-7.2759576141834259E-12</v>
      </c>
      <c r="G35" s="11">
        <f>G34-G32</f>
        <v>0</v>
      </c>
      <c r="H35" s="11">
        <f>H34-H32</f>
        <v>0</v>
      </c>
      <c r="I35" s="11">
        <f t="shared" ref="I35:K35" si="10">I34-I32</f>
        <v>0</v>
      </c>
      <c r="J35" s="11">
        <f t="shared" si="10"/>
        <v>0</v>
      </c>
      <c r="K35" s="11">
        <f t="shared" si="10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0"/>
  <sheetViews>
    <sheetView workbookViewId="0"/>
  </sheetViews>
  <sheetFormatPr defaultRowHeight="12"/>
  <cols>
    <col min="1" max="1" width="2" style="7" customWidth="1"/>
    <col min="2" max="2" width="22.7109375" style="7" customWidth="1"/>
    <col min="3" max="3" width="10" style="7" bestFit="1" customWidth="1"/>
    <col min="4" max="4" width="9.140625" style="7"/>
    <col min="5" max="5" width="11.5703125" style="7" bestFit="1" customWidth="1"/>
    <col min="6" max="6" width="2" style="7" customWidth="1"/>
    <col min="7" max="7" width="10" style="7" bestFit="1" customWidth="1"/>
    <col min="8" max="11" width="10.28515625" style="7" bestFit="1" customWidth="1"/>
    <col min="12" max="12" width="2" style="7" customWidth="1"/>
    <col min="13" max="16384" width="9.140625" style="7"/>
  </cols>
  <sheetData>
    <row r="1" spans="1:20" ht="15.75">
      <c r="B1" s="6" t="s">
        <v>4</v>
      </c>
    </row>
    <row r="2" spans="1:20" ht="15.75">
      <c r="B2" s="6"/>
    </row>
    <row r="4" spans="1:20">
      <c r="B4" s="72" t="s">
        <v>137</v>
      </c>
      <c r="C4" s="106">
        <v>0.1</v>
      </c>
    </row>
    <row r="5" spans="1:20">
      <c r="B5" s="72" t="s">
        <v>138</v>
      </c>
      <c r="C5" s="106">
        <v>0.02</v>
      </c>
    </row>
    <row r="6" spans="1:20">
      <c r="B6" s="21"/>
      <c r="C6" s="21"/>
      <c r="D6" s="21"/>
      <c r="E6" s="21"/>
      <c r="F6" s="21"/>
      <c r="G6" s="38">
        <v>1</v>
      </c>
      <c r="H6" s="38">
        <v>2</v>
      </c>
      <c r="I6" s="38">
        <v>3</v>
      </c>
      <c r="J6" s="38">
        <v>4</v>
      </c>
      <c r="K6" s="38">
        <v>5</v>
      </c>
      <c r="L6" s="21"/>
      <c r="M6" s="21"/>
      <c r="N6" s="21"/>
      <c r="O6" s="21"/>
      <c r="P6" s="21"/>
      <c r="Q6" s="21"/>
      <c r="R6" s="21"/>
      <c r="S6" s="21"/>
      <c r="T6" s="21"/>
    </row>
    <row r="7" spans="1:20" ht="24.75" thickBot="1">
      <c r="B7" s="17" t="s">
        <v>53</v>
      </c>
      <c r="C7" s="18" t="s">
        <v>54</v>
      </c>
      <c r="D7" s="18" t="s">
        <v>55</v>
      </c>
      <c r="E7" s="18" t="s">
        <v>56</v>
      </c>
      <c r="F7" s="22"/>
      <c r="G7" s="19" t="s">
        <v>57</v>
      </c>
      <c r="H7" s="19" t="s">
        <v>58</v>
      </c>
      <c r="I7" s="19" t="s">
        <v>59</v>
      </c>
      <c r="J7" s="19" t="s">
        <v>60</v>
      </c>
      <c r="K7" s="19" t="s">
        <v>61</v>
      </c>
      <c r="M7" s="23" t="s">
        <v>66</v>
      </c>
      <c r="N7" s="21"/>
      <c r="O7" s="21"/>
      <c r="P7" s="21"/>
      <c r="Q7" s="21"/>
      <c r="R7" s="21"/>
      <c r="S7" s="21"/>
      <c r="T7" s="21"/>
    </row>
    <row r="8" spans="1:20">
      <c r="B8" s="21" t="s">
        <v>123</v>
      </c>
      <c r="C8" s="21"/>
      <c r="D8" s="38">
        <f>'Cash Flow'!D23</f>
        <v>3980.5256128591209</v>
      </c>
      <c r="E8" s="38">
        <f>'Cash Flow'!E23</f>
        <v>2517.8756635668287</v>
      </c>
      <c r="F8" s="21"/>
      <c r="G8" s="36">
        <f>'Cash Flow'!G23</f>
        <v>13354.817763280242</v>
      </c>
      <c r="H8" s="36">
        <f>'Cash Flow'!H23</f>
        <v>9666.0812950941799</v>
      </c>
      <c r="I8" s="36">
        <f>'Cash Flow'!I23</f>
        <v>10273.927798701716</v>
      </c>
      <c r="J8" s="36">
        <f>'Cash Flow'!J23</f>
        <v>10930.40202259782</v>
      </c>
      <c r="K8" s="36">
        <f>'Cash Flow'!K23</f>
        <v>11639.394184405712</v>
      </c>
      <c r="L8" s="21"/>
      <c r="M8" s="21"/>
      <c r="N8" s="21"/>
      <c r="O8" s="21"/>
      <c r="P8" s="21"/>
      <c r="Q8" s="21"/>
      <c r="R8" s="21"/>
      <c r="S8" s="21"/>
      <c r="T8" s="21"/>
    </row>
    <row r="9" spans="1:20" ht="3.75" customHeight="1">
      <c r="B9" s="21"/>
      <c r="C9" s="21"/>
      <c r="D9" s="21"/>
      <c r="E9" s="21"/>
      <c r="F9" s="21"/>
      <c r="G9" s="36"/>
      <c r="H9" s="36"/>
      <c r="I9" s="36"/>
      <c r="J9" s="36"/>
      <c r="K9" s="36"/>
      <c r="L9" s="21"/>
      <c r="M9" s="21"/>
      <c r="N9" s="21"/>
      <c r="O9" s="21"/>
      <c r="P9" s="21"/>
      <c r="Q9" s="21"/>
      <c r="R9" s="21"/>
      <c r="S9" s="21"/>
      <c r="T9" s="21"/>
    </row>
    <row r="10" spans="1:20">
      <c r="A10" s="21"/>
      <c r="B10" s="21" t="s">
        <v>139</v>
      </c>
      <c r="C10" s="21"/>
      <c r="D10" s="21"/>
      <c r="E10" s="21"/>
      <c r="F10" s="21"/>
      <c r="G10" s="57">
        <f>1/(1+$C$4)^G6</f>
        <v>0.90909090909090906</v>
      </c>
      <c r="H10" s="57">
        <f t="shared" ref="H10:K10" si="0">1/(1+$C$4)^H6</f>
        <v>0.82644628099173545</v>
      </c>
      <c r="I10" s="57">
        <f t="shared" si="0"/>
        <v>0.75131480090157754</v>
      </c>
      <c r="J10" s="57">
        <f t="shared" si="0"/>
        <v>0.68301345536507052</v>
      </c>
      <c r="K10" s="57">
        <f t="shared" si="0"/>
        <v>0.62092132305915493</v>
      </c>
      <c r="L10" s="21"/>
      <c r="M10" s="21"/>
      <c r="N10" s="21"/>
      <c r="O10" s="21"/>
      <c r="P10" s="21"/>
      <c r="Q10" s="21"/>
      <c r="R10" s="21"/>
      <c r="S10" s="21"/>
      <c r="T10" s="21"/>
    </row>
    <row r="11" spans="1:20">
      <c r="A11" s="21"/>
      <c r="B11" s="80" t="s">
        <v>140</v>
      </c>
      <c r="C11" s="80"/>
      <c r="D11" s="80"/>
      <c r="E11" s="80"/>
      <c r="F11" s="81"/>
      <c r="G11" s="91">
        <f>G8*G10</f>
        <v>12140.743421163856</v>
      </c>
      <c r="H11" s="91">
        <f t="shared" ref="H11:K11" si="1">H8*H10</f>
        <v>7988.496938094363</v>
      </c>
      <c r="I11" s="91">
        <f t="shared" si="1"/>
        <v>7718.9540185587621</v>
      </c>
      <c r="J11" s="91">
        <f t="shared" si="1"/>
        <v>7465.6116539838931</v>
      </c>
      <c r="K11" s="91">
        <f t="shared" si="1"/>
        <v>7227.148036588228</v>
      </c>
      <c r="L11" s="21"/>
      <c r="M11" s="21"/>
      <c r="N11" s="21"/>
      <c r="O11" s="21"/>
      <c r="P11" s="21"/>
      <c r="Q11" s="21"/>
      <c r="R11" s="21"/>
      <c r="S11" s="21"/>
      <c r="T11" s="21"/>
    </row>
    <row r="12" spans="1:20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>
      <c r="A14" s="21"/>
      <c r="B14" s="113" t="s">
        <v>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21"/>
      <c r="M14" s="21"/>
      <c r="N14" s="21"/>
      <c r="O14" s="21"/>
      <c r="P14" s="21"/>
      <c r="Q14" s="21"/>
      <c r="R14" s="21"/>
      <c r="S14" s="21"/>
      <c r="T14" s="21"/>
    </row>
    <row r="15" spans="1:20">
      <c r="A15" s="21"/>
      <c r="B15" s="21" t="s">
        <v>141</v>
      </c>
      <c r="C15" s="38">
        <f>SUM(G11:K11)</f>
        <v>42540.954068389103</v>
      </c>
      <c r="D15" s="21"/>
      <c r="E15" s="58">
        <f>C15/C18</f>
        <v>0.31585026882379003</v>
      </c>
      <c r="F15" s="59"/>
      <c r="G15" s="21"/>
      <c r="H15" s="38"/>
      <c r="I15" s="21"/>
      <c r="J15" s="58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>
      <c r="A16" s="21"/>
      <c r="B16" s="21" t="s">
        <v>142</v>
      </c>
      <c r="C16" s="38">
        <f>K8*(1+$C$5)/(C4-C5)</f>
        <v>148402.2758511728</v>
      </c>
      <c r="D16" s="21"/>
      <c r="E16" s="60"/>
      <c r="F16" s="59"/>
      <c r="G16" s="21"/>
      <c r="H16" s="38"/>
      <c r="I16" s="21"/>
      <c r="J16" s="60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>
      <c r="A17" s="21"/>
      <c r="B17" s="21" t="s">
        <v>143</v>
      </c>
      <c r="C17" s="38">
        <f>C16*$K$10</f>
        <v>92146.137466499888</v>
      </c>
      <c r="D17" s="21"/>
      <c r="E17" s="58">
        <f>C17/C18</f>
        <v>0.68414973117621003</v>
      </c>
      <c r="F17" s="59"/>
      <c r="G17" s="21"/>
      <c r="H17" s="38"/>
      <c r="I17" s="21"/>
      <c r="J17" s="58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>
      <c r="A18" s="21"/>
      <c r="B18" s="80" t="s">
        <v>144</v>
      </c>
      <c r="C18" s="81">
        <f>C17+C15</f>
        <v>134687.09153488898</v>
      </c>
      <c r="D18" s="24"/>
      <c r="E18" s="40"/>
      <c r="F18" s="24"/>
      <c r="G18" s="24"/>
      <c r="H18" s="40"/>
      <c r="I18" s="24"/>
      <c r="J18" s="40"/>
      <c r="K18" s="24"/>
      <c r="L18" s="21"/>
      <c r="M18" s="21"/>
      <c r="N18" s="21"/>
      <c r="O18" s="21"/>
      <c r="P18" s="21"/>
      <c r="Q18" s="21"/>
      <c r="R18" s="21"/>
      <c r="S18" s="21"/>
      <c r="T18" s="21"/>
    </row>
    <row r="19" spans="1:20">
      <c r="A19" s="21"/>
      <c r="B19" s="21"/>
      <c r="C19" s="38"/>
      <c r="D19" s="21"/>
      <c r="E19" s="38"/>
      <c r="F19" s="21"/>
      <c r="G19" s="21"/>
      <c r="H19" s="38"/>
      <c r="I19" s="21"/>
      <c r="J19" s="38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>
      <c r="A20" s="21"/>
      <c r="B20" s="21" t="s">
        <v>145</v>
      </c>
      <c r="C20" s="38">
        <f>-BS!E19</f>
        <v>-51120.799999999996</v>
      </c>
      <c r="D20" s="21"/>
      <c r="E20" s="38"/>
      <c r="F20" s="21"/>
      <c r="G20" s="21"/>
      <c r="H20" s="38"/>
      <c r="I20" s="21"/>
      <c r="J20" s="38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>
      <c r="A21" s="21"/>
      <c r="B21" s="42" t="s">
        <v>146</v>
      </c>
      <c r="C21" s="30">
        <f>BS!E12</f>
        <v>8173.6</v>
      </c>
      <c r="D21" s="24"/>
      <c r="E21" s="40"/>
      <c r="F21" s="24"/>
      <c r="G21" s="24"/>
      <c r="H21" s="114" t="s">
        <v>137</v>
      </c>
      <c r="I21" s="114"/>
      <c r="J21" s="114"/>
      <c r="K21" s="114"/>
      <c r="L21" s="21"/>
      <c r="M21" s="21"/>
      <c r="N21" s="21"/>
      <c r="O21" s="21"/>
      <c r="P21" s="21"/>
      <c r="Q21" s="21"/>
      <c r="R21" s="21"/>
      <c r="S21" s="21"/>
      <c r="T21" s="21"/>
    </row>
    <row r="22" spans="1:20">
      <c r="B22" s="34" t="s">
        <v>147</v>
      </c>
      <c r="C22" s="34">
        <f>SUM(C20:C21,C18)</f>
        <v>91739.891534888986</v>
      </c>
      <c r="D22" s="21"/>
      <c r="E22" s="21"/>
      <c r="F22" s="21"/>
      <c r="G22" s="41">
        <f>C18</f>
        <v>134687.09153488898</v>
      </c>
      <c r="H22" s="107">
        <v>0.09</v>
      </c>
      <c r="I22" s="107">
        <v>0.1</v>
      </c>
      <c r="J22" s="107">
        <v>0.11</v>
      </c>
      <c r="K22" s="107">
        <v>0.12</v>
      </c>
      <c r="L22" s="21"/>
      <c r="M22" s="21"/>
      <c r="N22" s="21"/>
      <c r="O22" s="21"/>
      <c r="P22" s="21"/>
      <c r="Q22" s="21"/>
      <c r="R22" s="21"/>
      <c r="S22" s="21"/>
      <c r="T22" s="21"/>
    </row>
    <row r="23" spans="1:20">
      <c r="B23" s="21"/>
      <c r="C23" s="21"/>
      <c r="D23" s="21"/>
      <c r="E23" s="21"/>
      <c r="F23" s="21"/>
      <c r="G23" s="108">
        <v>0.01</v>
      </c>
      <c r="H23" s="38">
        <f t="dataTable" ref="H23:K26" dt2D="1" dtr="1" r1="C4" r2="C5"/>
        <v>139135.10683106619</v>
      </c>
      <c r="I23" s="38">
        <v>123645.61536787922</v>
      </c>
      <c r="J23" s="38">
        <v>111261.27230113922</v>
      </c>
      <c r="K23" s="38">
        <v>101134.7997319384</v>
      </c>
      <c r="L23" s="21"/>
      <c r="M23" s="21"/>
      <c r="N23" s="21"/>
      <c r="O23" s="21"/>
      <c r="P23" s="21"/>
      <c r="Q23" s="21"/>
      <c r="R23" s="21"/>
      <c r="S23" s="21"/>
      <c r="T23" s="21"/>
    </row>
    <row r="24" spans="1:20">
      <c r="B24" s="21"/>
      <c r="C24" s="21"/>
      <c r="D24" s="21"/>
      <c r="E24" s="21"/>
      <c r="F24" s="21"/>
      <c r="G24" s="108">
        <v>0.02</v>
      </c>
      <c r="H24" s="38">
        <v>153859.4644770638</v>
      </c>
      <c r="I24" s="38">
        <v>134687.09153488898</v>
      </c>
      <c r="J24" s="38">
        <v>119780.41615619615</v>
      </c>
      <c r="K24" s="38">
        <v>107859.38648272923</v>
      </c>
      <c r="L24" s="21"/>
      <c r="M24" s="21"/>
      <c r="N24" s="21"/>
      <c r="O24" s="21"/>
      <c r="P24" s="21"/>
      <c r="Q24" s="21"/>
      <c r="R24" s="21"/>
      <c r="S24" s="21"/>
      <c r="T24" s="21"/>
    </row>
    <row r="25" spans="1:20">
      <c r="B25" s="21"/>
      <c r="C25" s="21"/>
      <c r="D25" s="21"/>
      <c r="E25" s="21"/>
      <c r="F25" s="21"/>
      <c r="G25" s="108">
        <v>0.03</v>
      </c>
      <c r="H25" s="38">
        <v>173491.9413383939</v>
      </c>
      <c r="I25" s="38">
        <v>148883.27517818729</v>
      </c>
      <c r="J25" s="38">
        <v>130429.34597501729</v>
      </c>
      <c r="K25" s="38">
        <v>116078.32584480688</v>
      </c>
      <c r="L25" s="21"/>
      <c r="M25" s="21"/>
      <c r="N25" s="21"/>
      <c r="O25" s="21"/>
      <c r="P25" s="21"/>
      <c r="Q25" s="21"/>
      <c r="R25" s="21"/>
      <c r="S25" s="21"/>
      <c r="T25" s="21"/>
    </row>
    <row r="26" spans="1:20">
      <c r="B26" s="21"/>
      <c r="C26" s="21"/>
      <c r="D26" s="21"/>
      <c r="E26" s="21"/>
      <c r="F26" s="21"/>
      <c r="G26" s="108">
        <v>0.04</v>
      </c>
      <c r="H26" s="38">
        <v>200977.40894425602</v>
      </c>
      <c r="I26" s="38">
        <v>167811.52003591837</v>
      </c>
      <c r="J26" s="38">
        <v>144120.82717064445</v>
      </c>
      <c r="K26" s="38">
        <v>126352.00004740394</v>
      </c>
      <c r="L26" s="21"/>
      <c r="M26" s="21"/>
      <c r="N26" s="21"/>
      <c r="O26" s="21"/>
      <c r="P26" s="21"/>
      <c r="Q26" s="21"/>
      <c r="R26" s="21"/>
      <c r="S26" s="21"/>
      <c r="T26" s="21"/>
    </row>
    <row r="27" spans="1:20">
      <c r="B27" s="21"/>
      <c r="C27" s="21"/>
      <c r="D27" s="21"/>
      <c r="E27" s="21"/>
      <c r="F27" s="21"/>
      <c r="G27" s="61"/>
      <c r="H27" s="38"/>
      <c r="I27" s="38"/>
      <c r="J27" s="38"/>
      <c r="K27" s="38"/>
      <c r="L27" s="21"/>
      <c r="M27" s="21"/>
      <c r="N27" s="21"/>
      <c r="O27" s="21"/>
      <c r="P27" s="21"/>
      <c r="Q27" s="21"/>
      <c r="R27" s="21"/>
      <c r="S27" s="21"/>
      <c r="T27" s="21"/>
    </row>
    <row r="28" spans="1:20">
      <c r="B28" s="21"/>
      <c r="C28" s="21"/>
      <c r="D28" s="21"/>
      <c r="E28" s="21"/>
      <c r="F28" s="21"/>
      <c r="G28" s="61"/>
      <c r="H28" s="38"/>
      <c r="I28" s="38"/>
      <c r="J28" s="38"/>
      <c r="K28" s="38"/>
      <c r="L28" s="21"/>
      <c r="M28" s="21"/>
      <c r="N28" s="21"/>
      <c r="O28" s="21"/>
      <c r="P28" s="21"/>
      <c r="Q28" s="21"/>
      <c r="R28" s="21"/>
      <c r="S28" s="21"/>
      <c r="T28" s="21"/>
    </row>
    <row r="29" spans="1:20">
      <c r="B29" s="21"/>
      <c r="C29" s="21"/>
      <c r="D29" s="21"/>
      <c r="E29" s="21"/>
      <c r="F29" s="21"/>
      <c r="G29" s="61"/>
      <c r="H29" s="38"/>
      <c r="I29" s="38"/>
      <c r="J29" s="38"/>
      <c r="K29" s="38"/>
      <c r="L29" s="21"/>
      <c r="M29" s="21"/>
      <c r="N29" s="21"/>
      <c r="O29" s="21"/>
      <c r="P29" s="21"/>
      <c r="Q29" s="21"/>
      <c r="R29" s="21"/>
      <c r="S29" s="21"/>
      <c r="T29" s="21"/>
    </row>
    <row r="30" spans="1:20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</sheetData>
  <mergeCells count="2">
    <mergeCell ref="B14:K14"/>
    <mergeCell ref="H21:K2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B1:B11"/>
  <sheetViews>
    <sheetView workbookViewId="0">
      <selection activeCell="K16" sqref="K16"/>
    </sheetView>
  </sheetViews>
  <sheetFormatPr defaultRowHeight="12"/>
  <cols>
    <col min="1" max="1" width="2" style="1" customWidth="1"/>
    <col min="2" max="16384" width="9.140625" style="1"/>
  </cols>
  <sheetData>
    <row r="1" spans="2:2" ht="15.75">
      <c r="B1" s="2"/>
    </row>
    <row r="11" spans="2:2" ht="41.25">
      <c r="B11" s="3" t="s">
        <v>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5"/>
  <sheetViews>
    <sheetView workbookViewId="0"/>
  </sheetViews>
  <sheetFormatPr defaultRowHeight="12"/>
  <cols>
    <col min="1" max="1" width="2" style="1" customWidth="1"/>
    <col min="2" max="2" width="18.85546875" style="1" bestFit="1" customWidth="1"/>
    <col min="3" max="3" width="8.140625" style="1" bestFit="1" customWidth="1"/>
    <col min="4" max="5" width="9.140625" style="1"/>
    <col min="6" max="6" width="8.140625" style="1" bestFit="1" customWidth="1"/>
    <col min="7" max="16384" width="9.140625" style="1"/>
  </cols>
  <sheetData>
    <row r="1" spans="2:7" ht="15.75">
      <c r="B1" s="2" t="s">
        <v>68</v>
      </c>
    </row>
    <row r="3" spans="2:7" ht="24">
      <c r="B3" s="109" t="s">
        <v>53</v>
      </c>
      <c r="C3" s="110" t="str">
        <f>'P&amp;L'!G3</f>
        <v>FY14
Forecast</v>
      </c>
      <c r="D3" s="110" t="str">
        <f>'P&amp;L'!H3</f>
        <v>FY15
Forecast</v>
      </c>
      <c r="E3" s="110" t="str">
        <f>'P&amp;L'!I3</f>
        <v>FY16
Forecast</v>
      </c>
      <c r="F3" s="110" t="str">
        <f>'P&amp;L'!J3</f>
        <v>FY17
Forecast</v>
      </c>
      <c r="G3" s="110" t="str">
        <f>'P&amp;L'!K3</f>
        <v>FY18
Forecast</v>
      </c>
    </row>
    <row r="4" spans="2:7">
      <c r="B4" s="1" t="s">
        <v>123</v>
      </c>
      <c r="C4" s="36">
        <f>'DCF valuation'!G8</f>
        <v>13354.817763280242</v>
      </c>
      <c r="D4" s="36">
        <f>'DCF valuation'!H8</f>
        <v>9666.0812950941799</v>
      </c>
      <c r="E4" s="36">
        <f>'DCF valuation'!I8</f>
        <v>10273.927798701716</v>
      </c>
      <c r="F4" s="36">
        <f>'DCF valuation'!J8</f>
        <v>10930.40202259782</v>
      </c>
      <c r="G4" s="36">
        <f>'DCF valuation'!K8</f>
        <v>11639.394184405712</v>
      </c>
    </row>
    <row r="5" spans="2:7">
      <c r="B5" s="1" t="s">
        <v>140</v>
      </c>
      <c r="C5" s="111">
        <f>'DCF valuation'!G11</f>
        <v>12140.743421163856</v>
      </c>
      <c r="D5" s="111">
        <f>'DCF valuation'!H11</f>
        <v>7988.496938094363</v>
      </c>
      <c r="E5" s="111">
        <f>'DCF valuation'!I11</f>
        <v>7718.9540185587621</v>
      </c>
      <c r="F5" s="111">
        <f>'DCF valuation'!J11</f>
        <v>7465.6116539838931</v>
      </c>
      <c r="G5" s="111">
        <f>'DCF valuation'!K11</f>
        <v>7227.148036588228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</sheetPr>
  <dimension ref="B1:B11"/>
  <sheetViews>
    <sheetView workbookViewId="0">
      <selection activeCell="D11" sqref="D11"/>
    </sheetView>
  </sheetViews>
  <sheetFormatPr defaultRowHeight="12"/>
  <cols>
    <col min="1" max="1" width="2" style="1" customWidth="1"/>
    <col min="2" max="16384" width="9.140625" style="1"/>
  </cols>
  <sheetData>
    <row r="1" spans="2:2" ht="15.75">
      <c r="B1" s="2"/>
    </row>
    <row r="11" spans="2:2" ht="41.25">
      <c r="B11" s="3" t="s">
        <v>74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M27"/>
  <sheetViews>
    <sheetView zoomScaleNormal="100" workbookViewId="0"/>
  </sheetViews>
  <sheetFormatPr defaultRowHeight="12"/>
  <cols>
    <col min="1" max="1" width="2" style="7" customWidth="1"/>
    <col min="2" max="2" width="27.85546875" style="7" bestFit="1" customWidth="1"/>
    <col min="3" max="3" width="9.140625" style="7"/>
    <col min="4" max="6" width="10.5703125" style="7" bestFit="1" customWidth="1"/>
    <col min="7" max="16384" width="9.140625" style="7"/>
  </cols>
  <sheetData>
    <row r="1" spans="2:13" ht="15.75">
      <c r="B1" s="6" t="s">
        <v>1</v>
      </c>
    </row>
    <row r="3" spans="2:13" ht="24">
      <c r="B3" s="8" t="s">
        <v>62</v>
      </c>
      <c r="C3" s="8"/>
      <c r="D3" s="9" t="s">
        <v>20</v>
      </c>
      <c r="E3" s="9" t="s">
        <v>21</v>
      </c>
      <c r="F3" s="9" t="s">
        <v>22</v>
      </c>
    </row>
    <row r="4" spans="2:13">
      <c r="B4" s="7" t="s">
        <v>7</v>
      </c>
      <c r="D4" s="13">
        <v>177203</v>
      </c>
      <c r="E4" s="13">
        <v>188618</v>
      </c>
      <c r="F4" s="13">
        <v>208366</v>
      </c>
    </row>
    <row r="5" spans="2:13">
      <c r="B5" s="7" t="s">
        <v>8</v>
      </c>
      <c r="D5" s="13">
        <v>3520</v>
      </c>
      <c r="E5" s="13">
        <v>2416</v>
      </c>
      <c r="F5" s="13">
        <v>2585</v>
      </c>
      <c r="J5" s="67"/>
      <c r="K5" s="67"/>
      <c r="L5" s="67"/>
      <c r="M5" s="67"/>
    </row>
    <row r="6" spans="2:13">
      <c r="B6" s="34" t="s">
        <v>9</v>
      </c>
      <c r="C6" s="34"/>
      <c r="D6" s="35">
        <f>D4+D5</f>
        <v>180723</v>
      </c>
      <c r="E6" s="35">
        <f>E4+E5</f>
        <v>191034</v>
      </c>
      <c r="F6" s="35">
        <f>F4+F5</f>
        <v>210951</v>
      </c>
      <c r="G6" s="21"/>
    </row>
    <row r="7" spans="2:13">
      <c r="D7" s="13"/>
      <c r="E7" s="13"/>
      <c r="F7" s="13"/>
    </row>
    <row r="8" spans="2:13">
      <c r="B8" s="7" t="s">
        <v>10</v>
      </c>
      <c r="D8" s="13">
        <v>-139903.0394666667</v>
      </c>
      <c r="E8" s="13">
        <v>-138922.98879999999</v>
      </c>
      <c r="F8" s="13">
        <v>-150080.46882539699</v>
      </c>
    </row>
    <row r="9" spans="2:13">
      <c r="B9" s="7" t="s">
        <v>75</v>
      </c>
      <c r="D9" s="13">
        <v>-2491.3280000000004</v>
      </c>
      <c r="E9" s="13">
        <v>-11649.177600000001</v>
      </c>
      <c r="F9" s="13">
        <v>-7442.6495999999997</v>
      </c>
    </row>
    <row r="10" spans="2:13">
      <c r="B10" s="7" t="s">
        <v>11</v>
      </c>
      <c r="D10" s="13">
        <v>-16389.593600000004</v>
      </c>
      <c r="E10" s="13">
        <v>-17878.310399999998</v>
      </c>
      <c r="F10" s="13">
        <v>-22293.312000000005</v>
      </c>
    </row>
    <row r="11" spans="2:13">
      <c r="B11" s="7" t="s">
        <v>12</v>
      </c>
      <c r="D11" s="13">
        <v>-290.72640000000007</v>
      </c>
      <c r="E11" s="13">
        <v>-246.13120000000004</v>
      </c>
      <c r="F11" s="13">
        <v>-120.92160000000001</v>
      </c>
    </row>
    <row r="12" spans="2:13">
      <c r="B12" s="7" t="s">
        <v>13</v>
      </c>
      <c r="D12" s="13">
        <v>-1330.9952000000003</v>
      </c>
      <c r="E12" s="13">
        <v>-1123.4560000000001</v>
      </c>
      <c r="F12" s="13">
        <v>-1452.7744000000002</v>
      </c>
    </row>
    <row r="13" spans="2:13">
      <c r="D13" s="13"/>
      <c r="E13" s="13"/>
      <c r="F13" s="13"/>
    </row>
    <row r="14" spans="2:13">
      <c r="B14" s="34" t="s">
        <v>14</v>
      </c>
      <c r="C14" s="34"/>
      <c r="D14" s="35">
        <f>D6+SUM(D8:D12)</f>
        <v>20317.317333333282</v>
      </c>
      <c r="E14" s="35">
        <f>E6+SUM(E8:E12)</f>
        <v>21213.936000000016</v>
      </c>
      <c r="F14" s="35">
        <f>F6+SUM(F8:F12)</f>
        <v>29560.873574603</v>
      </c>
    </row>
    <row r="15" spans="2:13">
      <c r="D15" s="13"/>
      <c r="E15" s="13"/>
      <c r="F15" s="13"/>
    </row>
    <row r="16" spans="2:13">
      <c r="B16" s="7" t="s">
        <v>15</v>
      </c>
      <c r="D16" s="13">
        <v>-2907.8000000000006</v>
      </c>
      <c r="E16" s="13">
        <v>-4649.8</v>
      </c>
      <c r="F16" s="13">
        <v>-6430.6600000000008</v>
      </c>
    </row>
    <row r="17" spans="2:6">
      <c r="D17" s="13"/>
      <c r="E17" s="13"/>
      <c r="F17" s="13"/>
    </row>
    <row r="18" spans="2:6">
      <c r="B18" s="34" t="s">
        <v>16</v>
      </c>
      <c r="C18" s="34"/>
      <c r="D18" s="35">
        <f>D14+D16</f>
        <v>17409.517333333282</v>
      </c>
      <c r="E18" s="35">
        <f>E14+E16</f>
        <v>16564.136000000017</v>
      </c>
      <c r="F18" s="35">
        <f>F14+F16</f>
        <v>23130.213574603</v>
      </c>
    </row>
    <row r="19" spans="2:6">
      <c r="D19" s="13"/>
      <c r="E19" s="13"/>
      <c r="F19" s="13"/>
    </row>
    <row r="20" spans="2:6">
      <c r="B20" s="7" t="s">
        <v>17</v>
      </c>
      <c r="D20" s="13">
        <v>-1266.3000000000002</v>
      </c>
      <c r="E20" s="13">
        <v>-2190.9</v>
      </c>
      <c r="F20" s="13">
        <v>-2663.92</v>
      </c>
    </row>
    <row r="21" spans="2:6">
      <c r="B21" s="7" t="s">
        <v>18</v>
      </c>
      <c r="D21" s="13">
        <v>-317.58000000000004</v>
      </c>
      <c r="E21" s="13">
        <v>-864.30000000000007</v>
      </c>
      <c r="F21" s="13">
        <v>-320.26</v>
      </c>
    </row>
    <row r="22" spans="2:6">
      <c r="D22" s="13"/>
      <c r="E22" s="13"/>
      <c r="F22" s="13"/>
    </row>
    <row r="23" spans="2:6">
      <c r="B23" s="34" t="s">
        <v>19</v>
      </c>
      <c r="C23" s="34"/>
      <c r="D23" s="35">
        <f>D18+D21+D20</f>
        <v>15825.637333333281</v>
      </c>
      <c r="E23" s="35">
        <f>E18+E21+E20</f>
        <v>13508.936000000018</v>
      </c>
      <c r="F23" s="35">
        <f>F18+F21+F20</f>
        <v>20146.033574603003</v>
      </c>
    </row>
    <row r="24" spans="2:6">
      <c r="D24" s="13"/>
      <c r="E24" s="13"/>
      <c r="F24" s="13"/>
    </row>
    <row r="25" spans="2:6">
      <c r="B25" s="7" t="s">
        <v>23</v>
      </c>
      <c r="D25" s="13">
        <v>-3805.7759999999998</v>
      </c>
      <c r="E25" s="13">
        <v>-3050.192</v>
      </c>
      <c r="F25" s="13">
        <v>-3814.88</v>
      </c>
    </row>
    <row r="26" spans="2:6">
      <c r="D26" s="13"/>
      <c r="E26" s="13"/>
      <c r="F26" s="13"/>
    </row>
    <row r="27" spans="2:6" ht="12.75" thickBot="1">
      <c r="B27" s="10" t="s">
        <v>24</v>
      </c>
      <c r="C27" s="10"/>
      <c r="D27" s="14">
        <f>D23+D25</f>
        <v>12019.861333333281</v>
      </c>
      <c r="E27" s="14">
        <f>E23+E25</f>
        <v>10458.744000000017</v>
      </c>
      <c r="F27" s="14">
        <f>F23+F25</f>
        <v>16331.153574603002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workbookViewId="0"/>
  </sheetViews>
  <sheetFormatPr defaultRowHeight="12"/>
  <cols>
    <col min="1" max="1" width="2" style="7" customWidth="1"/>
    <col min="2" max="2" width="24.140625" style="7" bestFit="1" customWidth="1"/>
    <col min="3" max="3" width="9.140625" style="7"/>
    <col min="4" max="4" width="10.85546875" style="7" customWidth="1"/>
    <col min="5" max="5" width="10.7109375" style="7" customWidth="1"/>
    <col min="6" max="6" width="10" style="7" bestFit="1" customWidth="1"/>
    <col min="7" max="7" width="9.140625" style="7"/>
    <col min="8" max="8" width="22.140625" style="7" bestFit="1" customWidth="1"/>
    <col min="9" max="9" width="9.140625" style="7"/>
    <col min="10" max="10" width="10" style="7" bestFit="1" customWidth="1"/>
    <col min="11" max="11" width="10.5703125" style="7" customWidth="1"/>
    <col min="12" max="12" width="11.140625" style="7" customWidth="1"/>
    <col min="13" max="16384" width="9.140625" style="7"/>
  </cols>
  <sheetData>
    <row r="1" spans="2:12" ht="15.75">
      <c r="B1" s="6" t="s">
        <v>0</v>
      </c>
    </row>
    <row r="3" spans="2:12" ht="24">
      <c r="B3" s="8" t="s">
        <v>62</v>
      </c>
      <c r="C3" s="8"/>
      <c r="D3" s="9" t="s">
        <v>33</v>
      </c>
      <c r="E3" s="9" t="s">
        <v>34</v>
      </c>
      <c r="F3" s="9" t="s">
        <v>35</v>
      </c>
      <c r="H3" s="8" t="s">
        <v>62</v>
      </c>
      <c r="I3" s="8"/>
      <c r="J3" s="9" t="s">
        <v>33</v>
      </c>
      <c r="K3" s="9" t="s">
        <v>34</v>
      </c>
      <c r="L3" s="9" t="s">
        <v>35</v>
      </c>
    </row>
    <row r="4" spans="2:12">
      <c r="B4" s="7" t="s">
        <v>29</v>
      </c>
      <c r="D4" s="13">
        <v>5961.6</v>
      </c>
      <c r="E4" s="13">
        <v>5840</v>
      </c>
      <c r="F4" s="13">
        <v>5650</v>
      </c>
      <c r="G4" s="13"/>
      <c r="H4" s="13" t="s">
        <v>38</v>
      </c>
      <c r="I4" s="13"/>
      <c r="J4" s="13">
        <v>6784.8</v>
      </c>
      <c r="K4" s="13">
        <v>6800</v>
      </c>
      <c r="L4" s="13">
        <v>7508</v>
      </c>
    </row>
    <row r="5" spans="2:12">
      <c r="B5" s="7" t="s">
        <v>43</v>
      </c>
      <c r="D5" s="13">
        <v>45106.400000000001</v>
      </c>
      <c r="E5" s="13">
        <v>49072.4</v>
      </c>
      <c r="F5" s="13">
        <v>56109.2</v>
      </c>
      <c r="G5" s="13"/>
      <c r="H5" s="13" t="s">
        <v>39</v>
      </c>
      <c r="I5" s="13"/>
      <c r="J5" s="13">
        <v>46224</v>
      </c>
      <c r="K5" s="13">
        <v>44414.400000000001</v>
      </c>
      <c r="L5" s="13">
        <v>46513.2</v>
      </c>
    </row>
    <row r="6" spans="2:12">
      <c r="B6" s="7" t="s">
        <v>52</v>
      </c>
      <c r="D6" s="13">
        <v>8824</v>
      </c>
      <c r="E6" s="13">
        <v>9831</v>
      </c>
      <c r="F6" s="13">
        <v>10323</v>
      </c>
      <c r="G6" s="13"/>
      <c r="H6" s="13" t="s">
        <v>40</v>
      </c>
      <c r="I6" s="13"/>
      <c r="J6" s="13">
        <v>16393.7</v>
      </c>
      <c r="K6" s="13">
        <v>25993.7</v>
      </c>
      <c r="L6" s="13">
        <v>21516</v>
      </c>
    </row>
    <row r="7" spans="2:12">
      <c r="D7" s="13"/>
      <c r="E7" s="13"/>
      <c r="F7" s="13"/>
      <c r="G7" s="13"/>
      <c r="H7" s="13" t="s">
        <v>41</v>
      </c>
      <c r="I7" s="13"/>
      <c r="J7" s="13">
        <v>12019.861333333281</v>
      </c>
      <c r="K7" s="13">
        <v>10458.744000000017</v>
      </c>
      <c r="L7" s="13">
        <v>16331.153574603002</v>
      </c>
    </row>
    <row r="8" spans="2:12" ht="12.75" thickBot="1">
      <c r="B8" s="10" t="s">
        <v>63</v>
      </c>
      <c r="C8" s="15"/>
      <c r="D8" s="14">
        <f>D6+D5+D4</f>
        <v>59892</v>
      </c>
      <c r="E8" s="14">
        <f>E6+E5+E4</f>
        <v>64743.4</v>
      </c>
      <c r="F8" s="14">
        <f>F6+F5+F4</f>
        <v>72082.2</v>
      </c>
      <c r="G8" s="13"/>
      <c r="H8" s="14" t="s">
        <v>42</v>
      </c>
      <c r="I8" s="31"/>
      <c r="J8" s="14">
        <f>SUM(J4:J7)</f>
        <v>81422.361333333276</v>
      </c>
      <c r="K8" s="14">
        <f>SUM(K4:K7)</f>
        <v>87666.844000000026</v>
      </c>
      <c r="L8" s="14">
        <f>SUM(L4:L7)</f>
        <v>91868.353574602996</v>
      </c>
    </row>
    <row r="9" spans="2:12">
      <c r="D9" s="13"/>
      <c r="E9" s="13"/>
      <c r="F9" s="13"/>
      <c r="G9" s="13"/>
      <c r="H9" s="13"/>
      <c r="I9" s="13"/>
      <c r="J9" s="13"/>
      <c r="K9" s="13"/>
      <c r="L9" s="13"/>
    </row>
    <row r="10" spans="2:12">
      <c r="B10" s="7" t="s">
        <v>32</v>
      </c>
      <c r="D10" s="13">
        <v>31167.200000000001</v>
      </c>
      <c r="E10" s="13">
        <v>36396.800000000003</v>
      </c>
      <c r="F10" s="13">
        <v>46212</v>
      </c>
      <c r="G10" s="13"/>
      <c r="H10" s="13" t="s">
        <v>44</v>
      </c>
      <c r="I10" s="13"/>
      <c r="J10" s="13">
        <v>15891.2</v>
      </c>
      <c r="K10" s="13">
        <v>26351.599999999999</v>
      </c>
      <c r="L10" s="13">
        <v>36189.599999999999</v>
      </c>
    </row>
    <row r="11" spans="2:12">
      <c r="B11" s="7" t="s">
        <v>30</v>
      </c>
      <c r="D11" s="13">
        <v>32883.599999999999</v>
      </c>
      <c r="E11" s="13">
        <v>38556</v>
      </c>
      <c r="F11" s="13">
        <v>43581.599999999999</v>
      </c>
      <c r="G11" s="13"/>
      <c r="H11" s="13" t="s">
        <v>45</v>
      </c>
      <c r="I11" s="13"/>
      <c r="J11" s="13">
        <v>5315</v>
      </c>
      <c r="K11" s="13">
        <v>4334</v>
      </c>
      <c r="L11" s="13">
        <v>6473.0464253970422</v>
      </c>
    </row>
    <row r="12" spans="2:12">
      <c r="B12" s="7" t="s">
        <v>31</v>
      </c>
      <c r="D12" s="13">
        <v>8841.6</v>
      </c>
      <c r="E12" s="13">
        <v>11359.199999999999</v>
      </c>
      <c r="F12" s="13">
        <v>17602.8</v>
      </c>
      <c r="G12" s="13"/>
      <c r="H12" s="13" t="s">
        <v>51</v>
      </c>
      <c r="I12" s="13"/>
      <c r="J12" s="13">
        <v>478.83866666668911</v>
      </c>
      <c r="K12" s="13">
        <v>1217.9560000000056</v>
      </c>
      <c r="L12" s="13">
        <v>1760.3999999999999</v>
      </c>
    </row>
    <row r="13" spans="2:12">
      <c r="D13" s="13"/>
      <c r="E13" s="13"/>
      <c r="F13" s="13"/>
      <c r="G13" s="13"/>
      <c r="H13" s="13" t="s">
        <v>46</v>
      </c>
      <c r="I13" s="13"/>
      <c r="J13" s="13">
        <v>175.2</v>
      </c>
      <c r="K13" s="13">
        <v>248.39999999999998</v>
      </c>
      <c r="L13" s="13">
        <v>240</v>
      </c>
    </row>
    <row r="14" spans="2:12">
      <c r="B14" s="7" t="s">
        <v>36</v>
      </c>
      <c r="D14" s="13">
        <v>11791.199999999999</v>
      </c>
      <c r="E14" s="13">
        <v>19408.8</v>
      </c>
      <c r="F14" s="13">
        <v>8173.6</v>
      </c>
      <c r="G14" s="13"/>
      <c r="H14" s="13"/>
      <c r="I14" s="13"/>
      <c r="J14" s="13"/>
      <c r="K14" s="13"/>
      <c r="L14" s="13"/>
    </row>
    <row r="15" spans="2:12" ht="12.75" thickBot="1">
      <c r="B15" s="10" t="s">
        <v>64</v>
      </c>
      <c r="C15" s="15"/>
      <c r="D15" s="14">
        <f>+D14+D12+D11+D10</f>
        <v>84683.599999999991</v>
      </c>
      <c r="E15" s="14">
        <f>+E14+E12+E11+E10</f>
        <v>105720.8</v>
      </c>
      <c r="F15" s="14">
        <f>+F14+F12+F11+F10</f>
        <v>115570</v>
      </c>
      <c r="G15" s="13"/>
      <c r="H15" s="13" t="s">
        <v>47</v>
      </c>
      <c r="I15" s="13"/>
      <c r="J15" s="13">
        <v>37402.600000000006</v>
      </c>
      <c r="K15" s="13">
        <v>45594.6</v>
      </c>
      <c r="L15" s="13">
        <v>50680.399999999994</v>
      </c>
    </row>
    <row r="16" spans="2:12">
      <c r="D16" s="13"/>
      <c r="E16" s="13"/>
      <c r="F16" s="13"/>
      <c r="G16" s="13"/>
      <c r="H16" s="13" t="s">
        <v>48</v>
      </c>
      <c r="I16" s="13"/>
      <c r="J16" s="13">
        <v>3890.3999999999996</v>
      </c>
      <c r="K16" s="13">
        <v>5050.8</v>
      </c>
      <c r="L16" s="13">
        <v>440.4</v>
      </c>
    </row>
    <row r="17" spans="2:12" ht="12.75" thickBot="1">
      <c r="D17" s="13"/>
      <c r="E17" s="13"/>
      <c r="F17" s="13"/>
      <c r="G17" s="13"/>
      <c r="H17" s="14" t="s">
        <v>49</v>
      </c>
      <c r="I17" s="31"/>
      <c r="J17" s="14">
        <f>J16+J15+SUM(J10:J13)</f>
        <v>63153.238666666701</v>
      </c>
      <c r="K17" s="14">
        <f>K16+K15+SUM(K10:K13)</f>
        <v>82797.356</v>
      </c>
      <c r="L17" s="14">
        <f>L16+L15+SUM(L10:L13)</f>
        <v>95783.846425397031</v>
      </c>
    </row>
    <row r="18" spans="2:12">
      <c r="D18" s="13"/>
      <c r="E18" s="13"/>
      <c r="F18" s="13"/>
      <c r="G18" s="13"/>
      <c r="H18" s="13"/>
      <c r="I18" s="13"/>
      <c r="J18" s="13"/>
      <c r="K18" s="13"/>
      <c r="L18" s="13"/>
    </row>
    <row r="19" spans="2:12" ht="12.75" thickBot="1">
      <c r="B19" s="10" t="s">
        <v>37</v>
      </c>
      <c r="C19" s="15"/>
      <c r="D19" s="14">
        <f>D15+D8</f>
        <v>144575.59999999998</v>
      </c>
      <c r="E19" s="14">
        <f>E15+E8</f>
        <v>170464.2</v>
      </c>
      <c r="F19" s="14">
        <f>F15+F8</f>
        <v>187652.2</v>
      </c>
      <c r="G19" s="13"/>
      <c r="H19" s="14" t="s">
        <v>50</v>
      </c>
      <c r="I19" s="31"/>
      <c r="J19" s="14">
        <f>J17+J8</f>
        <v>144575.59999999998</v>
      </c>
      <c r="K19" s="14">
        <f>K17+K8</f>
        <v>170464.2</v>
      </c>
      <c r="L19" s="14">
        <f>L17+L8</f>
        <v>187652.2</v>
      </c>
    </row>
    <row r="22" spans="2:12">
      <c r="J22" s="7">
        <f>J19-D19</f>
        <v>0</v>
      </c>
      <c r="K22" s="7">
        <f>K19-E19</f>
        <v>0</v>
      </c>
      <c r="L22" s="7">
        <f>L19-F19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Index</vt:lpstr>
      <vt:lpstr>1.Input --&gt;</vt:lpstr>
      <vt:lpstr>P&amp;L assumptions</vt:lpstr>
      <vt:lpstr>BS assumptions</vt:lpstr>
      <vt:lpstr>2.Output--&gt;</vt:lpstr>
      <vt:lpstr>P&amp;L</vt:lpstr>
      <vt:lpstr>BS</vt:lpstr>
      <vt:lpstr>Cash Flow</vt:lpstr>
      <vt:lpstr>DCF valuation</vt:lpstr>
      <vt:lpstr>3.Charts  --&gt;</vt:lpstr>
      <vt:lpstr>Cash flows</vt:lpstr>
      <vt:lpstr>4.Sources --&gt;</vt:lpstr>
      <vt:lpstr>P&amp;L source</vt:lpstr>
      <vt:lpstr>BS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2022-10-03T18:52:50Z</dcterms:modified>
</cp:coreProperties>
</file>