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mc:AlternateContent xmlns:mc="http://schemas.openxmlformats.org/markup-compatibility/2006">
    <mc:Choice Requires="x15">
      <x15ac:absPath xmlns:x15ac="http://schemas.microsoft.com/office/spreadsheetml/2010/11/ac" url="C:\Users\mpagano\Dropbox\School\Online\"/>
    </mc:Choice>
  </mc:AlternateContent>
  <xr:revisionPtr revIDLastSave="0" documentId="13_ncr:1_{A3017849-6EFA-4818-ACF5-BA7DE7AA5ABF}" xr6:coauthVersionLast="47" xr6:coauthVersionMax="47" xr10:uidLastSave="{00000000-0000-0000-0000-000000000000}"/>
  <bookViews>
    <workbookView xWindow="28680" yWindow="-120" windowWidth="29040" windowHeight="15840" xr2:uid="{00000000-000D-0000-FFFF-FFFF00000000}"/>
  </bookViews>
  <sheets>
    <sheet name="Valuation Models" sheetId="11" r:id="rId1"/>
  </sheets>
  <definedNames>
    <definedName name="CASH">'Valuation Models'!$C$16</definedName>
    <definedName name="COGS">'Valuation Models'!$C$12</definedName>
    <definedName name="DEP">'Valuation Models'!$C$13</definedName>
    <definedName name="DIV">'Valuation Models'!$C$10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D">'Valuation Models'!$C$9</definedName>
    <definedName name="IS">'Valuation Models'!$C$8</definedName>
    <definedName name="LAIR">'Valuation Models'!$C$14</definedName>
    <definedName name="LTD">'Valuation Models'!$C$17</definedName>
    <definedName name="LTG">'Valuation Models'!$C$15</definedName>
    <definedName name="N.P.">'Valuation Models'!$C$17</definedName>
    <definedName name="NP">'Valuation Models'!$B$17</definedName>
    <definedName name="NPAY">'Valuation Models'!$B$17</definedName>
    <definedName name="PSTK">'Valuation Models'!$C$18</definedName>
    <definedName name="SG">'Valuation Models'!$C$7</definedName>
    <definedName name="TR">'Valuation Models'!$C$11</definedName>
    <definedName name="WACC">'Valuation Models'!$J$27</definedName>
  </definedNames>
  <calcPr calcId="191029" calcOnSave="0"/>
  <customWorkbookViews>
    <customWorkbookView name="Amelia Bell - Personal View" guid="{F46DD989-A308-4837-B20D-6F46B45F120E}" mergeInterval="0" personalView="1" maximized="1" windowWidth="757" windowHeight="4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1" i="11" l="1"/>
  <c r="F151" i="11"/>
  <c r="D151" i="11"/>
  <c r="C151" i="11"/>
  <c r="E151" i="11"/>
  <c r="G135" i="11" l="1"/>
  <c r="G134" i="11"/>
  <c r="G133" i="11"/>
  <c r="C87" i="11" l="1"/>
  <c r="D58" i="11"/>
  <c r="E58" i="11" s="1"/>
  <c r="F58" i="11" s="1"/>
  <c r="G58" i="11" s="1"/>
  <c r="J7" i="11"/>
  <c r="E117" i="11" l="1"/>
  <c r="D71" i="11" l="1"/>
  <c r="E71" i="11" s="1"/>
  <c r="F71" i="11" s="1"/>
  <c r="G71" i="11" s="1"/>
  <c r="D75" i="11"/>
  <c r="E75" i="11" s="1"/>
  <c r="F75" i="11" s="1"/>
  <c r="G75" i="11" s="1"/>
  <c r="D62" i="11"/>
  <c r="E62" i="11" s="1"/>
  <c r="F62" i="11" s="1"/>
  <c r="G62" i="11" s="1"/>
  <c r="C29" i="11"/>
  <c r="F138" i="11" l="1"/>
  <c r="E138" i="11"/>
  <c r="D138" i="11"/>
  <c r="F137" i="11"/>
  <c r="E137" i="11"/>
  <c r="D137" i="11"/>
  <c r="H138" i="11"/>
  <c r="H137" i="11"/>
  <c r="E143" i="11" s="1"/>
  <c r="G138" i="11"/>
  <c r="G137" i="11"/>
  <c r="F143" i="11" l="1"/>
  <c r="G143" i="11"/>
  <c r="C143" i="11"/>
  <c r="D143" i="11"/>
  <c r="B147" i="11"/>
  <c r="B148" i="11" l="1"/>
  <c r="B146" i="11"/>
  <c r="D117" i="11"/>
  <c r="F117" i="11"/>
  <c r="C117" i="11"/>
  <c r="G117" i="11"/>
  <c r="B145" i="11" l="1"/>
  <c r="B149" i="11"/>
  <c r="G43" i="11" l="1"/>
  <c r="F43" i="11"/>
  <c r="E43" i="11"/>
  <c r="D43" i="11"/>
  <c r="C43" i="11"/>
  <c r="C44" i="11" s="1"/>
  <c r="C76" i="11"/>
  <c r="C69" i="11"/>
  <c r="C60" i="11"/>
  <c r="C32" i="11"/>
  <c r="C33" i="11" s="1"/>
  <c r="C35" i="11" s="1"/>
  <c r="C37" i="11" s="1"/>
  <c r="C39" i="11" s="1"/>
  <c r="C41" i="11" s="1"/>
  <c r="J19" i="11"/>
  <c r="J22" i="11" s="1"/>
  <c r="D73" i="11"/>
  <c r="E73" i="11" s="1"/>
  <c r="D68" i="11"/>
  <c r="E68" i="11" s="1"/>
  <c r="F68" i="11" s="1"/>
  <c r="G68" i="11" s="1"/>
  <c r="D66" i="11"/>
  <c r="E66" i="11" s="1"/>
  <c r="F66" i="11" s="1"/>
  <c r="G66" i="11" s="1"/>
  <c r="D61" i="11"/>
  <c r="D56" i="11"/>
  <c r="D59" i="11"/>
  <c r="E59" i="11" s="1"/>
  <c r="F59" i="11" s="1"/>
  <c r="G59" i="11" s="1"/>
  <c r="D57" i="11"/>
  <c r="E57" i="11" s="1"/>
  <c r="F57" i="11" s="1"/>
  <c r="C108" i="11"/>
  <c r="C106" i="11"/>
  <c r="J6" i="11"/>
  <c r="J8" i="11" s="1"/>
  <c r="G38" i="11"/>
  <c r="F38" i="11"/>
  <c r="E38" i="11"/>
  <c r="D38" i="11"/>
  <c r="D34" i="11"/>
  <c r="J16" i="11"/>
  <c r="D29" i="11"/>
  <c r="D30" i="11" s="1"/>
  <c r="D31" i="11"/>
  <c r="C28" i="11"/>
  <c r="C54" i="11" s="1"/>
  <c r="C88" i="11"/>
  <c r="D88" i="11" l="1"/>
  <c r="E31" i="11"/>
  <c r="C77" i="11"/>
  <c r="C63" i="11"/>
  <c r="D72" i="11" s="1"/>
  <c r="J24" i="11"/>
  <c r="C91" i="11"/>
  <c r="J23" i="11"/>
  <c r="D70" i="11"/>
  <c r="F73" i="11"/>
  <c r="E61" i="11"/>
  <c r="F31" i="11" s="1"/>
  <c r="E56" i="11"/>
  <c r="G57" i="11"/>
  <c r="C89" i="11"/>
  <c r="C86" i="11"/>
  <c r="C101" i="11" s="1"/>
  <c r="D28" i="11"/>
  <c r="D32" i="11"/>
  <c r="D33" i="11" s="1"/>
  <c r="E29" i="11"/>
  <c r="E30" i="11" s="1"/>
  <c r="E32" i="11" s="1"/>
  <c r="D55" i="11" l="1"/>
  <c r="D91" i="11"/>
  <c r="B140" i="11"/>
  <c r="G73" i="11"/>
  <c r="F61" i="11"/>
  <c r="G31" i="11" s="1"/>
  <c r="E88" i="11"/>
  <c r="F56" i="11"/>
  <c r="D86" i="11"/>
  <c r="D101" i="11" s="1"/>
  <c r="D54" i="11"/>
  <c r="E28" i="11"/>
  <c r="D35" i="11"/>
  <c r="F29" i="11"/>
  <c r="E33" i="11"/>
  <c r="E91" i="11" s="1"/>
  <c r="D87" i="11" l="1"/>
  <c r="D89" i="11" s="1"/>
  <c r="D90" i="11" s="1"/>
  <c r="D92" i="11" s="1"/>
  <c r="D93" i="11" s="1"/>
  <c r="D102" i="11" s="1"/>
  <c r="D60" i="11"/>
  <c r="D63" i="11" s="1"/>
  <c r="G61" i="11"/>
  <c r="G88" i="11" s="1"/>
  <c r="F88" i="11"/>
  <c r="G56" i="11"/>
  <c r="F28" i="11"/>
  <c r="E54" i="11"/>
  <c r="E86" i="11"/>
  <c r="E101" i="11" s="1"/>
  <c r="J27" i="11"/>
  <c r="B121" i="11" s="1"/>
  <c r="J25" i="11"/>
  <c r="D36" i="11"/>
  <c r="D37" i="11" s="1"/>
  <c r="D39" i="11" s="1"/>
  <c r="G29" i="11"/>
  <c r="F30" i="11"/>
  <c r="F32" i="11" s="1"/>
  <c r="F33" i="11" s="1"/>
  <c r="F91" i="11" s="1"/>
  <c r="D147" i="11" l="1"/>
  <c r="D146" i="11"/>
  <c r="D148" i="11"/>
  <c r="D149" i="11"/>
  <c r="D145" i="11"/>
  <c r="F145" i="11"/>
  <c r="F147" i="11"/>
  <c r="F148" i="11"/>
  <c r="F146" i="11"/>
  <c r="F149" i="11"/>
  <c r="G148" i="11"/>
  <c r="G147" i="11"/>
  <c r="G146" i="11"/>
  <c r="G149" i="11"/>
  <c r="G145" i="11"/>
  <c r="C147" i="11"/>
  <c r="C146" i="11"/>
  <c r="C148" i="11"/>
  <c r="C145" i="11"/>
  <c r="C149" i="11"/>
  <c r="E147" i="11"/>
  <c r="E146" i="11"/>
  <c r="E148" i="11"/>
  <c r="E149" i="11"/>
  <c r="E145" i="11"/>
  <c r="E70" i="11"/>
  <c r="E72" i="11"/>
  <c r="E55" i="11"/>
  <c r="B120" i="11"/>
  <c r="B119" i="11"/>
  <c r="B123" i="11"/>
  <c r="B122" i="11"/>
  <c r="G28" i="11"/>
  <c r="F86" i="11"/>
  <c r="F101" i="11" s="1"/>
  <c r="F54" i="11"/>
  <c r="D40" i="11"/>
  <c r="D44" i="11" s="1"/>
  <c r="G30" i="11"/>
  <c r="G32" i="11" s="1"/>
  <c r="G33" i="11" s="1"/>
  <c r="G91" i="11" s="1"/>
  <c r="E87" i="11" l="1"/>
  <c r="E89" i="11" s="1"/>
  <c r="E90" i="11" s="1"/>
  <c r="E92" i="11" s="1"/>
  <c r="E93" i="11" s="1"/>
  <c r="E102" i="11" s="1"/>
  <c r="E60" i="11"/>
  <c r="E63" i="11" s="1"/>
  <c r="G86" i="11"/>
  <c r="G101" i="11" s="1"/>
  <c r="G54" i="11"/>
  <c r="D41" i="11"/>
  <c r="D74" i="11" s="1"/>
  <c r="F70" i="11" l="1"/>
  <c r="F72" i="11"/>
  <c r="F55" i="11"/>
  <c r="D76" i="11"/>
  <c r="D67" i="11" s="1"/>
  <c r="F60" i="11" l="1"/>
  <c r="F63" i="11" s="1"/>
  <c r="G70" i="11" s="1"/>
  <c r="F87" i="11"/>
  <c r="F89" i="11" s="1"/>
  <c r="F90" i="11" s="1"/>
  <c r="F92" i="11" s="1"/>
  <c r="F93" i="11" s="1"/>
  <c r="F102" i="11" s="1"/>
  <c r="D69" i="11"/>
  <c r="D77" i="11" s="1"/>
  <c r="E34" i="11"/>
  <c r="E35" i="11" s="1"/>
  <c r="E36" i="11" s="1"/>
  <c r="E37" i="11" s="1"/>
  <c r="E39" i="11" s="1"/>
  <c r="G72" i="11" l="1"/>
  <c r="G55" i="11"/>
  <c r="G60" i="11" s="1"/>
  <c r="G63" i="11" s="1"/>
  <c r="E40" i="11"/>
  <c r="G87" i="11" l="1"/>
  <c r="G89" i="11" s="1"/>
  <c r="G90" i="11" s="1"/>
  <c r="G92" i="11" s="1"/>
  <c r="G93" i="11" s="1"/>
  <c r="G102" i="11" s="1"/>
  <c r="E125" i="11" s="1"/>
  <c r="E122" i="11" s="1"/>
  <c r="C103" i="11"/>
  <c r="E44" i="11"/>
  <c r="E41" i="11"/>
  <c r="D125" i="11" l="1"/>
  <c r="D123" i="11" s="1"/>
  <c r="E123" i="11"/>
  <c r="F125" i="11"/>
  <c r="F122" i="11" s="1"/>
  <c r="G104" i="11"/>
  <c r="C105" i="11" s="1"/>
  <c r="C107" i="11" s="1"/>
  <c r="C109" i="11" s="1"/>
  <c r="C110" i="11" s="1"/>
  <c r="E121" i="11"/>
  <c r="E120" i="11"/>
  <c r="C125" i="11"/>
  <c r="C119" i="11" s="1"/>
  <c r="E119" i="11"/>
  <c r="G125" i="11"/>
  <c r="G120" i="11" s="1"/>
  <c r="D121" i="11"/>
  <c r="D120" i="11"/>
  <c r="D122" i="11"/>
  <c r="D119" i="11"/>
  <c r="F123" i="11"/>
  <c r="E74" i="11"/>
  <c r="F120" i="11" l="1"/>
  <c r="F119" i="11"/>
  <c r="F121" i="11"/>
  <c r="C120" i="11"/>
  <c r="C122" i="11"/>
  <c r="G122" i="11"/>
  <c r="G121" i="11"/>
  <c r="G119" i="11"/>
  <c r="G123" i="11"/>
  <c r="C121" i="11"/>
  <c r="C123" i="11"/>
  <c r="E76" i="11"/>
  <c r="E67" i="11" s="1"/>
  <c r="E69" i="11" l="1"/>
  <c r="E77" i="11" s="1"/>
  <c r="F34" i="11"/>
  <c r="F35" i="11" s="1"/>
  <c r="F36" i="11" s="1"/>
  <c r="F37" i="11" s="1"/>
  <c r="F39" i="11" s="1"/>
  <c r="F40" i="11" s="1"/>
  <c r="F44" i="11" l="1"/>
  <c r="F41" i="11"/>
  <c r="F74" i="11" l="1"/>
  <c r="F76" i="11" l="1"/>
  <c r="F67" i="11" s="1"/>
  <c r="F69" i="11" l="1"/>
  <c r="F77" i="11"/>
  <c r="G34" i="11"/>
  <c r="G35" i="11" s="1"/>
  <c r="G36" i="11" s="1"/>
  <c r="G37" i="11" s="1"/>
  <c r="G39" i="11" s="1"/>
  <c r="G40" i="11" s="1"/>
  <c r="G44" i="11" s="1"/>
  <c r="G41" i="11" l="1"/>
  <c r="G74" i="11" s="1"/>
  <c r="G76" i="11" l="1"/>
  <c r="G67" i="11" s="1"/>
  <c r="G69" i="11" l="1"/>
  <c r="G7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C. Ehrhardt</author>
  </authors>
  <commentList>
    <comment ref="A87" authorId="0" shapeId="0" xr:uid="{00000000-0006-0000-0700-000001000000}">
      <text>
        <r>
          <rPr>
            <b/>
            <sz val="8"/>
            <color indexed="81"/>
            <rFont val="Tahoma"/>
            <family val="2"/>
          </rPr>
          <t>Net operating working capital is operating current assets (cash + accounts receivable + inventories) minus (operating current liabilities (accounts payable + accruals).</t>
        </r>
      </text>
    </comment>
    <comment ref="A89" authorId="0" shapeId="0" xr:uid="{00000000-0006-0000-0700-000002000000}">
      <text>
        <r>
          <rPr>
            <b/>
            <sz val="8"/>
            <color indexed="81"/>
            <rFont val="Tahoma"/>
            <family val="2"/>
          </rPr>
          <t>Net operating capital is the sum of net operating working capital and net PPE.</t>
        </r>
      </text>
    </comment>
    <comment ref="A90" authorId="0" shapeId="0" xr:uid="{00000000-0006-0000-0700-000003000000}">
      <text>
        <r>
          <rPr>
            <b/>
            <sz val="8"/>
            <color indexed="81"/>
            <rFont val="Tahoma"/>
            <family val="2"/>
          </rPr>
          <t>Investment in capital is the increase in capital from the previous year.</t>
        </r>
      </text>
    </comment>
    <comment ref="A91" authorId="0" shapeId="0" xr:uid="{00000000-0006-0000-0700-000004000000}">
      <text>
        <r>
          <rPr>
            <b/>
            <sz val="8"/>
            <color indexed="81"/>
            <rFont val="Tahoma"/>
            <family val="2"/>
          </rPr>
          <t>NOPAT is net operating profit after taxes.  It is equal to the profit a company would have if it had no debt.  This is EBIT*(1-Tax rate).</t>
        </r>
      </text>
    </comment>
    <comment ref="A104" authorId="0" shapeId="0" xr:uid="{00000000-0006-0000-0700-000005000000}">
      <text>
        <r>
          <rPr>
            <b/>
            <sz val="8"/>
            <color indexed="81"/>
            <rFont val="Tahoma"/>
            <family val="2"/>
          </rPr>
          <t>Net operating capital is the sum of net operating working capital and net PPE.</t>
        </r>
      </text>
    </comment>
    <comment ref="A105" authorId="0" shapeId="0" xr:uid="{00000000-0006-0000-0700-000006000000}">
      <text>
        <r>
          <rPr>
            <b/>
            <sz val="8"/>
            <color indexed="81"/>
            <rFont val="Tahoma"/>
            <family val="2"/>
          </rPr>
          <t>Investment in capital is the increase in capital from the previous year.</t>
        </r>
      </text>
    </comment>
    <comment ref="A106" authorId="0" shapeId="0" xr:uid="{00000000-0006-0000-0700-000007000000}">
      <text>
        <r>
          <rPr>
            <b/>
            <sz val="8"/>
            <color indexed="81"/>
            <rFont val="Tahoma"/>
            <family val="2"/>
          </rPr>
          <t>NOPAT is net operating profit after taxes.  It is equal to the profit a company would have if it had no debt.  This is EBIT*(1-Tax rate).</t>
        </r>
      </text>
    </comment>
  </commentList>
</comments>
</file>

<file path=xl/sharedStrings.xml><?xml version="1.0" encoding="utf-8"?>
<sst xmlns="http://schemas.openxmlformats.org/spreadsheetml/2006/main" count="173" uniqueCount="162">
  <si>
    <t>Actual</t>
  </si>
  <si>
    <t>Projected</t>
  </si>
  <si>
    <t>Dividends per share</t>
  </si>
  <si>
    <t>Preferred stock</t>
  </si>
  <si>
    <t>Debt</t>
  </si>
  <si>
    <t>Net Sales</t>
  </si>
  <si>
    <t>Costs (except depreciation)</t>
  </si>
  <si>
    <t>Depreciation</t>
  </si>
  <si>
    <t xml:space="preserve">   Total operating costs</t>
  </si>
  <si>
    <t>Earning before int. &amp; tax (EBIT)</t>
  </si>
  <si>
    <t>Earning before taxes</t>
  </si>
  <si>
    <t>Net income before pref. div.</t>
  </si>
  <si>
    <t xml:space="preserve">   Preferred div.</t>
  </si>
  <si>
    <t>Net income avail. for com. div.</t>
  </si>
  <si>
    <t>Common dividends</t>
  </si>
  <si>
    <t>Addition to retained earnings</t>
  </si>
  <si>
    <t>Number of shares</t>
  </si>
  <si>
    <t>Assets</t>
  </si>
  <si>
    <t>Cash</t>
  </si>
  <si>
    <t>Accounts receivable</t>
  </si>
  <si>
    <t>Inventories</t>
  </si>
  <si>
    <t xml:space="preserve">   Total current assets</t>
  </si>
  <si>
    <t>Net plant and equipment</t>
  </si>
  <si>
    <t>Total Assets</t>
  </si>
  <si>
    <t>Liabilities and Equity</t>
  </si>
  <si>
    <t>Accounts Payable</t>
  </si>
  <si>
    <t>Notes payable</t>
  </si>
  <si>
    <t xml:space="preserve">   Total current liabilities</t>
  </si>
  <si>
    <t>Long-term bonds</t>
  </si>
  <si>
    <t>Retained earnings</t>
  </si>
  <si>
    <t xml:space="preserve">   Common equity</t>
  </si>
  <si>
    <t>Total liabilities and equity</t>
  </si>
  <si>
    <t>Step 1: Calculate FCF</t>
  </si>
  <si>
    <t>Note: Net operating working capital is operating current assets (cash + accounts receivable + inventories) minus (operating current liabilities (accounts payable + accruals).</t>
  </si>
  <si>
    <t xml:space="preserve">  2. Net plant and equipment</t>
  </si>
  <si>
    <t xml:space="preserve">  3. Net operating capital</t>
  </si>
  <si>
    <t>Note: Net operating capital is the sum of net operating working capital and net PPE.</t>
  </si>
  <si>
    <t xml:space="preserve">  4. Investment in operating capital</t>
  </si>
  <si>
    <t>Note: Investment in capital is the increase in capital from the previous year.</t>
  </si>
  <si>
    <t xml:space="preserve">  5. NOPAT</t>
  </si>
  <si>
    <t>Note: NOPAT is net operating profit after taxes.  It is equal to the profit a company would have if it had no debt.  This is EBIT*(1-Tax rate).</t>
  </si>
  <si>
    <t xml:space="preserve">  7. Free cash flow</t>
  </si>
  <si>
    <r>
      <t>Marketable Securities</t>
    </r>
    <r>
      <rPr>
        <b/>
        <vertAlign val="superscript"/>
        <sz val="10"/>
        <rFont val="Cambria"/>
        <family val="1"/>
      </rPr>
      <t>a</t>
    </r>
  </si>
  <si>
    <r>
      <t>Common Stock</t>
    </r>
    <r>
      <rPr>
        <b/>
        <vertAlign val="superscript"/>
        <sz val="10"/>
        <rFont val="Cambria"/>
        <family val="1"/>
      </rPr>
      <t>b</t>
    </r>
  </si>
  <si>
    <r>
      <t>a</t>
    </r>
    <r>
      <rPr>
        <b/>
        <sz val="10"/>
        <rFont val="Cambria"/>
        <family val="1"/>
      </rPr>
      <t>All assets except marketable securities are operating assets required to support sales. The marketable securities are financial assets not required in operations.</t>
    </r>
  </si>
  <si>
    <r>
      <t>b</t>
    </r>
    <r>
      <rPr>
        <b/>
        <sz val="10"/>
        <rFont val="Cambria"/>
        <family val="1"/>
      </rPr>
      <t>Par plus paid-in capital.</t>
    </r>
  </si>
  <si>
    <r>
      <t xml:space="preserve">  1. Net operating working capital</t>
    </r>
    <r>
      <rPr>
        <b/>
        <vertAlign val="superscript"/>
        <sz val="10"/>
        <rFont val="Cambria"/>
        <family val="1"/>
      </rPr>
      <t>a</t>
    </r>
  </si>
  <si>
    <r>
      <t>a</t>
    </r>
    <r>
      <rPr>
        <b/>
        <sz val="10"/>
        <rFont val="Cambria"/>
        <family val="1"/>
      </rPr>
      <t>We use the terms “total net operating capital,” “operating capital,” and “net operating assets” interchangeably.</t>
    </r>
  </si>
  <si>
    <t>WACC</t>
  </si>
  <si>
    <t>Sales growth</t>
  </si>
  <si>
    <t>SG</t>
  </si>
  <si>
    <t>Initial sales</t>
  </si>
  <si>
    <t>IS</t>
  </si>
  <si>
    <t>Interest rate on debt</t>
  </si>
  <si>
    <t>IRD</t>
  </si>
  <si>
    <t>Dividend Payout</t>
  </si>
  <si>
    <t>DIV</t>
  </si>
  <si>
    <t>Tax rate</t>
  </si>
  <si>
    <t>TR</t>
  </si>
  <si>
    <t>COGS</t>
  </si>
  <si>
    <t>DEP</t>
  </si>
  <si>
    <t>Liquid Asset Interest rate</t>
  </si>
  <si>
    <t>LAIR</t>
  </si>
  <si>
    <t>Equity</t>
  </si>
  <si>
    <t>Cost of Debt (rD)</t>
  </si>
  <si>
    <t>Marginal Corporate Tax Rate (T)</t>
  </si>
  <si>
    <t>Cost of Equity (rS)</t>
  </si>
  <si>
    <t>Risk-Free Rate (Rf)</t>
  </si>
  <si>
    <t>Company's Beta</t>
  </si>
  <si>
    <t>Market Risk Premium (Rm - Rf)</t>
  </si>
  <si>
    <t>Preferred Stock</t>
  </si>
  <si>
    <t>Cost of Preferred Stock (rPS)</t>
  </si>
  <si>
    <t>Total</t>
  </si>
  <si>
    <t>After-Tax Cost of Debt</t>
  </si>
  <si>
    <t>Weighted Avg. Cost of Capital (WACC)</t>
  </si>
  <si>
    <t>PV of Terminal Value</t>
  </si>
  <si>
    <t>Long-term FCF growth</t>
  </si>
  <si>
    <t>LTG</t>
  </si>
  <si>
    <t>Your Firm's Financial Statements</t>
  </si>
  <si>
    <t>Your Firm's:  FYE Balance Sheets (mil. Or bil. of dollars)</t>
  </si>
  <si>
    <t>Calculating Your Firm's Expected Free Cash Flow (mil. Or bil. of Dollars)</t>
  </si>
  <si>
    <r>
      <t xml:space="preserve">   Less: Net interest</t>
    </r>
    <r>
      <rPr>
        <b/>
        <vertAlign val="superscript"/>
        <sz val="10"/>
        <rFont val="Cambria"/>
        <family val="1"/>
      </rPr>
      <t>a</t>
    </r>
  </si>
  <si>
    <r>
      <t xml:space="preserve">a </t>
    </r>
    <r>
      <rPr>
        <b/>
        <sz val="10"/>
        <rFont val="Cambria"/>
        <family val="1"/>
      </rPr>
      <t>“Net interest” is interest paid on debt minus interest earned on marketable securities. Both items could be shown separately on the income statements, but for this example we combine them and show net interest. If Your Firm pays more interest than it earns; hence its net interest is subtracted.</t>
    </r>
  </si>
  <si>
    <t>Most Recent full FYE</t>
  </si>
  <si>
    <t>FYE</t>
  </si>
  <si>
    <t>Mkt. Cap. Of Equity</t>
  </si>
  <si>
    <t xml:space="preserve"> (in Mil. Or Bil. $)</t>
  </si>
  <si>
    <t>No. of Sh. Outstanding</t>
  </si>
  <si>
    <t>Total Pref. Dividends</t>
  </si>
  <si>
    <t xml:space="preserve"> (in Mil. Or Bil. Shares)</t>
  </si>
  <si>
    <t>PV of Annual FCFs</t>
  </si>
  <si>
    <t>Market Value of Non-Operating Assets</t>
  </si>
  <si>
    <t>Less: Debt and Preferred Stock</t>
  </si>
  <si>
    <t>Market Value of Common Equity</t>
  </si>
  <si>
    <t>Stock Price Per Share</t>
  </si>
  <si>
    <t>Calculating Your Firm's Market Value of Equity (mil. Or bil. of Dollars and Per Share)</t>
  </si>
  <si>
    <t>Terminal Value of Year 5's FCF</t>
  </si>
  <si>
    <t>Total Enterprise Value</t>
  </si>
  <si>
    <t xml:space="preserve"> Projected Free Cash Flows</t>
  </si>
  <si>
    <t>Step 2. Discount FCFs &amp; Compute Intrinsic Values</t>
  </si>
  <si>
    <t xml:space="preserve">   Taxes</t>
  </si>
  <si>
    <t>WACC Inputs &amp; Calculations:</t>
  </si>
  <si>
    <t>Cash as % of Assets</t>
  </si>
  <si>
    <t>CASH</t>
  </si>
  <si>
    <t>Capital Structure Weights: (Market Cap? / Target? / Book Value?)</t>
  </si>
  <si>
    <t xml:space="preserve"> (Cash is assumed to be a % of Assets)</t>
  </si>
  <si>
    <t xml:space="preserve"> (these other Assets are a % of Sales)</t>
  </si>
  <si>
    <t xml:space="preserve"> (Current Liab. are a % of Sales except Notes Pay.)</t>
  </si>
  <si>
    <t>Notes Payable as % of Assets</t>
  </si>
  <si>
    <t xml:space="preserve"> (Pref. Stock is assumed to be a % of Assets)</t>
  </si>
  <si>
    <t>Preferred Stock as % of Assets</t>
  </si>
  <si>
    <t>PSTK</t>
  </si>
  <si>
    <t xml:space="preserve"> (L-T bonds are assumed to be a % of Assets)</t>
  </si>
  <si>
    <t xml:space="preserve"> (Notes Payable is a "Plug" to balance A, L, &amp; E)</t>
  </si>
  <si>
    <t>LTD</t>
  </si>
  <si>
    <t xml:space="preserve">  6. Less: Investment in Net Operating Capital</t>
  </si>
  <si>
    <t>Key Inputs:</t>
  </si>
  <si>
    <t>Cell name</t>
  </si>
  <si>
    <t>Your Estimate</t>
  </si>
  <si>
    <t>Current Stock Price per Share</t>
  </si>
  <si>
    <t>Equity Value per Share Matrix</t>
  </si>
  <si>
    <t>Market Multiple Approach:</t>
  </si>
  <si>
    <t>Comparable Firms to Your Company:</t>
  </si>
  <si>
    <t xml:space="preserve"> NOTE: This approach is based on EBITDA multiples but you can modify the table to use other Multiples</t>
  </si>
  <si>
    <t>EBITDA Growth</t>
  </si>
  <si>
    <t>EBITDA Multiple</t>
  </si>
  <si>
    <t>Base Case</t>
  </si>
  <si>
    <t>Sensitivity Analysis for DCF Valuation Estimates:</t>
  </si>
  <si>
    <t>Also, the Market Multiples Approach to Valuation starts on row 126 below.</t>
  </si>
  <si>
    <t>NOTE: You can modify the increments above/below the Base Case</t>
  </si>
  <si>
    <t>by editing the WACC and Growth cells in this matrix</t>
  </si>
  <si>
    <t>Long-Term Growth</t>
  </si>
  <si>
    <t>Terminal Value Estimates</t>
  </si>
  <si>
    <t>EBITDA Long-Term Growth</t>
  </si>
  <si>
    <t>XYZ Inc.</t>
  </si>
  <si>
    <t>ABC Co.</t>
  </si>
  <si>
    <t>KLM Corp.</t>
  </si>
  <si>
    <t>Debt ($)</t>
  </si>
  <si>
    <t>Equity ($)</t>
  </si>
  <si>
    <t>Total Assets ($)</t>
  </si>
  <si>
    <t>Equity Market Cap. ($)</t>
  </si>
  <si>
    <t>Latest EBITDA</t>
  </si>
  <si>
    <t>First Year EBITDA forecast for Your Company:</t>
  </si>
  <si>
    <t>Average</t>
  </si>
  <si>
    <t xml:space="preserve">Median </t>
  </si>
  <si>
    <t>EBITDA Per Share Estimates</t>
  </si>
  <si>
    <t>Also, please enter the appropriate data for up to 3 comparable firms in all Light-Blue cells.</t>
  </si>
  <si>
    <t>Market Multiples Valuation Matrix:</t>
  </si>
  <si>
    <t>NOTE: Enter your estimates in all Light-Blue cells.  The rest of cells will auto-calculate.</t>
  </si>
  <si>
    <t>Your Firm's: Income Statements for Fisal Year Ends (mil. Or bil. of dollars)</t>
  </si>
  <si>
    <t>DCF Valuation Model Inputs, Intermediate Calculations, and Outputs</t>
  </si>
  <si>
    <t>All Other Assets</t>
  </si>
  <si>
    <t>Less: Treasury Stock &amp; Other</t>
  </si>
  <si>
    <t xml:space="preserve"> (To make Liab. &amp; Equity balance with Tot. Assets)</t>
  </si>
  <si>
    <t>All Other Liabilities &amp; Minority Interest</t>
  </si>
  <si>
    <t>Dep. Rate (% of Net Fixed Assets)</t>
  </si>
  <si>
    <t>Other current assets</t>
  </si>
  <si>
    <t xml:space="preserve"> (Use as a "Plug" to balance Tot. Assets with Liab. &amp; Equity)</t>
  </si>
  <si>
    <t xml:space="preserve"> (Use as a "Plug" to equate with reported Current Assets)</t>
  </si>
  <si>
    <t>Accruals &amp; Other Current Liab.</t>
  </si>
  <si>
    <t xml:space="preserve"> (Use as a "Plug" to equate with reported Current Liab.)</t>
  </si>
  <si>
    <t>(Oper. Expense - Dep.) /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</si>
</sst>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
    <numFmt numFmtId="166" formatCode="&quot;$&quot;#,##0.00"/>
    <numFmt numFmtId="171" formatCode="&quot;$&quot;#,##0.000"/>
    <numFmt numFmtId="175" formatCode="&quot;$&quot;#,##0.0"/>
    <numFmt numFmtId="176" formatCode="0.0"/>
    <numFmt numFmtId="177" formatCode="#,##0.0"/>
    <numFmt numFmtId="178" formatCode="_(&quot;$&quot;* #,##0_);_(&quot;$&quot;* \(#,##0\);_(&quot;$&quot;* &quot;-&quot;??_);_(@_)"/>
    <numFmt numFmtId="179" formatCode="&quot;$&quot;#,##0.0_);[Red]\(&quot;$&quot;#,##0.0\)"/>
    <numFmt numFmtId="180" formatCode="_(* #,##0.0_);_(* \(#,##0.0\);_(* &quot;-&quot;??_);_(@_)"/>
    <numFmt numFmtId="181" formatCode="_(* #,##0_);_(* \(#,##0\);_(* &quot;-&quot;??_);_(@_)"/>
  </numFmts>
  <fonts count="38" x14ac:knownFonts="1">
    <font>
      <sz val="8"/>
      <name val="Cambria"/>
      <family val="1"/>
    </font>
    <font>
      <sz val="11"/>
      <color theme="1"/>
      <name val="Cambria"/>
      <family val="2"/>
    </font>
    <font>
      <sz val="10"/>
      <name val="Times New Roman"/>
      <family val="1"/>
    </font>
    <font>
      <b/>
      <sz val="10"/>
      <name val="Arial"/>
      <family val="2"/>
    </font>
    <font>
      <b/>
      <sz val="12"/>
      <color indexed="16"/>
      <name val="Arial"/>
      <family val="2"/>
    </font>
    <font>
      <b/>
      <sz val="10"/>
      <name val="Cambria"/>
      <family val="1"/>
    </font>
    <font>
      <b/>
      <sz val="8"/>
      <name val="Cambria"/>
      <family val="1"/>
    </font>
    <font>
      <b/>
      <sz val="10"/>
      <color indexed="12"/>
      <name val="Cambria"/>
      <family val="1"/>
    </font>
    <font>
      <b/>
      <sz val="12"/>
      <color indexed="16"/>
      <name val="Cambria"/>
      <family val="1"/>
    </font>
    <font>
      <b/>
      <sz val="10"/>
      <color indexed="10"/>
      <name val="Cambria"/>
      <family val="1"/>
    </font>
    <font>
      <b/>
      <sz val="11"/>
      <color indexed="16"/>
      <name val="Cambria"/>
      <family val="1"/>
    </font>
    <font>
      <b/>
      <sz val="10"/>
      <color indexed="16"/>
      <name val="Cambria"/>
      <family val="1"/>
    </font>
    <font>
      <sz val="10"/>
      <name val="Cambria"/>
      <family val="1"/>
    </font>
    <font>
      <b/>
      <u val="singleAccounting"/>
      <sz val="10"/>
      <color indexed="12"/>
      <name val="Cambria"/>
      <family val="1"/>
    </font>
    <font>
      <b/>
      <vertAlign val="superscript"/>
      <sz val="10"/>
      <name val="Cambria"/>
      <family val="1"/>
    </font>
    <font>
      <b/>
      <u val="singleAccounting"/>
      <sz val="10"/>
      <name val="Cambria"/>
      <family val="1"/>
    </font>
    <font>
      <b/>
      <sz val="8"/>
      <color indexed="81"/>
      <name val="Tahoma"/>
      <family val="2"/>
    </font>
    <font>
      <b/>
      <u val="doubleAccounting"/>
      <sz val="10"/>
      <color indexed="12"/>
      <name val="Cambria"/>
      <family val="1"/>
    </font>
    <font>
      <b/>
      <u/>
      <sz val="10"/>
      <name val="Cambria"/>
      <family val="1"/>
    </font>
    <font>
      <b/>
      <u/>
      <sz val="10"/>
      <color indexed="12"/>
      <name val="Cambria"/>
      <family val="1"/>
    </font>
    <font>
      <b/>
      <sz val="10"/>
      <color indexed="16"/>
      <name val="Arial"/>
      <family val="2"/>
    </font>
    <font>
      <b/>
      <vertAlign val="superscript"/>
      <sz val="10"/>
      <name val="Arial"/>
      <family val="2"/>
    </font>
    <font>
      <b/>
      <u val="doubleAccounting"/>
      <sz val="10"/>
      <name val="Cambria"/>
      <family val="1"/>
    </font>
    <font>
      <b/>
      <u val="double"/>
      <sz val="10"/>
      <name val="Cambria"/>
      <family val="1"/>
    </font>
    <font>
      <b/>
      <u val="double"/>
      <sz val="10"/>
      <color indexed="12"/>
      <name val="Cambria"/>
      <family val="1"/>
    </font>
    <font>
      <b/>
      <sz val="14"/>
      <color rgb="FF800000"/>
      <name val="Cambria"/>
      <family val="1"/>
    </font>
    <font>
      <b/>
      <sz val="12"/>
      <color rgb="FF800000"/>
      <name val="Cambria"/>
      <family val="1"/>
    </font>
    <font>
      <b/>
      <sz val="12"/>
      <name val="Arial"/>
      <family val="2"/>
    </font>
    <font>
      <sz val="12"/>
      <name val="Cambria"/>
      <family val="1"/>
    </font>
    <font>
      <i/>
      <sz val="12"/>
      <name val="Arial"/>
      <family val="2"/>
    </font>
    <font>
      <sz val="12"/>
      <name val="Times New Roman"/>
      <family val="1"/>
    </font>
    <font>
      <b/>
      <sz val="12"/>
      <name val="Cambria"/>
      <family val="1"/>
    </font>
    <font>
      <b/>
      <sz val="14"/>
      <color rgb="FFFF0000"/>
      <name val="Cambria"/>
      <family val="1"/>
    </font>
    <font>
      <b/>
      <i/>
      <sz val="12"/>
      <name val="Cambria"/>
      <family val="1"/>
    </font>
    <font>
      <b/>
      <i/>
      <sz val="10"/>
      <name val="Cambria"/>
      <family val="1"/>
    </font>
    <font>
      <b/>
      <i/>
      <sz val="8"/>
      <name val="Cambria"/>
      <family val="1"/>
    </font>
    <font>
      <b/>
      <i/>
      <sz val="11"/>
      <name val="Cambria"/>
      <family val="1"/>
    </font>
    <font>
      <i/>
      <sz val="8"/>
      <name val="Cambria"/>
      <family val="1"/>
    </font>
  </fonts>
  <fills count="7">
    <fill>
      <patternFill patternType="none"/>
    </fill>
    <fill>
      <patternFill patternType="gray125"/>
    </fill>
    <fill>
      <patternFill patternType="solid">
        <fgColor indexed="47"/>
        <bgColor indexed="64"/>
      </patternFill>
    </fill>
    <fill>
      <patternFill patternType="solid">
        <fgColor rgb="FFFFFFCC"/>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s>
  <borders count="1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44" fontId="12" fillId="0" borderId="0" applyFont="0" applyFill="0" applyBorder="0" applyAlignment="0" applyProtection="0"/>
    <xf numFmtId="0" fontId="25" fillId="0" borderId="0">
      <alignment horizontal="center" vertical="center"/>
    </xf>
    <xf numFmtId="0" fontId="26" fillId="0" borderId="0" applyNumberFormat="0" applyFill="0" applyBorder="0">
      <alignment horizontal="left" vertical="center"/>
    </xf>
    <xf numFmtId="0" fontId="1" fillId="3" borderId="0" applyNumberFormat="0" applyFont="0" applyBorder="0" applyAlignment="0"/>
  </cellStyleXfs>
  <cellXfs count="201">
    <xf numFmtId="0" fontId="0" fillId="0" borderId="0" xfId="0"/>
    <xf numFmtId="0" fontId="5" fillId="0" borderId="0" xfId="0" applyFont="1" applyAlignment="1">
      <alignment vertical="center"/>
    </xf>
    <xf numFmtId="0" fontId="5" fillId="3" borderId="0" xfId="0" applyFont="1" applyFill="1" applyBorder="1" applyAlignment="1">
      <alignment vertical="center"/>
    </xf>
    <xf numFmtId="0" fontId="5" fillId="0" borderId="0" xfId="0" applyFont="1" applyFill="1" applyBorder="1" applyAlignment="1">
      <alignment vertical="center"/>
    </xf>
    <xf numFmtId="0" fontId="5" fillId="3" borderId="3" xfId="0" applyFont="1" applyFill="1" applyBorder="1" applyAlignment="1">
      <alignment vertical="center"/>
    </xf>
    <xf numFmtId="0" fontId="5" fillId="3" borderId="11" xfId="0" applyFont="1" applyFill="1" applyBorder="1" applyAlignment="1">
      <alignment horizontal="center" vertical="center"/>
    </xf>
    <xf numFmtId="0" fontId="5" fillId="3" borderId="1" xfId="0" applyFont="1" applyFill="1" applyBorder="1" applyAlignment="1">
      <alignment vertical="center"/>
    </xf>
    <xf numFmtId="0" fontId="5" fillId="3" borderId="6" xfId="0" applyFont="1" applyFill="1" applyBorder="1" applyAlignment="1">
      <alignment vertical="center"/>
    </xf>
    <xf numFmtId="0" fontId="5" fillId="0" borderId="0" xfId="0" applyFont="1"/>
    <xf numFmtId="0" fontId="10" fillId="0" borderId="0" xfId="0" applyFont="1" applyAlignment="1"/>
    <xf numFmtId="0" fontId="5" fillId="0" borderId="0" xfId="0" applyFont="1" applyFill="1"/>
    <xf numFmtId="0" fontId="5" fillId="0" borderId="0" xfId="0" applyFont="1" applyFill="1" applyBorder="1"/>
    <xf numFmtId="0" fontId="11" fillId="3" borderId="1" xfId="0" applyFont="1" applyFill="1" applyBorder="1" applyAlignment="1">
      <alignment vertical="center"/>
    </xf>
    <xf numFmtId="22" fontId="5" fillId="0" borderId="0" xfId="0" applyNumberFormat="1" applyFont="1" applyFill="1"/>
    <xf numFmtId="14" fontId="5" fillId="0" borderId="0" xfId="0" quotePrefix="1" applyNumberFormat="1" applyFont="1" applyFill="1"/>
    <xf numFmtId="14" fontId="5" fillId="0" borderId="0" xfId="0" applyNumberFormat="1" applyFont="1" applyFill="1"/>
    <xf numFmtId="0" fontId="7" fillId="0" borderId="0" xfId="0" applyFont="1" applyFill="1"/>
    <xf numFmtId="0" fontId="5" fillId="3" borderId="11" xfId="0" applyFont="1" applyFill="1" applyBorder="1" applyAlignment="1">
      <alignment horizontal="right" vertical="center"/>
    </xf>
    <xf numFmtId="0" fontId="5" fillId="3" borderId="5" xfId="0" applyFont="1" applyFill="1" applyBorder="1" applyAlignment="1">
      <alignment horizontal="right" vertical="center" indent="1"/>
    </xf>
    <xf numFmtId="0" fontId="5" fillId="3" borderId="6" xfId="0" applyFont="1" applyFill="1" applyBorder="1" applyAlignment="1">
      <alignment horizontal="right" vertical="top"/>
    </xf>
    <xf numFmtId="0" fontId="5" fillId="3" borderId="6" xfId="0" quotePrefix="1" applyFont="1" applyFill="1" applyBorder="1" applyAlignment="1">
      <alignment horizontal="right" vertical="top"/>
    </xf>
    <xf numFmtId="0" fontId="5" fillId="3" borderId="6" xfId="0" applyFont="1" applyFill="1" applyBorder="1" applyAlignment="1">
      <alignment horizontal="right" vertical="center"/>
    </xf>
    <xf numFmtId="0" fontId="14" fillId="0" borderId="0" xfId="0" applyFont="1" applyAlignment="1">
      <alignment vertical="center"/>
    </xf>
    <xf numFmtId="3" fontId="9" fillId="3" borderId="0" xfId="1" applyNumberFormat="1" applyFont="1" applyFill="1" applyBorder="1" applyAlignment="1">
      <alignment vertical="center"/>
    </xf>
    <xf numFmtId="175" fontId="5" fillId="3" borderId="10" xfId="3" applyNumberFormat="1" applyFont="1" applyFill="1" applyBorder="1" applyAlignment="1">
      <alignment horizontal="right" vertical="center" indent="1"/>
    </xf>
    <xf numFmtId="175" fontId="7" fillId="3" borderId="0" xfId="3" applyNumberFormat="1" applyFont="1" applyFill="1" applyBorder="1" applyAlignment="1">
      <alignment horizontal="right" vertical="center"/>
    </xf>
    <xf numFmtId="175" fontId="7" fillId="3" borderId="10" xfId="3" applyNumberFormat="1" applyFont="1" applyFill="1" applyBorder="1" applyAlignment="1">
      <alignment horizontal="right" vertical="center" indent="1"/>
    </xf>
    <xf numFmtId="176" fontId="5" fillId="3" borderId="10" xfId="1" applyNumberFormat="1" applyFont="1" applyFill="1" applyBorder="1" applyAlignment="1">
      <alignment horizontal="right" vertical="center" indent="1"/>
    </xf>
    <xf numFmtId="176" fontId="7" fillId="3" borderId="0" xfId="1" applyNumberFormat="1" applyFont="1" applyFill="1" applyBorder="1" applyAlignment="1">
      <alignment horizontal="right" vertical="center"/>
    </xf>
    <xf numFmtId="176" fontId="7" fillId="3" borderId="10" xfId="1" applyNumberFormat="1" applyFont="1" applyFill="1" applyBorder="1" applyAlignment="1">
      <alignment horizontal="right" vertical="center" indent="1"/>
    </xf>
    <xf numFmtId="176" fontId="15" fillId="3" borderId="10" xfId="1" applyNumberFormat="1" applyFont="1" applyFill="1" applyBorder="1" applyAlignment="1">
      <alignment horizontal="right" vertical="center" indent="1"/>
    </xf>
    <xf numFmtId="176" fontId="13" fillId="3" borderId="0" xfId="1" applyNumberFormat="1" applyFont="1" applyFill="1" applyBorder="1" applyAlignment="1">
      <alignment horizontal="right" vertical="center"/>
    </xf>
    <xf numFmtId="176" fontId="13" fillId="3" borderId="10" xfId="1" applyNumberFormat="1" applyFont="1" applyFill="1" applyBorder="1" applyAlignment="1">
      <alignment horizontal="right" vertical="center" indent="1"/>
    </xf>
    <xf numFmtId="175" fontId="13" fillId="3" borderId="0" xfId="3" applyNumberFormat="1" applyFont="1" applyFill="1" applyBorder="1" applyAlignment="1">
      <alignment horizontal="right" vertical="center"/>
    </xf>
    <xf numFmtId="175" fontId="13" fillId="3" borderId="10" xfId="3" applyNumberFormat="1" applyFont="1" applyFill="1" applyBorder="1" applyAlignment="1">
      <alignment horizontal="right" vertical="center" indent="1"/>
    </xf>
    <xf numFmtId="4" fontId="5" fillId="3" borderId="0" xfId="0" applyNumberFormat="1" applyFont="1" applyFill="1" applyBorder="1" applyAlignment="1">
      <alignment vertical="center"/>
    </xf>
    <xf numFmtId="175" fontId="17" fillId="3" borderId="0" xfId="3" applyNumberFormat="1" applyFont="1" applyFill="1" applyBorder="1" applyAlignment="1">
      <alignment horizontal="right" vertical="center"/>
    </xf>
    <xf numFmtId="175" fontId="17" fillId="3" borderId="10" xfId="3" applyNumberFormat="1" applyFont="1" applyFill="1" applyBorder="1" applyAlignment="1">
      <alignment horizontal="right" vertical="center" indent="1"/>
    </xf>
    <xf numFmtId="4" fontId="7" fillId="3" borderId="0" xfId="3" applyNumberFormat="1" applyFont="1" applyFill="1" applyBorder="1" applyAlignment="1">
      <alignment horizontal="right" vertical="center"/>
    </xf>
    <xf numFmtId="4" fontId="7" fillId="3" borderId="10" xfId="3" applyNumberFormat="1" applyFont="1" applyFill="1" applyBorder="1" applyAlignment="1">
      <alignment horizontal="right" vertical="center" indent="1"/>
    </xf>
    <xf numFmtId="0" fontId="7" fillId="3" borderId="0" xfId="3" applyNumberFormat="1" applyFont="1" applyFill="1" applyBorder="1" applyAlignment="1">
      <alignment horizontal="right" vertical="center"/>
    </xf>
    <xf numFmtId="0" fontId="7" fillId="3" borderId="10" xfId="3" applyNumberFormat="1" applyFont="1" applyFill="1" applyBorder="1" applyAlignment="1">
      <alignment horizontal="right" vertical="center" indent="1"/>
    </xf>
    <xf numFmtId="0" fontId="5" fillId="3" borderId="2" xfId="0" applyFont="1" applyFill="1" applyBorder="1" applyAlignment="1">
      <alignment vertical="center"/>
    </xf>
    <xf numFmtId="171" fontId="7" fillId="3" borderId="3" xfId="3" applyNumberFormat="1" applyFont="1" applyFill="1" applyBorder="1" applyAlignment="1">
      <alignment horizontal="right" vertical="center"/>
    </xf>
    <xf numFmtId="171" fontId="7" fillId="3" borderId="11" xfId="3" applyNumberFormat="1" applyFont="1" applyFill="1" applyBorder="1" applyAlignment="1">
      <alignment horizontal="right" vertical="center" indent="1"/>
    </xf>
    <xf numFmtId="0" fontId="5" fillId="0" borderId="1" xfId="0" applyFont="1" applyFill="1" applyBorder="1"/>
    <xf numFmtId="171" fontId="5" fillId="0" borderId="0" xfId="3" applyNumberFormat="1" applyFont="1" applyFill="1" applyBorder="1" applyAlignment="1">
      <alignment horizontal="right" indent="1"/>
    </xf>
    <xf numFmtId="177" fontId="5" fillId="3" borderId="11" xfId="3" applyNumberFormat="1" applyFont="1" applyFill="1" applyBorder="1" applyAlignment="1">
      <alignment horizontal="right" vertical="center" indent="1"/>
    </xf>
    <xf numFmtId="175" fontId="18" fillId="3" borderId="10" xfId="3" applyNumberFormat="1" applyFont="1" applyFill="1" applyBorder="1" applyAlignment="1">
      <alignment horizontal="right" vertical="center" indent="1"/>
    </xf>
    <xf numFmtId="175" fontId="17" fillId="3" borderId="3" xfId="3" applyNumberFormat="1" applyFont="1" applyFill="1" applyBorder="1" applyAlignment="1">
      <alignment horizontal="right" vertical="center"/>
    </xf>
    <xf numFmtId="175" fontId="22" fillId="0" borderId="0" xfId="3" applyNumberFormat="1" applyFont="1" applyFill="1" applyBorder="1" applyAlignment="1">
      <alignment horizontal="right" vertical="center" indent="1"/>
    </xf>
    <xf numFmtId="175" fontId="17" fillId="0" borderId="0" xfId="3" applyNumberFormat="1" applyFont="1" applyFill="1" applyBorder="1" applyAlignment="1">
      <alignment horizontal="right" vertical="center" indent="1"/>
    </xf>
    <xf numFmtId="0" fontId="5" fillId="3" borderId="6" xfId="0" applyFont="1" applyFill="1" applyBorder="1" applyAlignment="1">
      <alignment horizontal="right" vertical="center" indent="1"/>
    </xf>
    <xf numFmtId="175" fontId="7" fillId="3" borderId="0" xfId="3" applyNumberFormat="1" applyFont="1" applyFill="1" applyBorder="1" applyAlignment="1">
      <alignment horizontal="right" vertical="center" indent="1"/>
    </xf>
    <xf numFmtId="176" fontId="13" fillId="3" borderId="0" xfId="1" applyNumberFormat="1" applyFont="1" applyFill="1" applyBorder="1" applyAlignment="1">
      <alignment horizontal="right" vertical="center" indent="1"/>
    </xf>
    <xf numFmtId="175" fontId="5" fillId="3" borderId="10" xfId="0" applyNumberFormat="1" applyFont="1" applyFill="1" applyBorder="1" applyAlignment="1">
      <alignment horizontal="right" vertical="center" indent="1"/>
    </xf>
    <xf numFmtId="176" fontId="19" fillId="3" borderId="0" xfId="3" applyNumberFormat="1" applyFont="1" applyFill="1" applyBorder="1" applyAlignment="1">
      <alignment horizontal="right" vertical="center" indent="1"/>
    </xf>
    <xf numFmtId="176" fontId="19" fillId="3" borderId="10" xfId="3" applyNumberFormat="1" applyFont="1" applyFill="1" applyBorder="1" applyAlignment="1">
      <alignment horizontal="right" vertical="center" indent="1"/>
    </xf>
    <xf numFmtId="175" fontId="7" fillId="3" borderId="0" xfId="0" applyNumberFormat="1" applyFont="1" applyFill="1" applyBorder="1" applyAlignment="1">
      <alignment horizontal="right" vertical="center" indent="1"/>
    </xf>
    <xf numFmtId="175" fontId="7" fillId="3" borderId="10" xfId="0" applyNumberFormat="1" applyFont="1" applyFill="1" applyBorder="1" applyAlignment="1">
      <alignment horizontal="right" vertical="center" indent="1"/>
    </xf>
    <xf numFmtId="175" fontId="5" fillId="2" borderId="11" xfId="0" applyNumberFormat="1" applyFont="1" applyFill="1" applyBorder="1" applyAlignment="1">
      <alignment horizontal="right" vertical="center" indent="1"/>
    </xf>
    <xf numFmtId="175" fontId="17" fillId="2" borderId="3" xfId="3" applyNumberFormat="1" applyFont="1" applyFill="1" applyBorder="1" applyAlignment="1">
      <alignment horizontal="right" vertical="center" indent="1"/>
    </xf>
    <xf numFmtId="175" fontId="17" fillId="2" borderId="11" xfId="3" applyNumberFormat="1" applyFont="1" applyFill="1" applyBorder="1" applyAlignment="1">
      <alignment horizontal="right" vertical="center" indent="1"/>
    </xf>
    <xf numFmtId="0" fontId="5" fillId="0" borderId="0" xfId="0" applyFont="1" applyFill="1" applyBorder="1" applyAlignment="1">
      <alignment horizontal="left"/>
    </xf>
    <xf numFmtId="166" fontId="5" fillId="0" borderId="0" xfId="0" applyNumberFormat="1" applyFont="1" applyFill="1" applyBorder="1" applyAlignment="1">
      <alignment horizontal="right" indent="1"/>
    </xf>
    <xf numFmtId="166" fontId="17" fillId="0" borderId="0" xfId="3" applyNumberFormat="1" applyFont="1" applyFill="1" applyBorder="1" applyAlignment="1">
      <alignment horizontal="right" vertical="center" indent="1"/>
    </xf>
    <xf numFmtId="0" fontId="8" fillId="0" borderId="0" xfId="0" applyFont="1" applyFill="1" applyAlignment="1">
      <alignment vertical="center"/>
    </xf>
    <xf numFmtId="0" fontId="4" fillId="0" borderId="0" xfId="0" applyFont="1" applyFill="1" applyAlignment="1">
      <alignment vertical="center"/>
    </xf>
    <xf numFmtId="0" fontId="11" fillId="3" borderId="4" xfId="0" applyFont="1" applyFill="1" applyBorder="1" applyAlignment="1">
      <alignment vertical="center"/>
    </xf>
    <xf numFmtId="175" fontId="22" fillId="3" borderId="6" xfId="3" applyNumberFormat="1" applyFont="1" applyFill="1" applyBorder="1" applyAlignment="1">
      <alignment horizontal="right" vertical="center"/>
    </xf>
    <xf numFmtId="175" fontId="17" fillId="3" borderId="6" xfId="3" applyNumberFormat="1" applyFont="1" applyFill="1" applyBorder="1" applyAlignment="1">
      <alignment horizontal="right" vertical="center"/>
    </xf>
    <xf numFmtId="175" fontId="17" fillId="3" borderId="5" xfId="3" applyNumberFormat="1" applyFont="1" applyFill="1" applyBorder="1" applyAlignment="1">
      <alignment horizontal="right" vertical="center"/>
    </xf>
    <xf numFmtId="171" fontId="5" fillId="3" borderId="6" xfId="3" applyNumberFormat="1" applyFont="1" applyFill="1" applyBorder="1" applyAlignment="1">
      <alignment horizontal="right" vertical="center"/>
    </xf>
    <xf numFmtId="171" fontId="5" fillId="3" borderId="5" xfId="3" applyNumberFormat="1" applyFont="1" applyFill="1" applyBorder="1" applyAlignment="1">
      <alignment horizontal="right" vertical="center"/>
    </xf>
    <xf numFmtId="0" fontId="14" fillId="3" borderId="2" xfId="0" applyFont="1" applyFill="1" applyBorder="1" applyAlignment="1">
      <alignment vertical="center"/>
    </xf>
    <xf numFmtId="175" fontId="22" fillId="3" borderId="3" xfId="3" applyNumberFormat="1" applyFont="1" applyFill="1" applyBorder="1" applyAlignment="1">
      <alignment horizontal="right" vertical="center"/>
    </xf>
    <xf numFmtId="175" fontId="17" fillId="3" borderId="11" xfId="3" applyNumberFormat="1" applyFont="1" applyFill="1" applyBorder="1" applyAlignment="1">
      <alignment horizontal="right" vertical="center"/>
    </xf>
    <xf numFmtId="0" fontId="6" fillId="0" borderId="0" xfId="0" applyFont="1"/>
    <xf numFmtId="0" fontId="5" fillId="3" borderId="1" xfId="0" applyFont="1" applyFill="1" applyBorder="1" applyAlignment="1">
      <alignment horizontal="left" vertical="center"/>
    </xf>
    <xf numFmtId="0" fontId="3" fillId="3" borderId="0" xfId="0" applyFont="1" applyFill="1" applyBorder="1" applyAlignment="1">
      <alignment horizontal="left" vertical="center"/>
    </xf>
    <xf numFmtId="0" fontId="27" fillId="0" borderId="0" xfId="0" applyFont="1"/>
    <xf numFmtId="0" fontId="28" fillId="0" borderId="0" xfId="0" applyFont="1"/>
    <xf numFmtId="0" fontId="29" fillId="0" borderId="0" xfId="0" applyFont="1"/>
    <xf numFmtId="9" fontId="30" fillId="0" borderId="0" xfId="2" applyFont="1"/>
    <xf numFmtId="9" fontId="5" fillId="0" borderId="0" xfId="2" applyFont="1"/>
    <xf numFmtId="10" fontId="5" fillId="0" borderId="0" xfId="2" applyNumberFormat="1" applyFont="1"/>
    <xf numFmtId="175" fontId="7" fillId="2" borderId="3" xfId="3" applyNumberFormat="1" applyFont="1" applyFill="1" applyBorder="1" applyAlignment="1">
      <alignment horizontal="right" vertical="center" indent="1"/>
    </xf>
    <xf numFmtId="175" fontId="7" fillId="2" borderId="11" xfId="3" applyNumberFormat="1" applyFont="1" applyFill="1" applyBorder="1" applyAlignment="1">
      <alignment horizontal="right" vertical="center" indent="1"/>
    </xf>
    <xf numFmtId="10" fontId="5" fillId="4" borderId="0" xfId="2" applyNumberFormat="1" applyFont="1" applyFill="1"/>
    <xf numFmtId="166" fontId="5" fillId="4" borderId="12" xfId="0" applyNumberFormat="1" applyFont="1" applyFill="1" applyBorder="1" applyAlignment="1">
      <alignment horizontal="right" vertical="center" indent="1"/>
    </xf>
    <xf numFmtId="0" fontId="27" fillId="0" borderId="0" xfId="0" applyFont="1" applyAlignment="1">
      <alignment horizontal="center" wrapText="1"/>
    </xf>
    <xf numFmtId="0" fontId="27" fillId="0" borderId="0" xfId="0" applyFont="1" applyAlignment="1">
      <alignment horizontal="left" wrapText="1"/>
    </xf>
    <xf numFmtId="0" fontId="30" fillId="5" borderId="0" xfId="2" applyNumberFormat="1" applyFont="1" applyFill="1"/>
    <xf numFmtId="9" fontId="30" fillId="5" borderId="0" xfId="2" applyFont="1" applyFill="1"/>
    <xf numFmtId="178" fontId="28" fillId="5" borderId="0" xfId="3" applyNumberFormat="1" applyFont="1" applyFill="1"/>
    <xf numFmtId="9" fontId="28" fillId="5" borderId="0" xfId="0" applyNumberFormat="1" applyFont="1" applyFill="1"/>
    <xf numFmtId="10" fontId="5" fillId="5" borderId="0" xfId="2" applyNumberFormat="1" applyFont="1" applyFill="1"/>
    <xf numFmtId="44" fontId="5" fillId="5" borderId="0" xfId="3" applyFont="1" applyFill="1"/>
    <xf numFmtId="0" fontId="5" fillId="5" borderId="0" xfId="0" applyFont="1" applyFill="1"/>
    <xf numFmtId="178" fontId="5" fillId="0" borderId="0" xfId="3" applyNumberFormat="1" applyFont="1"/>
    <xf numFmtId="175" fontId="5" fillId="5" borderId="10" xfId="3" applyNumberFormat="1" applyFont="1" applyFill="1" applyBorder="1" applyAlignment="1">
      <alignment horizontal="right" vertical="center" indent="1"/>
    </xf>
    <xf numFmtId="171" fontId="5" fillId="5" borderId="11" xfId="3" applyNumberFormat="1" applyFont="1" applyFill="1" applyBorder="1" applyAlignment="1">
      <alignment horizontal="right" vertical="center" indent="1"/>
    </xf>
    <xf numFmtId="10" fontId="5" fillId="0" borderId="0" xfId="0" applyNumberFormat="1" applyFont="1"/>
    <xf numFmtId="0" fontId="31" fillId="4" borderId="0" xfId="0" applyFont="1" applyFill="1"/>
    <xf numFmtId="0" fontId="5" fillId="4" borderId="0" xfId="0" applyFont="1" applyFill="1"/>
    <xf numFmtId="0" fontId="32" fillId="4" borderId="0" xfId="0" applyFont="1" applyFill="1"/>
    <xf numFmtId="0" fontId="33" fillId="0" borderId="0" xfId="0" applyFont="1" applyFill="1"/>
    <xf numFmtId="10" fontId="0" fillId="0" borderId="0" xfId="0" applyNumberFormat="1"/>
    <xf numFmtId="44" fontId="0" fillId="0" borderId="0" xfId="3" applyFont="1" applyFill="1"/>
    <xf numFmtId="0" fontId="34" fillId="0" borderId="0" xfId="0" applyFont="1"/>
    <xf numFmtId="176" fontId="0" fillId="0" borderId="0" xfId="0" applyNumberFormat="1"/>
    <xf numFmtId="0" fontId="0" fillId="0" borderId="0" xfId="0" applyAlignment="1">
      <alignment horizontal="right"/>
    </xf>
    <xf numFmtId="0" fontId="33" fillId="0" borderId="0" xfId="0" applyFont="1"/>
    <xf numFmtId="0" fontId="35" fillId="0" borderId="0" xfId="0" applyFont="1"/>
    <xf numFmtId="0" fontId="31" fillId="0" borderId="0" xfId="0" applyFont="1"/>
    <xf numFmtId="10" fontId="6" fillId="0" borderId="0" xfId="0" applyNumberFormat="1" applyFont="1"/>
    <xf numFmtId="0" fontId="6" fillId="0" borderId="0" xfId="0" applyFont="1" applyAlignment="1">
      <alignment horizontal="right"/>
    </xf>
    <xf numFmtId="0" fontId="35" fillId="0" borderId="0" xfId="0" applyFont="1" applyAlignment="1">
      <alignment horizontal="right"/>
    </xf>
    <xf numFmtId="176" fontId="6" fillId="0" borderId="0" xfId="0" applyNumberFormat="1" applyFont="1"/>
    <xf numFmtId="0" fontId="36" fillId="0" borderId="0" xfId="0" applyFont="1" applyFill="1"/>
    <xf numFmtId="0" fontId="37" fillId="0" borderId="0" xfId="0" applyFont="1"/>
    <xf numFmtId="166" fontId="0" fillId="0" borderId="0" xfId="0" applyNumberFormat="1"/>
    <xf numFmtId="0" fontId="5" fillId="0" borderId="0" xfId="0" applyFont="1" applyAlignment="1">
      <alignment horizontal="right"/>
    </xf>
    <xf numFmtId="8" fontId="0" fillId="0" borderId="0" xfId="3" applyNumberFormat="1" applyFont="1" applyFill="1"/>
    <xf numFmtId="179" fontId="0" fillId="0" borderId="0" xfId="3" applyNumberFormat="1" applyFont="1" applyFill="1"/>
    <xf numFmtId="8" fontId="6" fillId="4" borderId="0" xfId="3" applyNumberFormat="1" applyFont="1" applyFill="1"/>
    <xf numFmtId="0" fontId="35"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164" fontId="0" fillId="0" borderId="0" xfId="2" applyNumberFormat="1" applyFont="1"/>
    <xf numFmtId="175" fontId="6" fillId="0" borderId="0" xfId="0" applyNumberFormat="1" applyFont="1"/>
    <xf numFmtId="164" fontId="6" fillId="0" borderId="0" xfId="0" applyNumberFormat="1" applyFont="1"/>
    <xf numFmtId="164" fontId="6" fillId="0" borderId="0" xfId="2" applyNumberFormat="1" applyFont="1"/>
    <xf numFmtId="166" fontId="0" fillId="0" borderId="0" xfId="3" applyNumberFormat="1" applyFont="1"/>
    <xf numFmtId="0" fontId="0" fillId="6" borderId="0" xfId="0" applyFill="1"/>
    <xf numFmtId="176" fontId="0" fillId="6" borderId="0" xfId="0" applyNumberFormat="1" applyFill="1"/>
    <xf numFmtId="10" fontId="0" fillId="6" borderId="0" xfId="0" applyNumberFormat="1" applyFill="1"/>
    <xf numFmtId="164" fontId="0" fillId="6" borderId="0" xfId="0" applyNumberFormat="1" applyFill="1"/>
    <xf numFmtId="166" fontId="6" fillId="4" borderId="0" xfId="3" applyNumberFormat="1" applyFont="1" applyFill="1"/>
    <xf numFmtId="181" fontId="5" fillId="5" borderId="0" xfId="1" applyNumberFormat="1" applyFont="1" applyFill="1"/>
    <xf numFmtId="180" fontId="5" fillId="5" borderId="10" xfId="1" applyNumberFormat="1" applyFont="1" applyFill="1" applyBorder="1" applyAlignment="1">
      <alignment horizontal="right" vertical="center" indent="1"/>
    </xf>
    <xf numFmtId="180" fontId="15" fillId="5" borderId="10" xfId="1" applyNumberFormat="1" applyFont="1" applyFill="1" applyBorder="1" applyAlignment="1">
      <alignment horizontal="right" vertical="center" indent="1"/>
    </xf>
    <xf numFmtId="180" fontId="18" fillId="3" borderId="10" xfId="1" applyNumberFormat="1" applyFont="1" applyFill="1" applyBorder="1" applyAlignment="1">
      <alignment vertical="center"/>
    </xf>
    <xf numFmtId="180" fontId="5" fillId="3" borderId="10" xfId="1" applyNumberFormat="1" applyFont="1" applyFill="1" applyBorder="1" applyAlignment="1">
      <alignment vertical="center"/>
    </xf>
    <xf numFmtId="180" fontId="5" fillId="3" borderId="10" xfId="1" applyNumberFormat="1" applyFont="1" applyFill="1" applyBorder="1" applyAlignment="1">
      <alignment horizontal="right" vertical="center"/>
    </xf>
    <xf numFmtId="180" fontId="22" fillId="3" borderId="10" xfId="1" applyNumberFormat="1" applyFont="1" applyFill="1" applyBorder="1" applyAlignment="1">
      <alignment horizontal="right" vertical="center"/>
    </xf>
    <xf numFmtId="180" fontId="5" fillId="3" borderId="10" xfId="1" applyNumberFormat="1" applyFont="1" applyFill="1" applyBorder="1" applyAlignment="1">
      <alignment horizontal="right" vertical="center" indent="1"/>
    </xf>
    <xf numFmtId="180" fontId="23" fillId="3" borderId="10" xfId="1" applyNumberFormat="1" applyFont="1" applyFill="1" applyBorder="1" applyAlignment="1">
      <alignment horizontal="right" vertical="center" indent="1"/>
    </xf>
    <xf numFmtId="180" fontId="18" fillId="3" borderId="10" xfId="1" applyNumberFormat="1" applyFont="1" applyFill="1" applyBorder="1" applyAlignment="1">
      <alignment horizontal="right" vertical="center" indent="1"/>
    </xf>
    <xf numFmtId="180" fontId="22" fillId="3" borderId="11" xfId="1" applyNumberFormat="1" applyFont="1" applyFill="1" applyBorder="1" applyAlignment="1">
      <alignment horizontal="right" vertical="center" indent="1"/>
    </xf>
    <xf numFmtId="180" fontId="7" fillId="3" borderId="0" xfId="1" applyNumberFormat="1" applyFont="1" applyFill="1" applyBorder="1" applyAlignment="1">
      <alignment horizontal="right" vertical="center"/>
    </xf>
    <xf numFmtId="180" fontId="7" fillId="3" borderId="10" xfId="1" applyNumberFormat="1" applyFont="1" applyFill="1" applyBorder="1" applyAlignment="1">
      <alignment horizontal="right" vertical="center" indent="1"/>
    </xf>
    <xf numFmtId="180" fontId="13" fillId="3" borderId="0" xfId="1" applyNumberFormat="1" applyFont="1" applyFill="1" applyBorder="1" applyAlignment="1">
      <alignment horizontal="right" vertical="center"/>
    </xf>
    <xf numFmtId="180" fontId="13" fillId="3" borderId="10" xfId="1" applyNumberFormat="1" applyFont="1" applyFill="1" applyBorder="1" applyAlignment="1">
      <alignment horizontal="right" vertical="center" indent="1"/>
    </xf>
    <xf numFmtId="180" fontId="24" fillId="3" borderId="0" xfId="1" applyNumberFormat="1" applyFont="1" applyFill="1" applyBorder="1" applyAlignment="1">
      <alignment horizontal="right" vertical="center"/>
    </xf>
    <xf numFmtId="180" fontId="24" fillId="3" borderId="10" xfId="1" applyNumberFormat="1" applyFont="1" applyFill="1" applyBorder="1" applyAlignment="1">
      <alignment horizontal="right" vertical="center" indent="1"/>
    </xf>
    <xf numFmtId="180" fontId="19" fillId="3" borderId="0" xfId="1" applyNumberFormat="1" applyFont="1" applyFill="1" applyBorder="1" applyAlignment="1">
      <alignment horizontal="right" vertical="center"/>
    </xf>
    <xf numFmtId="180" fontId="19" fillId="3" borderId="10" xfId="1" applyNumberFormat="1" applyFont="1" applyFill="1" applyBorder="1" applyAlignment="1">
      <alignment horizontal="right" vertical="center" indent="1"/>
    </xf>
    <xf numFmtId="180" fontId="17" fillId="3" borderId="3" xfId="1" applyNumberFormat="1" applyFont="1" applyFill="1" applyBorder="1" applyAlignment="1">
      <alignment horizontal="right" vertical="center"/>
    </xf>
    <xf numFmtId="180" fontId="17" fillId="3" borderId="11" xfId="1" applyNumberFormat="1" applyFont="1" applyFill="1" applyBorder="1" applyAlignment="1">
      <alignment horizontal="right" vertical="center" indent="1"/>
    </xf>
    <xf numFmtId="181" fontId="0" fillId="6" borderId="0" xfId="1" applyNumberFormat="1" applyFont="1" applyFill="1"/>
    <xf numFmtId="181" fontId="6" fillId="0" borderId="0" xfId="1" applyNumberFormat="1" applyFont="1"/>
    <xf numFmtId="181" fontId="0" fillId="0" borderId="0" xfId="1" applyNumberFormat="1" applyFont="1"/>
    <xf numFmtId="176" fontId="0" fillId="0" borderId="0" xfId="0" applyNumberFormat="1" applyFont="1"/>
    <xf numFmtId="0" fontId="14"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5" fillId="3" borderId="1" xfId="0" applyFont="1" applyFill="1" applyBorder="1" applyAlignment="1">
      <alignment horizontal="left" vertical="center"/>
    </xf>
    <xf numFmtId="0" fontId="3" fillId="3" borderId="0" xfId="0" applyFont="1" applyFill="1" applyBorder="1" applyAlignment="1">
      <alignment horizontal="left" vertical="center"/>
    </xf>
    <xf numFmtId="0" fontId="5" fillId="2" borderId="2" xfId="0" applyFont="1" applyFill="1" applyBorder="1" applyAlignment="1">
      <alignment horizontal="left" vertical="center"/>
    </xf>
    <xf numFmtId="0" fontId="3" fillId="2" borderId="3" xfId="0" applyFont="1" applyFill="1" applyBorder="1" applyAlignment="1">
      <alignment horizontal="left" vertical="center"/>
    </xf>
    <xf numFmtId="0" fontId="11" fillId="3" borderId="7"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5"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14" fillId="3" borderId="1" xfId="0" applyFont="1" applyFill="1" applyBorder="1" applyAlignment="1">
      <alignment horizontal="left" wrapText="1"/>
    </xf>
    <xf numFmtId="0" fontId="21" fillId="3" borderId="0" xfId="0" applyFont="1" applyFill="1" applyBorder="1" applyAlignment="1">
      <alignment horizontal="left" wrapText="1"/>
    </xf>
    <xf numFmtId="0" fontId="21" fillId="3" borderId="10" xfId="0" applyFont="1" applyFill="1" applyBorder="1" applyAlignment="1">
      <alignment horizontal="left" wrapText="1"/>
    </xf>
    <xf numFmtId="0" fontId="21" fillId="3" borderId="1" xfId="0" applyFont="1" applyFill="1" applyBorder="1" applyAlignment="1">
      <alignment horizontal="left" wrapText="1"/>
    </xf>
    <xf numFmtId="0" fontId="21" fillId="3" borderId="2" xfId="0" applyFont="1" applyFill="1" applyBorder="1" applyAlignment="1">
      <alignment horizontal="left" wrapText="1"/>
    </xf>
    <xf numFmtId="0" fontId="21" fillId="3" borderId="3" xfId="0" applyFont="1" applyFill="1" applyBorder="1" applyAlignment="1">
      <alignment horizontal="left" wrapText="1"/>
    </xf>
    <xf numFmtId="0" fontId="21" fillId="3" borderId="11" xfId="0" applyFont="1" applyFill="1" applyBorder="1" applyAlignment="1">
      <alignment horizontal="left" wrapText="1"/>
    </xf>
    <xf numFmtId="0" fontId="5" fillId="3" borderId="2" xfId="0" applyFont="1" applyFill="1" applyBorder="1" applyAlignment="1">
      <alignment horizontal="center" vertical="center"/>
    </xf>
  </cellXfs>
  <cellStyles count="7">
    <cellStyle name="Comma" xfId="1" builtinId="3"/>
    <cellStyle name="Currency" xfId="3" builtinId="4"/>
    <cellStyle name="Normal" xfId="0" builtinId="0" customBuiltin="1"/>
    <cellStyle name="Percent" xfId="2" builtinId="5"/>
    <cellStyle name="TK hdg 1" xfId="5" xr:uid="{00000000-0005-0000-0000-000004000000}"/>
    <cellStyle name="TK title" xfId="4" xr:uid="{00000000-0005-0000-0000-000005000000}"/>
    <cellStyle name="Yellow fill"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00CC"/>
      <color rgb="FFFFFFCC"/>
      <color rgb="FFFFCC99"/>
      <color rgb="FF0000FF"/>
      <color rgb="FFD60093"/>
      <color rgb="FF33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Capital</a:t>
            </a:r>
            <a:r>
              <a:rPr lang="en-US" baseline="0"/>
              <a:t> Structure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FB-4A60-84B3-3F2F159D63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FB-4A60-84B3-3F2F159D63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FB-4A60-84B3-3F2F159D63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'Valuation Models'!$I$22:$I$24</c:f>
              <c:strCache>
                <c:ptCount val="3"/>
                <c:pt idx="0">
                  <c:v>Debt</c:v>
                </c:pt>
                <c:pt idx="1">
                  <c:v>Preferred Stock</c:v>
                </c:pt>
                <c:pt idx="2">
                  <c:v>Equity</c:v>
                </c:pt>
              </c:strCache>
            </c:strRef>
          </c:cat>
          <c:val>
            <c:numRef>
              <c:f>'Valuation Models'!$J$22:$J$24</c:f>
              <c:numCache>
                <c:formatCode>0%</c:formatCode>
                <c:ptCount val="3"/>
                <c:pt idx="0">
                  <c:v>0.18869365928189458</c:v>
                </c:pt>
                <c:pt idx="1">
                  <c:v>4.7364400305576773E-2</c:v>
                </c:pt>
                <c:pt idx="2">
                  <c:v>0.76394194041252861</c:v>
                </c:pt>
              </c:numCache>
            </c:numRef>
          </c:val>
          <c:extLst>
            <c:ext xmlns:c16="http://schemas.microsoft.com/office/drawing/2014/chart" uri="{C3380CC4-5D6E-409C-BE32-E72D297353CC}">
              <c16:uniqueId val="{00000006-79FB-4A60-84B3-3F2F159D63C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55562</xdr:colOff>
      <xdr:row>28</xdr:row>
      <xdr:rowOff>7937</xdr:rowOff>
    </xdr:from>
    <xdr:to>
      <xdr:col>10</xdr:col>
      <xdr:colOff>238124</xdr:colOff>
      <xdr:row>39</xdr:row>
      <xdr:rowOff>57942</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51"/>
  <sheetViews>
    <sheetView tabSelected="1" zoomScale="120" zoomScaleNormal="120" workbookViewId="0">
      <selection activeCell="C7" sqref="C7"/>
    </sheetView>
  </sheetViews>
  <sheetFormatPr defaultColWidth="9" defaultRowHeight="13.2" x14ac:dyDescent="0.25"/>
  <cols>
    <col min="1" max="1" width="38.140625" style="8" customWidth="1"/>
    <col min="2" max="2" width="10.7109375" style="8" customWidth="1"/>
    <col min="3" max="3" width="14.42578125" style="8" customWidth="1"/>
    <col min="4" max="4" width="13.28515625" style="8" bestFit="1" customWidth="1"/>
    <col min="5" max="5" width="13.42578125" style="8" customWidth="1"/>
    <col min="6" max="7" width="13.85546875" style="8" customWidth="1"/>
    <col min="8" max="8" width="12.85546875" style="8" customWidth="1"/>
    <col min="9" max="9" width="39.140625" style="8" customWidth="1"/>
    <col min="10" max="10" width="16.85546875" style="8" customWidth="1"/>
    <col min="11" max="11" width="6.42578125" style="8" customWidth="1"/>
    <col min="12" max="12" width="17.42578125" style="8" customWidth="1"/>
    <col min="13" max="13" width="12" style="8" customWidth="1"/>
    <col min="14" max="14" width="17.28515625" style="8" customWidth="1"/>
    <col min="15" max="15" width="22.42578125" style="8" customWidth="1"/>
    <col min="16" max="16" width="18.28515625" style="8" customWidth="1"/>
    <col min="17" max="16384" width="9" style="8"/>
  </cols>
  <sheetData>
    <row r="1" spans="1:11" ht="17.399999999999999" x14ac:dyDescent="0.3">
      <c r="A1" s="105" t="s">
        <v>150</v>
      </c>
      <c r="B1" s="103"/>
      <c r="C1" s="103"/>
      <c r="D1" s="103"/>
      <c r="E1" s="104"/>
      <c r="F1" s="104"/>
      <c r="G1" s="104"/>
    </row>
    <row r="2" spans="1:11" ht="15" x14ac:dyDescent="0.25">
      <c r="A2" s="106" t="s">
        <v>148</v>
      </c>
      <c r="B2" s="10"/>
      <c r="C2" s="10"/>
      <c r="D2" s="13"/>
      <c r="E2" s="10"/>
      <c r="F2" s="10"/>
      <c r="G2" s="14"/>
    </row>
    <row r="3" spans="1:11" ht="13.8" x14ac:dyDescent="0.25">
      <c r="A3" s="119" t="s">
        <v>128</v>
      </c>
      <c r="B3" s="10"/>
      <c r="C3" s="10"/>
      <c r="D3" s="13"/>
      <c r="E3" s="10"/>
      <c r="F3" s="10"/>
      <c r="G3" s="14"/>
    </row>
    <row r="4" spans="1:11" ht="13.8" x14ac:dyDescent="0.25">
      <c r="A4" s="119"/>
      <c r="B4" s="10"/>
      <c r="C4" s="10"/>
      <c r="D4" s="13"/>
      <c r="E4" s="10"/>
      <c r="F4" s="10"/>
      <c r="G4" s="14"/>
    </row>
    <row r="5" spans="1:11" ht="32.25" customHeight="1" x14ac:dyDescent="0.3">
      <c r="A5" s="80" t="s">
        <v>116</v>
      </c>
      <c r="B5" s="91" t="s">
        <v>117</v>
      </c>
      <c r="C5" s="90" t="s">
        <v>118</v>
      </c>
      <c r="D5" s="81"/>
      <c r="E5" s="80"/>
      <c r="F5" s="81"/>
      <c r="G5" s="81"/>
      <c r="I5" s="80" t="s">
        <v>101</v>
      </c>
    </row>
    <row r="6" spans="1:11" ht="15.6" x14ac:dyDescent="0.3">
      <c r="A6" s="81" t="s">
        <v>83</v>
      </c>
      <c r="B6" s="80" t="s">
        <v>84</v>
      </c>
      <c r="C6" s="92">
        <v>2021</v>
      </c>
      <c r="D6" s="81"/>
      <c r="E6" s="81"/>
      <c r="F6" s="81"/>
      <c r="G6" s="81"/>
      <c r="I6" s="8" t="s">
        <v>65</v>
      </c>
      <c r="J6" s="84">
        <f>TR</f>
        <v>0.53</v>
      </c>
    </row>
    <row r="7" spans="1:11" ht="15.6" x14ac:dyDescent="0.3">
      <c r="A7" s="81" t="s">
        <v>49</v>
      </c>
      <c r="B7" s="80" t="s">
        <v>50</v>
      </c>
      <c r="C7" s="93">
        <v>0.1</v>
      </c>
      <c r="D7" s="82"/>
      <c r="E7" s="81"/>
      <c r="F7" s="83"/>
      <c r="G7" s="83"/>
      <c r="I7" s="8" t="s">
        <v>64</v>
      </c>
      <c r="J7" s="85">
        <f>IRD</f>
        <v>0.05</v>
      </c>
    </row>
    <row r="8" spans="1:11" ht="15.6" x14ac:dyDescent="0.3">
      <c r="A8" s="81" t="s">
        <v>51</v>
      </c>
      <c r="B8" s="80" t="s">
        <v>52</v>
      </c>
      <c r="C8" s="94">
        <v>1000</v>
      </c>
      <c r="D8" s="82"/>
      <c r="E8" s="81"/>
      <c r="F8" s="81"/>
      <c r="G8" s="83"/>
      <c r="I8" s="8" t="s">
        <v>73</v>
      </c>
      <c r="J8" s="85">
        <f>(1-J6)*J7</f>
        <v>2.35E-2</v>
      </c>
    </row>
    <row r="9" spans="1:11" ht="15.6" x14ac:dyDescent="0.3">
      <c r="A9" s="81" t="s">
        <v>53</v>
      </c>
      <c r="B9" s="80" t="s">
        <v>54</v>
      </c>
      <c r="C9" s="93">
        <v>0.05</v>
      </c>
      <c r="D9" s="82"/>
      <c r="E9" s="81"/>
      <c r="F9" s="81"/>
      <c r="G9" s="83"/>
    </row>
    <row r="10" spans="1:11" ht="15.6" x14ac:dyDescent="0.3">
      <c r="A10" s="81" t="s">
        <v>55</v>
      </c>
      <c r="B10" s="80" t="s">
        <v>56</v>
      </c>
      <c r="C10" s="93">
        <v>0.05</v>
      </c>
      <c r="D10" s="82"/>
      <c r="E10" s="81"/>
      <c r="F10" s="81"/>
      <c r="G10" s="83"/>
      <c r="I10" s="8" t="s">
        <v>71</v>
      </c>
      <c r="J10" s="96">
        <v>7.0000000000000007E-2</v>
      </c>
    </row>
    <row r="11" spans="1:11" ht="15.6" x14ac:dyDescent="0.3">
      <c r="A11" s="81" t="s">
        <v>57</v>
      </c>
      <c r="B11" s="80" t="s">
        <v>58</v>
      </c>
      <c r="C11" s="93">
        <v>0.53</v>
      </c>
      <c r="D11" s="81"/>
      <c r="E11" s="81"/>
      <c r="F11" s="81"/>
      <c r="G11" s="81"/>
      <c r="I11" s="8" t="s">
        <v>88</v>
      </c>
      <c r="J11" s="97">
        <v>7</v>
      </c>
      <c r="K11" s="8" t="s">
        <v>86</v>
      </c>
    </row>
    <row r="12" spans="1:11" ht="15.6" x14ac:dyDescent="0.3">
      <c r="A12" s="81" t="s">
        <v>161</v>
      </c>
      <c r="B12" s="80" t="s">
        <v>59</v>
      </c>
      <c r="C12" s="93">
        <v>0.8</v>
      </c>
      <c r="D12" s="81"/>
      <c r="E12" s="81"/>
      <c r="F12" s="81"/>
      <c r="G12" s="81"/>
    </row>
    <row r="13" spans="1:11" ht="15.6" x14ac:dyDescent="0.3">
      <c r="A13" s="81" t="s">
        <v>155</v>
      </c>
      <c r="B13" s="80" t="s">
        <v>60</v>
      </c>
      <c r="C13" s="93">
        <v>0.1</v>
      </c>
      <c r="D13" s="81"/>
      <c r="E13" s="81"/>
      <c r="F13" s="81"/>
      <c r="G13" s="81"/>
      <c r="I13" s="8" t="s">
        <v>67</v>
      </c>
      <c r="J13" s="96">
        <v>0.01</v>
      </c>
    </row>
    <row r="14" spans="1:11" ht="15.6" x14ac:dyDescent="0.3">
      <c r="A14" s="81" t="s">
        <v>61</v>
      </c>
      <c r="B14" s="80" t="s">
        <v>62</v>
      </c>
      <c r="C14" s="93">
        <v>0.09</v>
      </c>
      <c r="D14" s="81"/>
      <c r="E14" s="81"/>
      <c r="F14" s="81"/>
      <c r="G14" s="81"/>
      <c r="I14" s="8" t="s">
        <v>69</v>
      </c>
      <c r="J14" s="96">
        <v>0.06</v>
      </c>
    </row>
    <row r="15" spans="1:11" ht="15.6" x14ac:dyDescent="0.3">
      <c r="A15" s="81" t="s">
        <v>76</v>
      </c>
      <c r="B15" s="80" t="s">
        <v>77</v>
      </c>
      <c r="C15" s="95">
        <v>0.04</v>
      </c>
      <c r="D15" s="13"/>
      <c r="E15" s="10"/>
      <c r="F15" s="10"/>
      <c r="G15" s="14"/>
      <c r="I15" s="8" t="s">
        <v>68</v>
      </c>
      <c r="J15" s="98">
        <v>1.5</v>
      </c>
    </row>
    <row r="16" spans="1:11" ht="15.6" x14ac:dyDescent="0.3">
      <c r="A16" s="81" t="s">
        <v>102</v>
      </c>
      <c r="B16" s="80" t="s">
        <v>103</v>
      </c>
      <c r="C16" s="95">
        <v>0.02</v>
      </c>
      <c r="D16" s="13"/>
      <c r="E16" s="10"/>
      <c r="F16" s="10"/>
      <c r="G16" s="14"/>
      <c r="I16" s="8" t="s">
        <v>66</v>
      </c>
      <c r="J16" s="102">
        <f>J13+J15*J14</f>
        <v>9.9999999999999992E-2</v>
      </c>
    </row>
    <row r="17" spans="1:12" ht="15.6" x14ac:dyDescent="0.3">
      <c r="A17" s="81" t="s">
        <v>108</v>
      </c>
      <c r="B17" s="80" t="s">
        <v>114</v>
      </c>
      <c r="C17" s="95">
        <v>0.15</v>
      </c>
      <c r="D17" s="13"/>
      <c r="E17" s="10"/>
      <c r="F17" s="10"/>
      <c r="G17" s="14"/>
      <c r="I17" s="8" t="s">
        <v>119</v>
      </c>
      <c r="J17" s="97">
        <v>10</v>
      </c>
    </row>
    <row r="18" spans="1:12" ht="15.6" x14ac:dyDescent="0.3">
      <c r="A18" s="81" t="s">
        <v>110</v>
      </c>
      <c r="B18" s="80" t="s">
        <v>111</v>
      </c>
      <c r="C18" s="95">
        <v>0.05</v>
      </c>
      <c r="D18" s="13"/>
      <c r="E18" s="10"/>
      <c r="F18" s="10"/>
      <c r="G18" s="14"/>
      <c r="I18" s="8" t="s">
        <v>87</v>
      </c>
      <c r="J18" s="139">
        <v>100</v>
      </c>
      <c r="K18" s="8" t="s">
        <v>89</v>
      </c>
    </row>
    <row r="19" spans="1:12" x14ac:dyDescent="0.25">
      <c r="A19" s="10"/>
      <c r="B19" s="10"/>
      <c r="C19" s="10"/>
      <c r="D19" s="13"/>
      <c r="E19" s="10"/>
      <c r="F19" s="10"/>
      <c r="G19" s="14"/>
      <c r="I19" s="8" t="s">
        <v>85</v>
      </c>
      <c r="J19" s="99">
        <f>J17*J18</f>
        <v>1000</v>
      </c>
      <c r="K19" s="8" t="s">
        <v>86</v>
      </c>
    </row>
    <row r="20" spans="1:12" x14ac:dyDescent="0.25">
      <c r="A20" s="10"/>
      <c r="B20" s="10"/>
      <c r="C20" s="10"/>
      <c r="D20" s="10"/>
      <c r="E20" s="10"/>
      <c r="F20" s="10"/>
      <c r="G20" s="15"/>
    </row>
    <row r="21" spans="1:12" ht="15.6" x14ac:dyDescent="0.25">
      <c r="A21" s="66"/>
      <c r="B21" s="67"/>
      <c r="C21" s="67"/>
      <c r="D21" s="67"/>
      <c r="E21" s="67"/>
      <c r="F21" s="67"/>
      <c r="G21" s="67"/>
      <c r="I21" s="8" t="s">
        <v>104</v>
      </c>
    </row>
    <row r="22" spans="1:12" x14ac:dyDescent="0.25">
      <c r="B22" s="10"/>
      <c r="C22" s="10"/>
      <c r="D22" s="10"/>
      <c r="E22" s="10"/>
      <c r="F22" s="10"/>
      <c r="G22" s="10"/>
      <c r="I22" s="8" t="s">
        <v>4</v>
      </c>
      <c r="J22" s="84">
        <f>(C67+C70)/($C$67+$C$70+$C$72+$J$19)</f>
        <v>0.18869365928189458</v>
      </c>
    </row>
    <row r="23" spans="1:12" ht="13.8" x14ac:dyDescent="0.25">
      <c r="A23" s="9" t="s">
        <v>78</v>
      </c>
      <c r="B23" s="10"/>
      <c r="C23" s="10"/>
      <c r="D23" s="10"/>
      <c r="E23" s="10"/>
      <c r="F23" s="10"/>
      <c r="G23" s="10"/>
      <c r="I23" s="8" t="s">
        <v>70</v>
      </c>
      <c r="J23" s="84">
        <f>(C72)/($C$67+$C$70+$C$72+$J$19)</f>
        <v>4.7364400305576773E-2</v>
      </c>
    </row>
    <row r="24" spans="1:12" ht="13.8" thickBot="1" x14ac:dyDescent="0.3">
      <c r="A24" s="16"/>
      <c r="I24" s="8" t="s">
        <v>63</v>
      </c>
      <c r="J24" s="84">
        <f>(J19)/($C$67+$C$70+$C$72+$J$19)</f>
        <v>0.76394194041252861</v>
      </c>
    </row>
    <row r="25" spans="1:12" s="1" customFormat="1" x14ac:dyDescent="0.25">
      <c r="A25" s="178" t="s">
        <v>149</v>
      </c>
      <c r="B25" s="179"/>
      <c r="C25" s="179"/>
      <c r="D25" s="179"/>
      <c r="E25" s="179"/>
      <c r="F25" s="179"/>
      <c r="G25" s="180"/>
      <c r="I25" s="8" t="s">
        <v>72</v>
      </c>
      <c r="J25" s="84">
        <f>SUM(J22:J24)</f>
        <v>1</v>
      </c>
      <c r="K25" s="8"/>
      <c r="L25" s="8"/>
    </row>
    <row r="26" spans="1:12" s="1" customFormat="1" ht="13.8" thickBot="1" x14ac:dyDescent="0.3">
      <c r="A26" s="181"/>
      <c r="B26" s="182"/>
      <c r="C26" s="182"/>
      <c r="D26" s="182"/>
      <c r="E26" s="182"/>
      <c r="F26" s="182"/>
      <c r="G26" s="183"/>
      <c r="I26" s="8"/>
      <c r="J26" s="8"/>
    </row>
    <row r="27" spans="1:12" s="1" customFormat="1" ht="13.8" thickBot="1" x14ac:dyDescent="0.3">
      <c r="A27" s="6"/>
      <c r="B27" s="2"/>
      <c r="C27" s="17" t="s">
        <v>0</v>
      </c>
      <c r="D27" s="184" t="s">
        <v>1</v>
      </c>
      <c r="E27" s="185"/>
      <c r="F27" s="185"/>
      <c r="G27" s="186"/>
      <c r="I27" s="8" t="s">
        <v>74</v>
      </c>
      <c r="J27" s="88">
        <f>(J22*J8)+(J23*J10)+(J24*J16)</f>
        <v>8.414400305576776E-2</v>
      </c>
    </row>
    <row r="28" spans="1:12" s="1" customFormat="1" ht="13.8" thickBot="1" x14ac:dyDescent="0.25">
      <c r="A28" s="6"/>
      <c r="B28" s="2"/>
      <c r="C28" s="18">
        <f>C6</f>
        <v>2021</v>
      </c>
      <c r="D28" s="19">
        <f>C28+1</f>
        <v>2022</v>
      </c>
      <c r="E28" s="20">
        <f t="shared" ref="E28:G28" si="0">D28+1</f>
        <v>2023</v>
      </c>
      <c r="F28" s="21">
        <f t="shared" si="0"/>
        <v>2024</v>
      </c>
      <c r="G28" s="18">
        <f t="shared" si="0"/>
        <v>2025</v>
      </c>
    </row>
    <row r="29" spans="1:12" s="1" customFormat="1" ht="14.4" x14ac:dyDescent="0.2">
      <c r="A29" s="6" t="s">
        <v>5</v>
      </c>
      <c r="B29" s="23"/>
      <c r="C29" s="24">
        <f>IS</f>
        <v>1000</v>
      </c>
      <c r="D29" s="25">
        <f>(1+SG)*C29</f>
        <v>1100</v>
      </c>
      <c r="E29" s="25">
        <f>(1+SG)*D29</f>
        <v>1210</v>
      </c>
      <c r="F29" s="25">
        <f>(1+SG)*E29</f>
        <v>1331</v>
      </c>
      <c r="G29" s="26">
        <f>(1+SG)*F29</f>
        <v>1464.1000000000001</v>
      </c>
      <c r="I29" s="22"/>
    </row>
    <row r="30" spans="1:12" s="1" customFormat="1" x14ac:dyDescent="0.2">
      <c r="A30" s="6" t="s">
        <v>6</v>
      </c>
      <c r="B30" s="2"/>
      <c r="C30" s="140">
        <v>899</v>
      </c>
      <c r="D30" s="28">
        <f>COGS*D29</f>
        <v>880</v>
      </c>
      <c r="E30" s="28">
        <f>COGS*E29</f>
        <v>968</v>
      </c>
      <c r="F30" s="28">
        <f>COGS*F29</f>
        <v>1064.8</v>
      </c>
      <c r="G30" s="29">
        <f>COGS*G29</f>
        <v>1171.2800000000002</v>
      </c>
    </row>
    <row r="31" spans="1:12" s="1" customFormat="1" ht="15" x14ac:dyDescent="0.2">
      <c r="A31" s="6" t="s">
        <v>7</v>
      </c>
      <c r="B31" s="2"/>
      <c r="C31" s="141">
        <v>28</v>
      </c>
      <c r="D31" s="31">
        <f>DEP*C61</f>
        <v>27.900000000000002</v>
      </c>
      <c r="E31" s="31">
        <f>DEP*D61</f>
        <v>30.690000000000005</v>
      </c>
      <c r="F31" s="31">
        <f>DEP*E61</f>
        <v>33.759000000000007</v>
      </c>
      <c r="G31" s="32">
        <f>DEP*F61</f>
        <v>37.134900000000009</v>
      </c>
    </row>
    <row r="32" spans="1:12" s="1" customFormat="1" ht="15" x14ac:dyDescent="0.2">
      <c r="A32" s="6" t="s">
        <v>8</v>
      </c>
      <c r="B32" s="2"/>
      <c r="C32" s="142">
        <f>SUM(C30:C31)</f>
        <v>927</v>
      </c>
      <c r="D32" s="33">
        <f>SUM(D30:D31)</f>
        <v>907.9</v>
      </c>
      <c r="E32" s="33">
        <f t="shared" ref="E32:G32" si="1">SUM(E30:E31)</f>
        <v>998.69</v>
      </c>
      <c r="F32" s="33">
        <f t="shared" si="1"/>
        <v>1098.559</v>
      </c>
      <c r="G32" s="34">
        <f t="shared" si="1"/>
        <v>1208.4149000000002</v>
      </c>
    </row>
    <row r="33" spans="1:7" s="1" customFormat="1" x14ac:dyDescent="0.2">
      <c r="A33" s="6" t="s">
        <v>9</v>
      </c>
      <c r="B33" s="2"/>
      <c r="C33" s="143">
        <f>C29-C32</f>
        <v>73</v>
      </c>
      <c r="D33" s="25">
        <f>D29-D32</f>
        <v>192.10000000000002</v>
      </c>
      <c r="E33" s="25">
        <f t="shared" ref="E33:G33" si="2">E29-E32</f>
        <v>211.30999999999995</v>
      </c>
      <c r="F33" s="25">
        <f t="shared" si="2"/>
        <v>232.44100000000003</v>
      </c>
      <c r="G33" s="26">
        <f t="shared" si="2"/>
        <v>255.68509999999992</v>
      </c>
    </row>
    <row r="34" spans="1:7" s="1" customFormat="1" ht="15" x14ac:dyDescent="0.2">
      <c r="A34" s="6" t="s">
        <v>81</v>
      </c>
      <c r="B34" s="2"/>
      <c r="C34" s="141">
        <v>13</v>
      </c>
      <c r="D34" s="31">
        <f>(IRD*(C67+C70))-(LAIR*C56)</f>
        <v>6.6800000000000015</v>
      </c>
      <c r="E34" s="31">
        <f>(IRD*(D67+D70))-(LAIR*D56)</f>
        <v>6.3199984999999979</v>
      </c>
      <c r="F34" s="31">
        <f>(IRD*(E67+E70))-(LAIR*E56)</f>
        <v>4.3234267165125058</v>
      </c>
      <c r="G34" s="32">
        <f>(IRD*(F67+F70))-(LAIR*F56)</f>
        <v>2.0258274929586477</v>
      </c>
    </row>
    <row r="35" spans="1:7" s="1" customFormat="1" x14ac:dyDescent="0.2">
      <c r="A35" s="6" t="s">
        <v>10</v>
      </c>
      <c r="B35" s="2"/>
      <c r="C35" s="144">
        <f>C33-C34</f>
        <v>60</v>
      </c>
      <c r="D35" s="25">
        <f>D33-D34</f>
        <v>185.42000000000002</v>
      </c>
      <c r="E35" s="25">
        <f t="shared" ref="E35:G35" si="3">E33-E34</f>
        <v>204.99000149999995</v>
      </c>
      <c r="F35" s="25">
        <f t="shared" si="3"/>
        <v>228.11757328348753</v>
      </c>
      <c r="G35" s="26">
        <f t="shared" si="3"/>
        <v>253.65927250704127</v>
      </c>
    </row>
    <row r="36" spans="1:7" s="1" customFormat="1" ht="15" x14ac:dyDescent="0.2">
      <c r="A36" s="6" t="s">
        <v>100</v>
      </c>
      <c r="B36" s="2"/>
      <c r="C36" s="141">
        <v>24</v>
      </c>
      <c r="D36" s="31">
        <f>TR*D35</f>
        <v>98.272600000000011</v>
      </c>
      <c r="E36" s="31">
        <f>TR*E35</f>
        <v>108.64470079499998</v>
      </c>
      <c r="F36" s="31">
        <f>TR*F35</f>
        <v>120.9023138402484</v>
      </c>
      <c r="G36" s="32">
        <f>TR*G35</f>
        <v>134.43941442873188</v>
      </c>
    </row>
    <row r="37" spans="1:7" s="1" customFormat="1" x14ac:dyDescent="0.2">
      <c r="A37" s="6" t="s">
        <v>11</v>
      </c>
      <c r="B37" s="2"/>
      <c r="C37" s="144">
        <f>C35-C36</f>
        <v>36</v>
      </c>
      <c r="D37" s="25">
        <f>D35-D36</f>
        <v>87.147400000000005</v>
      </c>
      <c r="E37" s="25">
        <f t="shared" ref="E37:G37" si="4">E35-E36</f>
        <v>96.345300704999971</v>
      </c>
      <c r="F37" s="25">
        <f t="shared" si="4"/>
        <v>107.21525944323913</v>
      </c>
      <c r="G37" s="26">
        <f t="shared" si="4"/>
        <v>119.21985807830939</v>
      </c>
    </row>
    <row r="38" spans="1:7" s="1" customFormat="1" ht="15" x14ac:dyDescent="0.2">
      <c r="A38" s="6" t="s">
        <v>12</v>
      </c>
      <c r="B38" s="35"/>
      <c r="C38" s="141">
        <v>6</v>
      </c>
      <c r="D38" s="31">
        <f>$J$11</f>
        <v>7</v>
      </c>
      <c r="E38" s="31">
        <f t="shared" ref="E38:G38" si="5">$J$11</f>
        <v>7</v>
      </c>
      <c r="F38" s="31">
        <f t="shared" si="5"/>
        <v>7</v>
      </c>
      <c r="G38" s="32">
        <f t="shared" si="5"/>
        <v>7</v>
      </c>
    </row>
    <row r="39" spans="1:7" s="1" customFormat="1" ht="15" x14ac:dyDescent="0.2">
      <c r="A39" s="6" t="s">
        <v>13</v>
      </c>
      <c r="B39" s="2"/>
      <c r="C39" s="145">
        <f>C37-C38</f>
        <v>30</v>
      </c>
      <c r="D39" s="36">
        <f>D37-D38</f>
        <v>80.147400000000005</v>
      </c>
      <c r="E39" s="36">
        <f t="shared" ref="E39:G39" si="6">E37-E38</f>
        <v>89.345300704999971</v>
      </c>
      <c r="F39" s="36">
        <f t="shared" si="6"/>
        <v>100.21525944323913</v>
      </c>
      <c r="G39" s="37">
        <f t="shared" si="6"/>
        <v>112.21985807830939</v>
      </c>
    </row>
    <row r="40" spans="1:7" s="1" customFormat="1" x14ac:dyDescent="0.2">
      <c r="A40" s="6" t="s">
        <v>14</v>
      </c>
      <c r="B40" s="2"/>
      <c r="C40" s="140">
        <v>0</v>
      </c>
      <c r="D40" s="25">
        <f>(DIV*D39)</f>
        <v>4.0073700000000008</v>
      </c>
      <c r="E40" s="25">
        <f>(DIV*E39)</f>
        <v>4.4672650352499987</v>
      </c>
      <c r="F40" s="25">
        <f>(DIV*F39)</f>
        <v>5.0107629721619569</v>
      </c>
      <c r="G40" s="26">
        <f>(DIV*G39)</f>
        <v>5.61099290391547</v>
      </c>
    </row>
    <row r="41" spans="1:7" s="1" customFormat="1" x14ac:dyDescent="0.2">
      <c r="A41" s="6" t="s">
        <v>15</v>
      </c>
      <c r="B41" s="2"/>
      <c r="C41" s="144">
        <f>C39-C40</f>
        <v>30</v>
      </c>
      <c r="D41" s="25">
        <f>D39-D40</f>
        <v>76.14003000000001</v>
      </c>
      <c r="E41" s="25">
        <f t="shared" ref="E41:G41" si="7">E39-E40</f>
        <v>84.878035669749977</v>
      </c>
      <c r="F41" s="25">
        <f t="shared" si="7"/>
        <v>95.204496471077178</v>
      </c>
      <c r="G41" s="26">
        <f t="shared" si="7"/>
        <v>106.60886517439391</v>
      </c>
    </row>
    <row r="42" spans="1:7" s="1" customFormat="1" x14ac:dyDescent="0.2">
      <c r="A42" s="6"/>
      <c r="B42" s="2"/>
      <c r="C42" s="143"/>
      <c r="D42" s="38"/>
      <c r="E42" s="38"/>
      <c r="F42" s="38"/>
      <c r="G42" s="39"/>
    </row>
    <row r="43" spans="1:7" s="1" customFormat="1" x14ac:dyDescent="0.2">
      <c r="A43" s="6" t="s">
        <v>16</v>
      </c>
      <c r="B43" s="2"/>
      <c r="C43" s="143">
        <f>$J$18</f>
        <v>100</v>
      </c>
      <c r="D43" s="40">
        <f t="shared" ref="D43:G43" si="8">$J$18</f>
        <v>100</v>
      </c>
      <c r="E43" s="40">
        <f t="shared" si="8"/>
        <v>100</v>
      </c>
      <c r="F43" s="40">
        <f t="shared" si="8"/>
        <v>100</v>
      </c>
      <c r="G43" s="41">
        <f t="shared" si="8"/>
        <v>100</v>
      </c>
    </row>
    <row r="44" spans="1:7" s="1" customFormat="1" ht="13.8" thickBot="1" x14ac:dyDescent="0.25">
      <c r="A44" s="42" t="s">
        <v>2</v>
      </c>
      <c r="B44" s="4"/>
      <c r="C44" s="101">
        <f>C40/C43</f>
        <v>0</v>
      </c>
      <c r="D44" s="43">
        <f>D40/D43</f>
        <v>4.0073700000000011E-2</v>
      </c>
      <c r="E44" s="43">
        <f t="shared" ref="E44:G44" si="9">E40/E43</f>
        <v>4.4672650352499989E-2</v>
      </c>
      <c r="F44" s="43">
        <f t="shared" si="9"/>
        <v>5.010762972161957E-2</v>
      </c>
      <c r="G44" s="44">
        <f t="shared" si="9"/>
        <v>5.6109929039154703E-2</v>
      </c>
    </row>
    <row r="45" spans="1:7" s="1" customFormat="1" x14ac:dyDescent="0.2">
      <c r="A45" s="187"/>
      <c r="B45" s="188"/>
      <c r="C45" s="188"/>
      <c r="D45" s="188"/>
      <c r="E45" s="188"/>
      <c r="F45" s="188"/>
      <c r="G45" s="189"/>
    </row>
    <row r="46" spans="1:7" s="1" customFormat="1" x14ac:dyDescent="0.2">
      <c r="A46" s="190"/>
      <c r="B46" s="191"/>
      <c r="C46" s="191"/>
      <c r="D46" s="191"/>
      <c r="E46" s="191"/>
      <c r="F46" s="191"/>
      <c r="G46" s="192"/>
    </row>
    <row r="47" spans="1:7" s="1" customFormat="1" x14ac:dyDescent="0.2">
      <c r="A47" s="193" t="s">
        <v>82</v>
      </c>
      <c r="B47" s="194"/>
      <c r="C47" s="194"/>
      <c r="D47" s="194"/>
      <c r="E47" s="194"/>
      <c r="F47" s="194"/>
      <c r="G47" s="195"/>
    </row>
    <row r="48" spans="1:7" s="1" customFormat="1" x14ac:dyDescent="0.2">
      <c r="A48" s="196"/>
      <c r="B48" s="194"/>
      <c r="C48" s="194"/>
      <c r="D48" s="194"/>
      <c r="E48" s="194"/>
      <c r="F48" s="194"/>
      <c r="G48" s="195"/>
    </row>
    <row r="49" spans="1:12" s="1" customFormat="1" x14ac:dyDescent="0.2">
      <c r="A49" s="196"/>
      <c r="B49" s="194"/>
      <c r="C49" s="194"/>
      <c r="D49" s="194"/>
      <c r="E49" s="194"/>
      <c r="F49" s="194"/>
      <c r="G49" s="195"/>
    </row>
    <row r="50" spans="1:12" s="1" customFormat="1" ht="13.8" thickBot="1" x14ac:dyDescent="0.25">
      <c r="A50" s="197"/>
      <c r="B50" s="198"/>
      <c r="C50" s="198"/>
      <c r="D50" s="198"/>
      <c r="E50" s="198"/>
      <c r="F50" s="198"/>
      <c r="G50" s="199"/>
    </row>
    <row r="51" spans="1:12" ht="13.8" thickBot="1" x14ac:dyDescent="0.3">
      <c r="A51" s="45"/>
      <c r="B51" s="11"/>
      <c r="C51" s="46"/>
      <c r="D51" s="46"/>
      <c r="E51" s="46"/>
      <c r="F51" s="46"/>
      <c r="G51" s="46"/>
      <c r="I51" s="1"/>
      <c r="J51" s="1"/>
      <c r="K51" s="1"/>
      <c r="L51" s="1"/>
    </row>
    <row r="52" spans="1:12" s="1" customFormat="1" ht="13.8" thickBot="1" x14ac:dyDescent="0.3">
      <c r="A52" s="68" t="s">
        <v>79</v>
      </c>
      <c r="B52" s="7"/>
      <c r="C52" s="72"/>
      <c r="D52" s="72"/>
      <c r="E52" s="72"/>
      <c r="F52" s="72"/>
      <c r="G52" s="73"/>
      <c r="I52" s="8"/>
      <c r="J52" s="8"/>
      <c r="K52" s="8"/>
      <c r="L52" s="8"/>
    </row>
    <row r="53" spans="1:12" s="1" customFormat="1" ht="13.8" thickBot="1" x14ac:dyDescent="0.25">
      <c r="A53" s="6"/>
      <c r="B53" s="2"/>
      <c r="C53" s="47" t="s">
        <v>0</v>
      </c>
      <c r="D53" s="200" t="s">
        <v>1</v>
      </c>
      <c r="E53" s="185"/>
      <c r="F53" s="185"/>
      <c r="G53" s="186"/>
    </row>
    <row r="54" spans="1:12" s="1" customFormat="1" ht="13.8" thickBot="1" x14ac:dyDescent="0.25">
      <c r="A54" s="6" t="s">
        <v>17</v>
      </c>
      <c r="B54" s="2"/>
      <c r="C54" s="18">
        <f>C28</f>
        <v>2021</v>
      </c>
      <c r="D54" s="21">
        <f>D28</f>
        <v>2022</v>
      </c>
      <c r="E54" s="21">
        <f>E28</f>
        <v>2023</v>
      </c>
      <c r="F54" s="21">
        <f>F28</f>
        <v>2024</v>
      </c>
      <c r="G54" s="18">
        <f>G28</f>
        <v>2025</v>
      </c>
    </row>
    <row r="55" spans="1:12" s="1" customFormat="1" x14ac:dyDescent="0.2">
      <c r="A55" s="6" t="s">
        <v>18</v>
      </c>
      <c r="B55" s="2"/>
      <c r="C55" s="100">
        <v>17</v>
      </c>
      <c r="D55" s="150">
        <f>CASH*C63</f>
        <v>12.280000000000001</v>
      </c>
      <c r="E55" s="150">
        <f>CASH*D63</f>
        <v>13.3796</v>
      </c>
      <c r="F55" s="150">
        <f>CASH*E63</f>
        <v>14.714992000000002</v>
      </c>
      <c r="G55" s="151">
        <f>CASH*F63</f>
        <v>16.186439840000002</v>
      </c>
      <c r="H55" s="1" t="s">
        <v>105</v>
      </c>
    </row>
    <row r="56" spans="1:12" s="1" customFormat="1" ht="14.4" x14ac:dyDescent="0.2">
      <c r="A56" s="6" t="s">
        <v>42</v>
      </c>
      <c r="B56" s="23"/>
      <c r="C56" s="140">
        <v>63</v>
      </c>
      <c r="D56" s="150">
        <f t="shared" ref="D56:G59" si="10">(1+SG)*C56</f>
        <v>69.300000000000011</v>
      </c>
      <c r="E56" s="150">
        <f t="shared" si="10"/>
        <v>76.230000000000018</v>
      </c>
      <c r="F56" s="150">
        <f t="shared" si="10"/>
        <v>83.853000000000023</v>
      </c>
      <c r="G56" s="151">
        <f t="shared" si="10"/>
        <v>92.238300000000038</v>
      </c>
      <c r="H56" s="1" t="s">
        <v>106</v>
      </c>
    </row>
    <row r="57" spans="1:12" s="1" customFormat="1" x14ac:dyDescent="0.2">
      <c r="A57" s="6" t="s">
        <v>19</v>
      </c>
      <c r="B57" s="2"/>
      <c r="C57" s="140">
        <v>85</v>
      </c>
      <c r="D57" s="150">
        <f t="shared" si="10"/>
        <v>93.500000000000014</v>
      </c>
      <c r="E57" s="150">
        <f t="shared" si="10"/>
        <v>102.85000000000002</v>
      </c>
      <c r="F57" s="150">
        <f t="shared" si="10"/>
        <v>113.13500000000003</v>
      </c>
      <c r="G57" s="151">
        <f t="shared" si="10"/>
        <v>124.44850000000005</v>
      </c>
    </row>
    <row r="58" spans="1:12" s="1" customFormat="1" x14ac:dyDescent="0.2">
      <c r="A58" s="6" t="s">
        <v>20</v>
      </c>
      <c r="B58" s="2"/>
      <c r="C58" s="140">
        <v>170</v>
      </c>
      <c r="D58" s="150">
        <f t="shared" ref="D58" si="11">(1+SG)*C58</f>
        <v>187.00000000000003</v>
      </c>
      <c r="E58" s="150">
        <f t="shared" ref="E58" si="12">(1+SG)*D58</f>
        <v>205.70000000000005</v>
      </c>
      <c r="F58" s="150">
        <f t="shared" ref="F58" si="13">(1+SG)*E58</f>
        <v>226.27000000000007</v>
      </c>
      <c r="G58" s="151">
        <f t="shared" ref="G58" si="14">(1+SG)*F58</f>
        <v>248.89700000000011</v>
      </c>
    </row>
    <row r="59" spans="1:12" s="1" customFormat="1" ht="15" x14ac:dyDescent="0.2">
      <c r="A59" s="6" t="s">
        <v>156</v>
      </c>
      <c r="B59" s="2"/>
      <c r="C59" s="141">
        <v>0</v>
      </c>
      <c r="D59" s="152">
        <f t="shared" si="10"/>
        <v>0</v>
      </c>
      <c r="E59" s="152">
        <f t="shared" si="10"/>
        <v>0</v>
      </c>
      <c r="F59" s="152">
        <f t="shared" si="10"/>
        <v>0</v>
      </c>
      <c r="G59" s="153">
        <f t="shared" si="10"/>
        <v>0</v>
      </c>
      <c r="H59" s="1" t="s">
        <v>158</v>
      </c>
    </row>
    <row r="60" spans="1:12" s="1" customFormat="1" x14ac:dyDescent="0.2">
      <c r="A60" s="6" t="s">
        <v>21</v>
      </c>
      <c r="B60" s="2"/>
      <c r="C60" s="146">
        <f>SUM(C55:C59)</f>
        <v>335</v>
      </c>
      <c r="D60" s="150">
        <f>SUM(D55:D59)</f>
        <v>362.08000000000004</v>
      </c>
      <c r="E60" s="150">
        <f t="shared" ref="E60:G60" si="15">SUM(E55:E59)</f>
        <v>398.15960000000007</v>
      </c>
      <c r="F60" s="150">
        <f t="shared" si="15"/>
        <v>437.97299200000009</v>
      </c>
      <c r="G60" s="151">
        <f t="shared" si="15"/>
        <v>481.77023984000022</v>
      </c>
    </row>
    <row r="61" spans="1:12" s="1" customFormat="1" x14ac:dyDescent="0.2">
      <c r="A61" s="6" t="s">
        <v>22</v>
      </c>
      <c r="B61" s="2"/>
      <c r="C61" s="140">
        <v>279</v>
      </c>
      <c r="D61" s="150">
        <f t="shared" ref="D61:G62" si="16">(1+SG)*C61</f>
        <v>306.90000000000003</v>
      </c>
      <c r="E61" s="150">
        <f t="shared" si="16"/>
        <v>337.59000000000009</v>
      </c>
      <c r="F61" s="150">
        <f t="shared" si="16"/>
        <v>371.3490000000001</v>
      </c>
      <c r="G61" s="151">
        <f t="shared" si="16"/>
        <v>408.48390000000012</v>
      </c>
    </row>
    <row r="62" spans="1:12" s="1" customFormat="1" ht="15" x14ac:dyDescent="0.2">
      <c r="A62" s="6" t="s">
        <v>151</v>
      </c>
      <c r="B62" s="2"/>
      <c r="C62" s="141">
        <v>0</v>
      </c>
      <c r="D62" s="152">
        <f t="shared" si="16"/>
        <v>0</v>
      </c>
      <c r="E62" s="152">
        <f t="shared" si="16"/>
        <v>0</v>
      </c>
      <c r="F62" s="152">
        <f t="shared" si="16"/>
        <v>0</v>
      </c>
      <c r="G62" s="153">
        <f t="shared" si="16"/>
        <v>0</v>
      </c>
      <c r="H62" s="1" t="s">
        <v>157</v>
      </c>
    </row>
    <row r="63" spans="1:12" s="1" customFormat="1" x14ac:dyDescent="0.2">
      <c r="A63" s="6" t="s">
        <v>23</v>
      </c>
      <c r="B63" s="2"/>
      <c r="C63" s="147">
        <f>SUM(C60:C62)</f>
        <v>614</v>
      </c>
      <c r="D63" s="154">
        <f>SUM(D60:D62)</f>
        <v>668.98</v>
      </c>
      <c r="E63" s="154">
        <f t="shared" ref="E63:G63" si="17">SUM(E60:E62)</f>
        <v>735.7496000000001</v>
      </c>
      <c r="F63" s="154">
        <f t="shared" si="17"/>
        <v>809.32199200000014</v>
      </c>
      <c r="G63" s="155">
        <f t="shared" si="17"/>
        <v>890.25413984000033</v>
      </c>
    </row>
    <row r="64" spans="1:12" s="1" customFormat="1" x14ac:dyDescent="0.2">
      <c r="A64" s="6"/>
      <c r="B64" s="2"/>
      <c r="C64" s="146"/>
      <c r="D64" s="150"/>
      <c r="E64" s="150"/>
      <c r="F64" s="150"/>
      <c r="G64" s="151"/>
    </row>
    <row r="65" spans="1:8" s="1" customFormat="1" x14ac:dyDescent="0.2">
      <c r="A65" s="6" t="s">
        <v>24</v>
      </c>
      <c r="B65" s="2"/>
      <c r="C65" s="146"/>
      <c r="D65" s="150"/>
      <c r="E65" s="150"/>
      <c r="F65" s="150"/>
      <c r="G65" s="151"/>
    </row>
    <row r="66" spans="1:8" s="1" customFormat="1" x14ac:dyDescent="0.2">
      <c r="A66" s="6" t="s">
        <v>25</v>
      </c>
      <c r="B66" s="2"/>
      <c r="C66" s="140">
        <v>16</v>
      </c>
      <c r="D66" s="150">
        <f>(1+SG)*C66</f>
        <v>17.600000000000001</v>
      </c>
      <c r="E66" s="150">
        <f>(1+SG)*D66</f>
        <v>19.360000000000003</v>
      </c>
      <c r="F66" s="150">
        <f>(1+SG)*E66</f>
        <v>21.296000000000006</v>
      </c>
      <c r="G66" s="151">
        <f>(1+SG)*F66</f>
        <v>23.42560000000001</v>
      </c>
      <c r="H66" s="1" t="s">
        <v>107</v>
      </c>
    </row>
    <row r="67" spans="1:8" s="1" customFormat="1" x14ac:dyDescent="0.2">
      <c r="A67" s="6" t="s">
        <v>26</v>
      </c>
      <c r="B67" s="23"/>
      <c r="C67" s="140">
        <v>123</v>
      </c>
      <c r="D67" s="150">
        <f>D63-D66-D68-D70-D72-D76-D71</f>
        <v>159.03996999999998</v>
      </c>
      <c r="E67" s="150">
        <f t="shared" ref="E67:G67" si="18">E63-E66-E68-E70-E72-E76-E71</f>
        <v>123.33553433025014</v>
      </c>
      <c r="F67" s="150">
        <f t="shared" si="18"/>
        <v>81.089509859173006</v>
      </c>
      <c r="G67" s="151">
        <f t="shared" si="18"/>
        <v>32.712314124779255</v>
      </c>
      <c r="H67" s="1" t="s">
        <v>113</v>
      </c>
    </row>
    <row r="68" spans="1:8" s="1" customFormat="1" ht="15" x14ac:dyDescent="0.2">
      <c r="A68" s="6" t="s">
        <v>159</v>
      </c>
      <c r="B68" s="2"/>
      <c r="C68" s="141">
        <v>44</v>
      </c>
      <c r="D68" s="152">
        <f>(1+SG)*C68</f>
        <v>48.400000000000006</v>
      </c>
      <c r="E68" s="152">
        <f>(1+SG)*D68</f>
        <v>53.240000000000009</v>
      </c>
      <c r="F68" s="152">
        <f>(1+SG)*E68</f>
        <v>58.564000000000014</v>
      </c>
      <c r="G68" s="153">
        <f>(1+SG)*F68</f>
        <v>64.420400000000015</v>
      </c>
      <c r="H68" s="1" t="s">
        <v>160</v>
      </c>
    </row>
    <row r="69" spans="1:8" s="1" customFormat="1" x14ac:dyDescent="0.2">
      <c r="A69" s="6" t="s">
        <v>27</v>
      </c>
      <c r="B69" s="2"/>
      <c r="C69" s="146">
        <f>SUM(C66:C68)</f>
        <v>183</v>
      </c>
      <c r="D69" s="150">
        <f>SUM(D66:D68)</f>
        <v>225.03996999999998</v>
      </c>
      <c r="E69" s="150">
        <f t="shared" ref="E69:G69" si="19">SUM(E66:E68)</f>
        <v>195.93553433025016</v>
      </c>
      <c r="F69" s="150">
        <f t="shared" si="19"/>
        <v>160.94950985917302</v>
      </c>
      <c r="G69" s="151">
        <f t="shared" si="19"/>
        <v>120.55831412477929</v>
      </c>
    </row>
    <row r="70" spans="1:8" s="1" customFormat="1" x14ac:dyDescent="0.2">
      <c r="A70" s="6" t="s">
        <v>28</v>
      </c>
      <c r="B70" s="23"/>
      <c r="C70" s="140">
        <v>124</v>
      </c>
      <c r="D70" s="150">
        <f>LTD*C63</f>
        <v>92.1</v>
      </c>
      <c r="E70" s="150">
        <f>LTD*D63</f>
        <v>100.34699999999999</v>
      </c>
      <c r="F70" s="150">
        <f>LTD*E63</f>
        <v>110.36244000000001</v>
      </c>
      <c r="G70" s="151">
        <f>LTD*F63</f>
        <v>121.39829880000002</v>
      </c>
      <c r="H70" s="1" t="s">
        <v>112</v>
      </c>
    </row>
    <row r="71" spans="1:8" s="1" customFormat="1" x14ac:dyDescent="0.2">
      <c r="A71" s="6" t="s">
        <v>154</v>
      </c>
      <c r="B71" s="23"/>
      <c r="C71" s="140">
        <v>0</v>
      </c>
      <c r="D71" s="150">
        <f>C71</f>
        <v>0</v>
      </c>
      <c r="E71" s="150">
        <f t="shared" ref="E71:G71" si="20">D71</f>
        <v>0</v>
      </c>
      <c r="F71" s="150">
        <f t="shared" si="20"/>
        <v>0</v>
      </c>
      <c r="G71" s="151">
        <f t="shared" si="20"/>
        <v>0</v>
      </c>
      <c r="H71" s="1" t="s">
        <v>153</v>
      </c>
    </row>
    <row r="72" spans="1:8" s="1" customFormat="1" x14ac:dyDescent="0.2">
      <c r="A72" s="6" t="s">
        <v>3</v>
      </c>
      <c r="B72" s="23"/>
      <c r="C72" s="140">
        <v>62</v>
      </c>
      <c r="D72" s="150">
        <f>PSTK*C63</f>
        <v>30.700000000000003</v>
      </c>
      <c r="E72" s="150">
        <f>PSTK*D63</f>
        <v>33.449000000000005</v>
      </c>
      <c r="F72" s="150">
        <f>PSTK*E63</f>
        <v>36.787480000000009</v>
      </c>
      <c r="G72" s="151">
        <f>PSTK*F63</f>
        <v>40.466099600000007</v>
      </c>
      <c r="H72" s="1" t="s">
        <v>109</v>
      </c>
    </row>
    <row r="73" spans="1:8" s="1" customFormat="1" ht="14.4" x14ac:dyDescent="0.2">
      <c r="A73" s="6" t="s">
        <v>43</v>
      </c>
      <c r="B73" s="23"/>
      <c r="C73" s="140">
        <v>200</v>
      </c>
      <c r="D73" s="150">
        <f>C73</f>
        <v>200</v>
      </c>
      <c r="E73" s="150">
        <f t="shared" ref="E73:G73" si="21">D73</f>
        <v>200</v>
      </c>
      <c r="F73" s="150">
        <f t="shared" si="21"/>
        <v>200</v>
      </c>
      <c r="G73" s="151">
        <f t="shared" si="21"/>
        <v>200</v>
      </c>
    </row>
    <row r="74" spans="1:8" s="1" customFormat="1" x14ac:dyDescent="0.2">
      <c r="A74" s="6" t="s">
        <v>29</v>
      </c>
      <c r="B74" s="23"/>
      <c r="C74" s="140">
        <v>45</v>
      </c>
      <c r="D74" s="150">
        <f>C74+D41</f>
        <v>121.14003000000001</v>
      </c>
      <c r="E74" s="150">
        <f t="shared" ref="E74:G74" si="22">D74+E41</f>
        <v>206.01806566975</v>
      </c>
      <c r="F74" s="150">
        <f t="shared" si="22"/>
        <v>301.22256214082716</v>
      </c>
      <c r="G74" s="151">
        <f t="shared" si="22"/>
        <v>407.83142731522105</v>
      </c>
    </row>
    <row r="75" spans="1:8" s="1" customFormat="1" ht="15" x14ac:dyDescent="0.2">
      <c r="A75" s="6" t="s">
        <v>152</v>
      </c>
      <c r="B75" s="23"/>
      <c r="C75" s="141">
        <v>0</v>
      </c>
      <c r="D75" s="152">
        <f>C75</f>
        <v>0</v>
      </c>
      <c r="E75" s="152">
        <f t="shared" ref="E75:G75" si="23">D75</f>
        <v>0</v>
      </c>
      <c r="F75" s="152">
        <f t="shared" si="23"/>
        <v>0</v>
      </c>
      <c r="G75" s="153">
        <f t="shared" si="23"/>
        <v>0</v>
      </c>
    </row>
    <row r="76" spans="1:8" s="1" customFormat="1" x14ac:dyDescent="0.2">
      <c r="A76" s="6" t="s">
        <v>30</v>
      </c>
      <c r="B76" s="2"/>
      <c r="C76" s="148">
        <f>SUM(C73:C75)</f>
        <v>245</v>
      </c>
      <c r="D76" s="156">
        <f>SUM(D73:D75)</f>
        <v>321.14003000000002</v>
      </c>
      <c r="E76" s="156">
        <f t="shared" ref="E76:G76" si="24">SUM(E73:E75)</f>
        <v>406.01806566975</v>
      </c>
      <c r="F76" s="156">
        <f t="shared" si="24"/>
        <v>501.22256214082716</v>
      </c>
      <c r="G76" s="157">
        <f t="shared" si="24"/>
        <v>607.83142731522105</v>
      </c>
    </row>
    <row r="77" spans="1:8" s="1" customFormat="1" ht="15.6" thickBot="1" x14ac:dyDescent="0.25">
      <c r="A77" s="42" t="s">
        <v>31</v>
      </c>
      <c r="B77" s="4"/>
      <c r="C77" s="149">
        <f>C76+C72+C70+C69+C71</f>
        <v>614</v>
      </c>
      <c r="D77" s="158">
        <f t="shared" ref="D77:G77" si="25">D76+D72+D70+D69+D71</f>
        <v>668.98</v>
      </c>
      <c r="E77" s="158">
        <f t="shared" si="25"/>
        <v>735.7496000000001</v>
      </c>
      <c r="F77" s="158">
        <f t="shared" si="25"/>
        <v>809.32199200000014</v>
      </c>
      <c r="G77" s="159">
        <f t="shared" si="25"/>
        <v>890.25413984000033</v>
      </c>
    </row>
    <row r="78" spans="1:8" s="1" customFormat="1" x14ac:dyDescent="0.2">
      <c r="A78" s="164" t="s">
        <v>44</v>
      </c>
      <c r="B78" s="165"/>
      <c r="C78" s="165"/>
      <c r="D78" s="165"/>
      <c r="E78" s="165"/>
      <c r="F78" s="165"/>
      <c r="G78" s="166"/>
    </row>
    <row r="79" spans="1:8" s="1" customFormat="1" x14ac:dyDescent="0.2">
      <c r="A79" s="167"/>
      <c r="B79" s="168"/>
      <c r="C79" s="168"/>
      <c r="D79" s="168"/>
      <c r="E79" s="168"/>
      <c r="F79" s="168"/>
      <c r="G79" s="169"/>
    </row>
    <row r="80" spans="1:8" s="1" customFormat="1" ht="15.6" thickBot="1" x14ac:dyDescent="0.25">
      <c r="A80" s="74" t="s">
        <v>45</v>
      </c>
      <c r="B80" s="4"/>
      <c r="C80" s="75"/>
      <c r="D80" s="49"/>
      <c r="E80" s="49"/>
      <c r="F80" s="49"/>
      <c r="G80" s="76"/>
    </row>
    <row r="81" spans="1:12" ht="15" x14ac:dyDescent="0.25">
      <c r="A81" s="3"/>
      <c r="B81" s="3"/>
      <c r="C81" s="50"/>
      <c r="D81" s="51"/>
      <c r="E81" s="51"/>
      <c r="F81" s="51"/>
      <c r="G81" s="51"/>
      <c r="I81" s="1"/>
      <c r="J81" s="1"/>
      <c r="K81" s="1"/>
      <c r="L81" s="1"/>
    </row>
    <row r="82" spans="1:12" ht="15" x14ac:dyDescent="0.25">
      <c r="A82" s="3"/>
      <c r="B82" s="3"/>
      <c r="C82" s="50"/>
      <c r="D82" s="51"/>
      <c r="E82" s="51"/>
      <c r="F82" s="51"/>
      <c r="G82" s="51"/>
    </row>
    <row r="83" spans="1:12" ht="13.8" thickBot="1" x14ac:dyDescent="0.3"/>
    <row r="84" spans="1:12" s="1" customFormat="1" ht="15.6" thickBot="1" x14ac:dyDescent="0.3">
      <c r="A84" s="68" t="s">
        <v>80</v>
      </c>
      <c r="B84" s="7"/>
      <c r="C84" s="69"/>
      <c r="D84" s="70"/>
      <c r="E84" s="70"/>
      <c r="F84" s="70"/>
      <c r="G84" s="71"/>
      <c r="I84" s="8"/>
      <c r="J84" s="8"/>
      <c r="K84" s="8"/>
      <c r="L84" s="8"/>
    </row>
    <row r="85" spans="1:12" s="1" customFormat="1" ht="13.8" thickBot="1" x14ac:dyDescent="0.25">
      <c r="A85" s="6"/>
      <c r="B85" s="2"/>
      <c r="C85" s="5" t="s">
        <v>0</v>
      </c>
      <c r="D85" s="184" t="s">
        <v>1</v>
      </c>
      <c r="E85" s="185"/>
      <c r="F85" s="185"/>
      <c r="G85" s="186"/>
    </row>
    <row r="86" spans="1:12" s="1" customFormat="1" ht="13.8" thickBot="1" x14ac:dyDescent="0.25">
      <c r="A86" s="12" t="s">
        <v>32</v>
      </c>
      <c r="B86" s="2"/>
      <c r="C86" s="18">
        <f>C28</f>
        <v>2021</v>
      </c>
      <c r="D86" s="52">
        <f>D28</f>
        <v>2022</v>
      </c>
      <c r="E86" s="52">
        <f>E28</f>
        <v>2023</v>
      </c>
      <c r="F86" s="52">
        <f>F28</f>
        <v>2024</v>
      </c>
      <c r="G86" s="18">
        <f>G28</f>
        <v>2025</v>
      </c>
    </row>
    <row r="87" spans="1:12" s="1" customFormat="1" ht="14.4" x14ac:dyDescent="0.2">
      <c r="A87" s="174" t="s">
        <v>46</v>
      </c>
      <c r="B87" s="175"/>
      <c r="C87" s="24">
        <f>(C55+C57+C58+C59)-(C66+C68)</f>
        <v>212</v>
      </c>
      <c r="D87" s="53">
        <f t="shared" ref="D87:G87" si="26">(D55+D57+D58+D59)-(D66+D68)</f>
        <v>226.78000000000003</v>
      </c>
      <c r="E87" s="53">
        <f t="shared" si="26"/>
        <v>249.32960000000003</v>
      </c>
      <c r="F87" s="53">
        <f t="shared" si="26"/>
        <v>274.25999200000012</v>
      </c>
      <c r="G87" s="26">
        <f t="shared" si="26"/>
        <v>301.68593984000017</v>
      </c>
      <c r="H87" s="1" t="s">
        <v>33</v>
      </c>
    </row>
    <row r="88" spans="1:12" s="1" customFormat="1" ht="15" x14ac:dyDescent="0.2">
      <c r="A88" s="174" t="s">
        <v>34</v>
      </c>
      <c r="B88" s="175"/>
      <c r="C88" s="30">
        <f>C61</f>
        <v>279</v>
      </c>
      <c r="D88" s="54">
        <f>D61</f>
        <v>306.90000000000003</v>
      </c>
      <c r="E88" s="54">
        <f>E61</f>
        <v>337.59000000000009</v>
      </c>
      <c r="F88" s="54">
        <f>F61</f>
        <v>371.3490000000001</v>
      </c>
      <c r="G88" s="32">
        <f>G61</f>
        <v>408.48390000000012</v>
      </c>
    </row>
    <row r="89" spans="1:12" s="1" customFormat="1" x14ac:dyDescent="0.2">
      <c r="A89" s="174" t="s">
        <v>35</v>
      </c>
      <c r="B89" s="175"/>
      <c r="C89" s="24">
        <f>C87+C88</f>
        <v>491</v>
      </c>
      <c r="D89" s="53">
        <f>D87+D88</f>
        <v>533.68000000000006</v>
      </c>
      <c r="E89" s="53">
        <f>E87+E88</f>
        <v>586.91960000000017</v>
      </c>
      <c r="F89" s="53">
        <f>F87+F88</f>
        <v>645.60899200000017</v>
      </c>
      <c r="G89" s="26">
        <f>G87+G88</f>
        <v>710.16983984000035</v>
      </c>
      <c r="H89" s="1" t="s">
        <v>36</v>
      </c>
    </row>
    <row r="90" spans="1:12" s="1" customFormat="1" x14ac:dyDescent="0.2">
      <c r="A90" s="174" t="s">
        <v>37</v>
      </c>
      <c r="B90" s="175"/>
      <c r="C90" s="55"/>
      <c r="D90" s="56">
        <f>D89-C89</f>
        <v>42.680000000000064</v>
      </c>
      <c r="E90" s="56">
        <f>E89-D89</f>
        <v>53.23960000000011</v>
      </c>
      <c r="F90" s="56">
        <f>F89-E89</f>
        <v>58.689391999999998</v>
      </c>
      <c r="G90" s="57">
        <f>G89-F89</f>
        <v>64.560847840000179</v>
      </c>
      <c r="H90" s="1" t="s">
        <v>38</v>
      </c>
    </row>
    <row r="91" spans="1:12" s="1" customFormat="1" x14ac:dyDescent="0.2">
      <c r="A91" s="174" t="s">
        <v>39</v>
      </c>
      <c r="B91" s="175"/>
      <c r="C91" s="24">
        <f>C33*(1-TR)</f>
        <v>34.309999999999995</v>
      </c>
      <c r="D91" s="53">
        <f>D33*(1-TR)</f>
        <v>90.287000000000006</v>
      </c>
      <c r="E91" s="58">
        <f>E33*(1-TR)</f>
        <v>99.315699999999964</v>
      </c>
      <c r="F91" s="58">
        <f>F33*(1-TR)</f>
        <v>109.24727000000001</v>
      </c>
      <c r="G91" s="59">
        <f>G33*(1-TR)</f>
        <v>120.17199699999996</v>
      </c>
      <c r="H91" s="1" t="s">
        <v>40</v>
      </c>
    </row>
    <row r="92" spans="1:12" s="1" customFormat="1" ht="15" x14ac:dyDescent="0.2">
      <c r="A92" s="174" t="s">
        <v>115</v>
      </c>
      <c r="B92" s="175"/>
      <c r="C92" s="55"/>
      <c r="D92" s="54">
        <f>D90</f>
        <v>42.680000000000064</v>
      </c>
      <c r="E92" s="54">
        <f>E90</f>
        <v>53.23960000000011</v>
      </c>
      <c r="F92" s="54">
        <f>F90</f>
        <v>58.689391999999998</v>
      </c>
      <c r="G92" s="32">
        <f>G90</f>
        <v>64.560847840000179</v>
      </c>
    </row>
    <row r="93" spans="1:12" s="1" customFormat="1" ht="15.6" thickBot="1" x14ac:dyDescent="0.25">
      <c r="A93" s="176" t="s">
        <v>41</v>
      </c>
      <c r="B93" s="177"/>
      <c r="C93" s="60"/>
      <c r="D93" s="61">
        <f>D91-D92</f>
        <v>47.606999999999942</v>
      </c>
      <c r="E93" s="61">
        <f>E91-E92</f>
        <v>46.076099999999855</v>
      </c>
      <c r="F93" s="61">
        <f>F91-F92</f>
        <v>50.557878000000017</v>
      </c>
      <c r="G93" s="62">
        <f>G91-G92</f>
        <v>55.611149159999783</v>
      </c>
    </row>
    <row r="94" spans="1:12" s="3" customFormat="1" x14ac:dyDescent="0.2">
      <c r="A94" s="164" t="s">
        <v>47</v>
      </c>
      <c r="B94" s="165"/>
      <c r="C94" s="165"/>
      <c r="D94" s="165"/>
      <c r="E94" s="165"/>
      <c r="F94" s="165"/>
      <c r="G94" s="166"/>
      <c r="I94" s="1"/>
      <c r="J94" s="1"/>
      <c r="K94" s="1"/>
      <c r="L94" s="1"/>
    </row>
    <row r="95" spans="1:12" s="3" customFormat="1" x14ac:dyDescent="0.2">
      <c r="A95" s="167"/>
      <c r="B95" s="168"/>
      <c r="C95" s="168"/>
      <c r="D95" s="168"/>
      <c r="E95" s="168"/>
      <c r="F95" s="168"/>
      <c r="G95" s="169"/>
    </row>
    <row r="96" spans="1:12" s="3" customFormat="1" x14ac:dyDescent="0.2">
      <c r="A96" s="170"/>
      <c r="B96" s="168"/>
      <c r="C96" s="168"/>
      <c r="D96" s="168"/>
      <c r="E96" s="168"/>
      <c r="F96" s="168"/>
      <c r="G96" s="169"/>
    </row>
    <row r="97" spans="1:12" s="3" customFormat="1" ht="13.8" thickBot="1" x14ac:dyDescent="0.25">
      <c r="A97" s="171"/>
      <c r="B97" s="172"/>
      <c r="C97" s="172"/>
      <c r="D97" s="172"/>
      <c r="E97" s="172"/>
      <c r="F97" s="172"/>
      <c r="G97" s="173"/>
    </row>
    <row r="98" spans="1:12" s="10" customFormat="1" ht="15.6" thickBot="1" x14ac:dyDescent="0.3">
      <c r="A98" s="63"/>
      <c r="B98" s="63"/>
      <c r="C98" s="64"/>
      <c r="D98" s="65"/>
      <c r="E98" s="65"/>
      <c r="F98" s="65"/>
      <c r="G98" s="65"/>
      <c r="I98" s="3"/>
      <c r="J98" s="3"/>
      <c r="K98" s="3"/>
      <c r="L98" s="3"/>
    </row>
    <row r="99" spans="1:12" ht="15.6" thickBot="1" x14ac:dyDescent="0.3">
      <c r="A99" s="68" t="s">
        <v>95</v>
      </c>
      <c r="B99" s="7"/>
      <c r="C99" s="69"/>
      <c r="D99" s="70"/>
      <c r="E99" s="70"/>
      <c r="F99" s="70"/>
      <c r="G99" s="71"/>
      <c r="I99" s="10"/>
      <c r="J99" s="10"/>
      <c r="K99" s="10"/>
      <c r="L99" s="10"/>
    </row>
    <row r="100" spans="1:12" ht="13.8" thickBot="1" x14ac:dyDescent="0.3">
      <c r="A100" s="6"/>
      <c r="B100" s="2"/>
      <c r="C100" s="5" t="s">
        <v>0</v>
      </c>
      <c r="D100" s="184" t="s">
        <v>1</v>
      </c>
      <c r="E100" s="185"/>
      <c r="F100" s="185"/>
      <c r="G100" s="186"/>
    </row>
    <row r="101" spans="1:12" ht="13.8" thickBot="1" x14ac:dyDescent="0.3">
      <c r="A101" s="12" t="s">
        <v>99</v>
      </c>
      <c r="B101" s="2"/>
      <c r="C101" s="18">
        <f>C86</f>
        <v>2021</v>
      </c>
      <c r="D101" s="52">
        <f>D86</f>
        <v>2022</v>
      </c>
      <c r="E101" s="52">
        <f t="shared" ref="E101:G101" si="27">E86</f>
        <v>2023</v>
      </c>
      <c r="F101" s="52">
        <f t="shared" si="27"/>
        <v>2024</v>
      </c>
      <c r="G101" s="18">
        <f t="shared" si="27"/>
        <v>2025</v>
      </c>
    </row>
    <row r="102" spans="1:12" ht="13.8" thickBot="1" x14ac:dyDescent="0.3">
      <c r="A102" s="176" t="s">
        <v>98</v>
      </c>
      <c r="B102" s="177"/>
      <c r="C102" s="60"/>
      <c r="D102" s="86">
        <f>D93</f>
        <v>47.606999999999942</v>
      </c>
      <c r="E102" s="86">
        <f t="shared" ref="E102:G102" si="28">E93</f>
        <v>46.076099999999855</v>
      </c>
      <c r="F102" s="86">
        <f t="shared" si="28"/>
        <v>50.557878000000017</v>
      </c>
      <c r="G102" s="87">
        <f t="shared" si="28"/>
        <v>55.611149159999783</v>
      </c>
    </row>
    <row r="103" spans="1:12" ht="15" x14ac:dyDescent="0.25">
      <c r="A103" s="174" t="s">
        <v>90</v>
      </c>
      <c r="B103" s="175"/>
      <c r="C103" s="27">
        <f>NPV(WACC,D102:G102)</f>
        <v>163.04394204078071</v>
      </c>
      <c r="D103" s="54"/>
      <c r="E103" s="54"/>
      <c r="F103" s="54"/>
      <c r="G103" s="32"/>
    </row>
    <row r="104" spans="1:12" x14ac:dyDescent="0.25">
      <c r="A104" s="174" t="s">
        <v>96</v>
      </c>
      <c r="B104" s="175"/>
      <c r="C104" s="27"/>
      <c r="D104" s="53"/>
      <c r="E104" s="53"/>
      <c r="F104" s="53"/>
      <c r="G104" s="26">
        <f>((1+LTG)*G102)/(WACC-LTG)</f>
        <v>1310.1574647259613</v>
      </c>
    </row>
    <row r="105" spans="1:12" x14ac:dyDescent="0.25">
      <c r="A105" s="174" t="s">
        <v>75</v>
      </c>
      <c r="B105" s="175"/>
      <c r="C105" s="24">
        <f>PV(WACC,4,0,G104)*-1</f>
        <v>948.36519767207096</v>
      </c>
      <c r="D105" s="56"/>
      <c r="E105" s="56"/>
      <c r="F105" s="56"/>
      <c r="G105" s="57"/>
    </row>
    <row r="106" spans="1:12" x14ac:dyDescent="0.25">
      <c r="A106" s="174" t="s">
        <v>91</v>
      </c>
      <c r="B106" s="175"/>
      <c r="C106" s="48">
        <f>C56</f>
        <v>63</v>
      </c>
      <c r="D106" s="53"/>
      <c r="E106" s="58"/>
      <c r="F106" s="58"/>
      <c r="G106" s="59"/>
    </row>
    <row r="107" spans="1:12" x14ac:dyDescent="0.25">
      <c r="A107" s="78" t="s">
        <v>97</v>
      </c>
      <c r="B107" s="79"/>
      <c r="C107" s="24">
        <f>SUM(C103:C106)</f>
        <v>1174.4091397128516</v>
      </c>
      <c r="D107" s="53"/>
      <c r="E107" s="58"/>
      <c r="F107" s="58"/>
      <c r="G107" s="59"/>
    </row>
    <row r="108" spans="1:12" ht="15" x14ac:dyDescent="0.25">
      <c r="A108" s="174" t="s">
        <v>92</v>
      </c>
      <c r="B108" s="175"/>
      <c r="C108" s="48">
        <f>C67+C70+C72</f>
        <v>309</v>
      </c>
      <c r="D108" s="54"/>
      <c r="E108" s="54"/>
      <c r="F108" s="54"/>
      <c r="G108" s="32"/>
    </row>
    <row r="109" spans="1:12" ht="15.6" thickBot="1" x14ac:dyDescent="0.3">
      <c r="A109" s="78" t="s">
        <v>93</v>
      </c>
      <c r="B109" s="79"/>
      <c r="C109" s="24">
        <f>C107-C108</f>
        <v>865.40913971285158</v>
      </c>
      <c r="D109" s="54"/>
      <c r="E109" s="54"/>
      <c r="F109" s="54"/>
      <c r="G109" s="32"/>
    </row>
    <row r="110" spans="1:12" ht="15.6" thickBot="1" x14ac:dyDescent="0.3">
      <c r="A110" s="176" t="s">
        <v>94</v>
      </c>
      <c r="B110" s="177"/>
      <c r="C110" s="89">
        <f>C109/C43</f>
        <v>8.654091397128516</v>
      </c>
      <c r="D110" s="61"/>
      <c r="E110" s="61"/>
      <c r="F110" s="61"/>
      <c r="G110" s="62"/>
    </row>
    <row r="113" spans="1:7" ht="15" x14ac:dyDescent="0.25">
      <c r="A113" s="114" t="s">
        <v>127</v>
      </c>
    </row>
    <row r="114" spans="1:7" x14ac:dyDescent="0.25">
      <c r="A114" s="109" t="s">
        <v>120</v>
      </c>
    </row>
    <row r="115" spans="1:7" x14ac:dyDescent="0.25">
      <c r="A115" s="120" t="s">
        <v>129</v>
      </c>
      <c r="B115"/>
      <c r="C115" s="108"/>
      <c r="D115"/>
      <c r="E115" s="113" t="s">
        <v>131</v>
      </c>
      <c r="F115"/>
      <c r="G115"/>
    </row>
    <row r="116" spans="1:7" x14ac:dyDescent="0.25">
      <c r="A116" s="120" t="s">
        <v>130</v>
      </c>
      <c r="C116"/>
      <c r="D116"/>
      <c r="E116" s="77" t="s">
        <v>126</v>
      </c>
      <c r="F116"/>
      <c r="G116"/>
    </row>
    <row r="117" spans="1:7" x14ac:dyDescent="0.25">
      <c r="B117"/>
      <c r="C117" s="137">
        <f>$E$117-0.02</f>
        <v>0.02</v>
      </c>
      <c r="D117" s="137">
        <f>$E$117-0.01</f>
        <v>0.03</v>
      </c>
      <c r="E117" s="131">
        <f>LTG</f>
        <v>0.04</v>
      </c>
      <c r="F117" s="137">
        <f>$E$117+0.01</f>
        <v>0.05</v>
      </c>
      <c r="G117" s="137">
        <f>$E$117+0.02</f>
        <v>0.06</v>
      </c>
    </row>
    <row r="118" spans="1:7" x14ac:dyDescent="0.25">
      <c r="A118"/>
      <c r="B118" s="122"/>
      <c r="C118" s="121"/>
      <c r="D118"/>
      <c r="E118"/>
      <c r="F118"/>
      <c r="G118"/>
    </row>
    <row r="119" spans="1:7" x14ac:dyDescent="0.25">
      <c r="A119"/>
      <c r="B119" s="136">
        <f>$B$121-0.01</f>
        <v>7.4144003055767765E-2</v>
      </c>
      <c r="C119" s="123">
        <f t="shared" ref="C119:G123" si="29">(($C$106+NPV($B119,$D$102:$G$102)+PV($B119,4,0,C$125)*-1)-$C$108)/$C$43</f>
        <v>5.8511192440715574</v>
      </c>
      <c r="D119" s="123">
        <f t="shared" si="29"/>
        <v>7.1551636719189311</v>
      </c>
      <c r="E119" s="123">
        <f t="shared" si="29"/>
        <v>9.0500219533264143</v>
      </c>
      <c r="F119" s="123">
        <f t="shared" si="29"/>
        <v>12.054801809138981</v>
      </c>
      <c r="G119" s="123">
        <f t="shared" si="29"/>
        <v>17.548630269586102</v>
      </c>
    </row>
    <row r="120" spans="1:7" x14ac:dyDescent="0.25">
      <c r="A120" s="117" t="s">
        <v>48</v>
      </c>
      <c r="B120" s="136">
        <f>$B$121-0.005</f>
        <v>7.9144003055767756E-2</v>
      </c>
      <c r="C120" s="123">
        <f t="shared" si="29"/>
        <v>5.7097802694745132</v>
      </c>
      <c r="D120" s="123">
        <f t="shared" si="29"/>
        <v>6.989824020137946</v>
      </c>
      <c r="E120" s="123">
        <f t="shared" si="29"/>
        <v>8.8498078134143405</v>
      </c>
      <c r="F120" s="123">
        <f t="shared" si="29"/>
        <v>11.799285296249316</v>
      </c>
      <c r="G120" s="123">
        <f t="shared" si="29"/>
        <v>17.192000941390912</v>
      </c>
    </row>
    <row r="121" spans="1:7" x14ac:dyDescent="0.25">
      <c r="A121" s="116" t="s">
        <v>126</v>
      </c>
      <c r="B121" s="115">
        <f>WACC</f>
        <v>8.414400305576776E-2</v>
      </c>
      <c r="C121" s="123">
        <f t="shared" si="29"/>
        <v>5.5715907472024444</v>
      </c>
      <c r="D121" s="123">
        <f t="shared" si="29"/>
        <v>6.8281834484254036</v>
      </c>
      <c r="E121" s="125">
        <f t="shared" si="29"/>
        <v>8.654091397128516</v>
      </c>
      <c r="F121" s="123">
        <f t="shared" si="29"/>
        <v>11.54953295952118</v>
      </c>
      <c r="G121" s="123">
        <f t="shared" si="29"/>
        <v>16.84345132437678</v>
      </c>
    </row>
    <row r="122" spans="1:7" x14ac:dyDescent="0.25">
      <c r="A122"/>
      <c r="B122" s="136">
        <f>$B$121+0.005</f>
        <v>8.9144003055767765E-2</v>
      </c>
      <c r="C122" s="123">
        <f t="shared" si="29"/>
        <v>5.4364657082180914</v>
      </c>
      <c r="D122" s="123">
        <f t="shared" si="29"/>
        <v>6.670141952578474</v>
      </c>
      <c r="E122" s="123">
        <f t="shared" si="29"/>
        <v>8.4627508532282558</v>
      </c>
      <c r="F122" s="123">
        <f t="shared" si="29"/>
        <v>11.305388303677484</v>
      </c>
      <c r="G122" s="123">
        <f t="shared" si="29"/>
        <v>16.502761581390576</v>
      </c>
    </row>
    <row r="123" spans="1:7" x14ac:dyDescent="0.25">
      <c r="A123"/>
      <c r="B123" s="136">
        <f>$B$121+0.01</f>
        <v>9.4144003055767755E-2</v>
      </c>
      <c r="C123" s="123">
        <f t="shared" si="29"/>
        <v>5.3043228604001795</v>
      </c>
      <c r="D123" s="123">
        <f t="shared" si="29"/>
        <v>6.515602682968038</v>
      </c>
      <c r="E123" s="123">
        <f t="shared" si="29"/>
        <v>8.2756681791131772</v>
      </c>
      <c r="F123" s="123">
        <f t="shared" si="29"/>
        <v>11.066699782700619</v>
      </c>
      <c r="G123" s="123">
        <f t="shared" si="29"/>
        <v>16.169718836870068</v>
      </c>
    </row>
    <row r="124" spans="1:7" x14ac:dyDescent="0.25">
      <c r="A124"/>
      <c r="B124" s="107"/>
      <c r="C124" s="108"/>
      <c r="D124" s="108"/>
      <c r="E124" s="108"/>
      <c r="F124" s="108"/>
      <c r="G124" s="108"/>
    </row>
    <row r="125" spans="1:7" x14ac:dyDescent="0.25">
      <c r="A125"/>
      <c r="B125" s="122" t="s">
        <v>132</v>
      </c>
      <c r="C125" s="124">
        <f>((1+C117)*$G$102)/(WACC-C117)</f>
        <v>884.31294339213025</v>
      </c>
      <c r="D125" s="124">
        <f>((1+D117)*$G$102)/(WACC-D117)</f>
        <v>1057.9100251564796</v>
      </c>
      <c r="E125" s="124">
        <f>((1+E117)*$G$102)/(WACC-E117)</f>
        <v>1310.1574647259613</v>
      </c>
      <c r="F125" s="124">
        <f>((1+F117)*$G$102)/(WACC-F117)</f>
        <v>1710.1599517381717</v>
      </c>
      <c r="G125" s="124">
        <f>((1+G117)*$G$102)/(WACC-G117)</f>
        <v>2441.5097187256911</v>
      </c>
    </row>
    <row r="126" spans="1:7" x14ac:dyDescent="0.25">
      <c r="A126"/>
      <c r="B126" s="122"/>
      <c r="C126" s="124"/>
      <c r="D126" s="124"/>
      <c r="E126" s="124"/>
      <c r="F126" s="124"/>
      <c r="G126" s="124"/>
    </row>
    <row r="128" spans="1:7" ht="17.399999999999999" x14ac:dyDescent="0.3">
      <c r="A128" s="105" t="s">
        <v>121</v>
      </c>
    </row>
    <row r="129" spans="1:19" ht="15" x14ac:dyDescent="0.25">
      <c r="A129" s="112" t="s">
        <v>123</v>
      </c>
    </row>
    <row r="130" spans="1:19" x14ac:dyDescent="0.25">
      <c r="A130" s="109" t="s">
        <v>146</v>
      </c>
    </row>
    <row r="131" spans="1:19" x14ac:dyDescent="0.25">
      <c r="A131" s="109"/>
    </row>
    <row r="132" spans="1:19" ht="24.75" customHeight="1" x14ac:dyDescent="0.25">
      <c r="A132" s="77" t="s">
        <v>122</v>
      </c>
      <c r="B132" s="127" t="s">
        <v>137</v>
      </c>
      <c r="C132" s="127" t="s">
        <v>138</v>
      </c>
      <c r="D132" s="128" t="s">
        <v>139</v>
      </c>
      <c r="E132" s="128" t="s">
        <v>140</v>
      </c>
      <c r="F132" s="128" t="s">
        <v>141</v>
      </c>
      <c r="G132" s="128" t="s">
        <v>125</v>
      </c>
      <c r="H132" s="128" t="s">
        <v>124</v>
      </c>
      <c r="O132"/>
      <c r="P132"/>
      <c r="Q132"/>
      <c r="R132"/>
      <c r="S132"/>
    </row>
    <row r="133" spans="1:19" x14ac:dyDescent="0.25">
      <c r="A133" s="134" t="s">
        <v>134</v>
      </c>
      <c r="B133" s="160">
        <v>1195</v>
      </c>
      <c r="C133" s="160">
        <v>2703</v>
      </c>
      <c r="D133" s="160">
        <v>4434</v>
      </c>
      <c r="E133" s="160">
        <v>2903</v>
      </c>
      <c r="F133" s="160">
        <v>534</v>
      </c>
      <c r="G133" s="163">
        <f>(B133+E133)/F133</f>
        <v>7.6741573033707864</v>
      </c>
      <c r="H133" s="136">
        <v>-3.6999999999999998E-2</v>
      </c>
      <c r="O133"/>
      <c r="P133"/>
      <c r="Q133"/>
      <c r="R133"/>
      <c r="S133"/>
    </row>
    <row r="134" spans="1:19" x14ac:dyDescent="0.25">
      <c r="A134" s="134" t="s">
        <v>135</v>
      </c>
      <c r="B134" s="160">
        <v>0</v>
      </c>
      <c r="C134" s="160">
        <v>2613</v>
      </c>
      <c r="D134" s="160">
        <v>2613</v>
      </c>
      <c r="E134" s="160">
        <v>2812</v>
      </c>
      <c r="F134" s="160">
        <v>469</v>
      </c>
      <c r="G134" s="163">
        <f t="shared" ref="G134:G135" si="30">(B134+E134)/F134</f>
        <v>5.9957356076759059</v>
      </c>
      <c r="H134" s="136">
        <v>-8.9999999999999993E-3</v>
      </c>
      <c r="O134"/>
      <c r="P134"/>
      <c r="Q134"/>
    </row>
    <row r="135" spans="1:19" x14ac:dyDescent="0.25">
      <c r="A135" s="134" t="s">
        <v>136</v>
      </c>
      <c r="B135" s="160">
        <v>117</v>
      </c>
      <c r="C135" s="160">
        <v>238</v>
      </c>
      <c r="D135" s="160">
        <v>654</v>
      </c>
      <c r="E135" s="160">
        <v>516</v>
      </c>
      <c r="F135" s="160">
        <v>117</v>
      </c>
      <c r="G135" s="163">
        <f t="shared" si="30"/>
        <v>5.4102564102564106</v>
      </c>
      <c r="H135" s="136">
        <v>4.4999999999999998E-2</v>
      </c>
      <c r="O135"/>
      <c r="P135"/>
      <c r="Q135"/>
    </row>
    <row r="136" spans="1:19" x14ac:dyDescent="0.25">
      <c r="A136"/>
      <c r="B136"/>
      <c r="C136"/>
      <c r="F136"/>
      <c r="G136" s="110"/>
      <c r="H136" s="107"/>
      <c r="O136"/>
      <c r="P136"/>
      <c r="Q136"/>
    </row>
    <row r="137" spans="1:19" x14ac:dyDescent="0.25">
      <c r="A137"/>
      <c r="B137"/>
      <c r="C137" s="116" t="s">
        <v>143</v>
      </c>
      <c r="D137" s="161">
        <f t="shared" ref="D137:F137" si="31">AVERAGE(D133:D135)</f>
        <v>2567</v>
      </c>
      <c r="E137" s="161">
        <f t="shared" si="31"/>
        <v>2077</v>
      </c>
      <c r="F137" s="161">
        <f t="shared" si="31"/>
        <v>373.33333333333331</v>
      </c>
      <c r="G137" s="118">
        <f>AVERAGE(G133:G135)</f>
        <v>6.3600497737677015</v>
      </c>
      <c r="H137" s="132">
        <f>AVERAGE(H133:H135)</f>
        <v>-3.3333333333333365E-4</v>
      </c>
      <c r="O137"/>
      <c r="P137"/>
      <c r="Q137"/>
    </row>
    <row r="138" spans="1:19" x14ac:dyDescent="0.25">
      <c r="A138"/>
      <c r="B138"/>
      <c r="C138" s="111" t="s">
        <v>144</v>
      </c>
      <c r="D138" s="162">
        <f t="shared" ref="D138:F138" si="32">MEDIAN(D133:D135)</f>
        <v>2613</v>
      </c>
      <c r="E138" s="162">
        <f t="shared" si="32"/>
        <v>2812</v>
      </c>
      <c r="F138" s="162">
        <f t="shared" si="32"/>
        <v>469</v>
      </c>
      <c r="G138" s="110">
        <f>MEDIAN(G133:G135)</f>
        <v>5.9957356076759059</v>
      </c>
      <c r="H138" s="129">
        <f>MEDIAN(H133:H135)</f>
        <v>-8.9999999999999993E-3</v>
      </c>
    </row>
    <row r="139" spans="1:19" x14ac:dyDescent="0.25">
      <c r="A139"/>
      <c r="B139"/>
      <c r="C139"/>
      <c r="D139"/>
    </row>
    <row r="140" spans="1:19" ht="12.75" customHeight="1" x14ac:dyDescent="0.25">
      <c r="A140" s="116" t="s">
        <v>142</v>
      </c>
      <c r="B140" s="130">
        <f>D33+D31</f>
        <v>220.00000000000003</v>
      </c>
      <c r="C140"/>
      <c r="D140"/>
    </row>
    <row r="141" spans="1:19" x14ac:dyDescent="0.25">
      <c r="E141" s="126" t="s">
        <v>133</v>
      </c>
    </row>
    <row r="142" spans="1:19" x14ac:dyDescent="0.25">
      <c r="A142" s="77" t="s">
        <v>147</v>
      </c>
      <c r="C142"/>
      <c r="D142"/>
      <c r="E142" s="77" t="s">
        <v>126</v>
      </c>
      <c r="F142"/>
      <c r="G142"/>
    </row>
    <row r="143" spans="1:19" x14ac:dyDescent="0.25">
      <c r="A143"/>
      <c r="B143"/>
      <c r="C143" s="137">
        <f>$E$143-0.02</f>
        <v>-2.0333333333333335E-2</v>
      </c>
      <c r="D143" s="137">
        <f>$E$143-0.01</f>
        <v>-1.0333333333333333E-2</v>
      </c>
      <c r="E143" s="131">
        <f>IF(H137&gt;0.06,0.06,H137)</f>
        <v>-3.3333333333333365E-4</v>
      </c>
      <c r="F143" s="137">
        <f>$E$143+0.01</f>
        <v>9.6666666666666672E-3</v>
      </c>
      <c r="G143" s="137">
        <f>$E$143+0.02</f>
        <v>1.9666666666666666E-2</v>
      </c>
    </row>
    <row r="144" spans="1:19" x14ac:dyDescent="0.25">
      <c r="C144"/>
      <c r="D144"/>
      <c r="E144"/>
      <c r="F144"/>
      <c r="G144"/>
    </row>
    <row r="145" spans="1:8" x14ac:dyDescent="0.25">
      <c r="A145"/>
      <c r="B145" s="135">
        <f>B146-1</f>
        <v>4.3600497737677015</v>
      </c>
      <c r="C145" s="133">
        <f t="shared" ref="C145:G149" si="33">$B145*C$151-($C$108/$C$43)</f>
        <v>6.3070699424090702</v>
      </c>
      <c r="D145" s="133">
        <f t="shared" si="33"/>
        <v>6.4029910374319581</v>
      </c>
      <c r="E145" s="133">
        <f t="shared" si="33"/>
        <v>6.4989121324548478</v>
      </c>
      <c r="F145" s="133">
        <f t="shared" si="33"/>
        <v>6.5948332274777375</v>
      </c>
      <c r="G145" s="133">
        <f t="shared" si="33"/>
        <v>6.6907543225006272</v>
      </c>
    </row>
    <row r="146" spans="1:8" x14ac:dyDescent="0.25">
      <c r="A146" s="117" t="s">
        <v>125</v>
      </c>
      <c r="B146" s="135">
        <f>B147-1</f>
        <v>5.3600497737677015</v>
      </c>
      <c r="C146" s="133">
        <f t="shared" si="33"/>
        <v>8.4623366090757361</v>
      </c>
      <c r="D146" s="133">
        <f t="shared" si="33"/>
        <v>8.5802577040986243</v>
      </c>
      <c r="E146" s="133">
        <f t="shared" si="33"/>
        <v>8.698178799121516</v>
      </c>
      <c r="F146" s="133">
        <f t="shared" si="33"/>
        <v>8.8160998941444042</v>
      </c>
      <c r="G146" s="133">
        <f t="shared" si="33"/>
        <v>8.9340209891672941</v>
      </c>
    </row>
    <row r="147" spans="1:8" x14ac:dyDescent="0.25">
      <c r="A147" s="116" t="s">
        <v>126</v>
      </c>
      <c r="B147" s="118">
        <f>G137</f>
        <v>6.3600497737677015</v>
      </c>
      <c r="C147" s="133">
        <f t="shared" si="33"/>
        <v>10.617603275742404</v>
      </c>
      <c r="D147" s="133">
        <f t="shared" si="33"/>
        <v>10.757524370765291</v>
      </c>
      <c r="E147" s="138">
        <f t="shared" si="33"/>
        <v>10.897445465788183</v>
      </c>
      <c r="F147" s="133">
        <f t="shared" si="33"/>
        <v>11.037366560811071</v>
      </c>
      <c r="G147" s="133">
        <f t="shared" si="33"/>
        <v>11.177287655833961</v>
      </c>
    </row>
    <row r="148" spans="1:8" x14ac:dyDescent="0.25">
      <c r="A148"/>
      <c r="B148" s="135">
        <f>B147+1</f>
        <v>7.3600497737677015</v>
      </c>
      <c r="C148" s="133">
        <f t="shared" si="33"/>
        <v>12.77286994240907</v>
      </c>
      <c r="D148" s="133">
        <f t="shared" si="33"/>
        <v>12.934791037431957</v>
      </c>
      <c r="E148" s="133">
        <f t="shared" si="33"/>
        <v>13.096712132454851</v>
      </c>
      <c r="F148" s="133">
        <f t="shared" si="33"/>
        <v>13.258633227477738</v>
      </c>
      <c r="G148" s="133">
        <f t="shared" si="33"/>
        <v>13.420554322500628</v>
      </c>
    </row>
    <row r="149" spans="1:8" x14ac:dyDescent="0.25">
      <c r="A149"/>
      <c r="B149" s="135">
        <f>B148+1</f>
        <v>8.3600497737677024</v>
      </c>
      <c r="C149" s="133">
        <f t="shared" si="33"/>
        <v>14.928136609075739</v>
      </c>
      <c r="D149" s="133">
        <f t="shared" si="33"/>
        <v>15.112057704098625</v>
      </c>
      <c r="E149" s="133">
        <f t="shared" si="33"/>
        <v>15.295978799121517</v>
      </c>
      <c r="F149" s="133">
        <f t="shared" si="33"/>
        <v>15.479899894144406</v>
      </c>
      <c r="G149" s="133">
        <f t="shared" si="33"/>
        <v>15.663820989167299</v>
      </c>
    </row>
    <row r="150" spans="1:8" x14ac:dyDescent="0.25">
      <c r="A150"/>
      <c r="B150"/>
      <c r="C150"/>
      <c r="D150"/>
      <c r="E150"/>
      <c r="F150"/>
      <c r="G150"/>
      <c r="H150"/>
    </row>
    <row r="151" spans="1:8" x14ac:dyDescent="0.25">
      <c r="A151"/>
      <c r="B151" s="122" t="s">
        <v>145</v>
      </c>
      <c r="C151" s="121">
        <f t="shared" ref="C151:G151" si="34">((1+C143)*$B$140)/$C$43</f>
        <v>2.1552666666666669</v>
      </c>
      <c r="D151" s="121">
        <f t="shared" si="34"/>
        <v>2.1772666666666667</v>
      </c>
      <c r="E151" s="121">
        <f>((1+E143)*$B$140)/$C$43</f>
        <v>2.1992666666666669</v>
      </c>
      <c r="F151" s="121">
        <f t="shared" si="34"/>
        <v>2.2212666666666667</v>
      </c>
      <c r="G151" s="121">
        <f t="shared" si="34"/>
        <v>2.243266666666667</v>
      </c>
      <c r="H151"/>
    </row>
  </sheetData>
  <mergeCells count="24">
    <mergeCell ref="A78:G79"/>
    <mergeCell ref="A25:G26"/>
    <mergeCell ref="D27:G27"/>
    <mergeCell ref="A45:G46"/>
    <mergeCell ref="A47:G50"/>
    <mergeCell ref="D53:G53"/>
    <mergeCell ref="A102:B102"/>
    <mergeCell ref="D85:G85"/>
    <mergeCell ref="A87:B87"/>
    <mergeCell ref="A88:B88"/>
    <mergeCell ref="A89:B89"/>
    <mergeCell ref="A90:B90"/>
    <mergeCell ref="A91:B91"/>
    <mergeCell ref="A92:B92"/>
    <mergeCell ref="A93:B93"/>
    <mergeCell ref="A94:G95"/>
    <mergeCell ref="A96:G97"/>
    <mergeCell ref="D100:G100"/>
    <mergeCell ref="A110:B110"/>
    <mergeCell ref="A103:B103"/>
    <mergeCell ref="A104:B104"/>
    <mergeCell ref="A105:B105"/>
    <mergeCell ref="A106:B106"/>
    <mergeCell ref="A108:B108"/>
  </mergeCells>
  <pageMargins left="0.7" right="0.5" top="0.75" bottom="0.75" header="0.3" footer="0.3"/>
  <pageSetup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Valuation Models</vt:lpstr>
      <vt:lpstr>CASH</vt:lpstr>
      <vt:lpstr>COGS</vt:lpstr>
      <vt:lpstr>DEP</vt:lpstr>
      <vt:lpstr>DIV</vt:lpstr>
      <vt:lpstr>IRD</vt:lpstr>
      <vt:lpstr>IS</vt:lpstr>
      <vt:lpstr>LAIR</vt:lpstr>
      <vt:lpstr>LTD</vt:lpstr>
      <vt:lpstr>LTG</vt:lpstr>
      <vt:lpstr>N.P.</vt:lpstr>
      <vt:lpstr>NP</vt:lpstr>
      <vt:lpstr>NPAY</vt:lpstr>
      <vt:lpstr>PSTK</vt:lpstr>
      <vt:lpstr>SG</vt:lpstr>
      <vt:lpstr>TR</vt:lpstr>
      <vt:lpstr>WACC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Tool Kit</dc:title>
  <dc:subject>Tool Kit</dc:subject>
  <dc:creator>Christopher Buzzard and Mike Ehrhardt</dc:creator>
  <cp:lastModifiedBy>Michael Pagano</cp:lastModifiedBy>
  <cp:lastPrinted>2015-09-10T00:09:41Z</cp:lastPrinted>
  <dcterms:created xsi:type="dcterms:W3CDTF">1999-12-02T15:44:27Z</dcterms:created>
  <dcterms:modified xsi:type="dcterms:W3CDTF">2021-07-12T16:07:28Z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44787D4-0540-4523-9961-78E4036D8C6D}">
    <vt:lpwstr>{77D9A448-0CA6-46AD-8A67-34E55E7A38C6}</vt:lpwstr>
  </property>
</Properties>
</file>