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\Documents\Ara\Ara4Help\2024\"/>
    </mc:Choice>
  </mc:AlternateContent>
  <xr:revisionPtr revIDLastSave="0" documentId="13_ncr:1_{581C3D5C-2664-4A5E-AEC8-6B806D2BF617}" xr6:coauthVersionLast="47" xr6:coauthVersionMax="47" xr10:uidLastSave="{00000000-0000-0000-0000-000000000000}"/>
  <workbookProtection workbookPassword="8DB0" lockStructure="1"/>
  <bookViews>
    <workbookView xWindow="-120" yWindow="-120" windowWidth="29040" windowHeight="15840" xr2:uid="{00000000-000D-0000-FFFF-FFFF00000000}"/>
  </bookViews>
  <sheets>
    <sheet name="Plumbing" sheetId="1" r:id="rId1"/>
    <sheet name="Support" sheetId="2" state="hidden" r:id="rId2"/>
    <sheet name="Count" sheetId="3" state="hidden" r:id="rId3"/>
  </sheets>
  <definedNames>
    <definedName name="Z_44AB601E_F72E_47E9_8482_5E47CDE1F4B5_.wvu.Rows" localSheetId="0" hidden="1">Plumbing!$4:$6,Plumbing!$17:$19,Plumbing!$30:$32</definedName>
    <definedName name="Z_88B0AC62_A692_4999_AFE4_A53E08EAE0C8_.wvu.Rows" localSheetId="0" hidden="1">Plumbing!$4:$6,Plumbing!$17:$19,Plumbing!$30:$32</definedName>
    <definedName name="Z_B5C9A03E_93CF_46EE_8F04_58B98E0B692E_.wvu.Rows" localSheetId="0" hidden="1">Plumbing!$4:$6,Plumbing!$17:$19,Plumbing!$30:$32</definedName>
    <definedName name="Z_E9085DC7_8FC4_4BFE_9ADF_F6CB4A330343_.wvu.Rows" localSheetId="0" hidden="1">Plumbing!$4:$6,Plumbing!$17:$19,Plumbing!$30:$32</definedName>
  </definedNames>
  <calcPr calcId="181029"/>
  <customWorkbookViews>
    <customWorkbookView name="Ara - Personal View" guid="{B5C9A03E-93CF-46EE-8F04-58B98E0B692E}" mergeInterval="0" personalView="1" maximized="1" windowWidth="1916" windowHeight="855" activeSheetId="1"/>
    <customWorkbookView name="Dell - Personal View" guid="{88B0AC62-A692-4999-AFE4-A53E08EAE0C8}" mergeInterval="0" personalView="1" maximized="1" windowWidth="1916" windowHeight="915" activeSheetId="1"/>
    <customWorkbookView name="ASARGSYA - Personal View" guid="{44AB601E-F72E-47E9-8482-5E47CDE1F4B5}" mergeInterval="0" personalView="1" maximized="1" showSheetTabs="0" xWindow="1" yWindow="1" windowWidth="1280" windowHeight="585" activeSheetId="1" showComments="commIndAndComment"/>
    <customWorkbookView name="Sargsyan - Personal View" guid="{E9085DC7-8FC4-4BFE-9ADF-F6CB4A33034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2" i="3" l="1"/>
  <c r="L37" i="3" s="1"/>
  <c r="L47" i="3" s="1"/>
  <c r="O2" i="3"/>
  <c r="T17" i="3" s="1"/>
  <c r="V2" i="3"/>
  <c r="W37" i="3" s="1"/>
  <c r="Z47" i="3" s="1"/>
  <c r="L23" i="1" s="1"/>
  <c r="Z2" i="3"/>
  <c r="AD20" i="3" s="1"/>
  <c r="AG2" i="3"/>
  <c r="AJ39" i="3" s="1"/>
  <c r="AK2" i="3"/>
  <c r="AP26" i="3" s="1"/>
  <c r="K3" i="3"/>
  <c r="V3" i="3"/>
  <c r="AG3" i="3"/>
  <c r="P15" i="3"/>
  <c r="AA15" i="3"/>
  <c r="AL15" i="3"/>
  <c r="S17" i="3"/>
  <c r="L20" i="3"/>
  <c r="S20" i="3"/>
  <c r="T20" i="3"/>
  <c r="P24" i="3"/>
  <c r="S24" i="3"/>
  <c r="T24" i="3"/>
  <c r="AL24" i="3"/>
  <c r="L26" i="3"/>
  <c r="N26" i="3"/>
  <c r="S26" i="3"/>
  <c r="T26" i="3"/>
  <c r="W26" i="3"/>
  <c r="AL26" i="3"/>
  <c r="P29" i="3"/>
  <c r="AA29" i="3"/>
  <c r="AL29" i="3"/>
  <c r="AH37" i="3"/>
  <c r="AK47" i="3" s="1"/>
  <c r="L36" i="1" s="1"/>
  <c r="Y39" i="3"/>
  <c r="O47" i="3"/>
  <c r="L10" i="1" s="1"/>
  <c r="K50" i="3"/>
  <c r="V50" i="3"/>
  <c r="AG50" i="3"/>
  <c r="B89" i="3"/>
  <c r="B90" i="3"/>
  <c r="B102" i="3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C71" i="2"/>
  <c r="D71" i="2"/>
  <c r="A72" i="2"/>
  <c r="A73" i="2" s="1"/>
  <c r="C72" i="2"/>
  <c r="D72" i="2"/>
  <c r="C73" i="2"/>
  <c r="D73" i="2"/>
  <c r="F5" i="1"/>
  <c r="G5" i="1"/>
  <c r="C6" i="1"/>
  <c r="B10" i="1"/>
  <c r="E14" i="1" s="1"/>
  <c r="E5" i="1" s="1"/>
  <c r="E71" i="2" s="1"/>
  <c r="G10" i="1"/>
  <c r="I10" i="1"/>
  <c r="B11" i="1"/>
  <c r="G13" i="1"/>
  <c r="B6" i="1" s="1"/>
  <c r="F15" i="1"/>
  <c r="F18" i="1"/>
  <c r="G18" i="1"/>
  <c r="C19" i="1"/>
  <c r="B23" i="1"/>
  <c r="E27" i="1" s="1"/>
  <c r="E18" i="1" s="1"/>
  <c r="E72" i="2" s="1"/>
  <c r="G23" i="1"/>
  <c r="B24" i="1"/>
  <c r="G26" i="1"/>
  <c r="B19" i="1" s="1"/>
  <c r="F28" i="1"/>
  <c r="F31" i="1"/>
  <c r="G31" i="1"/>
  <c r="C32" i="1"/>
  <c r="B36" i="1"/>
  <c r="G35" i="1" s="1"/>
  <c r="G36" i="1"/>
  <c r="B37" i="1"/>
  <c r="G39" i="1"/>
  <c r="B32" i="1" s="1"/>
  <c r="F41" i="1"/>
  <c r="N17" i="3" l="1"/>
  <c r="AH20" i="3"/>
  <c r="E40" i="1"/>
  <c r="E31" i="1" s="1"/>
  <c r="E73" i="2" s="1"/>
  <c r="D40" i="1"/>
  <c r="G34" i="1"/>
  <c r="M40" i="3"/>
  <c r="AA26" i="3"/>
  <c r="P26" i="3"/>
  <c r="AE24" i="3"/>
  <c r="N24" i="3"/>
  <c r="N20" i="3"/>
  <c r="L17" i="3"/>
  <c r="AH17" i="3"/>
  <c r="E41" i="1"/>
  <c r="N39" i="3"/>
  <c r="AJ26" i="3"/>
  <c r="AO24" i="3"/>
  <c r="L24" i="3"/>
  <c r="AH47" i="3"/>
  <c r="I36" i="1" s="1"/>
  <c r="AJ24" i="3"/>
  <c r="B88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D48" i="3" s="1"/>
  <c r="AD49" i="3" s="1"/>
  <c r="S64" i="3" s="1"/>
  <c r="AO26" i="3"/>
  <c r="AP17" i="3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70" i="3"/>
  <c r="C70" i="3"/>
  <c r="G73" i="2"/>
  <c r="E39" i="1" s="1"/>
  <c r="O58" i="3" s="1"/>
  <c r="G72" i="2"/>
  <c r="E26" i="1" s="1"/>
  <c r="O57" i="3" s="1"/>
  <c r="E70" i="3"/>
  <c r="G38" i="1"/>
  <c r="L58" i="3" s="1"/>
  <c r="G12" i="1"/>
  <c r="L56" i="3" s="1"/>
  <c r="B50" i="2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G25" i="1"/>
  <c r="M57" i="3" s="1"/>
  <c r="E15" i="1"/>
  <c r="D6" i="1"/>
  <c r="M6" i="1" s="1"/>
  <c r="G11" i="1"/>
  <c r="G8" i="1"/>
  <c r="G9" i="1"/>
  <c r="F72" i="2"/>
  <c r="E25" i="1" s="1"/>
  <c r="D32" i="1"/>
  <c r="G37" i="1"/>
  <c r="B42" i="1"/>
  <c r="G24" i="1"/>
  <c r="E28" i="1"/>
  <c r="D19" i="1"/>
  <c r="M19" i="1" s="1"/>
  <c r="F73" i="2"/>
  <c r="E38" i="1" s="1"/>
  <c r="E69" i="2"/>
  <c r="F71" i="2"/>
  <c r="E12" i="1" s="1"/>
  <c r="W20" i="3"/>
  <c r="AD26" i="3"/>
  <c r="AD17" i="3"/>
  <c r="W24" i="3"/>
  <c r="AE17" i="3"/>
  <c r="Y24" i="3"/>
  <c r="AE20" i="3"/>
  <c r="Y26" i="3"/>
  <c r="W17" i="3"/>
  <c r="AE26" i="3"/>
  <c r="Y17" i="3"/>
  <c r="AA24" i="3"/>
  <c r="X40" i="3"/>
  <c r="Y20" i="3"/>
  <c r="AD24" i="3"/>
  <c r="M32" i="1"/>
  <c r="G71" i="2"/>
  <c r="E13" i="1" s="1"/>
  <c r="O56" i="3" s="1"/>
  <c r="D27" i="1"/>
  <c r="B29" i="1" s="1"/>
  <c r="G22" i="1"/>
  <c r="G21" i="1"/>
  <c r="D14" i="1"/>
  <c r="B16" i="1" s="1"/>
  <c r="W47" i="3"/>
  <c r="I23" i="1" s="1"/>
  <c r="AJ20" i="3"/>
  <c r="AO17" i="3"/>
  <c r="AH24" i="3"/>
  <c r="AO20" i="3"/>
  <c r="AH26" i="3"/>
  <c r="AP20" i="3"/>
  <c r="AJ17" i="3"/>
  <c r="AP24" i="3"/>
  <c r="AI40" i="3"/>
  <c r="O59" i="3" l="1"/>
  <c r="G49" i="1" s="1"/>
  <c r="A31" i="3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C47" i="3" s="1"/>
  <c r="K2" i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O48" i="3"/>
  <c r="AO49" i="3" s="1"/>
  <c r="S65" i="3" s="1"/>
  <c r="R48" i="3"/>
  <c r="R49" i="3" s="1"/>
  <c r="AC48" i="3"/>
  <c r="AC49" i="3" s="1"/>
  <c r="M56" i="3"/>
  <c r="S48" i="3"/>
  <c r="S49" i="3" s="1"/>
  <c r="S63" i="3" s="1"/>
  <c r="AN48" i="3"/>
  <c r="AN49" i="3" s="1"/>
  <c r="N56" i="3"/>
  <c r="N57" i="3"/>
  <c r="S47" i="3"/>
  <c r="P10" i="1" s="1"/>
  <c r="AO47" i="3"/>
  <c r="P36" i="1" s="1"/>
  <c r="AL47" i="3"/>
  <c r="M36" i="1" s="1"/>
  <c r="G28" i="1"/>
  <c r="Y2" i="3" s="1"/>
  <c r="W2" i="3"/>
  <c r="G27" i="1"/>
  <c r="X2" i="3" s="1"/>
  <c r="L2" i="3"/>
  <c r="G15" i="1"/>
  <c r="N2" i="3" s="1"/>
  <c r="G14" i="1"/>
  <c r="M2" i="3" s="1"/>
  <c r="G41" i="1"/>
  <c r="AJ2" i="3" s="1"/>
  <c r="AH2" i="3"/>
  <c r="G40" i="1"/>
  <c r="AI2" i="3" s="1"/>
  <c r="P71" i="3"/>
  <c r="N58" i="3"/>
  <c r="N75" i="3"/>
  <c r="O75" i="3"/>
  <c r="P75" i="3"/>
  <c r="M58" i="3"/>
  <c r="L57" i="3"/>
  <c r="L59" i="3" s="1"/>
  <c r="AI47" i="3" l="1"/>
  <c r="AK37" i="3" s="1"/>
  <c r="X47" i="3"/>
  <c r="AD47" i="3"/>
  <c r="P23" i="1" s="1"/>
  <c r="AN47" i="3"/>
  <c r="P47" i="3"/>
  <c r="M10" i="1" s="1"/>
  <c r="R47" i="3"/>
  <c r="R50" i="3" s="1"/>
  <c r="O11" i="1" s="1"/>
  <c r="M47" i="3"/>
  <c r="O37" i="3" s="1"/>
  <c r="Q47" i="3"/>
  <c r="N10" i="1" s="1"/>
  <c r="AB47" i="3"/>
  <c r="N23" i="1" s="1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N47" i="3"/>
  <c r="N37" i="3" s="1"/>
  <c r="AM47" i="3"/>
  <c r="AL37" i="3" s="1"/>
  <c r="AA47" i="3"/>
  <c r="M23" i="1" s="1"/>
  <c r="AJ47" i="3"/>
  <c r="K36" i="1" s="1"/>
  <c r="N59" i="3"/>
  <c r="G51" i="1" s="1"/>
  <c r="Y47" i="3"/>
  <c r="Z37" i="3" s="1"/>
  <c r="S66" i="3"/>
  <c r="O71" i="3" s="1"/>
  <c r="M59" i="3"/>
  <c r="G50" i="1" s="1"/>
  <c r="S67" i="3"/>
  <c r="G48" i="1"/>
  <c r="Z5" i="3"/>
  <c r="Z6" i="3"/>
  <c r="Z7" i="3"/>
  <c r="Z8" i="3"/>
  <c r="Z9" i="3"/>
  <c r="Z10" i="3"/>
  <c r="Z11" i="3"/>
  <c r="Z12" i="3"/>
  <c r="Z13" i="3"/>
  <c r="Z14" i="3"/>
  <c r="Z15" i="3"/>
  <c r="Z16" i="3"/>
  <c r="X18" i="3"/>
  <c r="X19" i="3"/>
  <c r="Z18" i="3"/>
  <c r="Z19" i="3"/>
  <c r="X21" i="3"/>
  <c r="X22" i="3"/>
  <c r="X23" i="3"/>
  <c r="X5" i="3"/>
  <c r="X7" i="3"/>
  <c r="X9" i="3"/>
  <c r="X11" i="3"/>
  <c r="X13" i="3"/>
  <c r="X15" i="3"/>
  <c r="X29" i="3"/>
  <c r="X28" i="3"/>
  <c r="Z29" i="3"/>
  <c r="X27" i="3"/>
  <c r="Z28" i="3"/>
  <c r="Z22" i="3"/>
  <c r="Z27" i="3"/>
  <c r="X6" i="3"/>
  <c r="X8" i="3"/>
  <c r="X10" i="3"/>
  <c r="X12" i="3"/>
  <c r="X14" i="3"/>
  <c r="X16" i="3"/>
  <c r="Z21" i="3"/>
  <c r="Z23" i="3"/>
  <c r="Z25" i="3"/>
  <c r="X25" i="3"/>
  <c r="M37" i="3"/>
  <c r="W5" i="3"/>
  <c r="W6" i="3"/>
  <c r="W7" i="3"/>
  <c r="AD7" i="3" s="1"/>
  <c r="W8" i="3"/>
  <c r="W9" i="3"/>
  <c r="W10" i="3"/>
  <c r="W11" i="3"/>
  <c r="W12" i="3"/>
  <c r="W13" i="3"/>
  <c r="W14" i="3"/>
  <c r="AD14" i="3" s="1"/>
  <c r="W15" i="3"/>
  <c r="W16" i="3"/>
  <c r="Y25" i="3"/>
  <c r="W27" i="3"/>
  <c r="AD27" i="3" s="1"/>
  <c r="W28" i="3"/>
  <c r="W29" i="3"/>
  <c r="Y5" i="3"/>
  <c r="Y6" i="3"/>
  <c r="Y7" i="3"/>
  <c r="Y8" i="3"/>
  <c r="Y9" i="3"/>
  <c r="AE9" i="3" s="1"/>
  <c r="Y10" i="3"/>
  <c r="Y11" i="3"/>
  <c r="Y12" i="3"/>
  <c r="Y13" i="3"/>
  <c r="Y14" i="3"/>
  <c r="Y15" i="3"/>
  <c r="Y16" i="3"/>
  <c r="W18" i="3"/>
  <c r="AD18" i="3" s="1"/>
  <c r="W19" i="3"/>
  <c r="Y27" i="3"/>
  <c r="Y28" i="3"/>
  <c r="Y29" i="3"/>
  <c r="W22" i="3"/>
  <c r="Y22" i="3"/>
  <c r="AE22" i="3" s="1"/>
  <c r="Y18" i="3"/>
  <c r="Y19" i="3"/>
  <c r="W21" i="3"/>
  <c r="Y21" i="3"/>
  <c r="W25" i="3"/>
  <c r="W23" i="3"/>
  <c r="Y23" i="3"/>
  <c r="O10" i="1"/>
  <c r="P38" i="3"/>
  <c r="AA17" i="3"/>
  <c r="AA21" i="3"/>
  <c r="AA22" i="3"/>
  <c r="AA23" i="3"/>
  <c r="AA20" i="3"/>
  <c r="AA25" i="3"/>
  <c r="AB20" i="3"/>
  <c r="AB5" i="3"/>
  <c r="AB6" i="3"/>
  <c r="AB7" i="3"/>
  <c r="AB8" i="3"/>
  <c r="AB9" i="3"/>
  <c r="AB10" i="3"/>
  <c r="AB11" i="3"/>
  <c r="AB12" i="3"/>
  <c r="AB13" i="3"/>
  <c r="AB14" i="3"/>
  <c r="AB15" i="3"/>
  <c r="AB16" i="3"/>
  <c r="AB24" i="3"/>
  <c r="AB27" i="3"/>
  <c r="AB28" i="3"/>
  <c r="AB29" i="3"/>
  <c r="AA19" i="3"/>
  <c r="AB21" i="3"/>
  <c r="AB23" i="3"/>
  <c r="AB25" i="3"/>
  <c r="AA5" i="3"/>
  <c r="AA7" i="3"/>
  <c r="AA9" i="3"/>
  <c r="AA11" i="3"/>
  <c r="AA13" i="3"/>
  <c r="AB19" i="3"/>
  <c r="W39" i="3"/>
  <c r="AB17" i="3"/>
  <c r="AD51" i="3"/>
  <c r="AA28" i="3"/>
  <c r="AA18" i="3"/>
  <c r="AB22" i="3"/>
  <c r="AA27" i="3"/>
  <c r="AB26" i="3"/>
  <c r="W38" i="3"/>
  <c r="Y40" i="3"/>
  <c r="AA6" i="3"/>
  <c r="AA8" i="3"/>
  <c r="AB18" i="3"/>
  <c r="AA16" i="3"/>
  <c r="AA12" i="3"/>
  <c r="AA10" i="3"/>
  <c r="AA14" i="3"/>
  <c r="P37" i="3"/>
  <c r="AH5" i="3"/>
  <c r="AO5" i="3" s="1"/>
  <c r="AH6" i="3"/>
  <c r="AH7" i="3"/>
  <c r="AH8" i="3"/>
  <c r="AH9" i="3"/>
  <c r="AH10" i="3"/>
  <c r="AH11" i="3"/>
  <c r="AH12" i="3"/>
  <c r="AH13" i="3"/>
  <c r="AH14" i="3"/>
  <c r="AH15" i="3"/>
  <c r="AH16" i="3"/>
  <c r="AJ25" i="3"/>
  <c r="AH27" i="3"/>
  <c r="AH28" i="3"/>
  <c r="AH29" i="3"/>
  <c r="AJ5" i="3"/>
  <c r="AJ6" i="3"/>
  <c r="AJ7" i="3"/>
  <c r="AJ8" i="3"/>
  <c r="AJ9" i="3"/>
  <c r="AJ10" i="3"/>
  <c r="AJ11" i="3"/>
  <c r="AJ12" i="3"/>
  <c r="AJ13" i="3"/>
  <c r="AJ14" i="3"/>
  <c r="AJ15" i="3"/>
  <c r="AJ16" i="3"/>
  <c r="AH18" i="3"/>
  <c r="AH19" i="3"/>
  <c r="AJ27" i="3"/>
  <c r="AJ28" i="3"/>
  <c r="AJ29" i="3"/>
  <c r="AH21" i="3"/>
  <c r="AH23" i="3"/>
  <c r="AJ21" i="3"/>
  <c r="AJ23" i="3"/>
  <c r="AH25" i="3"/>
  <c r="AJ19" i="3"/>
  <c r="AJ18" i="3"/>
  <c r="AJ22" i="3"/>
  <c r="AH22" i="3"/>
  <c r="O23" i="1"/>
  <c r="AC50" i="3"/>
  <c r="O24" i="1" s="1"/>
  <c r="AA38" i="3"/>
  <c r="R64" i="3"/>
  <c r="AL20" i="3"/>
  <c r="AL21" i="3"/>
  <c r="AL22" i="3"/>
  <c r="AL23" i="3"/>
  <c r="AL25" i="3"/>
  <c r="AM2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26" i="3"/>
  <c r="AM27" i="3"/>
  <c r="AM28" i="3"/>
  <c r="AM29" i="3"/>
  <c r="AL18" i="3"/>
  <c r="AM20" i="3"/>
  <c r="AM22" i="3"/>
  <c r="AL28" i="3"/>
  <c r="AL6" i="3"/>
  <c r="AL8" i="3"/>
  <c r="AL10" i="3"/>
  <c r="AL12" i="3"/>
  <c r="AL14" i="3"/>
  <c r="AL16" i="3"/>
  <c r="AM18" i="3"/>
  <c r="AL27" i="3"/>
  <c r="AH38" i="3"/>
  <c r="AO51" i="3"/>
  <c r="AL17" i="3"/>
  <c r="AL19" i="3"/>
  <c r="AM21" i="3"/>
  <c r="AM23" i="3"/>
  <c r="AH39" i="3"/>
  <c r="AJ40" i="3"/>
  <c r="AL7" i="3"/>
  <c r="AL11" i="3"/>
  <c r="AL5" i="3"/>
  <c r="AL13" i="3"/>
  <c r="AM17" i="3"/>
  <c r="AM25" i="3"/>
  <c r="AL9" i="3"/>
  <c r="AM19" i="3"/>
  <c r="AK5" i="3"/>
  <c r="AK6" i="3"/>
  <c r="AK7" i="3"/>
  <c r="AK8" i="3"/>
  <c r="AK9" i="3"/>
  <c r="AK10" i="3"/>
  <c r="AK11" i="3"/>
  <c r="AK12" i="3"/>
  <c r="AK13" i="3"/>
  <c r="AK14" i="3"/>
  <c r="AK15" i="3"/>
  <c r="AK16" i="3"/>
  <c r="AI18" i="3"/>
  <c r="AI19" i="3"/>
  <c r="AK18" i="3"/>
  <c r="AK19" i="3"/>
  <c r="AI21" i="3"/>
  <c r="AI22" i="3"/>
  <c r="AI23" i="3"/>
  <c r="AI6" i="3"/>
  <c r="AI8" i="3"/>
  <c r="AI10" i="3"/>
  <c r="AI12" i="3"/>
  <c r="AI14" i="3"/>
  <c r="AI16" i="3"/>
  <c r="AK27" i="3"/>
  <c r="AK21" i="3"/>
  <c r="AK23" i="3"/>
  <c r="AI25" i="3"/>
  <c r="AI5" i="3"/>
  <c r="AI7" i="3"/>
  <c r="AI9" i="3"/>
  <c r="AI11" i="3"/>
  <c r="AI13" i="3"/>
  <c r="AI15" i="3"/>
  <c r="AK25" i="3"/>
  <c r="AK22" i="3"/>
  <c r="AI27" i="3"/>
  <c r="AK28" i="3"/>
  <c r="AI29" i="3"/>
  <c r="AK29" i="3"/>
  <c r="AI28" i="3"/>
  <c r="L5" i="3"/>
  <c r="L6" i="3"/>
  <c r="L7" i="3"/>
  <c r="L8" i="3"/>
  <c r="L9" i="3"/>
  <c r="L10" i="3"/>
  <c r="L11" i="3"/>
  <c r="L12" i="3"/>
  <c r="L13" i="3"/>
  <c r="L14" i="3"/>
  <c r="L15" i="3"/>
  <c r="L16" i="3"/>
  <c r="N25" i="3"/>
  <c r="L27" i="3"/>
  <c r="L28" i="3"/>
  <c r="L29" i="3"/>
  <c r="N5" i="3"/>
  <c r="N6" i="3"/>
  <c r="N7" i="3"/>
  <c r="N8" i="3"/>
  <c r="N9" i="3"/>
  <c r="N10" i="3"/>
  <c r="N11" i="3"/>
  <c r="N12" i="3"/>
  <c r="N13" i="3"/>
  <c r="N14" i="3"/>
  <c r="N15" i="3"/>
  <c r="N16" i="3"/>
  <c r="L18" i="3"/>
  <c r="L19" i="3"/>
  <c r="N27" i="3"/>
  <c r="N28" i="3"/>
  <c r="N29" i="3"/>
  <c r="L21" i="3"/>
  <c r="L23" i="3"/>
  <c r="L25" i="3"/>
  <c r="N21" i="3"/>
  <c r="N23" i="3"/>
  <c r="N19" i="3"/>
  <c r="N18" i="3"/>
  <c r="L22" i="3"/>
  <c r="N22" i="3"/>
  <c r="X37" i="3"/>
  <c r="J23" i="1"/>
  <c r="N73" i="3"/>
  <c r="O5" i="3"/>
  <c r="O6" i="3"/>
  <c r="O7" i="3"/>
  <c r="O8" i="3"/>
  <c r="O9" i="3"/>
  <c r="O10" i="3"/>
  <c r="O11" i="3"/>
  <c r="O12" i="3"/>
  <c r="O13" i="3"/>
  <c r="O14" i="3"/>
  <c r="O15" i="3"/>
  <c r="O16" i="3"/>
  <c r="M18" i="3"/>
  <c r="M19" i="3"/>
  <c r="O18" i="3"/>
  <c r="O19" i="3"/>
  <c r="M21" i="3"/>
  <c r="M22" i="3"/>
  <c r="M23" i="3"/>
  <c r="M6" i="3"/>
  <c r="M8" i="3"/>
  <c r="M10" i="3"/>
  <c r="M12" i="3"/>
  <c r="M14" i="3"/>
  <c r="M16" i="3"/>
  <c r="M25" i="3"/>
  <c r="O21" i="3"/>
  <c r="O23" i="3"/>
  <c r="O25" i="3"/>
  <c r="M29" i="3"/>
  <c r="M5" i="3"/>
  <c r="M7" i="3"/>
  <c r="M9" i="3"/>
  <c r="M11" i="3"/>
  <c r="M13" i="3"/>
  <c r="M15" i="3"/>
  <c r="M28" i="3"/>
  <c r="O29" i="3"/>
  <c r="O22" i="3"/>
  <c r="O28" i="3"/>
  <c r="M27" i="3"/>
  <c r="O27" i="3"/>
  <c r="K10" i="1"/>
  <c r="P21" i="3"/>
  <c r="P22" i="3"/>
  <c r="P23" i="3"/>
  <c r="S51" i="3"/>
  <c r="P17" i="3"/>
  <c r="P25" i="3"/>
  <c r="Q17" i="3"/>
  <c r="Q25" i="3"/>
  <c r="Q5" i="3"/>
  <c r="Q6" i="3"/>
  <c r="Q7" i="3"/>
  <c r="Q8" i="3"/>
  <c r="Q9" i="3"/>
  <c r="Q10" i="3"/>
  <c r="Q11" i="3"/>
  <c r="Q12" i="3"/>
  <c r="Q13" i="3"/>
  <c r="Q14" i="3"/>
  <c r="Q15" i="3"/>
  <c r="Q16" i="3"/>
  <c r="Q20" i="3"/>
  <c r="Q27" i="3"/>
  <c r="Q28" i="3"/>
  <c r="Q29" i="3"/>
  <c r="P18" i="3"/>
  <c r="Q22" i="3"/>
  <c r="Q24" i="3"/>
  <c r="P6" i="3"/>
  <c r="P8" i="3"/>
  <c r="P10" i="3"/>
  <c r="P12" i="3"/>
  <c r="P14" i="3"/>
  <c r="P16" i="3"/>
  <c r="Q18" i="3"/>
  <c r="P20" i="3"/>
  <c r="Q26" i="3"/>
  <c r="P19" i="3"/>
  <c r="Q21" i="3"/>
  <c r="Q23" i="3"/>
  <c r="L38" i="3"/>
  <c r="P27" i="3"/>
  <c r="P5" i="3"/>
  <c r="P28" i="3"/>
  <c r="L39" i="3"/>
  <c r="P11" i="3"/>
  <c r="P9" i="3"/>
  <c r="P7" i="3"/>
  <c r="Q19" i="3"/>
  <c r="N40" i="3"/>
  <c r="P13" i="3"/>
  <c r="R65" i="3"/>
  <c r="AN50" i="3"/>
  <c r="O37" i="1" s="1"/>
  <c r="AL38" i="3"/>
  <c r="O36" i="1"/>
  <c r="J10" i="1" l="1"/>
  <c r="J36" i="1"/>
  <c r="AI37" i="3"/>
  <c r="R63" i="3"/>
  <c r="R66" i="3" s="1"/>
  <c r="S21" i="3"/>
  <c r="S6" i="3"/>
  <c r="AP29" i="3"/>
  <c r="AO13" i="3"/>
  <c r="AP5" i="3"/>
  <c r="T18" i="3"/>
  <c r="AD21" i="3"/>
  <c r="AP13" i="3"/>
  <c r="N36" i="1"/>
  <c r="AA37" i="3"/>
  <c r="T23" i="3"/>
  <c r="K23" i="1"/>
  <c r="Y37" i="3"/>
  <c r="AJ37" i="3"/>
  <c r="AO16" i="3"/>
  <c r="S29" i="3"/>
  <c r="S12" i="3"/>
  <c r="AP27" i="3"/>
  <c r="AO28" i="3"/>
  <c r="AO11" i="3"/>
  <c r="S28" i="3"/>
  <c r="S15" i="3"/>
  <c r="S7" i="3"/>
  <c r="AO22" i="3"/>
  <c r="AO21" i="3"/>
  <c r="AO19" i="3"/>
  <c r="AP14" i="3"/>
  <c r="AP10" i="3"/>
  <c r="AP6" i="3"/>
  <c r="AO27" i="3"/>
  <c r="AO10" i="3"/>
  <c r="AO6" i="3"/>
  <c r="AD22" i="3"/>
  <c r="AD19" i="3"/>
  <c r="AE14" i="3"/>
  <c r="AE10" i="3"/>
  <c r="AE6" i="3"/>
  <c r="AE21" i="3"/>
  <c r="AE27" i="3"/>
  <c r="AE11" i="3"/>
  <c r="AD28" i="3"/>
  <c r="AD11" i="3"/>
  <c r="AD10" i="3"/>
  <c r="T22" i="3"/>
  <c r="S14" i="3"/>
  <c r="AP22" i="3"/>
  <c r="AD9" i="3"/>
  <c r="T29" i="3"/>
  <c r="AE18" i="3"/>
  <c r="AD16" i="3"/>
  <c r="AD8" i="3"/>
  <c r="S23" i="3"/>
  <c r="T15" i="3"/>
  <c r="T7" i="3"/>
  <c r="T6" i="3"/>
  <c r="T28" i="3"/>
  <c r="AP19" i="3"/>
  <c r="T19" i="3"/>
  <c r="AO25" i="3"/>
  <c r="AP25" i="3"/>
  <c r="T21" i="3"/>
  <c r="S18" i="3"/>
  <c r="T25" i="3"/>
  <c r="S9" i="3"/>
  <c r="AL39" i="3"/>
  <c r="AO50" i="3"/>
  <c r="P37" i="1" s="1"/>
  <c r="AK39" i="3"/>
  <c r="AP8" i="3"/>
  <c r="M39" i="3"/>
  <c r="L40" i="3"/>
  <c r="M38" i="3"/>
  <c r="S25" i="3"/>
  <c r="T16" i="3"/>
  <c r="T8" i="3"/>
  <c r="S16" i="3"/>
  <c r="S8" i="3"/>
  <c r="AI38" i="3"/>
  <c r="AI39" i="3"/>
  <c r="AH40" i="3"/>
  <c r="AO23" i="3"/>
  <c r="AP15" i="3"/>
  <c r="AP7" i="3"/>
  <c r="AO15" i="3"/>
  <c r="AO7" i="3"/>
  <c r="AD25" i="3"/>
  <c r="AE28" i="3"/>
  <c r="AE12" i="3"/>
  <c r="AD29" i="3"/>
  <c r="AD12" i="3"/>
  <c r="S22" i="3"/>
  <c r="T13" i="3"/>
  <c r="T5" i="3"/>
  <c r="S13" i="3"/>
  <c r="S5" i="3"/>
  <c r="AP18" i="3"/>
  <c r="AP28" i="3"/>
  <c r="AP12" i="3"/>
  <c r="AO29" i="3"/>
  <c r="AO12" i="3"/>
  <c r="AE19" i="3"/>
  <c r="AE25" i="3"/>
  <c r="AO14" i="3"/>
  <c r="P39" i="3"/>
  <c r="N76" i="3" s="1"/>
  <c r="S50" i="3"/>
  <c r="P11" i="1" s="1"/>
  <c r="O39" i="3"/>
  <c r="AP11" i="3"/>
  <c r="AE16" i="3"/>
  <c r="AE8" i="3"/>
  <c r="T27" i="3"/>
  <c r="T14" i="3"/>
  <c r="T12" i="3"/>
  <c r="T11" i="3"/>
  <c r="S11" i="3"/>
  <c r="AA39" i="3"/>
  <c r="Z39" i="3"/>
  <c r="AD50" i="3"/>
  <c r="P24" i="1" s="1"/>
  <c r="AE15" i="3"/>
  <c r="AE7" i="3"/>
  <c r="AD15" i="3"/>
  <c r="S27" i="3"/>
  <c r="AP23" i="3"/>
  <c r="AP9" i="3"/>
  <c r="AO9" i="3"/>
  <c r="AE23" i="3"/>
  <c r="AD6" i="3"/>
  <c r="S19" i="3"/>
  <c r="T10" i="3"/>
  <c r="S10" i="3"/>
  <c r="AO18" i="3"/>
  <c r="T9" i="3"/>
  <c r="AP21" i="3"/>
  <c r="AP16" i="3"/>
  <c r="AO8" i="3"/>
  <c r="X38" i="3"/>
  <c r="X39" i="3"/>
  <c r="W40" i="3"/>
  <c r="AD23" i="3"/>
  <c r="AE29" i="3"/>
  <c r="AE13" i="3"/>
  <c r="AE5" i="3"/>
  <c r="AD13" i="3"/>
  <c r="AD5" i="3"/>
  <c r="S68" i="3"/>
  <c r="P46" i="1" s="1"/>
  <c r="O73" i="3"/>
  <c r="R67" i="3" l="1"/>
  <c r="R68" i="3"/>
  <c r="O46" i="1" s="1"/>
  <c r="O76" i="3"/>
  <c r="AB48" i="3"/>
  <c r="AB49" i="3" s="1"/>
  <c r="W48" i="3"/>
  <c r="AA48" i="3"/>
  <c r="Z48" i="3"/>
  <c r="X48" i="3"/>
  <c r="Y48" i="3"/>
  <c r="Y49" i="3" s="1"/>
  <c r="P76" i="3"/>
  <c r="AL48" i="3"/>
  <c r="AI48" i="3"/>
  <c r="AJ48" i="3"/>
  <c r="AJ49" i="3" s="1"/>
  <c r="AM48" i="3"/>
  <c r="AM49" i="3" s="1"/>
  <c r="AK48" i="3"/>
  <c r="AH48" i="3"/>
  <c r="P72" i="3"/>
  <c r="M72" i="3"/>
  <c r="P48" i="3"/>
  <c r="M48" i="3"/>
  <c r="N48" i="3"/>
  <c r="N49" i="3" s="1"/>
  <c r="Q48" i="3"/>
  <c r="Q49" i="3" s="1"/>
  <c r="L48" i="3"/>
  <c r="O48" i="3"/>
  <c r="M73" i="3"/>
  <c r="P73" i="3" l="1"/>
  <c r="Y50" i="3"/>
  <c r="K24" i="1" s="1"/>
  <c r="N64" i="3"/>
  <c r="Q63" i="3"/>
  <c r="Q50" i="3"/>
  <c r="N11" i="1" s="1"/>
  <c r="W41" i="3"/>
  <c r="Z38" i="3" s="1"/>
  <c r="R71" i="3" s="1"/>
  <c r="W42" i="3"/>
  <c r="Y38" i="3" s="1"/>
  <c r="X49" i="3"/>
  <c r="N50" i="3"/>
  <c r="K11" i="1" s="1"/>
  <c r="N63" i="3"/>
  <c r="AM50" i="3"/>
  <c r="N37" i="1" s="1"/>
  <c r="Q65" i="3"/>
  <c r="L42" i="3"/>
  <c r="N38" i="3" s="1"/>
  <c r="L41" i="3"/>
  <c r="O38" i="3" s="1"/>
  <c r="R70" i="3" s="1"/>
  <c r="N65" i="3"/>
  <c r="AJ50" i="3"/>
  <c r="K37" i="1" s="1"/>
  <c r="AH41" i="3"/>
  <c r="AK38" i="3" s="1"/>
  <c r="R72" i="3" s="1"/>
  <c r="AH42" i="3"/>
  <c r="AJ38" i="3" s="1"/>
  <c r="W49" i="3"/>
  <c r="AB50" i="3"/>
  <c r="N24" i="1" s="1"/>
  <c r="Q64" i="3"/>
  <c r="R73" i="3" l="1"/>
  <c r="S73" i="3" s="1"/>
  <c r="O72" i="3" s="1"/>
  <c r="M42" i="3"/>
  <c r="AI49" i="3"/>
  <c r="AI42" i="3"/>
  <c r="Z49" i="3"/>
  <c r="O64" i="3" s="1"/>
  <c r="Q66" i="3"/>
  <c r="Q67" i="3" s="1"/>
  <c r="Q68" i="3" s="1"/>
  <c r="N46" i="1" s="1"/>
  <c r="AA49" i="3"/>
  <c r="AA50" i="3" s="1"/>
  <c r="M24" i="1" s="1"/>
  <c r="N66" i="3"/>
  <c r="N67" i="3" s="1"/>
  <c r="N68" i="3" s="1"/>
  <c r="K46" i="1" s="1"/>
  <c r="M49" i="3"/>
  <c r="M65" i="3"/>
  <c r="AI50" i="3"/>
  <c r="M69" i="3"/>
  <c r="N72" i="3" s="1"/>
  <c r="X50" i="3"/>
  <c r="M64" i="3"/>
  <c r="AH49" i="3"/>
  <c r="P49" i="3"/>
  <c r="X42" i="3"/>
  <c r="L49" i="3"/>
  <c r="O49" i="3"/>
  <c r="AL49" i="3"/>
  <c r="AK49" i="3"/>
  <c r="W50" i="3"/>
  <c r="I24" i="1" s="1"/>
  <c r="L64" i="3"/>
  <c r="Z50" i="3" l="1"/>
  <c r="L24" i="1" s="1"/>
  <c r="P64" i="3"/>
  <c r="L65" i="3"/>
  <c r="AH50" i="3"/>
  <c r="I37" i="1" s="1"/>
  <c r="Z40" i="3"/>
  <c r="B82" i="3" s="1"/>
  <c r="H25" i="1" s="1"/>
  <c r="J24" i="1"/>
  <c r="L50" i="3"/>
  <c r="I11" i="1" s="1"/>
  <c r="L63" i="3"/>
  <c r="O65" i="3"/>
  <c r="AK50" i="3"/>
  <c r="L37" i="1" s="1"/>
  <c r="AK40" i="3"/>
  <c r="B83" i="3" s="1"/>
  <c r="H38" i="1" s="1"/>
  <c r="J37" i="1"/>
  <c r="AL50" i="3"/>
  <c r="M37" i="1" s="1"/>
  <c r="P65" i="3"/>
  <c r="O50" i="3"/>
  <c r="L11" i="1" s="1"/>
  <c r="O63" i="3"/>
  <c r="P63" i="3"/>
  <c r="P50" i="3"/>
  <c r="M11" i="1" s="1"/>
  <c r="M63" i="3"/>
  <c r="M66" i="3" s="1"/>
  <c r="M67" i="3" s="1"/>
  <c r="M68" i="3" s="1"/>
  <c r="M50" i="3"/>
  <c r="O66" i="3" l="1"/>
  <c r="O67" i="3" s="1"/>
  <c r="O68" i="3" s="1"/>
  <c r="L46" i="1" s="1"/>
  <c r="L66" i="3"/>
  <c r="L67" i="3" s="1"/>
  <c r="L68" i="3" s="1"/>
  <c r="I46" i="1" s="1"/>
  <c r="O40" i="3"/>
  <c r="B81" i="3" s="1"/>
  <c r="H12" i="1" s="1"/>
  <c r="J11" i="1"/>
  <c r="M74" i="3"/>
  <c r="B84" i="3" s="1"/>
  <c r="H48" i="1" s="1"/>
  <c r="J46" i="1"/>
  <c r="P66" i="3"/>
  <c r="P67" i="3" s="1"/>
  <c r="P68" i="3" s="1"/>
  <c r="M46" i="1" s="1"/>
</calcChain>
</file>

<file path=xl/sharedStrings.xml><?xml version="1.0" encoding="utf-8"?>
<sst xmlns="http://schemas.openxmlformats.org/spreadsheetml/2006/main" count="842" uniqueCount="232">
  <si>
    <t>300 gross</t>
  </si>
  <si>
    <t>Agricultural building</t>
  </si>
  <si>
    <t>500 gross</t>
  </si>
  <si>
    <t>11 gross</t>
  </si>
  <si>
    <t>7 net</t>
  </si>
  <si>
    <t>100 gross</t>
  </si>
  <si>
    <t>40 net</t>
  </si>
  <si>
    <t>Day care</t>
  </si>
  <si>
    <t>35 net</t>
  </si>
  <si>
    <t>50 gross</t>
  </si>
  <si>
    <t>200 gross</t>
  </si>
  <si>
    <t>50 net</t>
  </si>
  <si>
    <t>Residential</t>
  </si>
  <si>
    <t>15 net</t>
  </si>
  <si>
    <t xml:space="preserve">20 gross  </t>
  </si>
  <si>
    <t>5 net</t>
  </si>
  <si>
    <t>Occupant load is known</t>
  </si>
  <si>
    <t>Aircraft hangar</t>
  </si>
  <si>
    <t>Business area</t>
  </si>
  <si>
    <t>Courtroom—other than fixed seating areas</t>
  </si>
  <si>
    <t>Dormitory</t>
  </si>
  <si>
    <t>Educational- Classroom area</t>
  </si>
  <si>
    <t>Airport- terminal Baggage claim</t>
  </si>
  <si>
    <t>Airport- terminal Baggage handling</t>
  </si>
  <si>
    <t>Airport- terminal Concourse</t>
  </si>
  <si>
    <t>Airport- terminal Waiting area</t>
  </si>
  <si>
    <t>Assembly- Gaming floor (keno, slots, etc.)</t>
  </si>
  <si>
    <t>Assembly- Standing space</t>
  </si>
  <si>
    <t>20 net</t>
  </si>
  <si>
    <t>Exercise room</t>
  </si>
  <si>
    <t>H-5 Fabrication and manufacturing area</t>
  </si>
  <si>
    <t>Industrial area</t>
  </si>
  <si>
    <t>Institutional- Outpatient area</t>
  </si>
  <si>
    <t>Institutional- Inpatient treatment area</t>
  </si>
  <si>
    <t>OL</t>
  </si>
  <si>
    <t>Institutional- Sleeping area</t>
  </si>
  <si>
    <t>240 gross</t>
  </si>
  <si>
    <t>120 gross</t>
  </si>
  <si>
    <t>Kitchen, commercial</t>
  </si>
  <si>
    <t>Library- Reading room</t>
  </si>
  <si>
    <t>Library- Stack area</t>
  </si>
  <si>
    <t>Locker room</t>
  </si>
  <si>
    <t>Mercantile- Storage, stock, shipping area</t>
  </si>
  <si>
    <t>30 gross</t>
  </si>
  <si>
    <t>60 gross</t>
  </si>
  <si>
    <t>Parking garage</t>
  </si>
  <si>
    <t>Skating rink, Swimming pool- Deck</t>
  </si>
  <si>
    <t>15 gross</t>
  </si>
  <si>
    <t>Stage or platform</t>
  </si>
  <si>
    <t>Warehouse</t>
  </si>
  <si>
    <t>G</t>
  </si>
  <si>
    <t>N</t>
  </si>
  <si>
    <t>OL Used</t>
  </si>
  <si>
    <t>Accessory storage area, mech. equip. room</t>
  </si>
  <si>
    <t>Assembly- Unconcentr. (tables and chairs)</t>
  </si>
  <si>
    <t>Assembly- Concentr. (chairs only-not fixed)</t>
  </si>
  <si>
    <t>Educational- Shop and other vocat. area</t>
  </si>
  <si>
    <t>Mercantile- Basemt and grade floor area</t>
  </si>
  <si>
    <t>Mercantile- Other than Basemt or gr. floor</t>
  </si>
  <si>
    <t>Select Function of space for Occupant load</t>
  </si>
  <si>
    <t>A-1 Theater</t>
  </si>
  <si>
    <t>A-2 Nightclub, Bar, Tavern, Dance hall</t>
  </si>
  <si>
    <t>A-2 Restaurant, Banquet hall, Food court</t>
  </si>
  <si>
    <t>A-3 Auditorium without perm. Seating, Museum</t>
  </si>
  <si>
    <t>A-3 Passenger terminal</t>
  </si>
  <si>
    <t>A-3 Worship</t>
  </si>
  <si>
    <t>I-2 Employees other than residential care</t>
  </si>
  <si>
    <t>I-2 Visitors, other than residential care</t>
  </si>
  <si>
    <t>I-3 Prison</t>
  </si>
  <si>
    <t>E Educational</t>
  </si>
  <si>
    <t>B Business</t>
  </si>
  <si>
    <t>A-4 Arena</t>
  </si>
  <si>
    <t>A-5 Stadium</t>
  </si>
  <si>
    <t>I-1 Residential care</t>
  </si>
  <si>
    <t>I-4 Adult day care and Child care</t>
  </si>
  <si>
    <t>M Mercantile</t>
  </si>
  <si>
    <t>R-1 Hotel, motel</t>
  </si>
  <si>
    <t>R-2 Apartment house</t>
  </si>
  <si>
    <t>R-4 Residential care/ assisted living facility</t>
  </si>
  <si>
    <t>S-1 and S-2 Storage</t>
  </si>
  <si>
    <t>F-1 and F-2 Factory and Industrial</t>
  </si>
  <si>
    <t>Input Number of Cells</t>
  </si>
  <si>
    <t>Input Number of Sleeping units</t>
  </si>
  <si>
    <t>Input Number of Rooms</t>
  </si>
  <si>
    <t>Input Number of Dwelling units</t>
  </si>
  <si>
    <t>Occ</t>
  </si>
  <si>
    <t>Record #</t>
  </si>
  <si>
    <t>use</t>
  </si>
  <si>
    <t>M/F</t>
  </si>
  <si>
    <t>Area</t>
  </si>
  <si>
    <t>Unit</t>
  </si>
  <si>
    <t xml:space="preserve"> </t>
  </si>
  <si>
    <t>Select Occupancy Group</t>
  </si>
  <si>
    <t>Male</t>
  </si>
  <si>
    <t>I-2 Hospital, ambulatory nursing home patients</t>
  </si>
  <si>
    <t>Water Closets</t>
  </si>
  <si>
    <t>Female</t>
  </si>
  <si>
    <t>Lavatories</t>
  </si>
  <si>
    <t>Unisex</t>
  </si>
  <si>
    <t>Ratio</t>
  </si>
  <si>
    <t>Other</t>
  </si>
  <si>
    <t>sink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</si>
  <si>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</si>
  <si>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</si>
  <si>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</si>
  <si>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</si>
  <si>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</si>
  <si>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</si>
  <si>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</si>
  <si>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</si>
  <si>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</si>
  <si>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</si>
  <si>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411 IPC</t>
  </si>
  <si>
    <t>conditional</t>
  </si>
  <si>
    <t>per unit/ cell/ room</t>
  </si>
  <si>
    <t>Text</t>
  </si>
  <si>
    <t>Zero (not required)</t>
  </si>
  <si>
    <t>Story1</t>
  </si>
  <si>
    <t>Story2</t>
  </si>
  <si>
    <t>Story3</t>
  </si>
  <si>
    <t>Story4</t>
  </si>
  <si>
    <t>1/ Unit</t>
  </si>
  <si>
    <t>Not Req'd</t>
  </si>
  <si>
    <t>Required</t>
  </si>
  <si>
    <t>M occ OL&lt;=50</t>
  </si>
  <si>
    <t>Total OL(all spaces combined) &lt;=15</t>
  </si>
  <si>
    <t>Drink Fount</t>
  </si>
  <si>
    <t>Bath/Shwr</t>
  </si>
  <si>
    <t>OL &lt;=15</t>
  </si>
  <si>
    <t>M &lt;=50</t>
  </si>
  <si>
    <t>Uniwc</t>
  </si>
  <si>
    <t>UniLav</t>
  </si>
  <si>
    <t>mlav</t>
  </si>
  <si>
    <t>flav</t>
  </si>
  <si>
    <t>See comm</t>
  </si>
  <si>
    <t>Urinal</t>
  </si>
  <si>
    <t>story1</t>
  </si>
  <si>
    <t>story2</t>
  </si>
  <si>
    <t>story3</t>
  </si>
  <si>
    <t>story4</t>
  </si>
  <si>
    <t>Urin 67</t>
  </si>
  <si>
    <t>Urin 50</t>
  </si>
  <si>
    <t>block</t>
  </si>
  <si>
    <t>1/125</t>
  </si>
  <si>
    <t>1/65</t>
  </si>
  <si>
    <t>1/40</t>
  </si>
  <si>
    <t>1/75</t>
  </si>
  <si>
    <t>1/500</t>
  </si>
  <si>
    <t>1/150</t>
  </si>
  <si>
    <t>1/50</t>
  </si>
  <si>
    <t>1/100</t>
  </si>
  <si>
    <t>1/10</t>
  </si>
  <si>
    <t>1/25</t>
  </si>
  <si>
    <t>1/15</t>
  </si>
  <si>
    <t>1/200</t>
  </si>
  <si>
    <t>1/750</t>
  </si>
  <si>
    <t>1/35</t>
  </si>
  <si>
    <t>1/8</t>
  </si>
  <si>
    <t>1/1000</t>
  </si>
  <si>
    <t>1/400</t>
  </si>
  <si>
    <t>Combined text for comments</t>
  </si>
  <si>
    <t>Input Occupant Load:</t>
  </si>
  <si>
    <t>Input Gross Floor area (sq.ft.):</t>
  </si>
  <si>
    <t>Input Net Floor area (sq.ft.):</t>
  </si>
  <si>
    <t>Not Required</t>
  </si>
  <si>
    <t>Bathtub/ Shower</t>
  </si>
  <si>
    <t>Drinking Fountain</t>
  </si>
  <si>
    <t>Req'd</t>
  </si>
  <si>
    <t>Space 1</t>
  </si>
  <si>
    <t>Area 1</t>
  </si>
  <si>
    <t>M and A w/6 or more WC</t>
  </si>
  <si>
    <t>M/A&gt;5</t>
  </si>
  <si>
    <t>A-4 Arena (indoor events)</t>
  </si>
  <si>
    <t>A-5 Stadium (outdoor events)</t>
  </si>
  <si>
    <t>A-3 Worship / Religious service</t>
  </si>
  <si>
    <t>Space 2</t>
  </si>
  <si>
    <t>Area 2</t>
  </si>
  <si>
    <t>Area 3</t>
  </si>
  <si>
    <t>Space 3</t>
  </si>
  <si>
    <t xml:space="preserve"> Male WC req'd ratio:1/75 for the first 1,500 and 1/120 for the remainder exceeding 1,500.**</t>
  </si>
  <si>
    <t xml:space="preserve"> WC req'd ratio:1/25 for the first 50 and 1/50 for the remainder exceeding 50.** </t>
  </si>
  <si>
    <t xml:space="preserve"> Lavatory req'd ratio:1/40 for the first 80 and 1/80 for the remainder exceeding 80.** </t>
  </si>
  <si>
    <t xml:space="preserve"> For emergency showers and eyewash stations see Section 411 of the IPC.** </t>
  </si>
  <si>
    <t xml:space="preserve"> Occupant load does not exceed 15- Unisex facilities OK per IPC Sec. 403.3, Ex.2**</t>
  </si>
  <si>
    <t xml:space="preserve">  Serv. Sink req'd**</t>
  </si>
  <si>
    <t xml:space="preserve">  Serv. Sink req'd per floor**</t>
  </si>
  <si>
    <t xml:space="preserve">  1 kitchen sink per unit; 1 automatic clothes washer connection per 20 units**</t>
  </si>
  <si>
    <t xml:space="preserve"> M occupancy occupant load does not exceed 50- Unisex facilities OK per IPC Sec. 403.3, Ex.3**</t>
  </si>
  <si>
    <t>I-3 Reformatory, detention center</t>
  </si>
  <si>
    <t>R-2 Dormitory</t>
  </si>
  <si>
    <t>Skating rink, Swim. pool- Rink and pool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</si>
  <si>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</si>
  <si>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</si>
  <si>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</si>
  <si>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</si>
  <si>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Roundup</t>
  </si>
  <si>
    <t>T</t>
  </si>
  <si>
    <t>tot</t>
  </si>
  <si>
    <t>Final</t>
  </si>
  <si>
    <t>UrinT</t>
  </si>
  <si>
    <t>Number of units:</t>
  </si>
  <si>
    <t>Male:</t>
  </si>
  <si>
    <t>Female:</t>
  </si>
  <si>
    <t>Calculated OL:</t>
  </si>
  <si>
    <t>www.ara4help.com</t>
  </si>
  <si>
    <t>DrFnt</t>
  </si>
  <si>
    <t xml:space="preserve"> Min 2 Drinking fountains req'd per IBC Sec 1109.5.1. May use 1 if in compliance with the Exception of the Sec. 1109.5.1**</t>
  </si>
  <si>
    <t xml:space="preserve"> of the required Male WC (67% max) may be replaced by the same number of urinal(s) IPC Sec.419.2**</t>
  </si>
  <si>
    <t xml:space="preserve"> of the required Male WC (50% max) may be replaced by the same number of urinal(s) IPC Sec.419.2**</t>
  </si>
  <si>
    <t xml:space="preserve"> of the required Male WC may be replaced by the same number of urinal(s) IPC Sec.419.2**</t>
  </si>
  <si>
    <t xml:space="preserve"> Water coolers/dispansers may be sudstituted for max 50% of the required drinking fountains (IPC sec. 410.1)**</t>
  </si>
  <si>
    <t xml:space="preserve"> Where water is served in restaurant, drinking fountain is not required (IPC sec. 410.1)**</t>
  </si>
  <si>
    <t>I-2 Toil</t>
  </si>
  <si>
    <t xml:space="preserve"> May use one toilet room for two adjacent units with direct access from each (Footnote c IPC Table 403.1)**</t>
  </si>
  <si>
    <t>Expires:</t>
  </si>
  <si>
    <t>Expired Version- Contact ara@ara4help.com for help</t>
  </si>
  <si>
    <t>Unauthorized Copy- Contact ara@ara4help.com for help</t>
  </si>
  <si>
    <t xml:space="preserve"> Female WC req'd ratio:1/40 for the first 1,520 and 1/60 for the remainder exceeding 1,520.**  </t>
  </si>
  <si>
    <t>I-2 / I-3 Employees other than residential care</t>
  </si>
  <si>
    <t>1</t>
  </si>
  <si>
    <t>R-3 Congr. Liv. Facility with 16 or fewer persons</t>
  </si>
  <si>
    <t xml:space="preserve"> Occupant load does not exceed 15- drinking fountain is not required (Footnote f IPC Table 403.1)**</t>
  </si>
  <si>
    <t>Accessible family or assisted use toilet room required per IBC Sec. 1109.2.1, Male WC &amp; Lav. reduced by 1 per Sec 2902.1.1** Option: Replace 1 Female WC &amp; Lav. With 1 Male WC &amp; Lav.**</t>
  </si>
  <si>
    <t>[project name]</t>
  </si>
  <si>
    <t>IBC-12</t>
  </si>
  <si>
    <t xml:space="preserve">  Serv. Sink req'd if OL &gt; 15**</t>
  </si>
  <si>
    <t>I-2 Hospital, ambul. nursing home care patients</t>
  </si>
  <si>
    <t>I-4 Adult day care and Child day care</t>
  </si>
  <si>
    <t>2fau</t>
  </si>
  <si>
    <t xml:space="preserve"> May use 2 family / assisted-use toilet rooms in lieu of 1 Male and 1 Female toilet rooms per Sec. 2902.2.1 **</t>
  </si>
  <si>
    <t>2015 IBC/2015 IPC</t>
  </si>
  <si>
    <t>Version: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</si>
</sst>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b/>
      <sz val="8"/>
      <color indexed="61"/>
      <name val="Arial"/>
      <family val="2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color indexed="10"/>
      <name val="Arial"/>
    </font>
    <font>
      <b/>
      <sz val="11"/>
      <color indexed="20"/>
      <name val="Arial"/>
      <family val="2"/>
    </font>
    <font>
      <sz val="8"/>
      <color indexed="10"/>
      <name val="Arial"/>
      <family val="2"/>
    </font>
    <font>
      <b/>
      <sz val="12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0" fillId="0" borderId="7" xfId="0" applyBorder="1"/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0" fillId="0" borderId="9" xfId="0" applyBorder="1"/>
    <xf numFmtId="0" fontId="0" fillId="2" borderId="0" xfId="0" applyFill="1"/>
    <xf numFmtId="0" fontId="3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4" xfId="0" applyFont="1" applyFill="1" applyBorder="1"/>
    <xf numFmtId="9" fontId="3" fillId="0" borderId="4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4" xfId="0" applyFont="1" applyFill="1" applyBorder="1"/>
    <xf numFmtId="0" fontId="3" fillId="4" borderId="0" xfId="0" applyFont="1" applyFill="1"/>
    <xf numFmtId="0" fontId="6" fillId="0" borderId="0" xfId="0" applyFont="1" applyAlignment="1">
      <alignment horizontal="left"/>
    </xf>
    <xf numFmtId="0" fontId="3" fillId="3" borderId="0" xfId="0" applyFont="1" applyFill="1"/>
    <xf numFmtId="0" fontId="3" fillId="4" borderId="4" xfId="0" applyFont="1" applyFill="1" applyBorder="1"/>
    <xf numFmtId="0" fontId="3" fillId="5" borderId="4" xfId="0" applyFont="1" applyFill="1" applyBorder="1"/>
    <xf numFmtId="0" fontId="8" fillId="6" borderId="0" xfId="0" applyFont="1" applyFill="1"/>
    <xf numFmtId="0" fontId="3" fillId="7" borderId="4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13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8" borderId="0" xfId="0" applyFont="1" applyFill="1"/>
    <xf numFmtId="0" fontId="3" fillId="8" borderId="13" xfId="0" applyFont="1" applyFill="1" applyBorder="1"/>
    <xf numFmtId="0" fontId="3" fillId="8" borderId="4" xfId="0" applyFont="1" applyFill="1" applyBorder="1"/>
    <xf numFmtId="9" fontId="3" fillId="4" borderId="4" xfId="0" applyNumberFormat="1" applyFont="1" applyFill="1" applyBorder="1"/>
    <xf numFmtId="0" fontId="3" fillId="6" borderId="4" xfId="0" applyFont="1" applyFill="1" applyBorder="1"/>
    <xf numFmtId="0" fontId="3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17" fillId="0" borderId="0" xfId="0" applyFont="1"/>
    <xf numFmtId="0" fontId="3" fillId="9" borderId="13" xfId="0" applyFont="1" applyFill="1" applyBorder="1"/>
    <xf numFmtId="0" fontId="3" fillId="9" borderId="0" xfId="0" applyFont="1" applyFill="1"/>
    <xf numFmtId="0" fontId="3" fillId="9" borderId="4" xfId="0" applyFont="1" applyFill="1" applyBorder="1"/>
    <xf numFmtId="9" fontId="4" fillId="2" borderId="0" xfId="0" applyNumberFormat="1" applyFont="1" applyFill="1"/>
    <xf numFmtId="0" fontId="1" fillId="7" borderId="1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/>
    </xf>
    <xf numFmtId="0" fontId="1" fillId="0" borderId="14" xfId="0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3" fillId="10" borderId="4" xfId="0" applyFont="1" applyFill="1" applyBorder="1"/>
    <xf numFmtId="0" fontId="3" fillId="10" borderId="0" xfId="0" applyFont="1" applyFill="1"/>
    <xf numFmtId="0" fontId="3" fillId="2" borderId="7" xfId="0" applyFont="1" applyFill="1" applyBorder="1"/>
    <xf numFmtId="0" fontId="3" fillId="3" borderId="7" xfId="0" applyFont="1" applyFill="1" applyBorder="1"/>
    <xf numFmtId="0" fontId="3" fillId="2" borderId="15" xfId="0" applyFont="1" applyFill="1" applyBorder="1"/>
    <xf numFmtId="0" fontId="3" fillId="3" borderId="15" xfId="0" applyFont="1" applyFill="1" applyBorder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/>
    <xf numFmtId="0" fontId="3" fillId="0" borderId="4" xfId="0" applyFont="1" applyBorder="1" applyProtection="1">
      <protection locked="0" hidden="1"/>
    </xf>
    <xf numFmtId="0" fontId="3" fillId="0" borderId="0" xfId="0" applyFont="1" applyAlignment="1">
      <alignment wrapText="1"/>
    </xf>
    <xf numFmtId="0" fontId="3" fillId="11" borderId="0" xfId="0" applyFont="1" applyFill="1"/>
    <xf numFmtId="0" fontId="3" fillId="11" borderId="4" xfId="0" applyFont="1" applyFill="1" applyBorder="1"/>
    <xf numFmtId="0" fontId="14" fillId="12" borderId="16" xfId="0" applyFont="1" applyFill="1" applyBorder="1" applyProtection="1">
      <protection hidden="1"/>
    </xf>
    <xf numFmtId="0" fontId="14" fillId="12" borderId="17" xfId="0" applyFont="1" applyFill="1" applyBorder="1" applyProtection="1">
      <protection hidden="1"/>
    </xf>
    <xf numFmtId="0" fontId="17" fillId="12" borderId="17" xfId="0" applyFont="1" applyFill="1" applyBorder="1" applyProtection="1">
      <protection hidden="1"/>
    </xf>
    <xf numFmtId="0" fontId="17" fillId="12" borderId="18" xfId="0" applyFont="1" applyFill="1" applyBorder="1" applyProtection="1">
      <protection hidden="1"/>
    </xf>
    <xf numFmtId="0" fontId="19" fillId="12" borderId="19" xfId="0" applyFont="1" applyFill="1" applyBorder="1" applyAlignment="1" applyProtection="1">
      <alignment horizontal="left"/>
      <protection hidden="1"/>
    </xf>
    <xf numFmtId="0" fontId="3" fillId="12" borderId="0" xfId="0" applyFont="1" applyFill="1" applyProtection="1">
      <protection hidden="1"/>
    </xf>
    <xf numFmtId="0" fontId="19" fillId="12" borderId="0" xfId="0" applyFont="1" applyFill="1" applyProtection="1">
      <protection hidden="1"/>
    </xf>
    <xf numFmtId="0" fontId="22" fillId="12" borderId="0" xfId="0" applyFont="1" applyFill="1" applyProtection="1">
      <protection hidden="1"/>
    </xf>
    <xf numFmtId="0" fontId="3" fillId="12" borderId="20" xfId="0" applyFont="1" applyFill="1" applyBorder="1" applyProtection="1">
      <protection hidden="1"/>
    </xf>
    <xf numFmtId="0" fontId="3" fillId="12" borderId="21" xfId="0" applyFont="1" applyFill="1" applyBorder="1" applyProtection="1">
      <protection hidden="1"/>
    </xf>
    <xf numFmtId="0" fontId="4" fillId="0" borderId="22" xfId="0" applyFont="1" applyBorder="1" applyAlignment="1" applyProtection="1">
      <alignment horizontal="right"/>
      <protection hidden="1"/>
    </xf>
    <xf numFmtId="0" fontId="4" fillId="0" borderId="22" xfId="0" applyFont="1" applyBorder="1" applyAlignment="1" applyProtection="1">
      <alignment horizontal="right" wrapText="1"/>
      <protection hidden="1"/>
    </xf>
    <xf numFmtId="0" fontId="3" fillId="0" borderId="22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4" xfId="0" applyFont="1" applyBorder="1" applyProtection="1">
      <protection hidden="1"/>
    </xf>
    <xf numFmtId="9" fontId="3" fillId="0" borderId="4" xfId="0" applyNumberFormat="1" applyFont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7" xfId="0" applyFont="1" applyFill="1" applyBorder="1" applyProtection="1">
      <protection hidden="1"/>
    </xf>
    <xf numFmtId="0" fontId="3" fillId="9" borderId="7" xfId="0" applyFont="1" applyFill="1" applyBorder="1" applyProtection="1">
      <protection hidden="1"/>
    </xf>
    <xf numFmtId="0" fontId="3" fillId="12" borderId="16" xfId="0" applyFont="1" applyFill="1" applyBorder="1" applyProtection="1">
      <protection hidden="1"/>
    </xf>
    <xf numFmtId="0" fontId="3" fillId="12" borderId="17" xfId="0" applyFont="1" applyFill="1" applyBorder="1" applyProtection="1">
      <protection hidden="1"/>
    </xf>
    <xf numFmtId="0" fontId="3" fillId="12" borderId="18" xfId="0" applyFont="1" applyFill="1" applyBorder="1" applyProtection="1">
      <protection hidden="1"/>
    </xf>
    <xf numFmtId="0" fontId="14" fillId="12" borderId="19" xfId="0" applyFont="1" applyFill="1" applyBorder="1" applyAlignment="1" applyProtection="1">
      <alignment horizontal="left"/>
      <protection hidden="1"/>
    </xf>
    <xf numFmtId="0" fontId="13" fillId="12" borderId="7" xfId="0" applyFont="1" applyFill="1" applyBorder="1" applyAlignment="1" applyProtection="1">
      <alignment horizontal="center"/>
      <protection hidden="1"/>
    </xf>
    <xf numFmtId="0" fontId="14" fillId="12" borderId="4" xfId="0" applyFont="1" applyFill="1" applyBorder="1" applyAlignment="1" applyProtection="1">
      <alignment horizontal="center" vertical="center"/>
      <protection hidden="1"/>
    </xf>
    <xf numFmtId="0" fontId="14" fillId="12" borderId="19" xfId="0" applyFont="1" applyFill="1" applyBorder="1" applyAlignment="1" applyProtection="1">
      <alignment horizontal="center"/>
      <protection hidden="1"/>
    </xf>
    <xf numFmtId="0" fontId="13" fillId="12" borderId="9" xfId="0" applyFont="1" applyFill="1" applyBorder="1" applyAlignment="1" applyProtection="1">
      <alignment horizontal="center"/>
      <protection hidden="1"/>
    </xf>
    <xf numFmtId="0" fontId="14" fillId="12" borderId="23" xfId="0" applyFont="1" applyFill="1" applyBorder="1" applyAlignment="1" applyProtection="1">
      <alignment horizontal="center" vertical="center"/>
      <protection hidden="1"/>
    </xf>
    <xf numFmtId="9" fontId="14" fillId="12" borderId="24" xfId="0" applyNumberFormat="1" applyFont="1" applyFill="1" applyBorder="1" applyAlignment="1" applyProtection="1">
      <alignment horizontal="center" vertical="center"/>
      <protection hidden="1"/>
    </xf>
    <xf numFmtId="0" fontId="14" fillId="12" borderId="25" xfId="0" applyFont="1" applyFill="1" applyBorder="1" applyAlignment="1" applyProtection="1">
      <alignment horizontal="center" vertical="center"/>
      <protection hidden="1"/>
    </xf>
    <xf numFmtId="0" fontId="15" fillId="12" borderId="19" xfId="0" applyFont="1" applyFill="1" applyBorder="1" applyProtection="1">
      <protection hidden="1"/>
    </xf>
    <xf numFmtId="0" fontId="12" fillId="12" borderId="19" xfId="0" applyFont="1" applyFill="1" applyBorder="1" applyProtection="1">
      <protection hidden="1"/>
    </xf>
    <xf numFmtId="0" fontId="7" fillId="12" borderId="19" xfId="0" applyFont="1" applyFill="1" applyBorder="1" applyProtection="1">
      <protection hidden="1"/>
    </xf>
    <xf numFmtId="0" fontId="3" fillId="12" borderId="0" xfId="0" applyFont="1" applyFill="1" applyAlignment="1" applyProtection="1">
      <alignment horizontal="right"/>
      <protection hidden="1"/>
    </xf>
    <xf numFmtId="0" fontId="3" fillId="13" borderId="4" xfId="0" applyFont="1" applyFill="1" applyBorder="1" applyAlignment="1" applyProtection="1">
      <alignment shrinkToFit="1"/>
      <protection locked="0" hidden="1"/>
    </xf>
    <xf numFmtId="0" fontId="3" fillId="12" borderId="19" xfId="0" applyFont="1" applyFill="1" applyBorder="1" applyProtection="1">
      <protection hidden="1"/>
    </xf>
    <xf numFmtId="49" fontId="3" fillId="12" borderId="0" xfId="0" applyNumberFormat="1" applyFont="1" applyFill="1" applyAlignment="1" applyProtection="1">
      <alignment horizontal="right"/>
      <protection hidden="1"/>
    </xf>
    <xf numFmtId="0" fontId="11" fillId="12" borderId="0" xfId="0" applyFont="1" applyFill="1" applyAlignment="1" applyProtection="1">
      <alignment horizontal="center"/>
      <protection hidden="1"/>
    </xf>
    <xf numFmtId="0" fontId="10" fillId="12" borderId="19" xfId="0" applyFont="1" applyFill="1" applyBorder="1" applyProtection="1">
      <protection hidden="1"/>
    </xf>
    <xf numFmtId="0" fontId="11" fillId="12" borderId="0" xfId="0" applyFont="1" applyFill="1" applyAlignment="1" applyProtection="1">
      <alignment horizontal="right"/>
      <protection hidden="1"/>
    </xf>
    <xf numFmtId="9" fontId="3" fillId="12" borderId="0" xfId="0" applyNumberFormat="1" applyFont="1" applyFill="1" applyAlignment="1" applyProtection="1">
      <alignment horizontal="right"/>
      <protection hidden="1"/>
    </xf>
    <xf numFmtId="9" fontId="3" fillId="13" borderId="4" xfId="0" applyNumberFormat="1" applyFont="1" applyFill="1" applyBorder="1" applyAlignment="1" applyProtection="1">
      <alignment shrinkToFit="1"/>
      <protection locked="0" hidden="1"/>
    </xf>
    <xf numFmtId="0" fontId="7" fillId="12" borderId="0" xfId="0" applyFont="1" applyFill="1" applyProtection="1">
      <protection hidden="1"/>
    </xf>
    <xf numFmtId="0" fontId="3" fillId="12" borderId="0" xfId="0" applyFont="1" applyFill="1" applyAlignment="1" applyProtection="1">
      <alignment horizontal="center"/>
      <protection hidden="1"/>
    </xf>
    <xf numFmtId="0" fontId="10" fillId="12" borderId="26" xfId="0" applyFont="1" applyFill="1" applyBorder="1" applyProtection="1">
      <protection hidden="1"/>
    </xf>
    <xf numFmtId="0" fontId="7" fillId="12" borderId="20" xfId="0" applyFont="1" applyFill="1" applyBorder="1" applyProtection="1">
      <protection hidden="1"/>
    </xf>
    <xf numFmtId="0" fontId="4" fillId="0" borderId="4" xfId="0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right" wrapText="1"/>
      <protection hidden="1"/>
    </xf>
    <xf numFmtId="0" fontId="3" fillId="0" borderId="4" xfId="0" applyFont="1" applyBorder="1" applyAlignment="1" applyProtection="1">
      <alignment horizontal="right"/>
      <protection hidden="1"/>
    </xf>
    <xf numFmtId="0" fontId="13" fillId="12" borderId="27" xfId="0" applyFont="1" applyFill="1" applyBorder="1" applyAlignment="1" applyProtection="1">
      <alignment horizontal="center"/>
      <protection hidden="1"/>
    </xf>
    <xf numFmtId="0" fontId="3" fillId="12" borderId="27" xfId="0" applyFont="1" applyFill="1" applyBorder="1" applyAlignment="1" applyProtection="1">
      <alignment horizontal="center"/>
      <protection hidden="1"/>
    </xf>
    <xf numFmtId="0" fontId="6" fillId="12" borderId="27" xfId="0" applyFont="1" applyFill="1" applyBorder="1" applyAlignment="1" applyProtection="1">
      <alignment horizontal="right"/>
      <protection hidden="1"/>
    </xf>
    <xf numFmtId="0" fontId="3" fillId="14" borderId="4" xfId="0" applyFont="1" applyFill="1" applyBorder="1"/>
    <xf numFmtId="0" fontId="3" fillId="14" borderId="0" xfId="0" applyFont="1" applyFill="1"/>
    <xf numFmtId="0" fontId="23" fillId="12" borderId="20" xfId="0" applyFont="1" applyFill="1" applyBorder="1" applyProtection="1">
      <protection hidden="1"/>
    </xf>
    <xf numFmtId="2" fontId="24" fillId="15" borderId="0" xfId="0" applyNumberFormat="1" applyFont="1" applyFill="1" applyAlignment="1">
      <alignment horizontal="center" wrapText="1"/>
    </xf>
    <xf numFmtId="14" fontId="24" fillId="15" borderId="0" xfId="0" applyNumberFormat="1" applyFont="1" applyFill="1" applyAlignment="1">
      <alignment horizontal="center" wrapText="1"/>
    </xf>
    <xf numFmtId="0" fontId="14" fillId="12" borderId="0" xfId="0" applyFont="1" applyFill="1" applyAlignment="1" applyProtection="1">
      <alignment horizontal="right"/>
      <protection hidden="1"/>
    </xf>
    <xf numFmtId="0" fontId="8" fillId="12" borderId="20" xfId="0" applyFont="1" applyFill="1" applyBorder="1" applyAlignment="1" applyProtection="1">
      <alignment horizontal="right" shrinkToFit="1"/>
      <protection hidden="1"/>
    </xf>
    <xf numFmtId="14" fontId="8" fillId="12" borderId="20" xfId="0" applyNumberFormat="1" applyFont="1" applyFill="1" applyBorder="1" applyAlignment="1" applyProtection="1">
      <alignment horizontal="left" shrinkToFit="1"/>
      <protection hidden="1"/>
    </xf>
    <xf numFmtId="0" fontId="19" fillId="12" borderId="0" xfId="0" applyFont="1" applyFill="1" applyAlignment="1" applyProtection="1">
      <alignment horizontal="right"/>
      <protection hidden="1"/>
    </xf>
    <xf numFmtId="0" fontId="25" fillId="12" borderId="19" xfId="0" applyFont="1" applyFill="1" applyBorder="1" applyAlignment="1" applyProtection="1">
      <alignment horizontal="left"/>
      <protection hidden="1"/>
    </xf>
    <xf numFmtId="0" fontId="3" fillId="12" borderId="4" xfId="0" applyFont="1" applyFill="1" applyBorder="1"/>
    <xf numFmtId="49" fontId="9" fillId="12" borderId="0" xfId="0" applyNumberFormat="1" applyFont="1" applyFill="1" applyAlignment="1">
      <alignment horizontal="center"/>
    </xf>
    <xf numFmtId="0" fontId="7" fillId="12" borderId="0" xfId="0" applyFont="1" applyFill="1"/>
    <xf numFmtId="0" fontId="1" fillId="1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shrinkToFit="1"/>
    </xf>
    <xf numFmtId="0" fontId="26" fillId="12" borderId="4" xfId="0" applyFont="1" applyFill="1" applyBorder="1"/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shrinkToFit="1"/>
    </xf>
    <xf numFmtId="0" fontId="3" fillId="16" borderId="4" xfId="0" applyFont="1" applyFill="1" applyBorder="1"/>
    <xf numFmtId="0" fontId="3" fillId="16" borderId="0" xfId="0" applyFont="1" applyFill="1"/>
    <xf numFmtId="0" fontId="6" fillId="17" borderId="4" xfId="0" applyFont="1" applyFill="1" applyBorder="1" applyAlignment="1" applyProtection="1">
      <alignment horizontal="center" shrinkToFit="1"/>
      <protection hidden="1"/>
    </xf>
    <xf numFmtId="0" fontId="6" fillId="17" borderId="0" xfId="0" applyFont="1" applyFill="1" applyAlignment="1" applyProtection="1">
      <alignment horizontal="center" shrinkToFit="1"/>
      <protection hidden="1"/>
    </xf>
    <xf numFmtId="0" fontId="6" fillId="17" borderId="12" xfId="0" applyFont="1" applyFill="1" applyBorder="1" applyAlignment="1" applyProtection="1">
      <alignment horizontal="center" shrinkToFit="1"/>
      <protection hidden="1"/>
    </xf>
    <xf numFmtId="0" fontId="3" fillId="17" borderId="28" xfId="0" applyFont="1" applyFill="1" applyBorder="1" applyAlignment="1" applyProtection="1">
      <alignment horizontal="center" vertical="center" shrinkToFit="1"/>
      <protection hidden="1"/>
    </xf>
    <xf numFmtId="0" fontId="3" fillId="17" borderId="29" xfId="0" applyFont="1" applyFill="1" applyBorder="1" applyAlignment="1" applyProtection="1">
      <alignment horizontal="center" vertical="center" shrinkToFit="1"/>
      <protection hidden="1"/>
    </xf>
    <xf numFmtId="0" fontId="3" fillId="17" borderId="30" xfId="0" applyFont="1" applyFill="1" applyBorder="1" applyAlignment="1" applyProtection="1">
      <alignment horizontal="center" vertical="center" shrinkToFit="1"/>
      <protection hidden="1"/>
    </xf>
    <xf numFmtId="0" fontId="3" fillId="17" borderId="31" xfId="0" applyFont="1" applyFill="1" applyBorder="1" applyAlignment="1" applyProtection="1">
      <alignment horizontal="center" vertical="center" shrinkToFit="1"/>
      <protection hidden="1"/>
    </xf>
    <xf numFmtId="0" fontId="3" fillId="17" borderId="32" xfId="0" applyFont="1" applyFill="1" applyBorder="1" applyAlignment="1" applyProtection="1">
      <alignment horizontal="center" vertical="center" shrinkToFit="1"/>
      <protection hidden="1"/>
    </xf>
    <xf numFmtId="0" fontId="3" fillId="17" borderId="33" xfId="0" applyFont="1" applyFill="1" applyBorder="1" applyAlignment="1" applyProtection="1">
      <alignment horizontal="center" vertical="center" shrinkToFit="1"/>
      <protection hidden="1"/>
    </xf>
    <xf numFmtId="0" fontId="3" fillId="17" borderId="34" xfId="0" applyFont="1" applyFill="1" applyBorder="1" applyAlignment="1" applyProtection="1">
      <alignment horizontal="center" vertical="center" shrinkToFit="1"/>
      <protection hidden="1"/>
    </xf>
    <xf numFmtId="0" fontId="3" fillId="17" borderId="35" xfId="0" applyFont="1" applyFill="1" applyBorder="1" applyAlignment="1" applyProtection="1">
      <alignment horizontal="center" vertical="center" shrinkToFit="1"/>
      <protection hidden="1"/>
    </xf>
    <xf numFmtId="0" fontId="3" fillId="17" borderId="36" xfId="0" applyFont="1" applyFill="1" applyBorder="1" applyAlignment="1" applyProtection="1">
      <alignment horizontal="center" vertical="center" shrinkToFit="1"/>
      <protection hidden="1"/>
    </xf>
    <xf numFmtId="0" fontId="3" fillId="17" borderId="37" xfId="0" applyFont="1" applyFill="1" applyBorder="1" applyAlignment="1" applyProtection="1">
      <alignment horizontal="center" vertical="center" shrinkToFit="1"/>
      <protection hidden="1"/>
    </xf>
    <xf numFmtId="9" fontId="3" fillId="17" borderId="4" xfId="0" applyNumberFormat="1" applyFont="1" applyFill="1" applyBorder="1" applyAlignment="1" applyProtection="1">
      <alignment shrinkToFit="1"/>
      <protection hidden="1"/>
    </xf>
    <xf numFmtId="0" fontId="3" fillId="17" borderId="12" xfId="0" applyFont="1" applyFill="1" applyBorder="1" applyAlignment="1" applyProtection="1">
      <alignment horizontal="center" shrinkToFit="1"/>
      <protection hidden="1"/>
    </xf>
    <xf numFmtId="0" fontId="3" fillId="17" borderId="38" xfId="0" applyFont="1" applyFill="1" applyBorder="1" applyAlignment="1" applyProtection="1">
      <alignment horizontal="center" shrinkToFit="1"/>
      <protection hidden="1"/>
    </xf>
    <xf numFmtId="0" fontId="3" fillId="17" borderId="22" xfId="0" applyFont="1" applyFill="1" applyBorder="1" applyAlignment="1" applyProtection="1">
      <alignment horizontal="center" shrinkToFit="1"/>
      <protection hidden="1"/>
    </xf>
    <xf numFmtId="0" fontId="20" fillId="12" borderId="0" xfId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14" fillId="12" borderId="4" xfId="0" applyFont="1" applyFill="1" applyBorder="1" applyAlignment="1" applyProtection="1">
      <alignment horizontal="center" vertical="center"/>
      <protection hidden="1"/>
    </xf>
    <xf numFmtId="0" fontId="14" fillId="12" borderId="39" xfId="0" applyFont="1" applyFill="1" applyBorder="1" applyAlignment="1" applyProtection="1">
      <alignment horizontal="center" vertical="center" wrapText="1"/>
      <protection hidden="1"/>
    </xf>
    <xf numFmtId="0" fontId="18" fillId="12" borderId="39" xfId="0" applyFont="1" applyFill="1" applyBorder="1" applyAlignment="1" applyProtection="1">
      <alignment horizontal="center" vertical="center" wrapText="1"/>
      <protection hidden="1"/>
    </xf>
    <xf numFmtId="0" fontId="14" fillId="12" borderId="4" xfId="0" applyFont="1" applyFill="1" applyBorder="1" applyAlignment="1" applyProtection="1">
      <alignment horizontal="center" vertical="center" wrapText="1"/>
      <protection hidden="1"/>
    </xf>
    <xf numFmtId="0" fontId="18" fillId="12" borderId="4" xfId="0" applyFont="1" applyFill="1" applyBorder="1" applyAlignment="1" applyProtection="1">
      <alignment horizontal="center" vertical="center" wrapText="1"/>
      <protection hidden="1"/>
    </xf>
    <xf numFmtId="0" fontId="27" fillId="0" borderId="19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0" fillId="17" borderId="8" xfId="0" applyFont="1" applyFill="1" applyBorder="1" applyAlignment="1" applyProtection="1">
      <alignment vertical="top" wrapText="1"/>
      <protection hidden="1"/>
    </xf>
    <xf numFmtId="0" fontId="10" fillId="17" borderId="5" xfId="0" applyFont="1" applyFill="1" applyBorder="1" applyAlignment="1" applyProtection="1">
      <alignment vertical="top" wrapText="1"/>
      <protection hidden="1"/>
    </xf>
    <xf numFmtId="0" fontId="10" fillId="17" borderId="40" xfId="0" applyFont="1" applyFill="1" applyBorder="1" applyAlignment="1" applyProtection="1">
      <alignment vertical="top" wrapText="1"/>
      <protection hidden="1"/>
    </xf>
    <xf numFmtId="0" fontId="10" fillId="17" borderId="11" xfId="0" applyFont="1" applyFill="1" applyBorder="1" applyAlignment="1" applyProtection="1">
      <alignment vertical="top" wrapText="1"/>
      <protection hidden="1"/>
    </xf>
    <xf numFmtId="0" fontId="10" fillId="17" borderId="0" xfId="0" applyFont="1" applyFill="1" applyAlignment="1" applyProtection="1">
      <alignment vertical="top" wrapText="1"/>
      <protection hidden="1"/>
    </xf>
    <xf numFmtId="0" fontId="10" fillId="17" borderId="41" xfId="0" applyFont="1" applyFill="1" applyBorder="1" applyAlignment="1" applyProtection="1">
      <alignment vertical="top" wrapText="1"/>
      <protection hidden="1"/>
    </xf>
    <xf numFmtId="0" fontId="10" fillId="17" borderId="42" xfId="0" applyFont="1" applyFill="1" applyBorder="1" applyAlignment="1" applyProtection="1">
      <alignment vertical="top" wrapText="1"/>
      <protection hidden="1"/>
    </xf>
    <xf numFmtId="0" fontId="10" fillId="17" borderId="38" xfId="0" applyFont="1" applyFill="1" applyBorder="1" applyAlignment="1" applyProtection="1">
      <alignment vertical="top" wrapText="1"/>
      <protection hidden="1"/>
    </xf>
    <xf numFmtId="0" fontId="10" fillId="17" borderId="43" xfId="0" applyFont="1" applyFill="1" applyBorder="1" applyAlignment="1" applyProtection="1">
      <alignment vertical="top" wrapText="1"/>
      <protection hidden="1"/>
    </xf>
    <xf numFmtId="0" fontId="19" fillId="12" borderId="7" xfId="0" applyFont="1" applyFill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6" fillId="17" borderId="44" xfId="0" applyFont="1" applyFill="1" applyBorder="1" applyAlignment="1" applyProtection="1">
      <alignment horizontal="center" vertical="center" shrinkToFit="1"/>
      <protection hidden="1"/>
    </xf>
    <xf numFmtId="0" fontId="16" fillId="17" borderId="45" xfId="0" applyFont="1" applyFill="1" applyBorder="1" applyAlignment="1" applyProtection="1">
      <alignment horizontal="center" vertical="center" shrinkToFit="1"/>
      <protection hidden="1"/>
    </xf>
    <xf numFmtId="0" fontId="14" fillId="12" borderId="7" xfId="0" applyFont="1" applyFill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6" fillId="17" borderId="46" xfId="0" applyFont="1" applyFill="1" applyBorder="1" applyAlignment="1" applyProtection="1">
      <alignment horizontal="center" vertical="center" shrinkToFit="1"/>
      <protection hidden="1"/>
    </xf>
    <xf numFmtId="0" fontId="16" fillId="17" borderId="47" xfId="0" applyFont="1" applyFill="1" applyBorder="1" applyAlignment="1" applyProtection="1">
      <alignment horizontal="center" vertical="center" shrinkToFit="1"/>
      <protection hidden="1"/>
    </xf>
    <xf numFmtId="0" fontId="16" fillId="17" borderId="50" xfId="0" applyFont="1" applyFill="1" applyBorder="1" applyAlignment="1" applyProtection="1">
      <alignment horizontal="center" vertical="center" shrinkToFit="1"/>
      <protection hidden="1"/>
    </xf>
    <xf numFmtId="0" fontId="16" fillId="17" borderId="51" xfId="0" applyFont="1" applyFill="1" applyBorder="1" applyAlignment="1" applyProtection="1">
      <alignment horizontal="center" vertical="center" shrinkToFit="1"/>
      <protection hidden="1"/>
    </xf>
    <xf numFmtId="0" fontId="16" fillId="17" borderId="48" xfId="0" applyFont="1" applyFill="1" applyBorder="1" applyAlignment="1" applyProtection="1">
      <alignment horizontal="center" vertical="center" shrinkToFit="1"/>
      <protection hidden="1"/>
    </xf>
    <xf numFmtId="0" fontId="16" fillId="17" borderId="49" xfId="0" applyFont="1" applyFill="1" applyBorder="1" applyAlignment="1" applyProtection="1">
      <alignment horizontal="center" vertical="center" shrinkToFit="1"/>
      <protection hidden="1"/>
    </xf>
    <xf numFmtId="0" fontId="16" fillId="17" borderId="7" xfId="0" applyFont="1" applyFill="1" applyBorder="1" applyAlignment="1" applyProtection="1">
      <alignment horizontal="center" vertical="center" shrinkToFit="1"/>
      <protection hidden="1"/>
    </xf>
    <xf numFmtId="0" fontId="16" fillId="17" borderId="22" xfId="0" applyFont="1" applyFill="1" applyBorder="1" applyAlignment="1" applyProtection="1">
      <alignment horizontal="center" vertical="center" shrinkToFit="1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7"/>
      </font>
    </dxf>
    <dxf>
      <font>
        <condense val="0"/>
        <extend val="0"/>
        <color indexed="41"/>
      </font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D$5" fmlaRange="Support!$A$31:$A$68" sel="1" val="0"/>
</file>

<file path=xl/ctrlProps/ctrlProp2.xml><?xml version="1.0" encoding="utf-8"?>
<formControlPr xmlns="http://schemas.microsoft.com/office/spreadsheetml/2009/9/main" objectType="Drop" dropStyle="combo" dx="22" fmlaLink="$C$5" fmlaRange="Support!$A$1:$A$26" sel="1" val="0"/>
</file>

<file path=xl/ctrlProps/ctrlProp3.xml><?xml version="1.0" encoding="utf-8"?>
<formControlPr xmlns="http://schemas.microsoft.com/office/spreadsheetml/2009/9/main" objectType="Drop" dropStyle="combo" dx="22" fmlaLink="$D$18" fmlaRange="Support!$A$31:$A$68" sel="1" val="0"/>
</file>

<file path=xl/ctrlProps/ctrlProp4.xml><?xml version="1.0" encoding="utf-8"?>
<formControlPr xmlns="http://schemas.microsoft.com/office/spreadsheetml/2009/9/main" objectType="Drop" dropStyle="combo" dx="22" fmlaLink="$C$18" fmlaRange="Support!$A$1:$A$26" sel="1" val="0"/>
</file>

<file path=xl/ctrlProps/ctrlProp5.xml><?xml version="1.0" encoding="utf-8"?>
<formControlPr xmlns="http://schemas.microsoft.com/office/spreadsheetml/2009/9/main" objectType="Drop" dropStyle="combo" dx="22" fmlaLink="$D$31" fmlaRange="Support!$A$31:$A$68" sel="1" val="0"/>
</file>

<file path=xl/ctrlProps/ctrlProp6.xml><?xml version="1.0" encoding="utf-8"?>
<formControlPr xmlns="http://schemas.microsoft.com/office/spreadsheetml/2009/9/main" objectType="Drop" dropStyle="combo" dx="22" fmlaLink="$C$31" fmlaRange="Support!$A$1:$A$26" sel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114300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628650</xdr:colOff>
          <xdr:row>8</xdr:row>
          <xdr:rowOff>38100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114300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0</xdr:rowOff>
        </xdr:from>
        <xdr:to>
          <xdr:col>5</xdr:col>
          <xdr:colOff>628650</xdr:colOff>
          <xdr:row>21</xdr:row>
          <xdr:rowOff>38100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114300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0</xdr:rowOff>
        </xdr:from>
        <xdr:to>
          <xdr:col>5</xdr:col>
          <xdr:colOff>628650</xdr:colOff>
          <xdr:row>34</xdr:row>
          <xdr:rowOff>38100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38100</xdr:rowOff>
        </xdr:from>
        <xdr:to>
          <xdr:col>15</xdr:col>
          <xdr:colOff>504825</xdr:colOff>
          <xdr:row>96</xdr:row>
          <xdr:rowOff>114300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1.xml"/><Relationship Id="rId5" Type="http://schemas.openxmlformats.org/officeDocument/2006/relationships/hyperlink" Target="http://www.ara4help.com/" TargetMode="External"/><Relationship Id="rId15" Type="http://schemas.openxmlformats.org/officeDocument/2006/relationships/ctrlProp" Target="../ctrlProps/ctrlProp5.xml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Microsoft_Word_97_-_2003_Document.doc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autoPageBreaks="0"/>
  </sheetPr>
  <dimension ref="B1:P59"/>
  <sheetViews>
    <sheetView showGridLines="0" showRowColHeaders="0" tabSelected="1" zoomScale="115" zoomScaleNormal="115" workbookViewId="0">
      <selection activeCell="B3" sqref="B3:K3"/>
    </sheetView>
  </sheetViews>
  <sheetFormatPr defaultRowHeight="11.25" x14ac:dyDescent="0.2"/>
  <cols>
    <col min="1" max="1" width="0.7109375" style="20" customWidth="1"/>
    <col min="2" max="3" width="7.140625" style="20" customWidth="1"/>
    <col min="4" max="4" width="12.140625" style="20" customWidth="1"/>
    <col min="5" max="5" width="7.140625" style="20" customWidth="1"/>
    <col min="6" max="6" width="9.7109375" style="20" customWidth="1"/>
    <col min="7" max="7" width="8.7109375" style="20" customWidth="1"/>
    <col min="8" max="8" width="4.5703125" style="20" customWidth="1"/>
    <col min="9" max="16" width="8.28515625" style="20" customWidth="1"/>
    <col min="17" max="16384" width="9.140625" style="20"/>
  </cols>
  <sheetData>
    <row r="1" spans="2:16" ht="7.5" customHeight="1" x14ac:dyDescent="0.2">
      <c r="B1" s="86"/>
      <c r="C1" s="87"/>
      <c r="D1" s="87"/>
      <c r="E1" s="87"/>
      <c r="F1" s="87"/>
      <c r="G1" s="87"/>
      <c r="H1" s="87"/>
      <c r="I1" s="87"/>
      <c r="J1" s="87"/>
      <c r="K1" s="87"/>
      <c r="L1" s="88"/>
      <c r="M1" s="88"/>
      <c r="N1" s="88"/>
      <c r="O1" s="88"/>
      <c r="P1" s="89"/>
    </row>
    <row r="2" spans="2:16" ht="15.75" x14ac:dyDescent="0.25">
      <c r="B2" s="148" t="s">
        <v>230</v>
      </c>
      <c r="C2" s="91"/>
      <c r="D2" s="91"/>
      <c r="E2" s="92"/>
      <c r="F2" s="92"/>
      <c r="G2" s="93"/>
      <c r="H2" s="93"/>
      <c r="I2" s="93"/>
      <c r="J2" s="93"/>
      <c r="K2" s="147" t="str">
        <f ca="1">IF(AND(Count!B88&lt;0,Count!B102=1),Count!B108,IF(Count!B102=0,Count!B109,"Minimum Plumbing Fixture Calculator"))</f>
        <v>Minimum Plumbing Fixture Calculator</v>
      </c>
      <c r="L2" s="144"/>
      <c r="M2" s="144" t="s">
        <v>231</v>
      </c>
      <c r="N2" s="177" t="s">
        <v>204</v>
      </c>
      <c r="O2" s="178"/>
      <c r="P2" s="179"/>
    </row>
    <row r="3" spans="2:16" ht="12" customHeight="1" thickBot="1" x14ac:dyDescent="0.25">
      <c r="B3" s="185" t="s">
        <v>223</v>
      </c>
      <c r="C3" s="186"/>
      <c r="D3" s="186"/>
      <c r="E3" s="186"/>
      <c r="F3" s="186"/>
      <c r="G3" s="186"/>
      <c r="H3" s="186"/>
      <c r="I3" s="186"/>
      <c r="J3" s="186"/>
      <c r="K3" s="186"/>
      <c r="L3" s="145" t="s">
        <v>214</v>
      </c>
      <c r="M3" s="146">
        <v>46022</v>
      </c>
      <c r="N3" s="94"/>
      <c r="O3" s="94"/>
      <c r="P3" s="95"/>
    </row>
    <row r="4" spans="2:16" s="29" customFormat="1" ht="12.75" hidden="1" x14ac:dyDescent="0.2">
      <c r="B4" s="96"/>
      <c r="C4" s="97" t="s">
        <v>85</v>
      </c>
      <c r="D4" s="96" t="s">
        <v>87</v>
      </c>
      <c r="E4" s="96" t="s">
        <v>88</v>
      </c>
      <c r="F4" s="96" t="s">
        <v>89</v>
      </c>
      <c r="G4" s="98" t="s">
        <v>90</v>
      </c>
      <c r="H4" s="98"/>
      <c r="I4" s="98"/>
      <c r="J4" s="98"/>
      <c r="K4" s="98"/>
      <c r="L4" s="98"/>
      <c r="M4" s="98"/>
      <c r="N4" s="99"/>
      <c r="O4" s="99"/>
      <c r="P4" s="99"/>
    </row>
    <row r="5" spans="2:16" hidden="1" x14ac:dyDescent="0.2">
      <c r="B5" s="100"/>
      <c r="C5" s="82">
        <v>1</v>
      </c>
      <c r="D5" s="82">
        <v>1</v>
      </c>
      <c r="E5" s="101" t="str">
        <f>E14</f>
        <v>Male:</v>
      </c>
      <c r="F5" s="102">
        <f>F12</f>
        <v>0</v>
      </c>
      <c r="G5" s="102">
        <f>F13</f>
        <v>0</v>
      </c>
      <c r="H5" s="100"/>
      <c r="I5" s="100"/>
      <c r="J5" s="100"/>
      <c r="K5" s="100"/>
      <c r="L5" s="100"/>
      <c r="M5" s="100"/>
      <c r="N5" s="103"/>
      <c r="O5" s="103"/>
      <c r="P5" s="103"/>
    </row>
    <row r="6" spans="2:16" ht="12" hidden="1" thickBot="1" x14ac:dyDescent="0.25">
      <c r="B6" s="104">
        <f>IF(G13&lt;&gt;"",1,0)</f>
        <v>0</v>
      </c>
      <c r="C6" s="104">
        <f>IF(B14&lt;&gt;"",1,0)</f>
        <v>0</v>
      </c>
      <c r="D6" s="104">
        <f>IF(AND(B10="",D5=1),1,0)</f>
        <v>1</v>
      </c>
      <c r="E6" s="105"/>
      <c r="F6" s="105"/>
      <c r="G6" s="105"/>
      <c r="H6" s="105"/>
      <c r="I6" s="105"/>
      <c r="J6" s="105"/>
      <c r="K6" s="105"/>
      <c r="L6" s="105"/>
      <c r="M6" s="104">
        <f>IF(MAX(B6:L6)=0,0,1)</f>
        <v>1</v>
      </c>
      <c r="N6" s="103"/>
      <c r="O6" s="103"/>
      <c r="P6" s="103"/>
    </row>
    <row r="7" spans="2:16" ht="7.5" customHeight="1" x14ac:dyDescent="0.2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6" x14ac:dyDescent="0.2">
      <c r="B8" s="109" t="s">
        <v>169</v>
      </c>
      <c r="C8" s="91"/>
      <c r="D8" s="91"/>
      <c r="E8" s="91"/>
      <c r="F8" s="91"/>
      <c r="G8" s="110" t="str">
        <f>IF(B10="","OL ratio per","")</f>
        <v>OL ratio per</v>
      </c>
      <c r="H8" s="196">
        <v>1</v>
      </c>
      <c r="I8" s="180" t="s">
        <v>95</v>
      </c>
      <c r="J8" s="180"/>
      <c r="K8" s="180"/>
      <c r="L8" s="180" t="s">
        <v>97</v>
      </c>
      <c r="M8" s="180"/>
      <c r="N8" s="180"/>
      <c r="O8" s="183" t="s">
        <v>165</v>
      </c>
      <c r="P8" s="181" t="s">
        <v>166</v>
      </c>
    </row>
    <row r="9" spans="2:16" x14ac:dyDescent="0.2">
      <c r="B9" s="112"/>
      <c r="C9" s="91"/>
      <c r="D9" s="91"/>
      <c r="E9" s="91"/>
      <c r="F9" s="91"/>
      <c r="G9" s="113" t="str">
        <f>IF(B10="","T 1004.1.2","")</f>
        <v>T 1004.1.2</v>
      </c>
      <c r="H9" s="197"/>
      <c r="I9" s="114" t="s">
        <v>98</v>
      </c>
      <c r="J9" s="115" t="s">
        <v>93</v>
      </c>
      <c r="K9" s="116" t="s">
        <v>96</v>
      </c>
      <c r="L9" s="114" t="s">
        <v>98</v>
      </c>
      <c r="M9" s="115" t="s">
        <v>93</v>
      </c>
      <c r="N9" s="116" t="s">
        <v>96</v>
      </c>
      <c r="O9" s="184"/>
      <c r="P9" s="182"/>
    </row>
    <row r="10" spans="2:16" x14ac:dyDescent="0.2">
      <c r="B10" s="117" t="str">
        <f>IF(OR(C5=21,C5=23,C5=24),"Not Req'd →","")</f>
        <v/>
      </c>
      <c r="C10" s="91"/>
      <c r="D10" s="91"/>
      <c r="E10" s="91"/>
      <c r="F10" s="91"/>
      <c r="G10" s="176" t="str">
        <f>IF(D5=1,"",("1/"&amp;LOOKUP(D5,Support!$B$31:$B$68,Support!$D$31:$D$68)))</f>
        <v/>
      </c>
      <c r="H10" s="111" t="s">
        <v>99</v>
      </c>
      <c r="I10" s="163" t="str">
        <f>Count!L$47</f>
        <v/>
      </c>
      <c r="J10" s="164">
        <f ca="1">Count!M$47</f>
        <v>0</v>
      </c>
      <c r="K10" s="165">
        <f ca="1">Count!N$47</f>
        <v>0</v>
      </c>
      <c r="L10" s="166" t="str">
        <f>Count!O$47</f>
        <v/>
      </c>
      <c r="M10" s="164">
        <f ca="1">Count!P$47</f>
        <v>0</v>
      </c>
      <c r="N10" s="165">
        <f ca="1">Count!Q$47</f>
        <v>0</v>
      </c>
      <c r="O10" s="163">
        <f ca="1">Count!R$47</f>
        <v>0</v>
      </c>
      <c r="P10" s="167">
        <f ca="1">Count!S$47</f>
        <v>0</v>
      </c>
    </row>
    <row r="11" spans="2:16" x14ac:dyDescent="0.2">
      <c r="B11" s="118" t="str">
        <f>IF(OR(C5=21,C5=23,C5=24),"The calculation is based on number of units, not based on OL ","")</f>
        <v/>
      </c>
      <c r="C11" s="91"/>
      <c r="D11" s="91"/>
      <c r="E11" s="91"/>
      <c r="F11" s="91"/>
      <c r="G11" s="110" t="str">
        <f>IF(B10="","Calculated OL","")</f>
        <v>Calculated OL</v>
      </c>
      <c r="H11" s="111" t="s">
        <v>167</v>
      </c>
      <c r="I11" s="168">
        <f ca="1">Count!L$50</f>
        <v>0</v>
      </c>
      <c r="J11" s="169">
        <f>Count!M$50</f>
        <v>0</v>
      </c>
      <c r="K11" s="170">
        <f>Count!N$50</f>
        <v>0</v>
      </c>
      <c r="L11" s="171">
        <f ca="1">Count!O$50</f>
        <v>0</v>
      </c>
      <c r="M11" s="169">
        <f>Count!P$50</f>
        <v>0</v>
      </c>
      <c r="N11" s="170">
        <f>Count!Q$50</f>
        <v>0</v>
      </c>
      <c r="O11" s="168">
        <f ca="1">Count!R$50</f>
        <v>0</v>
      </c>
      <c r="P11" s="172">
        <f>Count!S$50</f>
        <v>0</v>
      </c>
    </row>
    <row r="12" spans="2:16" x14ac:dyDescent="0.2">
      <c r="B12" s="119"/>
      <c r="C12" s="91"/>
      <c r="D12" s="91"/>
      <c r="E12" s="120">
        <f>IF(B10="",Support!$F$71,"")</f>
        <v>0</v>
      </c>
      <c r="F12" s="121"/>
      <c r="G12" s="175">
        <f>LOOKUP(D5,Support!$B$31:$B$68,Support!$I$31:$I$68)</f>
        <v>0</v>
      </c>
      <c r="H12" s="187" t="str">
        <f ca="1">"Comments: "&amp;Count!$B$81</f>
        <v xml:space="preserve">Comments: </v>
      </c>
      <c r="I12" s="188"/>
      <c r="J12" s="188"/>
      <c r="K12" s="188"/>
      <c r="L12" s="188"/>
      <c r="M12" s="188"/>
      <c r="N12" s="188"/>
      <c r="O12" s="188"/>
      <c r="P12" s="189"/>
    </row>
    <row r="13" spans="2:16" x14ac:dyDescent="0.2">
      <c r="B13" s="122"/>
      <c r="C13" s="91"/>
      <c r="D13" s="91"/>
      <c r="E13" s="123">
        <f>Support!$G$71</f>
        <v>0</v>
      </c>
      <c r="F13" s="121"/>
      <c r="G13" s="124" t="str">
        <f>IF(AND((OR(C5=14,C5=17,C5=21,C5=23,C5=24)),(OR(F13&lt;=0,INT(F13)&lt;&gt;F13))),"←Nat. number","")</f>
        <v/>
      </c>
      <c r="H13" s="190"/>
      <c r="I13" s="191"/>
      <c r="J13" s="191"/>
      <c r="K13" s="191"/>
      <c r="L13" s="191"/>
      <c r="M13" s="191"/>
      <c r="N13" s="191"/>
      <c r="O13" s="191"/>
      <c r="P13" s="192"/>
    </row>
    <row r="14" spans="2:16" x14ac:dyDescent="0.2">
      <c r="B14" s="125"/>
      <c r="C14" s="91"/>
      <c r="D14" s="126" t="str">
        <f>IF(B10&lt;&gt;"","",IF(OR(F14&lt;0,F14&gt;1),"Input number between 0 &amp; 100 →",""))</f>
        <v/>
      </c>
      <c r="E14" s="127" t="str">
        <f>IF(B10="",IF(F14=0.5,"Male:","Male*:"),"")</f>
        <v>Male:</v>
      </c>
      <c r="F14" s="128">
        <v>0.5</v>
      </c>
      <c r="G14" s="174">
        <f>ROUNDUP(G12*F14,0)</f>
        <v>0</v>
      </c>
      <c r="H14" s="190"/>
      <c r="I14" s="191"/>
      <c r="J14" s="191"/>
      <c r="K14" s="191"/>
      <c r="L14" s="191"/>
      <c r="M14" s="191"/>
      <c r="N14" s="191"/>
      <c r="O14" s="191"/>
      <c r="P14" s="192"/>
    </row>
    <row r="15" spans="2:16" x14ac:dyDescent="0.2">
      <c r="B15" s="122"/>
      <c r="C15" s="129"/>
      <c r="D15" s="130"/>
      <c r="E15" s="127" t="str">
        <f>IF(B10="",IF(F15=0.5,"Female:","Female*:"),"")</f>
        <v>Female:</v>
      </c>
      <c r="F15" s="173">
        <f>1-F14</f>
        <v>0.5</v>
      </c>
      <c r="G15" s="174">
        <f>ROUNDUP(G12*F15,0)</f>
        <v>0</v>
      </c>
      <c r="H15" s="193"/>
      <c r="I15" s="194"/>
      <c r="J15" s="194"/>
      <c r="K15" s="194"/>
      <c r="L15" s="194"/>
      <c r="M15" s="194"/>
      <c r="N15" s="194"/>
      <c r="O15" s="194"/>
      <c r="P15" s="195"/>
    </row>
    <row r="16" spans="2:16" ht="12" thickBot="1" x14ac:dyDescent="0.25">
      <c r="B16" s="131" t="str">
        <f>IF(B10&lt;&gt;"","",IF(AND(D14="",F14&lt;&gt;0.5),"*Code official approval req'd for Male/Female ratio other than 50/50 (IPC Sec.403.3)",""))</f>
        <v/>
      </c>
      <c r="C16" s="132"/>
      <c r="D16" s="132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5"/>
    </row>
    <row r="17" spans="2:16" s="29" customFormat="1" ht="12.75" hidden="1" x14ac:dyDescent="0.2">
      <c r="B17" s="133"/>
      <c r="C17" s="134" t="s">
        <v>85</v>
      </c>
      <c r="D17" s="133" t="s">
        <v>87</v>
      </c>
      <c r="E17" s="133" t="s">
        <v>88</v>
      </c>
      <c r="F17" s="133" t="s">
        <v>89</v>
      </c>
      <c r="G17" s="135" t="s">
        <v>90</v>
      </c>
      <c r="H17" s="135"/>
      <c r="I17" s="135"/>
      <c r="J17" s="135"/>
      <c r="K17" s="135"/>
      <c r="L17" s="135"/>
      <c r="M17" s="135"/>
      <c r="N17" s="99"/>
      <c r="O17" s="99"/>
      <c r="P17" s="99"/>
    </row>
    <row r="18" spans="2:16" hidden="1" x14ac:dyDescent="0.2">
      <c r="B18" s="100"/>
      <c r="C18" s="82">
        <v>1</v>
      </c>
      <c r="D18" s="82">
        <v>1</v>
      </c>
      <c r="E18" s="101" t="str">
        <f>E27</f>
        <v>Male:</v>
      </c>
      <c r="F18" s="102">
        <f>F25</f>
        <v>0</v>
      </c>
      <c r="G18" s="102">
        <f>F26</f>
        <v>0</v>
      </c>
      <c r="H18" s="100"/>
      <c r="I18" s="100"/>
      <c r="J18" s="100"/>
      <c r="K18" s="100"/>
      <c r="L18" s="100"/>
      <c r="M18" s="100"/>
      <c r="N18" s="103"/>
      <c r="O18" s="103"/>
      <c r="P18" s="103"/>
    </row>
    <row r="19" spans="2:16" ht="12" hidden="1" thickBot="1" x14ac:dyDescent="0.25">
      <c r="B19" s="104">
        <f>IF(G26&lt;&gt;"",1,0)</f>
        <v>0</v>
      </c>
      <c r="C19" s="104">
        <f>IF(B27&lt;&gt;"",1,0)</f>
        <v>0</v>
      </c>
      <c r="D19" s="104">
        <f>IF(AND(B23="",D18=1),1,0)</f>
        <v>1</v>
      </c>
      <c r="E19" s="105"/>
      <c r="F19" s="105"/>
      <c r="G19" s="105"/>
      <c r="H19" s="105"/>
      <c r="I19" s="105"/>
      <c r="J19" s="105"/>
      <c r="K19" s="105"/>
      <c r="L19" s="105"/>
      <c r="M19" s="104">
        <f>IF(MAX(B19:L19)=0,0,1)</f>
        <v>1</v>
      </c>
      <c r="N19" s="103"/>
      <c r="O19" s="103"/>
      <c r="P19" s="103"/>
    </row>
    <row r="20" spans="2:16" ht="7.5" customHeight="1" x14ac:dyDescent="0.2"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</row>
    <row r="21" spans="2:16" x14ac:dyDescent="0.2">
      <c r="B21" s="109" t="s">
        <v>176</v>
      </c>
      <c r="C21" s="91"/>
      <c r="D21" s="91"/>
      <c r="E21" s="91"/>
      <c r="F21" s="91"/>
      <c r="G21" s="110" t="str">
        <f>IF(B23="","OL ratio per","")</f>
        <v>OL ratio per</v>
      </c>
      <c r="H21" s="196">
        <v>2</v>
      </c>
      <c r="I21" s="180" t="s">
        <v>95</v>
      </c>
      <c r="J21" s="180"/>
      <c r="K21" s="180"/>
      <c r="L21" s="180" t="s">
        <v>97</v>
      </c>
      <c r="M21" s="180"/>
      <c r="N21" s="180"/>
      <c r="O21" s="183" t="s">
        <v>165</v>
      </c>
      <c r="P21" s="181" t="s">
        <v>166</v>
      </c>
    </row>
    <row r="22" spans="2:16" x14ac:dyDescent="0.2">
      <c r="B22" s="112"/>
      <c r="C22" s="91"/>
      <c r="D22" s="91"/>
      <c r="E22" s="91"/>
      <c r="F22" s="91"/>
      <c r="G22" s="113" t="str">
        <f>IF(B23="","T 1004.1.2","")</f>
        <v>T 1004.1.2</v>
      </c>
      <c r="H22" s="197"/>
      <c r="I22" s="114" t="s">
        <v>98</v>
      </c>
      <c r="J22" s="115" t="s">
        <v>93</v>
      </c>
      <c r="K22" s="116" t="s">
        <v>96</v>
      </c>
      <c r="L22" s="114" t="s">
        <v>98</v>
      </c>
      <c r="M22" s="115" t="s">
        <v>93</v>
      </c>
      <c r="N22" s="116" t="s">
        <v>96</v>
      </c>
      <c r="O22" s="184"/>
      <c r="P22" s="182"/>
    </row>
    <row r="23" spans="2:16" x14ac:dyDescent="0.2">
      <c r="B23" s="117" t="str">
        <f>IF(OR(C18=21,C18=23,C18=24),"Not Req'd →","")</f>
        <v/>
      </c>
      <c r="C23" s="91"/>
      <c r="D23" s="91"/>
      <c r="E23" s="91"/>
      <c r="F23" s="91"/>
      <c r="G23" s="176" t="str">
        <f>IF(D18=1,"",("1/"&amp;LOOKUP(D18,Support!$B$31:$B$68,Support!$D$31:$D$68)))</f>
        <v/>
      </c>
      <c r="H23" s="111" t="s">
        <v>99</v>
      </c>
      <c r="I23" s="163" t="str">
        <f>Count!W$47</f>
        <v/>
      </c>
      <c r="J23" s="164">
        <f ca="1">Count!X$47</f>
        <v>0</v>
      </c>
      <c r="K23" s="165">
        <f ca="1">Count!Y$47</f>
        <v>0</v>
      </c>
      <c r="L23" s="166" t="str">
        <f>Count!Z$47</f>
        <v/>
      </c>
      <c r="M23" s="164">
        <f ca="1">Count!AA$47</f>
        <v>0</v>
      </c>
      <c r="N23" s="165">
        <f ca="1">Count!AB$47</f>
        <v>0</v>
      </c>
      <c r="O23" s="163">
        <f ca="1">Count!AC$47</f>
        <v>0</v>
      </c>
      <c r="P23" s="167">
        <f ca="1">Count!AD$47</f>
        <v>0</v>
      </c>
    </row>
    <row r="24" spans="2:16" x14ac:dyDescent="0.2">
      <c r="B24" s="118" t="str">
        <f>IF(OR(C18=21,C18=23,C18=24),"The calculation is based on number of units, not based on OL ","")</f>
        <v/>
      </c>
      <c r="C24" s="91"/>
      <c r="D24" s="91"/>
      <c r="E24" s="91"/>
      <c r="F24" s="91"/>
      <c r="G24" s="110" t="str">
        <f>IF(B23="","Calculated OL","")</f>
        <v>Calculated OL</v>
      </c>
      <c r="H24" s="111" t="s">
        <v>167</v>
      </c>
      <c r="I24" s="168">
        <f ca="1">Count!W$50</f>
        <v>0</v>
      </c>
      <c r="J24" s="169">
        <f>Count!X$50</f>
        <v>0</v>
      </c>
      <c r="K24" s="170">
        <f>Count!Y$50</f>
        <v>0</v>
      </c>
      <c r="L24" s="171">
        <f ca="1">Count!Z$50</f>
        <v>0</v>
      </c>
      <c r="M24" s="169">
        <f>Count!AA$50</f>
        <v>0</v>
      </c>
      <c r="N24" s="170">
        <f>Count!AB$50</f>
        <v>0</v>
      </c>
      <c r="O24" s="168">
        <f ca="1">Count!AC$50</f>
        <v>0</v>
      </c>
      <c r="P24" s="172">
        <f>Count!AD$50</f>
        <v>0</v>
      </c>
    </row>
    <row r="25" spans="2:16" x14ac:dyDescent="0.2">
      <c r="B25" s="119"/>
      <c r="C25" s="91"/>
      <c r="D25" s="91"/>
      <c r="E25" s="120">
        <f>IF(B23="",Support!$F$72,"")</f>
        <v>0</v>
      </c>
      <c r="F25" s="121"/>
      <c r="G25" s="175">
        <f>LOOKUP(D18,Support!$B$31:$B$68,Support!$J$31:$J$68)</f>
        <v>0</v>
      </c>
      <c r="H25" s="187" t="str">
        <f ca="1">"Comments: "&amp;Count!$B$82</f>
        <v xml:space="preserve">Comments: </v>
      </c>
      <c r="I25" s="188"/>
      <c r="J25" s="188"/>
      <c r="K25" s="188"/>
      <c r="L25" s="188"/>
      <c r="M25" s="188"/>
      <c r="N25" s="188"/>
      <c r="O25" s="188"/>
      <c r="P25" s="189"/>
    </row>
    <row r="26" spans="2:16" x14ac:dyDescent="0.2">
      <c r="B26" s="122"/>
      <c r="C26" s="91"/>
      <c r="D26" s="91"/>
      <c r="E26" s="123">
        <f>Support!$G$72</f>
        <v>0</v>
      </c>
      <c r="F26" s="121"/>
      <c r="G26" s="124" t="str">
        <f>IF(AND((OR(C18=14,C18=17,C18=21,C18=23,C18=24)),(OR(F26&lt;=0,INT(F26)&lt;&gt;F26))),"←Nat. number","")</f>
        <v/>
      </c>
      <c r="H26" s="190"/>
      <c r="I26" s="191"/>
      <c r="J26" s="191"/>
      <c r="K26" s="191"/>
      <c r="L26" s="191"/>
      <c r="M26" s="191"/>
      <c r="N26" s="191"/>
      <c r="O26" s="191"/>
      <c r="P26" s="192"/>
    </row>
    <row r="27" spans="2:16" x14ac:dyDescent="0.2">
      <c r="B27" s="125"/>
      <c r="C27" s="91"/>
      <c r="D27" s="126" t="str">
        <f>IF(B23&lt;&gt;"","",IF(OR(F27&lt;0,F27&gt;1),"Input number between 0 &amp; 100 →",""))</f>
        <v/>
      </c>
      <c r="E27" s="127" t="str">
        <f>IF(B23="",IF(F27=0.5,"Male:","Male*:"),"")</f>
        <v>Male:</v>
      </c>
      <c r="F27" s="128">
        <v>0.5</v>
      </c>
      <c r="G27" s="174">
        <f>ROUNDUP(G25*F27,0)</f>
        <v>0</v>
      </c>
      <c r="H27" s="190"/>
      <c r="I27" s="191"/>
      <c r="J27" s="191"/>
      <c r="K27" s="191"/>
      <c r="L27" s="191"/>
      <c r="M27" s="191"/>
      <c r="N27" s="191"/>
      <c r="O27" s="191"/>
      <c r="P27" s="192"/>
    </row>
    <row r="28" spans="2:16" x14ac:dyDescent="0.2">
      <c r="B28" s="122"/>
      <c r="C28" s="129"/>
      <c r="D28" s="130"/>
      <c r="E28" s="127" t="str">
        <f>IF(B23="",IF(F28=0.5,"Female:","Female*:"),"")</f>
        <v>Female:</v>
      </c>
      <c r="F28" s="173">
        <f>1-F27</f>
        <v>0.5</v>
      </c>
      <c r="G28" s="174">
        <f>ROUNDUP(G25*F28,0)</f>
        <v>0</v>
      </c>
      <c r="H28" s="193"/>
      <c r="I28" s="194"/>
      <c r="J28" s="194"/>
      <c r="K28" s="194"/>
      <c r="L28" s="194"/>
      <c r="M28" s="194"/>
      <c r="N28" s="194"/>
      <c r="O28" s="194"/>
      <c r="P28" s="195"/>
    </row>
    <row r="29" spans="2:16" ht="12" thickBot="1" x14ac:dyDescent="0.25">
      <c r="B29" s="131" t="str">
        <f>IF(B23&lt;&gt;"","",IF(AND(D27="",F27&lt;&gt;0.5),"*Code official approval req'd for Male/Female ratio other than 50/50 (IPC Sec.403.3)",""))</f>
        <v/>
      </c>
      <c r="C29" s="132"/>
      <c r="D29" s="132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2:16" s="29" customFormat="1" ht="12.75" hidden="1" x14ac:dyDescent="0.2">
      <c r="B30" s="133"/>
      <c r="C30" s="134" t="s">
        <v>85</v>
      </c>
      <c r="D30" s="133" t="s">
        <v>87</v>
      </c>
      <c r="E30" s="133" t="s">
        <v>88</v>
      </c>
      <c r="F30" s="133" t="s">
        <v>89</v>
      </c>
      <c r="G30" s="135" t="s">
        <v>90</v>
      </c>
      <c r="H30" s="135"/>
      <c r="I30" s="135"/>
      <c r="J30" s="135"/>
      <c r="K30" s="135"/>
      <c r="L30" s="135"/>
      <c r="M30" s="135"/>
      <c r="N30" s="99"/>
      <c r="O30" s="99"/>
      <c r="P30" s="99"/>
    </row>
    <row r="31" spans="2:16" hidden="1" x14ac:dyDescent="0.2">
      <c r="B31" s="100"/>
      <c r="C31" s="82">
        <v>1</v>
      </c>
      <c r="D31" s="82">
        <v>1</v>
      </c>
      <c r="E31" s="101" t="str">
        <f>E40</f>
        <v>Male:</v>
      </c>
      <c r="F31" s="102">
        <f>F38</f>
        <v>0</v>
      </c>
      <c r="G31" s="102">
        <f>F39</f>
        <v>0</v>
      </c>
      <c r="H31" s="100"/>
      <c r="I31" s="100"/>
      <c r="J31" s="100"/>
      <c r="K31" s="100"/>
      <c r="L31" s="100"/>
      <c r="M31" s="100"/>
      <c r="N31" s="103"/>
      <c r="O31" s="103"/>
      <c r="P31" s="103"/>
    </row>
    <row r="32" spans="2:16" ht="12" hidden="1" thickBot="1" x14ac:dyDescent="0.25">
      <c r="B32" s="104">
        <f>IF(G39&lt;&gt;"",1,0)</f>
        <v>0</v>
      </c>
      <c r="C32" s="104">
        <f>IF(B40&lt;&gt;"",1,0)</f>
        <v>0</v>
      </c>
      <c r="D32" s="104">
        <f>IF(AND(B36="",D31=1),1,0)</f>
        <v>1</v>
      </c>
      <c r="E32" s="105"/>
      <c r="F32" s="105"/>
      <c r="G32" s="105"/>
      <c r="H32" s="105"/>
      <c r="I32" s="105"/>
      <c r="J32" s="105"/>
      <c r="K32" s="105"/>
      <c r="L32" s="105"/>
      <c r="M32" s="104">
        <f>IF(MAX(B32:L32)=0,0,1)</f>
        <v>1</v>
      </c>
      <c r="N32" s="103"/>
      <c r="O32" s="103"/>
      <c r="P32" s="103"/>
    </row>
    <row r="33" spans="2:16" ht="7.5" customHeight="1" x14ac:dyDescent="0.2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/>
    </row>
    <row r="34" spans="2:16" x14ac:dyDescent="0.2">
      <c r="B34" s="109" t="s">
        <v>177</v>
      </c>
      <c r="C34" s="91"/>
      <c r="D34" s="91"/>
      <c r="E34" s="91"/>
      <c r="F34" s="91"/>
      <c r="G34" s="110" t="str">
        <f>IF(B36="","OL ratio per","")</f>
        <v>OL ratio per</v>
      </c>
      <c r="H34" s="196">
        <v>3</v>
      </c>
      <c r="I34" s="180" t="s">
        <v>95</v>
      </c>
      <c r="J34" s="180"/>
      <c r="K34" s="180"/>
      <c r="L34" s="180" t="s">
        <v>97</v>
      </c>
      <c r="M34" s="180"/>
      <c r="N34" s="180"/>
      <c r="O34" s="183" t="s">
        <v>165</v>
      </c>
      <c r="P34" s="181" t="s">
        <v>166</v>
      </c>
    </row>
    <row r="35" spans="2:16" x14ac:dyDescent="0.2">
      <c r="B35" s="112"/>
      <c r="C35" s="91"/>
      <c r="D35" s="91"/>
      <c r="E35" s="91"/>
      <c r="F35" s="91"/>
      <c r="G35" s="113" t="str">
        <f>IF(B36="","T 1004.1.2","")</f>
        <v>T 1004.1.2</v>
      </c>
      <c r="H35" s="197"/>
      <c r="I35" s="114" t="s">
        <v>98</v>
      </c>
      <c r="J35" s="115" t="s">
        <v>93</v>
      </c>
      <c r="K35" s="116" t="s">
        <v>96</v>
      </c>
      <c r="L35" s="114" t="s">
        <v>98</v>
      </c>
      <c r="M35" s="115" t="s">
        <v>93</v>
      </c>
      <c r="N35" s="116" t="s">
        <v>96</v>
      </c>
      <c r="O35" s="184"/>
      <c r="P35" s="182"/>
    </row>
    <row r="36" spans="2:16" x14ac:dyDescent="0.2">
      <c r="B36" s="117" t="str">
        <f>IF(OR(C31=21,C31=23,C31=24),"Not Req'd →","")</f>
        <v/>
      </c>
      <c r="C36" s="91"/>
      <c r="D36" s="91"/>
      <c r="E36" s="91"/>
      <c r="F36" s="91"/>
      <c r="G36" s="176" t="str">
        <f>IF(D31=1,"",("1/"&amp;LOOKUP(D31,Support!$B$31:$B$68,Support!$D$31:$D$68)))</f>
        <v/>
      </c>
      <c r="H36" s="111" t="s">
        <v>99</v>
      </c>
      <c r="I36" s="163" t="str">
        <f>Count!AH$47</f>
        <v/>
      </c>
      <c r="J36" s="164">
        <f ca="1">Count!AI$47</f>
        <v>0</v>
      </c>
      <c r="K36" s="165">
        <f ca="1">Count!AJ$47</f>
        <v>0</v>
      </c>
      <c r="L36" s="166" t="str">
        <f>Count!AK$47</f>
        <v/>
      </c>
      <c r="M36" s="164">
        <f ca="1">Count!AL$47</f>
        <v>0</v>
      </c>
      <c r="N36" s="165">
        <f ca="1">Count!AM$47</f>
        <v>0</v>
      </c>
      <c r="O36" s="163">
        <f ca="1">Count!AN$47</f>
        <v>0</v>
      </c>
      <c r="P36" s="167">
        <f ca="1">Count!AO$47</f>
        <v>0</v>
      </c>
    </row>
    <row r="37" spans="2:16" x14ac:dyDescent="0.2">
      <c r="B37" s="118" t="str">
        <f>IF(OR(C31=21,C31=23,C31=24),"The calculation is based on number of units, not based on OL ","")</f>
        <v/>
      </c>
      <c r="C37" s="91"/>
      <c r="D37" s="91"/>
      <c r="E37" s="91"/>
      <c r="F37" s="91"/>
      <c r="G37" s="110" t="str">
        <f>IF(B36="","Calculated OL","")</f>
        <v>Calculated OL</v>
      </c>
      <c r="H37" s="111" t="s">
        <v>167</v>
      </c>
      <c r="I37" s="168">
        <f ca="1">Count!AH$50</f>
        <v>0</v>
      </c>
      <c r="J37" s="169">
        <f>Count!AI$50</f>
        <v>0</v>
      </c>
      <c r="K37" s="170">
        <f>Count!AJ$50</f>
        <v>0</v>
      </c>
      <c r="L37" s="171">
        <f ca="1">Count!AK$50</f>
        <v>0</v>
      </c>
      <c r="M37" s="169">
        <f>Count!AL$50</f>
        <v>0</v>
      </c>
      <c r="N37" s="170">
        <f>Count!AM$50</f>
        <v>0</v>
      </c>
      <c r="O37" s="168">
        <f ca="1">Count!AN$50</f>
        <v>0</v>
      </c>
      <c r="P37" s="172">
        <f>Count!AO$50</f>
        <v>0</v>
      </c>
    </row>
    <row r="38" spans="2:16" x14ac:dyDescent="0.2">
      <c r="B38" s="119"/>
      <c r="C38" s="91"/>
      <c r="D38" s="91"/>
      <c r="E38" s="120">
        <f>IF(B36="",Support!$F$73,"")</f>
        <v>0</v>
      </c>
      <c r="F38" s="121"/>
      <c r="G38" s="175">
        <f>LOOKUP(D31,Support!$B$31:$B$68,Support!$K$31:$K$68)</f>
        <v>0</v>
      </c>
      <c r="H38" s="187" t="str">
        <f ca="1">"Comments: "&amp;Count!$B$83</f>
        <v xml:space="preserve">Comments: </v>
      </c>
      <c r="I38" s="188"/>
      <c r="J38" s="188"/>
      <c r="K38" s="188"/>
      <c r="L38" s="188"/>
      <c r="M38" s="188"/>
      <c r="N38" s="188"/>
      <c r="O38" s="188"/>
      <c r="P38" s="189"/>
    </row>
    <row r="39" spans="2:16" x14ac:dyDescent="0.2">
      <c r="B39" s="122"/>
      <c r="C39" s="91"/>
      <c r="D39" s="91"/>
      <c r="E39" s="123">
        <f>Support!$G$73</f>
        <v>0</v>
      </c>
      <c r="F39" s="121"/>
      <c r="G39" s="124" t="str">
        <f>IF(AND((OR(C31=14,C31=17,C31=21,C31=23,C31=24)),(OR(F39&lt;=0,INT(F39)&lt;&gt;F39))),"←Nat. number","")</f>
        <v/>
      </c>
      <c r="H39" s="190"/>
      <c r="I39" s="191"/>
      <c r="J39" s="191"/>
      <c r="K39" s="191"/>
      <c r="L39" s="191"/>
      <c r="M39" s="191"/>
      <c r="N39" s="191"/>
      <c r="O39" s="191"/>
      <c r="P39" s="192"/>
    </row>
    <row r="40" spans="2:16" x14ac:dyDescent="0.2">
      <c r="B40" s="125"/>
      <c r="C40" s="91"/>
      <c r="D40" s="126" t="str">
        <f>IF(B36&lt;&gt;"","",IF(OR(F40&lt;0,F40&gt;1),"Input number between 0 &amp; 100 →",""))</f>
        <v/>
      </c>
      <c r="E40" s="127" t="str">
        <f>IF(B36="",IF(F40=0.5,"Male:","Male*:"),"")</f>
        <v>Male:</v>
      </c>
      <c r="F40" s="128">
        <v>0.5</v>
      </c>
      <c r="G40" s="174">
        <f>ROUNDUP(G38*F40,0)</f>
        <v>0</v>
      </c>
      <c r="H40" s="190"/>
      <c r="I40" s="191"/>
      <c r="J40" s="191"/>
      <c r="K40" s="191"/>
      <c r="L40" s="191"/>
      <c r="M40" s="191"/>
      <c r="N40" s="191"/>
      <c r="O40" s="191"/>
      <c r="P40" s="192"/>
    </row>
    <row r="41" spans="2:16" x14ac:dyDescent="0.2">
      <c r="B41" s="122"/>
      <c r="C41" s="129"/>
      <c r="D41" s="130"/>
      <c r="E41" s="127" t="str">
        <f>IF(B36="",IF(F41=0.5,"Female:","Female*:"),"")</f>
        <v>Female:</v>
      </c>
      <c r="F41" s="173">
        <f>1-F40</f>
        <v>0.5</v>
      </c>
      <c r="G41" s="174">
        <f>ROUNDUP(G38*F41,0)</f>
        <v>0</v>
      </c>
      <c r="H41" s="193"/>
      <c r="I41" s="194"/>
      <c r="J41" s="194"/>
      <c r="K41" s="194"/>
      <c r="L41" s="194"/>
      <c r="M41" s="194"/>
      <c r="N41" s="194"/>
      <c r="O41" s="194"/>
      <c r="P41" s="195"/>
    </row>
    <row r="42" spans="2:16" ht="12" thickBot="1" x14ac:dyDescent="0.25">
      <c r="B42" s="131" t="str">
        <f>IF(B36&lt;&gt;"","",IF(AND(D40="",F40&lt;&gt;0.5),"*Code official approval req'd for Male/Female ratio other than 50/50 (IPC Sec.403.3)",""))</f>
        <v/>
      </c>
      <c r="C42" s="132"/>
      <c r="D42" s="132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5"/>
    </row>
    <row r="43" spans="2:16" x14ac:dyDescent="0.2"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8"/>
    </row>
    <row r="44" spans="2:16" ht="15.75" x14ac:dyDescent="0.25">
      <c r="B44" s="90" t="s">
        <v>191</v>
      </c>
      <c r="C44" s="91"/>
      <c r="D44" s="91"/>
      <c r="E44" s="91"/>
      <c r="F44" s="91"/>
      <c r="G44" s="136"/>
      <c r="H44" s="196" t="s">
        <v>196</v>
      </c>
      <c r="I44" s="180" t="s">
        <v>95</v>
      </c>
      <c r="J44" s="180"/>
      <c r="K44" s="180"/>
      <c r="L44" s="180" t="s">
        <v>97</v>
      </c>
      <c r="M44" s="180"/>
      <c r="N44" s="180"/>
      <c r="O44" s="183" t="s">
        <v>165</v>
      </c>
      <c r="P44" s="181" t="s">
        <v>166</v>
      </c>
    </row>
    <row r="45" spans="2:16" ht="11.25" customHeight="1" x14ac:dyDescent="0.2">
      <c r="B45" s="112"/>
      <c r="C45" s="91"/>
      <c r="D45" s="91"/>
      <c r="E45" s="91"/>
      <c r="F45" s="91"/>
      <c r="G45" s="136"/>
      <c r="H45" s="197"/>
      <c r="I45" s="114" t="s">
        <v>98</v>
      </c>
      <c r="J45" s="115" t="s">
        <v>93</v>
      </c>
      <c r="K45" s="116" t="s">
        <v>96</v>
      </c>
      <c r="L45" s="114" t="s">
        <v>98</v>
      </c>
      <c r="M45" s="115" t="s">
        <v>93</v>
      </c>
      <c r="N45" s="116" t="s">
        <v>96</v>
      </c>
      <c r="O45" s="184"/>
      <c r="P45" s="182"/>
    </row>
    <row r="46" spans="2:16" x14ac:dyDescent="0.2">
      <c r="B46" s="117"/>
      <c r="C46" s="91"/>
      <c r="D46" s="91"/>
      <c r="E46" s="91"/>
      <c r="F46" s="91"/>
      <c r="G46" s="137"/>
      <c r="H46" s="200" t="s">
        <v>167</v>
      </c>
      <c r="I46" s="202">
        <f ca="1">Count!L68</f>
        <v>0</v>
      </c>
      <c r="J46" s="206">
        <f>Count!M68</f>
        <v>0</v>
      </c>
      <c r="K46" s="198">
        <f>Count!N68</f>
        <v>0</v>
      </c>
      <c r="L46" s="202">
        <f ca="1">Count!O68</f>
        <v>0</v>
      </c>
      <c r="M46" s="206">
        <f>Count!P68</f>
        <v>0</v>
      </c>
      <c r="N46" s="198">
        <f>Count!Q68</f>
        <v>0</v>
      </c>
      <c r="O46" s="208">
        <f ca="1">Count!R68</f>
        <v>0</v>
      </c>
      <c r="P46" s="204">
        <f>Count!S68</f>
        <v>0</v>
      </c>
    </row>
    <row r="47" spans="2:16" x14ac:dyDescent="0.2">
      <c r="B47" s="118"/>
      <c r="C47" s="91"/>
      <c r="D47" s="91"/>
      <c r="E47" s="91"/>
      <c r="F47" s="91"/>
      <c r="G47" s="136"/>
      <c r="H47" s="201"/>
      <c r="I47" s="203"/>
      <c r="J47" s="207"/>
      <c r="K47" s="199"/>
      <c r="L47" s="203"/>
      <c r="M47" s="207"/>
      <c r="N47" s="199"/>
      <c r="O47" s="209"/>
      <c r="P47" s="205"/>
    </row>
    <row r="48" spans="2:16" x14ac:dyDescent="0.2">
      <c r="B48" s="119"/>
      <c r="C48" s="91"/>
      <c r="D48" s="91"/>
      <c r="E48" s="120"/>
      <c r="F48" s="138" t="s">
        <v>203</v>
      </c>
      <c r="G48" s="160">
        <f>Count!L59</f>
        <v>0</v>
      </c>
      <c r="H48" s="187" t="str">
        <f ca="1">"Comments: "&amp;Count!$B$84</f>
        <v xml:space="preserve">Comments: </v>
      </c>
      <c r="I48" s="188"/>
      <c r="J48" s="188"/>
      <c r="K48" s="188"/>
      <c r="L48" s="188"/>
      <c r="M48" s="188"/>
      <c r="N48" s="188"/>
      <c r="O48" s="188"/>
      <c r="P48" s="189"/>
    </row>
    <row r="49" spans="2:16" x14ac:dyDescent="0.2">
      <c r="B49" s="122"/>
      <c r="C49" s="91"/>
      <c r="D49" s="91"/>
      <c r="E49" s="120"/>
      <c r="F49" s="138" t="s">
        <v>200</v>
      </c>
      <c r="G49" s="161">
        <f>Count!O59</f>
        <v>0</v>
      </c>
      <c r="H49" s="190"/>
      <c r="I49" s="191"/>
      <c r="J49" s="191"/>
      <c r="K49" s="191"/>
      <c r="L49" s="191"/>
      <c r="M49" s="191"/>
      <c r="N49" s="191"/>
      <c r="O49" s="191"/>
      <c r="P49" s="192"/>
    </row>
    <row r="50" spans="2:16" x14ac:dyDescent="0.2">
      <c r="B50" s="125"/>
      <c r="C50" s="91"/>
      <c r="D50" s="126"/>
      <c r="E50" s="127"/>
      <c r="F50" s="138" t="s">
        <v>201</v>
      </c>
      <c r="G50" s="162">
        <f>ROUNDUP(Count!M59,0)</f>
        <v>0</v>
      </c>
      <c r="H50" s="190"/>
      <c r="I50" s="191"/>
      <c r="J50" s="191"/>
      <c r="K50" s="191"/>
      <c r="L50" s="191"/>
      <c r="M50" s="191"/>
      <c r="N50" s="191"/>
      <c r="O50" s="191"/>
      <c r="P50" s="192"/>
    </row>
    <row r="51" spans="2:16" x14ac:dyDescent="0.2">
      <c r="B51" s="122"/>
      <c r="C51" s="129"/>
      <c r="D51" s="130"/>
      <c r="E51" s="127"/>
      <c r="F51" s="138" t="s">
        <v>202</v>
      </c>
      <c r="G51" s="162">
        <f>ROUNDUP(Count!N59,0)</f>
        <v>0</v>
      </c>
      <c r="H51" s="193"/>
      <c r="I51" s="194"/>
      <c r="J51" s="194"/>
      <c r="K51" s="194"/>
      <c r="L51" s="194"/>
      <c r="M51" s="194"/>
      <c r="N51" s="194"/>
      <c r="O51" s="194"/>
      <c r="P51" s="195"/>
    </row>
    <row r="52" spans="2:16" ht="12" thickBot="1" x14ac:dyDescent="0.25">
      <c r="B52" s="131" t="s">
        <v>192</v>
      </c>
      <c r="C52" s="132"/>
      <c r="D52" s="132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141"/>
      <c r="P52" s="95"/>
    </row>
    <row r="54" spans="2:16" x14ac:dyDescent="0.2">
      <c r="B54" s="81"/>
    </row>
    <row r="59" spans="2:16" x14ac:dyDescent="0.2">
      <c r="B59" s="83"/>
    </row>
  </sheetData>
  <sheetProtection algorithmName="SHA-512" hashValue="LZAJYb1Fdj6ZmM0FaXyt+fhkj9XmhTCmG1m/iI28Ppvq404ZoZz5DZL0syHkFkomYrP0EKDVqVIPDDrtHSxbnQ==" saltValue="rHyJ4QfYW4tlLf+Hag6uNA==" spinCount="100000" sheet="1" objects="1" scenarios="1" selectLockedCells="1"/>
  <customSheetViews>
    <customSheetView guid="{B5C9A03E-93CF-46EE-8F04-58B98E0B692E}" scale="115" showGridLines="0" showRowCol="0" hiddenRows="1">
      <selection activeCell="B3" sqref="B3:K3"/>
      <pageMargins left="0.75" right="0.75" top="1" bottom="1" header="0.5" footer="0.5"/>
      <pageSetup orientation="landscape" verticalDpi="300" r:id="rId1"/>
      <headerFooter alignWithMargins="0">
        <oddFooter>&amp;L&amp;"Arial,Italic"www.ara4help.com &amp;D</oddFooter>
      </headerFooter>
    </customSheetView>
    <customSheetView guid="{88B0AC62-A692-4999-AFE4-A53E08EAE0C8}" scale="115" showGridLines="0" showRowCol="0" hiddenRows="1">
      <selection activeCell="F12" sqref="F12"/>
      <pageMargins left="0.75" right="0.75" top="1" bottom="1" header="0.5" footer="0.5"/>
      <pageSetup orientation="landscape" verticalDpi="300" r:id="rId2"/>
      <headerFooter alignWithMargins="0">
        <oddFooter>&amp;L&amp;"Arial,Italic"Ara Sargsyan &amp;D</oddFooter>
      </headerFooter>
    </customSheetView>
    <customSheetView guid="{44AB601E-F72E-47E9-8482-5E47CDE1F4B5}" scale="120" showGridLines="0" showRowCol="0" hiddenRows="1">
      <selection activeCell="F12" sqref="F12"/>
      <pageMargins left="0.75" right="0.75" top="1" bottom="1" header="0.5" footer="0.5"/>
      <pageSetup orientation="landscape" horizontalDpi="0" verticalDpi="0" r:id="rId3"/>
      <headerFooter alignWithMargins="0">
        <oddFooter>&amp;L&amp;"Arial,Italic"Ara Sargsyan &amp;D</oddFooter>
      </headerFooter>
    </customSheetView>
    <customSheetView guid="{E9085DC7-8FC4-4BFE-9ADF-F6CB4A330343}" scale="115" showGridLines="0" showRowCol="0" hiddenRows="1">
      <selection activeCell="B3" sqref="B3:K3"/>
      <pageMargins left="0.75" right="0.75" top="1" bottom="1" header="0.5" footer="0.5"/>
      <pageSetup orientation="landscape" verticalDpi="300" r:id="rId4"/>
      <headerFooter alignWithMargins="0">
        <oddFooter>&amp;L&amp;"Arial,Italic"Ara Sargsyan &amp;D</oddFooter>
      </headerFooter>
    </customSheetView>
  </customSheetViews>
  <mergeCells count="35">
    <mergeCell ref="P34:P35"/>
    <mergeCell ref="O46:O47"/>
    <mergeCell ref="P44:P45"/>
    <mergeCell ref="H25:P28"/>
    <mergeCell ref="H34:H35"/>
    <mergeCell ref="I34:K34"/>
    <mergeCell ref="L34:N34"/>
    <mergeCell ref="H38:P41"/>
    <mergeCell ref="H44:H45"/>
    <mergeCell ref="I44:K44"/>
    <mergeCell ref="L44:N44"/>
    <mergeCell ref="O44:O45"/>
    <mergeCell ref="O34:O35"/>
    <mergeCell ref="K46:K47"/>
    <mergeCell ref="L46:L47"/>
    <mergeCell ref="M46:M47"/>
    <mergeCell ref="N46:N47"/>
    <mergeCell ref="H48:P51"/>
    <mergeCell ref="H46:H47"/>
    <mergeCell ref="I46:I47"/>
    <mergeCell ref="P46:P47"/>
    <mergeCell ref="J46:J47"/>
    <mergeCell ref="N2:P2"/>
    <mergeCell ref="I21:K21"/>
    <mergeCell ref="P8:P9"/>
    <mergeCell ref="O8:O9"/>
    <mergeCell ref="B3:K3"/>
    <mergeCell ref="L21:N21"/>
    <mergeCell ref="L8:N8"/>
    <mergeCell ref="H12:P15"/>
    <mergeCell ref="H8:H9"/>
    <mergeCell ref="P21:P22"/>
    <mergeCell ref="I8:K8"/>
    <mergeCell ref="O21:O22"/>
    <mergeCell ref="H21:H22"/>
  </mergeCells>
  <phoneticPr fontId="3" type="noConversion"/>
  <conditionalFormatting sqref="B3">
    <cfRule type="expression" dxfId="13" priority="12" stopIfTrue="1">
      <formula>$AI$3&lt;0</formula>
    </cfRule>
    <cfRule type="cellIs" dxfId="12" priority="13" stopIfTrue="1" operator="equal">
      <formula>"[project name]"</formula>
    </cfRule>
  </conditionalFormatting>
  <conditionalFormatting sqref="E12 E25 E38">
    <cfRule type="cellIs" dxfId="11" priority="9" stopIfTrue="1" operator="equal">
      <formula>0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F12">
    <cfRule type="expression" dxfId="9" priority="8" stopIfTrue="1">
      <formula>$E$12=0</formula>
    </cfRule>
  </conditionalFormatting>
  <conditionalFormatting sqref="F13">
    <cfRule type="expression" dxfId="8" priority="5" stopIfTrue="1">
      <formula>$E$13=0</formula>
    </cfRule>
  </conditionalFormatting>
  <conditionalFormatting sqref="F25">
    <cfRule type="expression" dxfId="7" priority="10" stopIfTrue="1">
      <formula>$E$25=0</formula>
    </cfRule>
  </conditionalFormatting>
  <conditionalFormatting sqref="F26">
    <cfRule type="expression" dxfId="6" priority="6" stopIfTrue="1">
      <formula>$E$26=0</formula>
    </cfRule>
  </conditionalFormatting>
  <conditionalFormatting sqref="F38">
    <cfRule type="expression" dxfId="5" priority="11" stopIfTrue="1">
      <formula>$E$38=0</formula>
    </cfRule>
  </conditionalFormatting>
  <conditionalFormatting sqref="F39">
    <cfRule type="expression" dxfId="4" priority="7" stopIfTrue="1">
      <formula>$E$39=0</formula>
    </cfRule>
  </conditionalFormatting>
  <conditionalFormatting sqref="G10 G12 F14:G15">
    <cfRule type="expression" dxfId="3" priority="1" stopIfTrue="1">
      <formula>$B$10&lt;&gt;""</formula>
    </cfRule>
  </conditionalFormatting>
  <conditionalFormatting sqref="G23 G25 F27:G28">
    <cfRule type="expression" dxfId="2" priority="2" stopIfTrue="1">
      <formula>$B$23&lt;&gt;""</formula>
    </cfRule>
  </conditionalFormatting>
  <conditionalFormatting sqref="G36 G38 F40:G41">
    <cfRule type="expression" dxfId="1" priority="3" stopIfTrue="1">
      <formula>$B$36&lt;&gt;""</formula>
    </cfRule>
  </conditionalFormatting>
  <hyperlinks>
    <hyperlink ref="N2" r:id="rId5" xr:uid="{00000000-0004-0000-0000-000000000000}"/>
  </hyperlinks>
  <pageMargins left="0.75" right="0.75" top="1" bottom="1" header="0.5" footer="0.5"/>
  <pageSetup orientation="landscape" verticalDpi="300" r:id="rId6"/>
  <headerFooter alignWithMargins="0">
    <oddFooter>&amp;L&amp;"Arial,Italic"www.ara4help.com &amp;D</oddFooter>
  </headerFooter>
  <drawing r:id="rId7"/>
  <legacyDrawing r:id="rId8"/>
  <oleObjects>
    <mc:AlternateContent xmlns:mc="http://schemas.openxmlformats.org/markup-compatibility/2006">
      <mc:Choice Requires="x14">
        <oleObject progId="Document" shapeId="1037" r:id="rId9">
          <objectPr defaultSize="0" autoPict="0" r:id="rId10">
            <anchor moveWithCells="1">
              <from>
                <xdr:col>1</xdr:col>
                <xdr:colOff>0</xdr:colOff>
                <xdr:row>53</xdr:row>
                <xdr:rowOff>38100</xdr:rowOff>
              </from>
              <to>
                <xdr:col>15</xdr:col>
                <xdr:colOff>504825</xdr:colOff>
                <xdr:row>96</xdr:row>
                <xdr:rowOff>114300</xdr:rowOff>
              </to>
            </anchor>
          </objectPr>
        </oleObject>
      </mc:Choice>
      <mc:Fallback>
        <oleObject progId="Document" shapeId="1037" r:id="rId9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1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114300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2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628650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114300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0</xdr:rowOff>
                  </from>
                  <to>
                    <xdr:col>5</xdr:col>
                    <xdr:colOff>628650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34</xdr:row>
                    <xdr:rowOff>114300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0</xdr:rowOff>
                  </from>
                  <to>
                    <xdr:col>5</xdr:col>
                    <xdr:colOff>628650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1"/>
  <sheetViews>
    <sheetView topLeftCell="A52" workbookViewId="0">
      <selection activeCell="C7" sqref="C7"/>
    </sheetView>
  </sheetViews>
  <sheetFormatPr defaultRowHeight="12.75" x14ac:dyDescent="0.2"/>
  <cols>
    <col min="1" max="1" width="36.5703125" style="5" customWidth="1"/>
  </cols>
  <sheetData>
    <row r="1" spans="1:31" ht="13.5" thickBot="1" x14ac:dyDescent="0.25">
      <c r="A1" s="30" t="s">
        <v>92</v>
      </c>
      <c r="B1" s="21">
        <v>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x14ac:dyDescent="0.2">
      <c r="A2" s="2" t="s">
        <v>60</v>
      </c>
      <c r="B2">
        <f>B1+1</f>
        <v>2</v>
      </c>
      <c r="C2" t="s">
        <v>91</v>
      </c>
      <c r="H2" t="s">
        <v>184</v>
      </c>
    </row>
    <row r="3" spans="1:31" x14ac:dyDescent="0.2">
      <c r="A3" s="3" t="s">
        <v>61</v>
      </c>
      <c r="B3">
        <f t="shared" ref="B3:B26" si="0">B2+1</f>
        <v>3</v>
      </c>
      <c r="C3" t="s">
        <v>91</v>
      </c>
      <c r="E3" s="1"/>
      <c r="H3" t="s">
        <v>184</v>
      </c>
    </row>
    <row r="4" spans="1:31" x14ac:dyDescent="0.2">
      <c r="A4" s="3" t="s">
        <v>62</v>
      </c>
      <c r="B4">
        <f t="shared" si="0"/>
        <v>4</v>
      </c>
      <c r="C4" t="s">
        <v>91</v>
      </c>
      <c r="E4" s="1"/>
      <c r="H4" t="s">
        <v>184</v>
      </c>
    </row>
    <row r="5" spans="1:31" x14ac:dyDescent="0.2">
      <c r="A5" s="3" t="s">
        <v>63</v>
      </c>
      <c r="B5">
        <f t="shared" si="0"/>
        <v>5</v>
      </c>
      <c r="C5" t="s">
        <v>91</v>
      </c>
      <c r="E5" s="1"/>
      <c r="H5" t="s">
        <v>184</v>
      </c>
    </row>
    <row r="6" spans="1:31" x14ac:dyDescent="0.2">
      <c r="A6" s="3" t="s">
        <v>64</v>
      </c>
      <c r="B6">
        <f t="shared" si="0"/>
        <v>6</v>
      </c>
      <c r="C6" t="s">
        <v>91</v>
      </c>
      <c r="E6" s="1"/>
      <c r="H6" t="s">
        <v>184</v>
      </c>
    </row>
    <row r="7" spans="1:31" x14ac:dyDescent="0.2">
      <c r="A7" s="3" t="s">
        <v>174</v>
      </c>
      <c r="B7">
        <f t="shared" si="0"/>
        <v>7</v>
      </c>
      <c r="C7" t="s">
        <v>91</v>
      </c>
      <c r="E7" s="1"/>
      <c r="H7" t="s">
        <v>184</v>
      </c>
    </row>
    <row r="8" spans="1:31" x14ac:dyDescent="0.2">
      <c r="A8" s="3" t="s">
        <v>172</v>
      </c>
      <c r="B8">
        <f t="shared" si="0"/>
        <v>8</v>
      </c>
      <c r="C8" t="s">
        <v>91</v>
      </c>
      <c r="E8" s="1"/>
      <c r="H8" t="s">
        <v>184</v>
      </c>
    </row>
    <row r="9" spans="1:31" x14ac:dyDescent="0.2">
      <c r="A9" s="3" t="s">
        <v>173</v>
      </c>
      <c r="B9">
        <f t="shared" si="0"/>
        <v>9</v>
      </c>
      <c r="E9" s="1"/>
      <c r="H9" t="s">
        <v>184</v>
      </c>
    </row>
    <row r="10" spans="1:31" x14ac:dyDescent="0.2">
      <c r="A10" s="3" t="s">
        <v>70</v>
      </c>
      <c r="B10">
        <f t="shared" si="0"/>
        <v>10</v>
      </c>
      <c r="C10" t="s">
        <v>91</v>
      </c>
      <c r="H10" t="s">
        <v>225</v>
      </c>
    </row>
    <row r="11" spans="1:31" x14ac:dyDescent="0.2">
      <c r="A11" s="3" t="s">
        <v>69</v>
      </c>
      <c r="B11">
        <f t="shared" si="0"/>
        <v>11</v>
      </c>
      <c r="C11" t="s">
        <v>91</v>
      </c>
      <c r="H11" t="s">
        <v>184</v>
      </c>
    </row>
    <row r="12" spans="1:31" x14ac:dyDescent="0.2">
      <c r="A12" s="3" t="s">
        <v>80</v>
      </c>
      <c r="B12">
        <f t="shared" si="0"/>
        <v>12</v>
      </c>
      <c r="C12" t="s">
        <v>91</v>
      </c>
      <c r="H12" t="s">
        <v>184</v>
      </c>
    </row>
    <row r="13" spans="1:31" x14ac:dyDescent="0.2">
      <c r="A13" s="3" t="s">
        <v>73</v>
      </c>
      <c r="B13">
        <f t="shared" si="0"/>
        <v>13</v>
      </c>
      <c r="C13" t="s">
        <v>91</v>
      </c>
      <c r="H13" t="s">
        <v>184</v>
      </c>
    </row>
    <row r="14" spans="1:31" x14ac:dyDescent="0.2">
      <c r="A14" s="3" t="s">
        <v>226</v>
      </c>
      <c r="B14">
        <f t="shared" si="0"/>
        <v>14</v>
      </c>
      <c r="C14" t="s">
        <v>83</v>
      </c>
      <c r="H14" t="s">
        <v>185</v>
      </c>
    </row>
    <row r="15" spans="1:31" x14ac:dyDescent="0.2">
      <c r="A15" s="3" t="s">
        <v>218</v>
      </c>
      <c r="B15">
        <f t="shared" si="0"/>
        <v>15</v>
      </c>
      <c r="C15" t="s">
        <v>91</v>
      </c>
      <c r="H15" t="s">
        <v>91</v>
      </c>
    </row>
    <row r="16" spans="1:31" x14ac:dyDescent="0.2">
      <c r="A16" s="3" t="s">
        <v>67</v>
      </c>
      <c r="B16">
        <f t="shared" si="0"/>
        <v>16</v>
      </c>
      <c r="C16" t="s">
        <v>91</v>
      </c>
      <c r="H16" t="s">
        <v>91</v>
      </c>
    </row>
    <row r="17" spans="1:11" x14ac:dyDescent="0.2">
      <c r="A17" s="3" t="s">
        <v>68</v>
      </c>
      <c r="B17">
        <f t="shared" si="0"/>
        <v>17</v>
      </c>
      <c r="C17" t="s">
        <v>81</v>
      </c>
      <c r="H17" t="s">
        <v>184</v>
      </c>
    </row>
    <row r="18" spans="1:11" x14ac:dyDescent="0.2">
      <c r="A18" s="3" t="s">
        <v>188</v>
      </c>
      <c r="B18">
        <f t="shared" si="0"/>
        <v>18</v>
      </c>
      <c r="C18" t="s">
        <v>91</v>
      </c>
      <c r="H18" t="s">
        <v>184</v>
      </c>
    </row>
    <row r="19" spans="1:11" x14ac:dyDescent="0.2">
      <c r="A19" s="3" t="s">
        <v>227</v>
      </c>
      <c r="B19">
        <f t="shared" si="0"/>
        <v>19</v>
      </c>
      <c r="C19" t="s">
        <v>91</v>
      </c>
      <c r="H19" t="s">
        <v>184</v>
      </c>
    </row>
    <row r="20" spans="1:11" x14ac:dyDescent="0.2">
      <c r="A20" s="3" t="s">
        <v>75</v>
      </c>
      <c r="B20">
        <f t="shared" si="0"/>
        <v>20</v>
      </c>
      <c r="C20" t="s">
        <v>91</v>
      </c>
      <c r="H20" t="s">
        <v>225</v>
      </c>
    </row>
    <row r="21" spans="1:11" x14ac:dyDescent="0.2">
      <c r="A21" s="3" t="s">
        <v>76</v>
      </c>
      <c r="B21">
        <f t="shared" si="0"/>
        <v>21</v>
      </c>
      <c r="C21" t="s">
        <v>82</v>
      </c>
      <c r="F21" t="s">
        <v>164</v>
      </c>
      <c r="H21" t="s">
        <v>184</v>
      </c>
    </row>
    <row r="22" spans="1:11" x14ac:dyDescent="0.2">
      <c r="A22" s="3" t="s">
        <v>189</v>
      </c>
      <c r="B22">
        <f t="shared" si="0"/>
        <v>22</v>
      </c>
      <c r="C22" t="s">
        <v>91</v>
      </c>
      <c r="H22" t="s">
        <v>184</v>
      </c>
    </row>
    <row r="23" spans="1:11" x14ac:dyDescent="0.2">
      <c r="A23" s="3" t="s">
        <v>77</v>
      </c>
      <c r="B23">
        <f t="shared" si="0"/>
        <v>23</v>
      </c>
      <c r="C23" t="s">
        <v>84</v>
      </c>
      <c r="F23" t="s">
        <v>164</v>
      </c>
      <c r="H23" t="s">
        <v>186</v>
      </c>
    </row>
    <row r="24" spans="1:11" x14ac:dyDescent="0.2">
      <c r="A24" s="3" t="s">
        <v>220</v>
      </c>
      <c r="B24">
        <f t="shared" si="0"/>
        <v>24</v>
      </c>
      <c r="H24" t="s">
        <v>184</v>
      </c>
    </row>
    <row r="25" spans="1:11" x14ac:dyDescent="0.2">
      <c r="A25" s="3" t="s">
        <v>78</v>
      </c>
      <c r="B25">
        <f t="shared" si="0"/>
        <v>25</v>
      </c>
      <c r="C25" t="s">
        <v>91</v>
      </c>
      <c r="H25" t="s">
        <v>184</v>
      </c>
    </row>
    <row r="26" spans="1:11" x14ac:dyDescent="0.2">
      <c r="A26" s="3" t="s">
        <v>79</v>
      </c>
      <c r="B26">
        <f t="shared" si="0"/>
        <v>26</v>
      </c>
      <c r="C26" t="s">
        <v>91</v>
      </c>
      <c r="H26" t="s">
        <v>184</v>
      </c>
    </row>
    <row r="27" spans="1:11" x14ac:dyDescent="0.2">
      <c r="A27" s="3"/>
    </row>
    <row r="28" spans="1:11" x14ac:dyDescent="0.2">
      <c r="A28" s="3"/>
    </row>
    <row r="29" spans="1:11" x14ac:dyDescent="0.2">
      <c r="A29" s="3"/>
    </row>
    <row r="30" spans="1:11" ht="13.5" thickBot="1" x14ac:dyDescent="0.25">
      <c r="A30" s="4"/>
      <c r="B30">
        <v>0</v>
      </c>
      <c r="F30" t="s">
        <v>91</v>
      </c>
    </row>
    <row r="31" spans="1:11" x14ac:dyDescent="0.2">
      <c r="A31" s="17" t="s">
        <v>59</v>
      </c>
      <c r="B31">
        <v>1</v>
      </c>
      <c r="C31" s="8"/>
      <c r="D31" s="9"/>
      <c r="E31" s="9"/>
    </row>
    <row r="32" spans="1:11" x14ac:dyDescent="0.2">
      <c r="A32" s="6" t="s">
        <v>16</v>
      </c>
      <c r="B32">
        <f>B31+1</f>
        <v>2</v>
      </c>
      <c r="C32" s="7" t="s">
        <v>52</v>
      </c>
      <c r="D32" s="9">
        <v>1</v>
      </c>
      <c r="E32" s="9" t="s">
        <v>34</v>
      </c>
      <c r="F32" s="18" t="s">
        <v>161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</row>
    <row r="33" spans="1:11" x14ac:dyDescent="0.2">
      <c r="A33" s="6" t="s">
        <v>53</v>
      </c>
      <c r="B33">
        <f t="shared" ref="B33:B68" si="1">B32+1</f>
        <v>3</v>
      </c>
      <c r="C33" s="7" t="s">
        <v>0</v>
      </c>
      <c r="D33" s="9">
        <v>300</v>
      </c>
      <c r="E33" s="9" t="s">
        <v>50</v>
      </c>
      <c r="F33" s="18" t="s">
        <v>162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</row>
    <row r="34" spans="1:11" x14ac:dyDescent="0.2">
      <c r="A34" s="6" t="s">
        <v>1</v>
      </c>
      <c r="B34">
        <f t="shared" si="1"/>
        <v>4</v>
      </c>
      <c r="C34" s="7" t="s">
        <v>0</v>
      </c>
      <c r="D34" s="9">
        <v>300</v>
      </c>
      <c r="E34" s="9" t="s">
        <v>50</v>
      </c>
      <c r="F34" s="18" t="s">
        <v>162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</row>
    <row r="35" spans="1:11" x14ac:dyDescent="0.2">
      <c r="A35" s="6" t="s">
        <v>17</v>
      </c>
      <c r="B35">
        <f t="shared" si="1"/>
        <v>5</v>
      </c>
      <c r="C35" s="7" t="s">
        <v>2</v>
      </c>
      <c r="D35" s="9">
        <v>500</v>
      </c>
      <c r="E35" s="9" t="s">
        <v>50</v>
      </c>
      <c r="F35" s="18" t="s">
        <v>162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</row>
    <row r="36" spans="1:11" x14ac:dyDescent="0.2">
      <c r="A36" s="6" t="s">
        <v>22</v>
      </c>
      <c r="B36">
        <f t="shared" si="1"/>
        <v>6</v>
      </c>
      <c r="C36" s="7" t="s">
        <v>14</v>
      </c>
      <c r="D36" s="9">
        <v>20</v>
      </c>
      <c r="E36" s="9" t="s">
        <v>50</v>
      </c>
      <c r="F36" s="18" t="s">
        <v>162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</row>
    <row r="37" spans="1:11" x14ac:dyDescent="0.2">
      <c r="A37" s="6" t="s">
        <v>23</v>
      </c>
      <c r="B37">
        <f t="shared" si="1"/>
        <v>7</v>
      </c>
      <c r="C37" s="7" t="s">
        <v>0</v>
      </c>
      <c r="D37" s="9">
        <v>300</v>
      </c>
      <c r="E37" s="9" t="s">
        <v>50</v>
      </c>
      <c r="F37" s="18" t="s">
        <v>162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</row>
    <row r="38" spans="1:11" x14ac:dyDescent="0.2">
      <c r="A38" s="6" t="s">
        <v>24</v>
      </c>
      <c r="B38">
        <f t="shared" si="1"/>
        <v>8</v>
      </c>
      <c r="C38" s="7" t="s">
        <v>5</v>
      </c>
      <c r="D38" s="9">
        <v>100</v>
      </c>
      <c r="E38" s="9" t="s">
        <v>50</v>
      </c>
      <c r="F38" s="18" t="s">
        <v>162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</row>
    <row r="39" spans="1:11" x14ac:dyDescent="0.2">
      <c r="A39" s="6" t="s">
        <v>25</v>
      </c>
      <c r="B39">
        <f t="shared" si="1"/>
        <v>9</v>
      </c>
      <c r="C39" s="6" t="s">
        <v>47</v>
      </c>
      <c r="D39" s="9">
        <v>15</v>
      </c>
      <c r="E39" s="9" t="s">
        <v>50</v>
      </c>
      <c r="F39" s="18" t="s">
        <v>162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</row>
    <row r="40" spans="1:11" x14ac:dyDescent="0.2">
      <c r="A40" s="6" t="s">
        <v>26</v>
      </c>
      <c r="B40">
        <f t="shared" si="1"/>
        <v>10</v>
      </c>
      <c r="C40" s="7" t="s">
        <v>3</v>
      </c>
      <c r="D40" s="9">
        <v>11</v>
      </c>
      <c r="E40" s="9" t="s">
        <v>50</v>
      </c>
      <c r="F40" s="18" t="s">
        <v>162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</row>
    <row r="41" spans="1:11" x14ac:dyDescent="0.2">
      <c r="A41" s="6" t="s">
        <v>55</v>
      </c>
      <c r="B41">
        <f t="shared" si="1"/>
        <v>11</v>
      </c>
      <c r="C41" s="7" t="s">
        <v>4</v>
      </c>
      <c r="D41" s="9">
        <v>7</v>
      </c>
      <c r="E41" s="9" t="s">
        <v>51</v>
      </c>
      <c r="F41" s="18" t="s">
        <v>163</v>
      </c>
      <c r="I41">
        <f>ROUNDUP(Plumbing!$F$12/Support!D41,0)</f>
        <v>0</v>
      </c>
      <c r="J41">
        <f>ROUNDUP(Plumbing!$F$25/Support!D41,0)</f>
        <v>0</v>
      </c>
      <c r="K41">
        <f>ROUNDUP(Plumbing!$F$38/Support!D41,0)</f>
        <v>0</v>
      </c>
    </row>
    <row r="42" spans="1:11" x14ac:dyDescent="0.2">
      <c r="A42" s="6" t="s">
        <v>27</v>
      </c>
      <c r="B42">
        <f t="shared" si="1"/>
        <v>12</v>
      </c>
      <c r="C42" s="7" t="s">
        <v>15</v>
      </c>
      <c r="D42" s="9">
        <v>5</v>
      </c>
      <c r="E42" s="9" t="s">
        <v>51</v>
      </c>
      <c r="F42" s="18" t="s">
        <v>163</v>
      </c>
      <c r="I42">
        <f>ROUNDUP(Plumbing!$F$12/Support!D42,0)</f>
        <v>0</v>
      </c>
      <c r="J42">
        <f>ROUNDUP(Plumbing!$F$25/Support!D42,0)</f>
        <v>0</v>
      </c>
      <c r="K42">
        <f>ROUNDUP(Plumbing!$F$38/Support!D42,0)</f>
        <v>0</v>
      </c>
    </row>
    <row r="43" spans="1:11" x14ac:dyDescent="0.2">
      <c r="A43" s="6" t="s">
        <v>54</v>
      </c>
      <c r="B43">
        <f t="shared" si="1"/>
        <v>13</v>
      </c>
      <c r="C43" s="7" t="s">
        <v>13</v>
      </c>
      <c r="D43" s="9">
        <v>15</v>
      </c>
      <c r="E43" s="9" t="s">
        <v>51</v>
      </c>
      <c r="F43" s="18" t="s">
        <v>163</v>
      </c>
      <c r="I43">
        <f>ROUNDUP(Plumbing!$F$12/Support!D43,0)</f>
        <v>0</v>
      </c>
      <c r="J43">
        <f>ROUNDUP(Plumbing!$F$25/Support!D43,0)</f>
        <v>0</v>
      </c>
      <c r="K43">
        <f>ROUNDUP(Plumbing!$F$38/Support!D43,0)</f>
        <v>0</v>
      </c>
    </row>
    <row r="44" spans="1:11" x14ac:dyDescent="0.2">
      <c r="A44" s="6" t="s">
        <v>18</v>
      </c>
      <c r="B44">
        <f t="shared" si="1"/>
        <v>14</v>
      </c>
      <c r="C44" s="7" t="s">
        <v>5</v>
      </c>
      <c r="D44" s="9">
        <v>100</v>
      </c>
      <c r="E44" s="9" t="s">
        <v>50</v>
      </c>
      <c r="F44" s="18" t="s">
        <v>162</v>
      </c>
      <c r="I44">
        <f>ROUNDUP(Plumbing!$F$12/Support!D44,0)</f>
        <v>0</v>
      </c>
      <c r="J44">
        <f>ROUNDUP(Plumbing!$F$25/Support!D44,0)</f>
        <v>0</v>
      </c>
      <c r="K44">
        <f>ROUNDUP(Plumbing!$F$38/Support!D44,0)</f>
        <v>0</v>
      </c>
    </row>
    <row r="45" spans="1:11" x14ac:dyDescent="0.2">
      <c r="A45" s="6" t="s">
        <v>19</v>
      </c>
      <c r="B45">
        <f t="shared" si="1"/>
        <v>15</v>
      </c>
      <c r="C45" s="7" t="s">
        <v>6</v>
      </c>
      <c r="D45" s="9">
        <v>40</v>
      </c>
      <c r="E45" s="9" t="s">
        <v>51</v>
      </c>
      <c r="F45" s="18" t="s">
        <v>163</v>
      </c>
      <c r="I45">
        <f>ROUNDUP(Plumbing!$F$12/Support!D45,0)</f>
        <v>0</v>
      </c>
      <c r="J45">
        <f>ROUNDUP(Plumbing!$F$25/Support!D45,0)</f>
        <v>0</v>
      </c>
      <c r="K45">
        <f>ROUNDUP(Plumbing!$F$38/Support!D45,0)</f>
        <v>0</v>
      </c>
    </row>
    <row r="46" spans="1:11" x14ac:dyDescent="0.2">
      <c r="A46" s="6" t="s">
        <v>7</v>
      </c>
      <c r="B46">
        <f t="shared" si="1"/>
        <v>16</v>
      </c>
      <c r="C46" s="7" t="s">
        <v>8</v>
      </c>
      <c r="D46" s="9">
        <v>35</v>
      </c>
      <c r="E46" s="9" t="s">
        <v>51</v>
      </c>
      <c r="F46" s="18" t="s">
        <v>163</v>
      </c>
      <c r="I46">
        <f>ROUNDUP(Plumbing!$F$12/Support!D46,0)</f>
        <v>0</v>
      </c>
      <c r="J46">
        <f>ROUNDUP(Plumbing!$F$25/Support!D46,0)</f>
        <v>0</v>
      </c>
      <c r="K46">
        <f>ROUNDUP(Plumbing!$F$38/Support!D46,0)</f>
        <v>0</v>
      </c>
    </row>
    <row r="47" spans="1:11" x14ac:dyDescent="0.2">
      <c r="A47" s="6" t="s">
        <v>20</v>
      </c>
      <c r="B47">
        <f t="shared" si="1"/>
        <v>17</v>
      </c>
      <c r="C47" s="7" t="s">
        <v>9</v>
      </c>
      <c r="D47" s="9">
        <v>50</v>
      </c>
      <c r="E47" s="9" t="s">
        <v>50</v>
      </c>
      <c r="F47" s="18" t="s">
        <v>162</v>
      </c>
      <c r="I47">
        <f>ROUNDUP(Plumbing!$F$12/Support!D47,0)</f>
        <v>0</v>
      </c>
      <c r="J47">
        <f>ROUNDUP(Plumbing!$F$25/Support!D47,0)</f>
        <v>0</v>
      </c>
      <c r="K47">
        <f>ROUNDUP(Plumbing!$F$38/Support!D47,0)</f>
        <v>0</v>
      </c>
    </row>
    <row r="48" spans="1:11" x14ac:dyDescent="0.2">
      <c r="A48" s="6" t="s">
        <v>21</v>
      </c>
      <c r="B48">
        <f t="shared" si="1"/>
        <v>18</v>
      </c>
      <c r="C48" s="7" t="s">
        <v>28</v>
      </c>
      <c r="D48" s="9">
        <v>20</v>
      </c>
      <c r="E48" s="9" t="s">
        <v>51</v>
      </c>
      <c r="F48" s="18" t="s">
        <v>163</v>
      </c>
      <c r="I48">
        <f>ROUNDUP(Plumbing!$F$12/Support!D48,0)</f>
        <v>0</v>
      </c>
      <c r="J48">
        <f>ROUNDUP(Plumbing!$F$25/Support!D48,0)</f>
        <v>0</v>
      </c>
      <c r="K48">
        <f>ROUNDUP(Plumbing!$F$38/Support!D48,0)</f>
        <v>0</v>
      </c>
    </row>
    <row r="49" spans="1:11" x14ac:dyDescent="0.2">
      <c r="A49" s="6" t="s">
        <v>56</v>
      </c>
      <c r="B49">
        <f t="shared" si="1"/>
        <v>19</v>
      </c>
      <c r="C49" s="7" t="s">
        <v>11</v>
      </c>
      <c r="D49" s="9">
        <v>50</v>
      </c>
      <c r="E49" s="9" t="s">
        <v>51</v>
      </c>
      <c r="F49" s="18" t="s">
        <v>163</v>
      </c>
      <c r="I49">
        <f>ROUNDUP(Plumbing!$F$12/Support!D49,0)</f>
        <v>0</v>
      </c>
      <c r="J49">
        <f>ROUNDUP(Plumbing!$F$25/Support!D49,0)</f>
        <v>0</v>
      </c>
      <c r="K49">
        <f>ROUNDUP(Plumbing!$F$38/Support!D49,0)</f>
        <v>0</v>
      </c>
    </row>
    <row r="50" spans="1:11" x14ac:dyDescent="0.2">
      <c r="A50" s="6" t="s">
        <v>29</v>
      </c>
      <c r="B50">
        <f t="shared" si="1"/>
        <v>20</v>
      </c>
      <c r="C50" s="7" t="s">
        <v>9</v>
      </c>
      <c r="D50" s="9">
        <v>50</v>
      </c>
      <c r="E50" s="9" t="s">
        <v>50</v>
      </c>
      <c r="F50" s="18" t="s">
        <v>162</v>
      </c>
      <c r="I50">
        <f>ROUNDUP(Plumbing!$F$12/Support!D50,0)</f>
        <v>0</v>
      </c>
      <c r="J50">
        <f>ROUNDUP(Plumbing!$F$25/Support!D50,0)</f>
        <v>0</v>
      </c>
      <c r="K50">
        <f>ROUNDUP(Plumbing!$F$38/Support!D50,0)</f>
        <v>0</v>
      </c>
    </row>
    <row r="51" spans="1:11" x14ac:dyDescent="0.2">
      <c r="A51" s="6" t="s">
        <v>30</v>
      </c>
      <c r="B51">
        <f t="shared" si="1"/>
        <v>21</v>
      </c>
      <c r="C51" s="7" t="s">
        <v>10</v>
      </c>
      <c r="D51" s="9">
        <v>200</v>
      </c>
      <c r="E51" s="9" t="s">
        <v>50</v>
      </c>
      <c r="F51" s="18" t="s">
        <v>162</v>
      </c>
      <c r="I51">
        <f>ROUNDUP(Plumbing!$F$12/Support!D51,0)</f>
        <v>0</v>
      </c>
      <c r="J51">
        <f>ROUNDUP(Plumbing!$F$25/Support!D51,0)</f>
        <v>0</v>
      </c>
      <c r="K51">
        <f>ROUNDUP(Plumbing!$F$38/Support!D51,0)</f>
        <v>0</v>
      </c>
    </row>
    <row r="52" spans="1:11" x14ac:dyDescent="0.2">
      <c r="A52" s="6" t="s">
        <v>31</v>
      </c>
      <c r="B52">
        <f t="shared" si="1"/>
        <v>22</v>
      </c>
      <c r="C52" s="7" t="s">
        <v>5</v>
      </c>
      <c r="D52" s="9">
        <v>100</v>
      </c>
      <c r="E52" s="9" t="s">
        <v>50</v>
      </c>
      <c r="F52" s="18" t="s">
        <v>162</v>
      </c>
      <c r="I52">
        <f>ROUNDUP(Plumbing!$F$12/Support!D52,0)</f>
        <v>0</v>
      </c>
      <c r="J52">
        <f>ROUNDUP(Plumbing!$F$25/Support!D52,0)</f>
        <v>0</v>
      </c>
      <c r="K52">
        <f>ROUNDUP(Plumbing!$F$38/Support!D52,0)</f>
        <v>0</v>
      </c>
    </row>
    <row r="53" spans="1:11" x14ac:dyDescent="0.2">
      <c r="A53" s="6" t="s">
        <v>33</v>
      </c>
      <c r="B53">
        <f t="shared" si="1"/>
        <v>23</v>
      </c>
      <c r="C53" s="7" t="s">
        <v>36</v>
      </c>
      <c r="D53" s="9">
        <v>240</v>
      </c>
      <c r="E53" s="9" t="s">
        <v>50</v>
      </c>
      <c r="F53" s="18" t="s">
        <v>162</v>
      </c>
      <c r="I53">
        <f>ROUNDUP(Plumbing!$F$12/Support!D53,0)</f>
        <v>0</v>
      </c>
      <c r="J53">
        <f>ROUNDUP(Plumbing!$F$25/Support!D53,0)</f>
        <v>0</v>
      </c>
      <c r="K53">
        <f>ROUNDUP(Plumbing!$F$38/Support!D53,0)</f>
        <v>0</v>
      </c>
    </row>
    <row r="54" spans="1:11" x14ac:dyDescent="0.2">
      <c r="A54" s="6" t="s">
        <v>32</v>
      </c>
      <c r="B54">
        <f t="shared" si="1"/>
        <v>24</v>
      </c>
      <c r="C54" s="7" t="s">
        <v>5</v>
      </c>
      <c r="D54" s="9">
        <v>100</v>
      </c>
      <c r="E54" s="9" t="s">
        <v>50</v>
      </c>
      <c r="F54" s="18" t="s">
        <v>162</v>
      </c>
      <c r="I54">
        <f>ROUNDUP(Plumbing!$F$12/Support!D54,0)</f>
        <v>0</v>
      </c>
      <c r="J54">
        <f>ROUNDUP(Plumbing!$F$25/Support!D54,0)</f>
        <v>0</v>
      </c>
      <c r="K54">
        <f>ROUNDUP(Plumbing!$F$38/Support!D54,0)</f>
        <v>0</v>
      </c>
    </row>
    <row r="55" spans="1:11" x14ac:dyDescent="0.2">
      <c r="A55" s="6" t="s">
        <v>35</v>
      </c>
      <c r="B55">
        <f t="shared" si="1"/>
        <v>25</v>
      </c>
      <c r="C55" s="7" t="s">
        <v>37</v>
      </c>
      <c r="D55" s="9">
        <v>120</v>
      </c>
      <c r="E55" s="9" t="s">
        <v>50</v>
      </c>
      <c r="F55" s="18" t="s">
        <v>162</v>
      </c>
      <c r="I55">
        <f>ROUNDUP(Plumbing!$F$12/Support!D55,0)</f>
        <v>0</v>
      </c>
      <c r="J55">
        <f>ROUNDUP(Plumbing!$F$25/Support!D55,0)</f>
        <v>0</v>
      </c>
      <c r="K55">
        <f>ROUNDUP(Plumbing!$F$38/Support!D55,0)</f>
        <v>0</v>
      </c>
    </row>
    <row r="56" spans="1:11" x14ac:dyDescent="0.2">
      <c r="A56" s="6" t="s">
        <v>38</v>
      </c>
      <c r="B56">
        <f t="shared" si="1"/>
        <v>26</v>
      </c>
      <c r="C56" s="7" t="s">
        <v>10</v>
      </c>
      <c r="D56" s="9">
        <v>200</v>
      </c>
      <c r="E56" s="9" t="s">
        <v>50</v>
      </c>
      <c r="F56" s="18" t="s">
        <v>162</v>
      </c>
      <c r="I56">
        <f>ROUNDUP(Plumbing!$F$12/Support!D56,0)</f>
        <v>0</v>
      </c>
      <c r="J56">
        <f>ROUNDUP(Plumbing!$F$25/Support!D56,0)</f>
        <v>0</v>
      </c>
      <c r="K56">
        <f>ROUNDUP(Plumbing!$F$38/Support!D56,0)</f>
        <v>0</v>
      </c>
    </row>
    <row r="57" spans="1:11" x14ac:dyDescent="0.2">
      <c r="A57" s="6" t="s">
        <v>39</v>
      </c>
      <c r="B57">
        <f t="shared" si="1"/>
        <v>27</v>
      </c>
      <c r="C57" s="7" t="s">
        <v>11</v>
      </c>
      <c r="D57" s="9">
        <v>50</v>
      </c>
      <c r="E57" s="9" t="s">
        <v>51</v>
      </c>
      <c r="F57" s="18" t="s">
        <v>163</v>
      </c>
      <c r="I57">
        <f>ROUNDUP(Plumbing!$F$12/Support!D57,0)</f>
        <v>0</v>
      </c>
      <c r="J57">
        <f>ROUNDUP(Plumbing!$F$25/Support!D57,0)</f>
        <v>0</v>
      </c>
      <c r="K57">
        <f>ROUNDUP(Plumbing!$F$38/Support!D57,0)</f>
        <v>0</v>
      </c>
    </row>
    <row r="58" spans="1:11" x14ac:dyDescent="0.2">
      <c r="A58" s="6" t="s">
        <v>40</v>
      </c>
      <c r="B58">
        <f t="shared" si="1"/>
        <v>28</v>
      </c>
      <c r="C58" s="7" t="s">
        <v>5</v>
      </c>
      <c r="D58" s="9">
        <v>100</v>
      </c>
      <c r="E58" s="9" t="s">
        <v>50</v>
      </c>
      <c r="F58" s="18" t="s">
        <v>162</v>
      </c>
      <c r="I58">
        <f>ROUNDUP(Plumbing!$F$12/Support!D58,0)</f>
        <v>0</v>
      </c>
      <c r="J58">
        <f>ROUNDUP(Plumbing!$F$25/Support!D58,0)</f>
        <v>0</v>
      </c>
      <c r="K58">
        <f>ROUNDUP(Plumbing!$F$38/Support!D58,0)</f>
        <v>0</v>
      </c>
    </row>
    <row r="59" spans="1:11" x14ac:dyDescent="0.2">
      <c r="A59" s="6" t="s">
        <v>41</v>
      </c>
      <c r="B59">
        <f t="shared" si="1"/>
        <v>29</v>
      </c>
      <c r="C59" s="7" t="s">
        <v>9</v>
      </c>
      <c r="D59" s="9">
        <v>50</v>
      </c>
      <c r="E59" s="9" t="s">
        <v>50</v>
      </c>
      <c r="F59" s="18" t="s">
        <v>162</v>
      </c>
      <c r="I59">
        <f>ROUNDUP(Plumbing!$F$12/Support!D59,0)</f>
        <v>0</v>
      </c>
      <c r="J59">
        <f>ROUNDUP(Plumbing!$F$25/Support!D59,0)</f>
        <v>0</v>
      </c>
      <c r="K59">
        <f>ROUNDUP(Plumbing!$F$38/Support!D59,0)</f>
        <v>0</v>
      </c>
    </row>
    <row r="60" spans="1:11" x14ac:dyDescent="0.2">
      <c r="A60" s="6" t="s">
        <v>57</v>
      </c>
      <c r="B60">
        <f t="shared" si="1"/>
        <v>30</v>
      </c>
      <c r="C60" s="7" t="s">
        <v>43</v>
      </c>
      <c r="D60" s="9">
        <v>30</v>
      </c>
      <c r="E60" s="9" t="s">
        <v>50</v>
      </c>
      <c r="F60" s="18" t="s">
        <v>162</v>
      </c>
      <c r="I60">
        <f>ROUNDUP(Plumbing!$F$12/Support!D60,0)</f>
        <v>0</v>
      </c>
      <c r="J60">
        <f>ROUNDUP(Plumbing!$F$25/Support!D60,0)</f>
        <v>0</v>
      </c>
      <c r="K60">
        <f>ROUNDUP(Plumbing!$F$38/Support!D60,0)</f>
        <v>0</v>
      </c>
    </row>
    <row r="61" spans="1:11" x14ac:dyDescent="0.2">
      <c r="A61" s="6" t="s">
        <v>58</v>
      </c>
      <c r="B61">
        <f t="shared" si="1"/>
        <v>31</v>
      </c>
      <c r="C61" s="7" t="s">
        <v>44</v>
      </c>
      <c r="D61" s="9">
        <v>60</v>
      </c>
      <c r="E61" s="9" t="s">
        <v>50</v>
      </c>
      <c r="F61" s="18" t="s">
        <v>162</v>
      </c>
      <c r="I61">
        <f>ROUNDUP(Plumbing!$F$12/Support!D61,0)</f>
        <v>0</v>
      </c>
      <c r="J61">
        <f>ROUNDUP(Plumbing!$F$25/Support!D61,0)</f>
        <v>0</v>
      </c>
      <c r="K61">
        <f>ROUNDUP(Plumbing!$F$38/Support!D61,0)</f>
        <v>0</v>
      </c>
    </row>
    <row r="62" spans="1:11" x14ac:dyDescent="0.2">
      <c r="A62" s="6" t="s">
        <v>42</v>
      </c>
      <c r="B62">
        <f t="shared" si="1"/>
        <v>32</v>
      </c>
      <c r="C62" s="7" t="s">
        <v>0</v>
      </c>
      <c r="D62" s="9">
        <v>300</v>
      </c>
      <c r="E62" s="9" t="s">
        <v>50</v>
      </c>
      <c r="F62" s="18" t="s">
        <v>162</v>
      </c>
      <c r="I62">
        <f>ROUNDUP(Plumbing!$F$12/Support!D62,0)</f>
        <v>0</v>
      </c>
      <c r="J62">
        <f>ROUNDUP(Plumbing!$F$25/Support!D62,0)</f>
        <v>0</v>
      </c>
      <c r="K62">
        <f>ROUNDUP(Plumbing!$F$38/Support!D62,0)</f>
        <v>0</v>
      </c>
    </row>
    <row r="63" spans="1:11" x14ac:dyDescent="0.2">
      <c r="A63" s="6" t="s">
        <v>45</v>
      </c>
      <c r="B63">
        <f t="shared" si="1"/>
        <v>33</v>
      </c>
      <c r="C63" s="7" t="s">
        <v>10</v>
      </c>
      <c r="D63" s="9">
        <v>200</v>
      </c>
      <c r="E63" s="9" t="s">
        <v>50</v>
      </c>
      <c r="F63" s="18" t="s">
        <v>162</v>
      </c>
      <c r="I63">
        <f>ROUNDUP(Plumbing!$F$12/Support!D63,0)</f>
        <v>0</v>
      </c>
      <c r="J63">
        <f>ROUNDUP(Plumbing!$F$25/Support!D63,0)</f>
        <v>0</v>
      </c>
      <c r="K63">
        <f>ROUNDUP(Plumbing!$F$38/Support!D63,0)</f>
        <v>0</v>
      </c>
    </row>
    <row r="64" spans="1:11" x14ac:dyDescent="0.2">
      <c r="A64" s="6" t="s">
        <v>12</v>
      </c>
      <c r="B64">
        <f t="shared" si="1"/>
        <v>34</v>
      </c>
      <c r="C64" s="7" t="s">
        <v>10</v>
      </c>
      <c r="D64" s="9">
        <v>200</v>
      </c>
      <c r="E64" s="9" t="s">
        <v>50</v>
      </c>
      <c r="F64" s="18" t="s">
        <v>162</v>
      </c>
      <c r="I64">
        <f>ROUNDUP(Plumbing!$F$12/Support!D64,0)</f>
        <v>0</v>
      </c>
      <c r="J64">
        <f>ROUNDUP(Plumbing!$F$25/Support!D64,0)</f>
        <v>0</v>
      </c>
      <c r="K64">
        <f>ROUNDUP(Plumbing!$F$38/Support!D64,0)</f>
        <v>0</v>
      </c>
    </row>
    <row r="65" spans="1:11" x14ac:dyDescent="0.2">
      <c r="A65" s="6" t="s">
        <v>190</v>
      </c>
      <c r="B65">
        <f t="shared" si="1"/>
        <v>35</v>
      </c>
      <c r="C65" s="7" t="s">
        <v>9</v>
      </c>
      <c r="D65" s="9">
        <v>50</v>
      </c>
      <c r="E65" s="9" t="s">
        <v>50</v>
      </c>
      <c r="F65" s="18" t="s">
        <v>162</v>
      </c>
      <c r="I65">
        <f>ROUNDUP(Plumbing!$F$12/Support!D65,0)</f>
        <v>0</v>
      </c>
      <c r="J65">
        <f>ROUNDUP(Plumbing!$F$25/Support!D65,0)</f>
        <v>0</v>
      </c>
      <c r="K65">
        <f>ROUNDUP(Plumbing!$F$38/Support!D65,0)</f>
        <v>0</v>
      </c>
    </row>
    <row r="66" spans="1:11" x14ac:dyDescent="0.2">
      <c r="A66" s="6" t="s">
        <v>46</v>
      </c>
      <c r="B66">
        <f t="shared" si="1"/>
        <v>36</v>
      </c>
      <c r="C66" s="7" t="s">
        <v>47</v>
      </c>
      <c r="D66" s="9">
        <v>15</v>
      </c>
      <c r="E66" s="9" t="s">
        <v>50</v>
      </c>
      <c r="F66" s="18" t="s">
        <v>162</v>
      </c>
      <c r="I66">
        <f>ROUNDUP(Plumbing!$F$12/Support!D66,0)</f>
        <v>0</v>
      </c>
      <c r="J66">
        <f>ROUNDUP(Plumbing!$F$25/Support!D66,0)</f>
        <v>0</v>
      </c>
      <c r="K66">
        <f>ROUNDUP(Plumbing!$F$38/Support!D66,0)</f>
        <v>0</v>
      </c>
    </row>
    <row r="67" spans="1:11" x14ac:dyDescent="0.2">
      <c r="A67" s="6" t="s">
        <v>48</v>
      </c>
      <c r="B67">
        <f t="shared" si="1"/>
        <v>37</v>
      </c>
      <c r="C67" s="7" t="s">
        <v>13</v>
      </c>
      <c r="D67" s="9">
        <v>15</v>
      </c>
      <c r="E67" s="9" t="s">
        <v>51</v>
      </c>
      <c r="F67" s="18" t="s">
        <v>163</v>
      </c>
      <c r="I67">
        <f>ROUNDUP(Plumbing!$F$12/Support!D67,0)</f>
        <v>0</v>
      </c>
      <c r="J67">
        <f>ROUNDUP(Plumbing!$F$25/Support!D67,0)</f>
        <v>0</v>
      </c>
      <c r="K67">
        <f>ROUNDUP(Plumbing!$F$38/Support!D67,0)</f>
        <v>0</v>
      </c>
    </row>
    <row r="68" spans="1:11" x14ac:dyDescent="0.2">
      <c r="A68" s="12" t="s">
        <v>49</v>
      </c>
      <c r="B68">
        <f t="shared" si="1"/>
        <v>38</v>
      </c>
      <c r="C68" s="13" t="s">
        <v>2</v>
      </c>
      <c r="D68" s="14">
        <v>500</v>
      </c>
      <c r="E68" s="14" t="s">
        <v>50</v>
      </c>
      <c r="F68" s="18" t="s">
        <v>162</v>
      </c>
      <c r="I68">
        <f>ROUNDUP(Plumbing!$F$12/Support!D68,0)</f>
        <v>0</v>
      </c>
      <c r="J68">
        <f>ROUNDUP(Plumbing!$F$25/Support!D68,0)</f>
        <v>0</v>
      </c>
      <c r="K68">
        <f>ROUNDUP(Plumbing!$F$38/Support!D68,0)</f>
        <v>0</v>
      </c>
    </row>
    <row r="69" spans="1:11" x14ac:dyDescent="0.2">
      <c r="A69" s="15"/>
      <c r="B69" s="16"/>
      <c r="C69" s="10"/>
      <c r="D69" s="11"/>
      <c r="E69" s="19">
        <f>LOOKUP(D71,B31:B68,F31:F68)</f>
        <v>0</v>
      </c>
    </row>
    <row r="70" spans="1:11" s="27" customFormat="1" x14ac:dyDescent="0.2">
      <c r="A70" s="26" t="s">
        <v>86</v>
      </c>
      <c r="C70" s="25" t="s">
        <v>85</v>
      </c>
      <c r="D70" s="27" t="s">
        <v>87</v>
      </c>
      <c r="E70" s="27" t="s">
        <v>88</v>
      </c>
      <c r="F70" s="27" t="s">
        <v>89</v>
      </c>
      <c r="G70" s="27" t="s">
        <v>90</v>
      </c>
    </row>
    <row r="71" spans="1:11" s="28" customFormat="1" x14ac:dyDescent="0.2">
      <c r="A71" s="25">
        <v>1</v>
      </c>
      <c r="B71" s="25"/>
      <c r="C71" s="62">
        <f>Plumbing!C5</f>
        <v>1</v>
      </c>
      <c r="D71" s="62">
        <f>Plumbing!D5</f>
        <v>1</v>
      </c>
      <c r="E71" s="67" t="str">
        <f>Plumbing!E5</f>
        <v>Male:</v>
      </c>
      <c r="F71" s="62">
        <f>LOOKUP(D71,$B$31:$B$68,$F$31:$F$68)</f>
        <v>0</v>
      </c>
      <c r="G71" s="62">
        <f>LOOKUP(C71,$B$1:$B$26,$C$1:$C$26)</f>
        <v>0</v>
      </c>
    </row>
    <row r="72" spans="1:11" s="28" customFormat="1" x14ac:dyDescent="0.2">
      <c r="A72" s="25">
        <f>A71+1</f>
        <v>2</v>
      </c>
      <c r="B72" s="25"/>
      <c r="C72" s="62">
        <f>Plumbing!C18</f>
        <v>1</v>
      </c>
      <c r="D72" s="62">
        <f>Plumbing!D18</f>
        <v>1</v>
      </c>
      <c r="E72" s="67" t="str">
        <f>Plumbing!E18</f>
        <v>Male:</v>
      </c>
      <c r="F72" s="62">
        <f>LOOKUP(D72,$B$31:$B$68,$F$31:$F$68)</f>
        <v>0</v>
      </c>
      <c r="G72" s="62">
        <f>LOOKUP(C72,$B$1:$B$26,$C$1:$C$26)</f>
        <v>0</v>
      </c>
    </row>
    <row r="73" spans="1:11" s="28" customFormat="1" x14ac:dyDescent="0.2">
      <c r="A73" s="25">
        <f>A72+1</f>
        <v>3</v>
      </c>
      <c r="B73" s="25"/>
      <c r="C73" s="62">
        <f>Plumbing!C31</f>
        <v>1</v>
      </c>
      <c r="D73" s="62">
        <f>Plumbing!D31</f>
        <v>1</v>
      </c>
      <c r="E73" s="67" t="str">
        <f>Plumbing!E31</f>
        <v>Male:</v>
      </c>
      <c r="F73" s="62">
        <f>LOOKUP(D73,$B$31:$B$68,$F$31:$F$68)</f>
        <v>0</v>
      </c>
      <c r="G73" s="62">
        <f>LOOKUP(C73,$B$1:$B$26,$C$1:$C$26)</f>
        <v>0</v>
      </c>
    </row>
    <row r="74" spans="1:11" s="28" customFormat="1" x14ac:dyDescent="0.2">
      <c r="A74" s="25"/>
      <c r="B74" s="25"/>
    </row>
    <row r="75" spans="1:11" s="28" customFormat="1" x14ac:dyDescent="0.2">
      <c r="A75" s="25"/>
      <c r="B75" s="25"/>
    </row>
    <row r="76" spans="1:11" s="28" customFormat="1" x14ac:dyDescent="0.2">
      <c r="A76" s="25"/>
      <c r="B76" s="25"/>
    </row>
    <row r="81" spans="1:1" x14ac:dyDescent="0.2">
      <c r="A81" s="24"/>
    </row>
  </sheetData>
  <sheetProtection password="C9BC" sheet="1" objects="1" scenarios="1" selectLockedCells="1" selectUnlockedCells="1"/>
  <customSheetViews>
    <customSheetView guid="{B5C9A03E-93CF-46EE-8F04-58B98E0B692E}" state="hidden" topLeftCell="A52">
      <selection activeCell="C7" sqref="C7"/>
      <pageMargins left="0.75" right="0.75" top="1" bottom="1" header="0.5" footer="0.5"/>
      <pageSetup orientation="portrait" horizontalDpi="0" verticalDpi="0" r:id="rId1"/>
      <headerFooter alignWithMargins="0"/>
    </customSheetView>
    <customSheetView guid="{88B0AC62-A692-4999-AFE4-A53E08EAE0C8}" state="hidden" topLeftCell="A52">
      <selection activeCell="C7" sqref="C7"/>
      <pageMargins left="0.75" right="0.75" top="1" bottom="1" header="0.5" footer="0.5"/>
      <pageSetup orientation="portrait" horizontalDpi="0" verticalDpi="0" r:id="rId2"/>
      <headerFooter alignWithMargins="0"/>
    </customSheetView>
    <customSheetView guid="{44AB601E-F72E-47E9-8482-5E47CDE1F4B5}" state="hidden" topLeftCell="A40">
      <selection activeCell="C1" sqref="C1"/>
      <pageMargins left="0.75" right="0.75" top="1" bottom="1" header="0.5" footer="0.5"/>
      <pageSetup orientation="portrait" horizontalDpi="0" verticalDpi="0" r:id="rId3"/>
      <headerFooter alignWithMargins="0"/>
    </customSheetView>
    <customSheetView guid="{E9085DC7-8FC4-4BFE-9ADF-F6CB4A330343}" state="hidden" topLeftCell="A52">
      <selection activeCell="C7" sqref="C7"/>
      <pageMargins left="0.75" right="0.75" top="1" bottom="1" header="0.5" footer="0.5"/>
      <pageSetup orientation="portrait" horizontalDpi="0" verticalDpi="0" r:id="rId4"/>
      <headerFooter alignWithMargins="0"/>
    </customSheetView>
  </customSheetViews>
  <phoneticPr fontId="3" type="noConversion"/>
  <conditionalFormatting sqref="F2:G2 E2:E9">
    <cfRule type="expression" dxfId="0" priority="1" stopIfTrue="1">
      <formula>#REF!="Ara"</formula>
    </cfRule>
  </conditionalFormatting>
  <pageMargins left="0.75" right="0.75" top="1" bottom="1" header="0.5" footer="0.5"/>
  <pageSetup orientation="portrait" horizontalDpi="0" verticalDpi="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17"/>
  <sheetViews>
    <sheetView topLeftCell="A58" zoomScale="120" workbookViewId="0">
      <selection activeCell="L75" sqref="L75"/>
    </sheetView>
  </sheetViews>
  <sheetFormatPr defaultRowHeight="11.25" x14ac:dyDescent="0.2"/>
  <cols>
    <col min="1" max="1" width="5.28515625" style="20" customWidth="1"/>
    <col min="2" max="2" width="34.42578125" style="20" customWidth="1"/>
    <col min="3" max="3" width="7.5703125" style="20" customWidth="1"/>
    <col min="4" max="4" width="6.85546875" style="20" customWidth="1"/>
    <col min="5" max="5" width="6.42578125" style="20" customWidth="1"/>
    <col min="6" max="6" width="6.5703125" style="20" customWidth="1"/>
    <col min="7" max="7" width="6.7109375" style="20" customWidth="1"/>
    <col min="8" max="8" width="6.42578125" style="20" customWidth="1"/>
    <col min="9" max="9" width="5.5703125" style="20" customWidth="1"/>
    <col min="10" max="10" width="1.85546875" style="20" customWidth="1"/>
    <col min="11" max="11" width="30.7109375" style="20" customWidth="1"/>
    <col min="12" max="20" width="9.140625" style="20"/>
    <col min="21" max="21" width="1.85546875" style="20" customWidth="1"/>
    <col min="22" max="22" width="30.7109375" style="20" customWidth="1"/>
    <col min="23" max="31" width="9.140625" style="20"/>
    <col min="32" max="32" width="1.85546875" style="20" customWidth="1"/>
    <col min="33" max="33" width="30.7109375" style="20" customWidth="1"/>
    <col min="34" max="42" width="9.140625" style="20"/>
    <col min="43" max="43" width="1.85546875" style="20" customWidth="1"/>
    <col min="44" max="16384" width="9.140625" style="20"/>
  </cols>
  <sheetData>
    <row r="1" spans="1:42" ht="12" customHeight="1" x14ac:dyDescent="0.2">
      <c r="A1" s="151" t="s">
        <v>224</v>
      </c>
      <c r="B1" s="20" t="s">
        <v>111</v>
      </c>
      <c r="C1" s="20" t="s">
        <v>34</v>
      </c>
      <c r="D1" s="20" t="s">
        <v>102</v>
      </c>
      <c r="E1" s="20" t="s">
        <v>109</v>
      </c>
      <c r="F1" s="20" t="s">
        <v>110</v>
      </c>
      <c r="K1" s="72" t="s">
        <v>168</v>
      </c>
      <c r="L1" s="20" t="s">
        <v>34</v>
      </c>
      <c r="M1" s="20" t="s">
        <v>102</v>
      </c>
      <c r="N1" s="20" t="s">
        <v>109</v>
      </c>
      <c r="O1" s="20" t="s">
        <v>110</v>
      </c>
      <c r="V1" s="72" t="s">
        <v>175</v>
      </c>
      <c r="W1" s="20" t="s">
        <v>34</v>
      </c>
      <c r="X1" s="20" t="s">
        <v>102</v>
      </c>
      <c r="Y1" s="20" t="s">
        <v>109</v>
      </c>
      <c r="Z1" s="20" t="s">
        <v>110</v>
      </c>
      <c r="AG1" s="72" t="s">
        <v>178</v>
      </c>
      <c r="AH1" s="20" t="s">
        <v>34</v>
      </c>
      <c r="AI1" s="20" t="s">
        <v>102</v>
      </c>
      <c r="AJ1" s="20" t="s">
        <v>109</v>
      </c>
      <c r="AK1" s="20" t="s">
        <v>110</v>
      </c>
    </row>
    <row r="2" spans="1:42" ht="12" customHeight="1" x14ac:dyDescent="0.2">
      <c r="C2" s="37"/>
      <c r="D2" s="37"/>
      <c r="E2" s="37"/>
      <c r="F2" s="31"/>
      <c r="K2" s="36">
        <f>Plumbing!$C$5</f>
        <v>1</v>
      </c>
      <c r="L2" s="37">
        <f>Plumbing!$G$12</f>
        <v>0</v>
      </c>
      <c r="M2" s="37">
        <f>Plumbing!$G$14</f>
        <v>0</v>
      </c>
      <c r="N2" s="37">
        <f>Plumbing!$G$15</f>
        <v>0</v>
      </c>
      <c r="O2" s="31">
        <f>Plumbing!$F$13</f>
        <v>0</v>
      </c>
      <c r="V2" s="36">
        <f>Plumbing!$C$18</f>
        <v>1</v>
      </c>
      <c r="W2" s="37">
        <f>Plumbing!$G$25</f>
        <v>0</v>
      </c>
      <c r="X2" s="37">
        <f>Plumbing!$G$27</f>
        <v>0</v>
      </c>
      <c r="Y2" s="37">
        <f>Plumbing!$G$28</f>
        <v>0</v>
      </c>
      <c r="Z2" s="31">
        <f>Plumbing!$F$26</f>
        <v>0</v>
      </c>
      <c r="AG2" s="36">
        <f>Plumbing!$C$31</f>
        <v>1</v>
      </c>
      <c r="AH2" s="37">
        <f>Plumbing!$G$38</f>
        <v>0</v>
      </c>
      <c r="AI2" s="37">
        <f>Plumbing!$G$40</f>
        <v>0</v>
      </c>
      <c r="AJ2" s="37">
        <f>Plumbing!$G$41</f>
        <v>0</v>
      </c>
      <c r="AK2" s="31">
        <f>Plumbing!$F$39</f>
        <v>0</v>
      </c>
    </row>
    <row r="3" spans="1:42" ht="14.25" customHeight="1" x14ac:dyDescent="0.2">
      <c r="A3" s="22"/>
      <c r="B3" s="39"/>
      <c r="C3" s="20" t="s">
        <v>103</v>
      </c>
      <c r="D3" s="20" t="s">
        <v>104</v>
      </c>
      <c r="E3" s="20" t="s">
        <v>105</v>
      </c>
      <c r="F3" s="20" t="s">
        <v>106</v>
      </c>
      <c r="G3" s="20" t="s">
        <v>107</v>
      </c>
      <c r="H3" s="20" t="s">
        <v>108</v>
      </c>
      <c r="I3" s="20" t="s">
        <v>100</v>
      </c>
      <c r="K3" s="48">
        <f>Plumbing!$B$5</f>
        <v>0</v>
      </c>
      <c r="L3" s="20" t="s">
        <v>103</v>
      </c>
      <c r="M3" s="20" t="s">
        <v>104</v>
      </c>
      <c r="N3" s="20" t="s">
        <v>132</v>
      </c>
      <c r="O3" s="20" t="s">
        <v>133</v>
      </c>
      <c r="P3" s="20" t="s">
        <v>107</v>
      </c>
      <c r="Q3" s="20" t="s">
        <v>108</v>
      </c>
      <c r="R3" s="20" t="s">
        <v>100</v>
      </c>
      <c r="S3" s="20" t="s">
        <v>130</v>
      </c>
      <c r="T3" s="20" t="s">
        <v>131</v>
      </c>
      <c r="V3" s="48">
        <f>Plumbing!$B$18</f>
        <v>0</v>
      </c>
      <c r="W3" s="20" t="s">
        <v>103</v>
      </c>
      <c r="X3" s="20" t="s">
        <v>104</v>
      </c>
      <c r="Y3" s="20" t="s">
        <v>132</v>
      </c>
      <c r="Z3" s="20" t="s">
        <v>133</v>
      </c>
      <c r="AA3" s="20" t="s">
        <v>107</v>
      </c>
      <c r="AB3" s="20" t="s">
        <v>108</v>
      </c>
      <c r="AC3" s="20" t="s">
        <v>100</v>
      </c>
      <c r="AD3" s="20" t="s">
        <v>130</v>
      </c>
      <c r="AE3" s="20" t="s">
        <v>131</v>
      </c>
      <c r="AG3" s="48">
        <f>Plumbing!$B$31</f>
        <v>0</v>
      </c>
      <c r="AH3" s="20" t="s">
        <v>103</v>
      </c>
      <c r="AI3" s="20" t="s">
        <v>104</v>
      </c>
      <c r="AJ3" s="20" t="s">
        <v>132</v>
      </c>
      <c r="AK3" s="20" t="s">
        <v>133</v>
      </c>
      <c r="AL3" s="20" t="s">
        <v>107</v>
      </c>
      <c r="AM3" s="20" t="s">
        <v>108</v>
      </c>
      <c r="AN3" s="20" t="s">
        <v>100</v>
      </c>
      <c r="AO3" s="20" t="s">
        <v>130</v>
      </c>
      <c r="AP3" s="20" t="s">
        <v>131</v>
      </c>
    </row>
    <row r="4" spans="1:42" ht="15" customHeight="1" thickBot="1" x14ac:dyDescent="0.25">
      <c r="A4" s="71">
        <f ca="1">IF(B88&lt;0,99,1)</f>
        <v>1</v>
      </c>
      <c r="B4" s="70" t="s">
        <v>92</v>
      </c>
      <c r="K4" s="30" t="s">
        <v>92</v>
      </c>
      <c r="V4" s="30" t="s">
        <v>92</v>
      </c>
      <c r="AG4" s="30" t="s">
        <v>92</v>
      </c>
    </row>
    <row r="5" spans="1:42" ht="12" customHeight="1" x14ac:dyDescent="0.2">
      <c r="A5">
        <f ca="1">A4+1</f>
        <v>2</v>
      </c>
      <c r="B5" s="68" t="s">
        <v>60</v>
      </c>
      <c r="C5" s="23">
        <v>8.0000000000000002E-3</v>
      </c>
      <c r="D5" s="23">
        <v>1.5384615384615385E-2</v>
      </c>
      <c r="E5" s="23">
        <v>5.0000000000000001E-3</v>
      </c>
      <c r="F5" s="23">
        <v>5.0000000000000001E-3</v>
      </c>
      <c r="G5" s="44">
        <v>0</v>
      </c>
      <c r="H5" s="23">
        <v>2E-3</v>
      </c>
      <c r="K5" s="2" t="s">
        <v>60</v>
      </c>
      <c r="L5" s="23">
        <f t="shared" ref="L5:L10" si="0">($M$2*C5)</f>
        <v>0</v>
      </c>
      <c r="M5" s="23">
        <f t="shared" ref="M5:M10" si="1">($N$2*D5)</f>
        <v>0</v>
      </c>
      <c r="N5" s="23">
        <f>($M$2*E5)</f>
        <v>0</v>
      </c>
      <c r="O5" s="23">
        <f>($N$2*F5)</f>
        <v>0</v>
      </c>
      <c r="P5" s="44">
        <f>$L$2*G5</f>
        <v>0</v>
      </c>
      <c r="Q5" s="23">
        <f>$L$2*H5</f>
        <v>0</v>
      </c>
      <c r="S5" s="23">
        <f>L5+M5</f>
        <v>0</v>
      </c>
      <c r="T5" s="23">
        <f>N5+O5</f>
        <v>0</v>
      </c>
      <c r="V5" s="2" t="s">
        <v>60</v>
      </c>
      <c r="W5" s="23">
        <f t="shared" ref="W5:W10" si="2">($X$2*C5)</f>
        <v>0</v>
      </c>
      <c r="X5" s="23">
        <f t="shared" ref="X5:X10" si="3">($Y$2*D5)</f>
        <v>0</v>
      </c>
      <c r="Y5" s="23">
        <f>($X$2*E5)</f>
        <v>0</v>
      </c>
      <c r="Z5" s="23">
        <f>($Y$2*F5)</f>
        <v>0</v>
      </c>
      <c r="AA5" s="44">
        <f>$W$2*G5</f>
        <v>0</v>
      </c>
      <c r="AB5" s="23">
        <f>$W$2*H5</f>
        <v>0</v>
      </c>
      <c r="AD5" s="23">
        <f t="shared" ref="AD5:AD16" si="4">W5+X5</f>
        <v>0</v>
      </c>
      <c r="AE5" s="23">
        <f>Y5+Z5</f>
        <v>0</v>
      </c>
      <c r="AG5" s="2" t="s">
        <v>60</v>
      </c>
      <c r="AH5" s="23">
        <f t="shared" ref="AH5:AH10" si="5">($AI$2*C5)</f>
        <v>0</v>
      </c>
      <c r="AI5" s="23">
        <f t="shared" ref="AI5:AI10" si="6">($AJ$2*D5)</f>
        <v>0</v>
      </c>
      <c r="AJ5" s="23">
        <f>($AI$2*E5)</f>
        <v>0</v>
      </c>
      <c r="AK5" s="23">
        <f>($AJ$2*F5)</f>
        <v>0</v>
      </c>
      <c r="AL5" s="44">
        <f>$AH$2*G5</f>
        <v>0</v>
      </c>
      <c r="AM5" s="23">
        <f>$AH$2*H5</f>
        <v>0</v>
      </c>
      <c r="AO5" s="23">
        <f>AH5+AI5</f>
        <v>0</v>
      </c>
      <c r="AP5" s="23">
        <f>AJ5+AK5</f>
        <v>0</v>
      </c>
    </row>
    <row r="6" spans="1:42" ht="12" customHeight="1" x14ac:dyDescent="0.2">
      <c r="A6">
        <f t="shared" ref="A6:A29" ca="1" si="7">A5+1</f>
        <v>3</v>
      </c>
      <c r="B6" s="69" t="s">
        <v>61</v>
      </c>
      <c r="C6" s="23">
        <v>2.5000000000000001E-2</v>
      </c>
      <c r="D6" s="23">
        <v>2.5000000000000001E-2</v>
      </c>
      <c r="E6" s="23">
        <v>1.3333333333333334E-2</v>
      </c>
      <c r="F6" s="23">
        <v>1.3333333333333334E-2</v>
      </c>
      <c r="G6" s="44">
        <v>0</v>
      </c>
      <c r="H6" s="23">
        <v>2E-3</v>
      </c>
      <c r="K6" s="3" t="s">
        <v>61</v>
      </c>
      <c r="L6" s="23">
        <f t="shared" si="0"/>
        <v>0</v>
      </c>
      <c r="M6" s="23">
        <f t="shared" si="1"/>
        <v>0</v>
      </c>
      <c r="N6" s="23">
        <f t="shared" ref="N6:N12" si="8">($M$2*E6)</f>
        <v>0</v>
      </c>
      <c r="O6" s="23">
        <f t="shared" ref="O6:O12" si="9">($N$2*F6)</f>
        <v>0</v>
      </c>
      <c r="P6" s="44">
        <f t="shared" ref="P6:P14" si="10">$L$2*G6</f>
        <v>0</v>
      </c>
      <c r="Q6" s="23">
        <f t="shared" ref="Q6:Q23" si="11">$L$2*H6</f>
        <v>0</v>
      </c>
      <c r="S6" s="23">
        <f t="shared" ref="S6:S16" si="12">L6+M6</f>
        <v>0</v>
      </c>
      <c r="T6" s="23">
        <f t="shared" ref="T6:T16" si="13">N6+O6</f>
        <v>0</v>
      </c>
      <c r="V6" s="3" t="s">
        <v>61</v>
      </c>
      <c r="W6" s="23">
        <f t="shared" si="2"/>
        <v>0</v>
      </c>
      <c r="X6" s="23">
        <f t="shared" si="3"/>
        <v>0</v>
      </c>
      <c r="Y6" s="23">
        <f t="shared" ref="Y6:Y12" si="14">($X$2*E6)</f>
        <v>0</v>
      </c>
      <c r="Z6" s="23">
        <f t="shared" ref="Z6:Z12" si="15">($Y$2*F6)</f>
        <v>0</v>
      </c>
      <c r="AA6" s="44">
        <f t="shared" ref="AA6:AA14" si="16">$W$2*G6</f>
        <v>0</v>
      </c>
      <c r="AB6" s="23">
        <f t="shared" ref="AB6:AB23" si="17">$W$2*H6</f>
        <v>0</v>
      </c>
      <c r="AD6" s="23">
        <f t="shared" si="4"/>
        <v>0</v>
      </c>
      <c r="AE6" s="23">
        <f t="shared" ref="AE6:AE16" si="18">Y6+Z6</f>
        <v>0</v>
      </c>
      <c r="AG6" s="3" t="s">
        <v>61</v>
      </c>
      <c r="AH6" s="23">
        <f t="shared" si="5"/>
        <v>0</v>
      </c>
      <c r="AI6" s="23">
        <f t="shared" si="6"/>
        <v>0</v>
      </c>
      <c r="AJ6" s="23">
        <f t="shared" ref="AJ6:AJ12" si="19">($AI$2*E6)</f>
        <v>0</v>
      </c>
      <c r="AK6" s="23">
        <f t="shared" ref="AK6:AK12" si="20">($AJ$2*F6)</f>
        <v>0</v>
      </c>
      <c r="AL6" s="44">
        <f t="shared" ref="AL6:AL14" si="21">$AH$2*G6</f>
        <v>0</v>
      </c>
      <c r="AM6" s="23">
        <f t="shared" ref="AM6:AM29" si="22">$AH$2*H6</f>
        <v>0</v>
      </c>
      <c r="AO6" s="23">
        <f t="shared" ref="AO6:AO16" si="23">AH6+AI6</f>
        <v>0</v>
      </c>
      <c r="AP6" s="23">
        <f t="shared" ref="AP6:AP16" si="24">AJ6+AK6</f>
        <v>0</v>
      </c>
    </row>
    <row r="7" spans="1:42" ht="12" customHeight="1" x14ac:dyDescent="0.2">
      <c r="A7">
        <f t="shared" ca="1" si="7"/>
        <v>4</v>
      </c>
      <c r="B7" s="69" t="s">
        <v>62</v>
      </c>
      <c r="C7" s="23">
        <v>1.3333333333333334E-2</v>
      </c>
      <c r="D7" s="23">
        <v>1.3333333333333334E-2</v>
      </c>
      <c r="E7" s="23">
        <v>5.0000000000000001E-3</v>
      </c>
      <c r="F7" s="23">
        <v>5.0000000000000001E-3</v>
      </c>
      <c r="G7" s="44">
        <v>0</v>
      </c>
      <c r="H7" s="23">
        <v>2E-3</v>
      </c>
      <c r="K7" s="3" t="s">
        <v>62</v>
      </c>
      <c r="L7" s="23">
        <f t="shared" si="0"/>
        <v>0</v>
      </c>
      <c r="M7" s="23">
        <f t="shared" si="1"/>
        <v>0</v>
      </c>
      <c r="N7" s="23">
        <f t="shared" si="8"/>
        <v>0</v>
      </c>
      <c r="O7" s="23">
        <f t="shared" si="9"/>
        <v>0</v>
      </c>
      <c r="P7" s="44">
        <f t="shared" si="10"/>
        <v>0</v>
      </c>
      <c r="Q7" s="23">
        <f t="shared" si="11"/>
        <v>0</v>
      </c>
      <c r="S7" s="23">
        <f t="shared" si="12"/>
        <v>0</v>
      </c>
      <c r="T7" s="23">
        <f t="shared" si="13"/>
        <v>0</v>
      </c>
      <c r="V7" s="3" t="s">
        <v>62</v>
      </c>
      <c r="W7" s="23">
        <f t="shared" si="2"/>
        <v>0</v>
      </c>
      <c r="X7" s="23">
        <f t="shared" si="3"/>
        <v>0</v>
      </c>
      <c r="Y7" s="23">
        <f t="shared" si="14"/>
        <v>0</v>
      </c>
      <c r="Z7" s="23">
        <f t="shared" si="15"/>
        <v>0</v>
      </c>
      <c r="AA7" s="44">
        <f t="shared" si="16"/>
        <v>0</v>
      </c>
      <c r="AB7" s="23">
        <f t="shared" si="17"/>
        <v>0</v>
      </c>
      <c r="AD7" s="23">
        <f t="shared" si="4"/>
        <v>0</v>
      </c>
      <c r="AE7" s="23">
        <f t="shared" si="18"/>
        <v>0</v>
      </c>
      <c r="AG7" s="3" t="s">
        <v>62</v>
      </c>
      <c r="AH7" s="23">
        <f t="shared" si="5"/>
        <v>0</v>
      </c>
      <c r="AI7" s="23">
        <f t="shared" si="6"/>
        <v>0</v>
      </c>
      <c r="AJ7" s="23">
        <f t="shared" si="19"/>
        <v>0</v>
      </c>
      <c r="AK7" s="23">
        <f t="shared" si="20"/>
        <v>0</v>
      </c>
      <c r="AL7" s="44">
        <f t="shared" si="21"/>
        <v>0</v>
      </c>
      <c r="AM7" s="23">
        <f t="shared" si="22"/>
        <v>0</v>
      </c>
      <c r="AO7" s="23">
        <f t="shared" si="23"/>
        <v>0</v>
      </c>
      <c r="AP7" s="23">
        <f t="shared" si="24"/>
        <v>0</v>
      </c>
    </row>
    <row r="8" spans="1:42" ht="12" customHeight="1" x14ac:dyDescent="0.2">
      <c r="A8">
        <f t="shared" ca="1" si="7"/>
        <v>5</v>
      </c>
      <c r="B8" s="69" t="s">
        <v>63</v>
      </c>
      <c r="C8" s="23">
        <v>8.0000000000000002E-3</v>
      </c>
      <c r="D8" s="23">
        <v>1.5384615384615385E-2</v>
      </c>
      <c r="E8" s="23">
        <v>5.0000000000000001E-3</v>
      </c>
      <c r="F8" s="23">
        <v>5.0000000000000001E-3</v>
      </c>
      <c r="G8" s="44">
        <v>0</v>
      </c>
      <c r="H8" s="23">
        <v>2E-3</v>
      </c>
      <c r="K8" s="3" t="s">
        <v>63</v>
      </c>
      <c r="L8" s="23">
        <f t="shared" si="0"/>
        <v>0</v>
      </c>
      <c r="M8" s="23">
        <f t="shared" si="1"/>
        <v>0</v>
      </c>
      <c r="N8" s="23">
        <f t="shared" si="8"/>
        <v>0</v>
      </c>
      <c r="O8" s="23">
        <f t="shared" si="9"/>
        <v>0</v>
      </c>
      <c r="P8" s="44">
        <f t="shared" si="10"/>
        <v>0</v>
      </c>
      <c r="Q8" s="23">
        <f t="shared" si="11"/>
        <v>0</v>
      </c>
      <c r="S8" s="23">
        <f t="shared" si="12"/>
        <v>0</v>
      </c>
      <c r="T8" s="23">
        <f t="shared" si="13"/>
        <v>0</v>
      </c>
      <c r="V8" s="3" t="s">
        <v>63</v>
      </c>
      <c r="W8" s="23">
        <f t="shared" si="2"/>
        <v>0</v>
      </c>
      <c r="X8" s="23">
        <f t="shared" si="3"/>
        <v>0</v>
      </c>
      <c r="Y8" s="23">
        <f t="shared" si="14"/>
        <v>0</v>
      </c>
      <c r="Z8" s="23">
        <f t="shared" si="15"/>
        <v>0</v>
      </c>
      <c r="AA8" s="44">
        <f t="shared" si="16"/>
        <v>0</v>
      </c>
      <c r="AB8" s="23">
        <f t="shared" si="17"/>
        <v>0</v>
      </c>
      <c r="AD8" s="23">
        <f t="shared" si="4"/>
        <v>0</v>
      </c>
      <c r="AE8" s="23">
        <f t="shared" si="18"/>
        <v>0</v>
      </c>
      <c r="AG8" s="3" t="s">
        <v>63</v>
      </c>
      <c r="AH8" s="23">
        <f t="shared" si="5"/>
        <v>0</v>
      </c>
      <c r="AI8" s="23">
        <f t="shared" si="6"/>
        <v>0</v>
      </c>
      <c r="AJ8" s="23">
        <f t="shared" si="19"/>
        <v>0</v>
      </c>
      <c r="AK8" s="23">
        <f t="shared" si="20"/>
        <v>0</v>
      </c>
      <c r="AL8" s="44">
        <f t="shared" si="21"/>
        <v>0</v>
      </c>
      <c r="AM8" s="23">
        <f t="shared" si="22"/>
        <v>0</v>
      </c>
      <c r="AO8" s="23">
        <f t="shared" si="23"/>
        <v>0</v>
      </c>
      <c r="AP8" s="23">
        <f t="shared" si="24"/>
        <v>0</v>
      </c>
    </row>
    <row r="9" spans="1:42" ht="12" customHeight="1" x14ac:dyDescent="0.2">
      <c r="A9">
        <f t="shared" ca="1" si="7"/>
        <v>6</v>
      </c>
      <c r="B9" s="69" t="s">
        <v>64</v>
      </c>
      <c r="C9" s="23">
        <v>2E-3</v>
      </c>
      <c r="D9" s="23">
        <v>2E-3</v>
      </c>
      <c r="E9" s="23">
        <v>1.3333333333333333E-3</v>
      </c>
      <c r="F9" s="23">
        <v>1.3333333333333333E-3</v>
      </c>
      <c r="G9" s="44">
        <v>0</v>
      </c>
      <c r="H9" s="23">
        <v>1E-3</v>
      </c>
      <c r="K9" s="3" t="s">
        <v>64</v>
      </c>
      <c r="L9" s="23">
        <f t="shared" si="0"/>
        <v>0</v>
      </c>
      <c r="M9" s="23">
        <f t="shared" si="1"/>
        <v>0</v>
      </c>
      <c r="N9" s="23">
        <f t="shared" si="8"/>
        <v>0</v>
      </c>
      <c r="O9" s="23">
        <f t="shared" si="9"/>
        <v>0</v>
      </c>
      <c r="P9" s="44">
        <f t="shared" si="10"/>
        <v>0</v>
      </c>
      <c r="Q9" s="23">
        <f t="shared" si="11"/>
        <v>0</v>
      </c>
      <c r="S9" s="23">
        <f t="shared" si="12"/>
        <v>0</v>
      </c>
      <c r="T9" s="23">
        <f t="shared" si="13"/>
        <v>0</v>
      </c>
      <c r="V9" s="3" t="s">
        <v>64</v>
      </c>
      <c r="W9" s="23">
        <f t="shared" si="2"/>
        <v>0</v>
      </c>
      <c r="X9" s="23">
        <f t="shared" si="3"/>
        <v>0</v>
      </c>
      <c r="Y9" s="23">
        <f t="shared" si="14"/>
        <v>0</v>
      </c>
      <c r="Z9" s="23">
        <f t="shared" si="15"/>
        <v>0</v>
      </c>
      <c r="AA9" s="44">
        <f t="shared" si="16"/>
        <v>0</v>
      </c>
      <c r="AB9" s="23">
        <f t="shared" si="17"/>
        <v>0</v>
      </c>
      <c r="AD9" s="23">
        <f t="shared" si="4"/>
        <v>0</v>
      </c>
      <c r="AE9" s="23">
        <f t="shared" si="18"/>
        <v>0</v>
      </c>
      <c r="AG9" s="3" t="s">
        <v>64</v>
      </c>
      <c r="AH9" s="23">
        <f t="shared" si="5"/>
        <v>0</v>
      </c>
      <c r="AI9" s="23">
        <f t="shared" si="6"/>
        <v>0</v>
      </c>
      <c r="AJ9" s="23">
        <f t="shared" si="19"/>
        <v>0</v>
      </c>
      <c r="AK9" s="23">
        <f t="shared" si="20"/>
        <v>0</v>
      </c>
      <c r="AL9" s="44">
        <f t="shared" si="21"/>
        <v>0</v>
      </c>
      <c r="AM9" s="23">
        <f t="shared" si="22"/>
        <v>0</v>
      </c>
      <c r="AO9" s="23">
        <f t="shared" si="23"/>
        <v>0</v>
      </c>
      <c r="AP9" s="23">
        <f t="shared" si="24"/>
        <v>0</v>
      </c>
    </row>
    <row r="10" spans="1:42" ht="12" customHeight="1" x14ac:dyDescent="0.2">
      <c r="A10">
        <f t="shared" ca="1" si="7"/>
        <v>7</v>
      </c>
      <c r="B10" s="69" t="s">
        <v>65</v>
      </c>
      <c r="C10" s="23">
        <v>6.6666666666666671E-3</v>
      </c>
      <c r="D10" s="23">
        <v>1.3333333333333334E-2</v>
      </c>
      <c r="E10" s="23">
        <v>5.0000000000000001E-3</v>
      </c>
      <c r="F10" s="23">
        <v>5.0000000000000001E-3</v>
      </c>
      <c r="G10" s="44">
        <v>0</v>
      </c>
      <c r="H10" s="23">
        <v>1E-3</v>
      </c>
      <c r="K10" s="3" t="s">
        <v>65</v>
      </c>
      <c r="L10" s="23">
        <f t="shared" si="0"/>
        <v>0</v>
      </c>
      <c r="M10" s="23">
        <f t="shared" si="1"/>
        <v>0</v>
      </c>
      <c r="N10" s="23">
        <f t="shared" si="8"/>
        <v>0</v>
      </c>
      <c r="O10" s="23">
        <f t="shared" si="9"/>
        <v>0</v>
      </c>
      <c r="P10" s="44">
        <f t="shared" si="10"/>
        <v>0</v>
      </c>
      <c r="Q10" s="23">
        <f t="shared" si="11"/>
        <v>0</v>
      </c>
      <c r="S10" s="23">
        <f t="shared" si="12"/>
        <v>0</v>
      </c>
      <c r="T10" s="23">
        <f t="shared" si="13"/>
        <v>0</v>
      </c>
      <c r="V10" s="3" t="s">
        <v>65</v>
      </c>
      <c r="W10" s="23">
        <f t="shared" si="2"/>
        <v>0</v>
      </c>
      <c r="X10" s="23">
        <f t="shared" si="3"/>
        <v>0</v>
      </c>
      <c r="Y10" s="23">
        <f t="shared" si="14"/>
        <v>0</v>
      </c>
      <c r="Z10" s="23">
        <f t="shared" si="15"/>
        <v>0</v>
      </c>
      <c r="AA10" s="44">
        <f t="shared" si="16"/>
        <v>0</v>
      </c>
      <c r="AB10" s="23">
        <f t="shared" si="17"/>
        <v>0</v>
      </c>
      <c r="AD10" s="23">
        <f t="shared" si="4"/>
        <v>0</v>
      </c>
      <c r="AE10" s="23">
        <f t="shared" si="18"/>
        <v>0</v>
      </c>
      <c r="AG10" s="3" t="s">
        <v>65</v>
      </c>
      <c r="AH10" s="23">
        <f t="shared" si="5"/>
        <v>0</v>
      </c>
      <c r="AI10" s="23">
        <f t="shared" si="6"/>
        <v>0</v>
      </c>
      <c r="AJ10" s="23">
        <f t="shared" si="19"/>
        <v>0</v>
      </c>
      <c r="AK10" s="23">
        <f t="shared" si="20"/>
        <v>0</v>
      </c>
      <c r="AL10" s="44">
        <f t="shared" si="21"/>
        <v>0</v>
      </c>
      <c r="AM10" s="23">
        <f t="shared" si="22"/>
        <v>0</v>
      </c>
      <c r="AO10" s="23">
        <f t="shared" si="23"/>
        <v>0</v>
      </c>
      <c r="AP10" s="23">
        <f t="shared" si="24"/>
        <v>0</v>
      </c>
    </row>
    <row r="11" spans="1:42" ht="12" customHeight="1" x14ac:dyDescent="0.2">
      <c r="A11">
        <f t="shared" ca="1" si="7"/>
        <v>8</v>
      </c>
      <c r="B11" s="69" t="s">
        <v>71</v>
      </c>
      <c r="C11" s="41" t="s">
        <v>117</v>
      </c>
      <c r="D11" s="41" t="s">
        <v>118</v>
      </c>
      <c r="E11" s="23">
        <v>5.0000000000000001E-3</v>
      </c>
      <c r="F11" s="23">
        <v>6.6666666666666671E-3</v>
      </c>
      <c r="G11" s="44">
        <v>0</v>
      </c>
      <c r="H11" s="23">
        <v>1E-3</v>
      </c>
      <c r="K11" s="3" t="s">
        <v>71</v>
      </c>
      <c r="L11" s="41">
        <f>IF(M2&lt;=1500,(M2/75),(M2/120+7.5))</f>
        <v>0</v>
      </c>
      <c r="M11" s="149">
        <f>IF(N2&lt;=1520,(N2/40),(N2/60+12.6667))</f>
        <v>0</v>
      </c>
      <c r="N11" s="23">
        <f t="shared" si="8"/>
        <v>0</v>
      </c>
      <c r="O11" s="23">
        <f t="shared" si="9"/>
        <v>0</v>
      </c>
      <c r="P11" s="44">
        <f t="shared" si="10"/>
        <v>0</v>
      </c>
      <c r="Q11" s="23">
        <f t="shared" si="11"/>
        <v>0</v>
      </c>
      <c r="S11" s="41">
        <f t="shared" si="12"/>
        <v>0</v>
      </c>
      <c r="T11" s="23">
        <f t="shared" si="13"/>
        <v>0</v>
      </c>
      <c r="V11" s="3" t="s">
        <v>71</v>
      </c>
      <c r="W11" s="41">
        <f>IF(X2&lt;=1500,(X2/75),(X2/120+7.5))</f>
        <v>0</v>
      </c>
      <c r="X11" s="149">
        <f>IF(Y2&lt;=1520,(Y2/40),(Y2/60+12.6667))</f>
        <v>0</v>
      </c>
      <c r="Y11" s="23">
        <f t="shared" si="14"/>
        <v>0</v>
      </c>
      <c r="Z11" s="23">
        <f t="shared" si="15"/>
        <v>0</v>
      </c>
      <c r="AA11" s="44">
        <f t="shared" si="16"/>
        <v>0</v>
      </c>
      <c r="AB11" s="23">
        <f t="shared" si="17"/>
        <v>0</v>
      </c>
      <c r="AD11" s="41">
        <f t="shared" si="4"/>
        <v>0</v>
      </c>
      <c r="AE11" s="23">
        <f t="shared" si="18"/>
        <v>0</v>
      </c>
      <c r="AG11" s="3" t="s">
        <v>71</v>
      </c>
      <c r="AH11" s="41">
        <f>IF(AI2&lt;=1500,(AI2/75),(AI2/120+7.5))</f>
        <v>0</v>
      </c>
      <c r="AI11" s="149">
        <f>IF(AJ2&lt;=1520,(AJ2/40),(AJ2/60+12.6667))</f>
        <v>0</v>
      </c>
      <c r="AJ11" s="23">
        <f t="shared" si="19"/>
        <v>0</v>
      </c>
      <c r="AK11" s="23">
        <f t="shared" si="20"/>
        <v>0</v>
      </c>
      <c r="AL11" s="44">
        <f t="shared" si="21"/>
        <v>0</v>
      </c>
      <c r="AM11" s="23">
        <f t="shared" si="22"/>
        <v>0</v>
      </c>
      <c r="AO11" s="41">
        <f t="shared" si="23"/>
        <v>0</v>
      </c>
      <c r="AP11" s="23">
        <f t="shared" si="24"/>
        <v>0</v>
      </c>
    </row>
    <row r="12" spans="1:42" ht="12" customHeight="1" x14ac:dyDescent="0.2">
      <c r="A12">
        <f t="shared" ca="1" si="7"/>
        <v>9</v>
      </c>
      <c r="B12" s="69" t="s">
        <v>72</v>
      </c>
      <c r="C12" s="41" t="s">
        <v>117</v>
      </c>
      <c r="D12" s="41" t="s">
        <v>118</v>
      </c>
      <c r="E12" s="23">
        <v>5.0000000000000001E-3</v>
      </c>
      <c r="F12" s="23">
        <v>6.6666666666666671E-3</v>
      </c>
      <c r="G12" s="44">
        <v>0</v>
      </c>
      <c r="H12" s="23">
        <v>1E-3</v>
      </c>
      <c r="K12" s="3" t="s">
        <v>72</v>
      </c>
      <c r="L12" s="41">
        <f>IF(M2&lt;=1500,(M2/75),(M2/120+7.5))</f>
        <v>0</v>
      </c>
      <c r="M12" s="149">
        <f>IF(N2&lt;=1520,(N2/40),(N2/60+12.6667))</f>
        <v>0</v>
      </c>
      <c r="N12" s="23">
        <f t="shared" si="8"/>
        <v>0</v>
      </c>
      <c r="O12" s="23">
        <f t="shared" si="9"/>
        <v>0</v>
      </c>
      <c r="P12" s="44">
        <f t="shared" si="10"/>
        <v>0</v>
      </c>
      <c r="Q12" s="23">
        <f t="shared" si="11"/>
        <v>0</v>
      </c>
      <c r="S12" s="41">
        <f t="shared" si="12"/>
        <v>0</v>
      </c>
      <c r="T12" s="23">
        <f t="shared" si="13"/>
        <v>0</v>
      </c>
      <c r="V12" s="3" t="s">
        <v>72</v>
      </c>
      <c r="W12" s="41">
        <f>IF(X2&lt;=1500,(X2/75),(X2/120+7.5))</f>
        <v>0</v>
      </c>
      <c r="X12" s="149">
        <f>IF(Y2&lt;=1520,(Y2/40),(Y2/60+12.6667))</f>
        <v>0</v>
      </c>
      <c r="Y12" s="23">
        <f t="shared" si="14"/>
        <v>0</v>
      </c>
      <c r="Z12" s="23">
        <f t="shared" si="15"/>
        <v>0</v>
      </c>
      <c r="AA12" s="44">
        <f t="shared" si="16"/>
        <v>0</v>
      </c>
      <c r="AB12" s="23">
        <f t="shared" si="17"/>
        <v>0</v>
      </c>
      <c r="AD12" s="41">
        <f t="shared" si="4"/>
        <v>0</v>
      </c>
      <c r="AE12" s="23">
        <f t="shared" si="18"/>
        <v>0</v>
      </c>
      <c r="AG12" s="3" t="s">
        <v>72</v>
      </c>
      <c r="AH12" s="41">
        <f>IF(AI2&lt;=1500,(AI2/75),(AI2/120+7.5))</f>
        <v>0</v>
      </c>
      <c r="AI12" s="149">
        <f>IF(AJ2&lt;=1520,(AJ2/40),(AJ2/60+12.6667))</f>
        <v>0</v>
      </c>
      <c r="AJ12" s="23">
        <f t="shared" si="19"/>
        <v>0</v>
      </c>
      <c r="AK12" s="23">
        <f t="shared" si="20"/>
        <v>0</v>
      </c>
      <c r="AL12" s="44">
        <f t="shared" si="21"/>
        <v>0</v>
      </c>
      <c r="AM12" s="23">
        <f t="shared" si="22"/>
        <v>0</v>
      </c>
      <c r="AO12" s="41">
        <f t="shared" si="23"/>
        <v>0</v>
      </c>
      <c r="AP12" s="23">
        <f t="shared" si="24"/>
        <v>0</v>
      </c>
    </row>
    <row r="13" spans="1:42" ht="12" customHeight="1" x14ac:dyDescent="0.2">
      <c r="A13">
        <f t="shared" ca="1" si="7"/>
        <v>10</v>
      </c>
      <c r="B13" s="69" t="s">
        <v>70</v>
      </c>
      <c r="C13" s="41" t="s">
        <v>119</v>
      </c>
      <c r="D13" s="41" t="s">
        <v>119</v>
      </c>
      <c r="E13" s="41" t="s">
        <v>120</v>
      </c>
      <c r="F13" s="41" t="s">
        <v>120</v>
      </c>
      <c r="G13" s="44">
        <v>0</v>
      </c>
      <c r="H13" s="23">
        <v>0.01</v>
      </c>
      <c r="K13" s="3" t="s">
        <v>70</v>
      </c>
      <c r="L13" s="41">
        <f>IF(M2&lt;=50,(M2/25),(M2/50+1))</f>
        <v>0</v>
      </c>
      <c r="M13" s="41">
        <f>IF(N2&lt;=50,(N2/25),(N2/50+1))</f>
        <v>0</v>
      </c>
      <c r="N13" s="41">
        <f>IF(M2&lt;=80,(M2/40),(M2/80+1))</f>
        <v>0</v>
      </c>
      <c r="O13" s="41">
        <f>IF(N2&lt;=80,(N2/40),(N2/80+1))</f>
        <v>0</v>
      </c>
      <c r="P13" s="44">
        <f t="shared" si="10"/>
        <v>0</v>
      </c>
      <c r="Q13" s="23">
        <f t="shared" si="11"/>
        <v>0</v>
      </c>
      <c r="S13" s="41">
        <f t="shared" si="12"/>
        <v>0</v>
      </c>
      <c r="T13" s="41">
        <f t="shared" si="13"/>
        <v>0</v>
      </c>
      <c r="V13" s="3" t="s">
        <v>70</v>
      </c>
      <c r="W13" s="41">
        <f>IF(X2&lt;=50,(X2/25),(X2/50+1))</f>
        <v>0</v>
      </c>
      <c r="X13" s="41">
        <f>IF(Y2&lt;=50,(Y2/25),(Y2/50+1))</f>
        <v>0</v>
      </c>
      <c r="Y13" s="41">
        <f>IF(X2&lt;=80,(X2/40),(X2/80+1))</f>
        <v>0</v>
      </c>
      <c r="Z13" s="41">
        <f>IF(Y2&lt;=80,(Y2/40),(Y2/80+1))</f>
        <v>0</v>
      </c>
      <c r="AA13" s="44">
        <f t="shared" si="16"/>
        <v>0</v>
      </c>
      <c r="AB13" s="23">
        <f t="shared" si="17"/>
        <v>0</v>
      </c>
      <c r="AD13" s="41">
        <f t="shared" si="4"/>
        <v>0</v>
      </c>
      <c r="AE13" s="41">
        <f>Y13+Z13</f>
        <v>0</v>
      </c>
      <c r="AG13" s="3" t="s">
        <v>70</v>
      </c>
      <c r="AH13" s="41">
        <f>IF(AI2&lt;=50,(AI2/25),(AI2/50+1))</f>
        <v>0</v>
      </c>
      <c r="AI13" s="41">
        <f>IF(AJ2&lt;=50,(AJ2/25),(AJ2/50+1))</f>
        <v>0</v>
      </c>
      <c r="AJ13" s="41">
        <f>IF(AI2&lt;=80,(AI2/40),(AI2/80+1))</f>
        <v>0</v>
      </c>
      <c r="AK13" s="41">
        <f>IF(AJ2&lt;=80,(AJ2/40),(AJ2/80+1))</f>
        <v>0</v>
      </c>
      <c r="AL13" s="44">
        <f t="shared" si="21"/>
        <v>0</v>
      </c>
      <c r="AM13" s="23">
        <f t="shared" si="22"/>
        <v>0</v>
      </c>
      <c r="AO13" s="41">
        <f t="shared" si="23"/>
        <v>0</v>
      </c>
      <c r="AP13" s="41">
        <f t="shared" si="24"/>
        <v>0</v>
      </c>
    </row>
    <row r="14" spans="1:42" ht="12" customHeight="1" x14ac:dyDescent="0.2">
      <c r="A14">
        <f t="shared" ca="1" si="7"/>
        <v>11</v>
      </c>
      <c r="B14" s="69" t="s">
        <v>69</v>
      </c>
      <c r="C14" s="23">
        <v>0.02</v>
      </c>
      <c r="D14" s="23">
        <v>0.02</v>
      </c>
      <c r="E14" s="23">
        <v>0.02</v>
      </c>
      <c r="F14" s="23">
        <v>0.02</v>
      </c>
      <c r="G14" s="44">
        <v>0</v>
      </c>
      <c r="H14" s="23">
        <v>0.01</v>
      </c>
      <c r="K14" s="3" t="s">
        <v>69</v>
      </c>
      <c r="L14" s="23">
        <f>($M$2*C14)</f>
        <v>0</v>
      </c>
      <c r="M14" s="23">
        <f>($N$2*D14)</f>
        <v>0</v>
      </c>
      <c r="N14" s="23">
        <f>($M$2*E14)</f>
        <v>0</v>
      </c>
      <c r="O14" s="23">
        <f>($N$2*F14)</f>
        <v>0</v>
      </c>
      <c r="P14" s="44">
        <f t="shared" si="10"/>
        <v>0</v>
      </c>
      <c r="Q14" s="23">
        <f t="shared" si="11"/>
        <v>0</v>
      </c>
      <c r="S14" s="23">
        <f t="shared" si="12"/>
        <v>0</v>
      </c>
      <c r="T14" s="23">
        <f t="shared" si="13"/>
        <v>0</v>
      </c>
      <c r="V14" s="3" t="s">
        <v>69</v>
      </c>
      <c r="W14" s="23">
        <f>($X$2*C14)</f>
        <v>0</v>
      </c>
      <c r="X14" s="23">
        <f>($Y$2*D14)</f>
        <v>0</v>
      </c>
      <c r="Y14" s="23">
        <f>($X$2*E14)</f>
        <v>0</v>
      </c>
      <c r="Z14" s="23">
        <f>($Y$2*F14)</f>
        <v>0</v>
      </c>
      <c r="AA14" s="44">
        <f t="shared" si="16"/>
        <v>0</v>
      </c>
      <c r="AB14" s="23">
        <f t="shared" si="17"/>
        <v>0</v>
      </c>
      <c r="AD14" s="23">
        <f t="shared" si="4"/>
        <v>0</v>
      </c>
      <c r="AE14" s="23">
        <f t="shared" si="18"/>
        <v>0</v>
      </c>
      <c r="AG14" s="3" t="s">
        <v>69</v>
      </c>
      <c r="AH14" s="23">
        <f>($AI$2*C14)</f>
        <v>0</v>
      </c>
      <c r="AI14" s="23">
        <f>($AJ$2*D14)</f>
        <v>0</v>
      </c>
      <c r="AJ14" s="23">
        <f>($AI$2*E14)</f>
        <v>0</v>
      </c>
      <c r="AK14" s="23">
        <f>($AJ$2*F14)</f>
        <v>0</v>
      </c>
      <c r="AL14" s="44">
        <f t="shared" si="21"/>
        <v>0</v>
      </c>
      <c r="AM14" s="23">
        <f t="shared" si="22"/>
        <v>0</v>
      </c>
      <c r="AO14" s="23">
        <f t="shared" si="23"/>
        <v>0</v>
      </c>
      <c r="AP14" s="23">
        <f t="shared" si="24"/>
        <v>0</v>
      </c>
    </row>
    <row r="15" spans="1:42" ht="12" customHeight="1" x14ac:dyDescent="0.2">
      <c r="A15">
        <f t="shared" ca="1" si="7"/>
        <v>12</v>
      </c>
      <c r="B15" s="69" t="s">
        <v>80</v>
      </c>
      <c r="C15" s="23">
        <v>0.01</v>
      </c>
      <c r="D15" s="23">
        <v>0.01</v>
      </c>
      <c r="E15" s="23">
        <v>0.01</v>
      </c>
      <c r="F15" s="23">
        <v>0.01</v>
      </c>
      <c r="G15" s="42" t="s">
        <v>134</v>
      </c>
      <c r="H15" s="23">
        <v>2.5000000000000001E-3</v>
      </c>
      <c r="K15" s="3" t="s">
        <v>80</v>
      </c>
      <c r="L15" s="23">
        <f>($M$2*C15)</f>
        <v>0</v>
      </c>
      <c r="M15" s="23">
        <f>($N$2*D15)</f>
        <v>0</v>
      </c>
      <c r="N15" s="23">
        <f>($M$2*E15)</f>
        <v>0</v>
      </c>
      <c r="O15" s="23">
        <f>($N$2*F15)</f>
        <v>0</v>
      </c>
      <c r="P15" s="42" t="str">
        <f>$G$15</f>
        <v>See comm</v>
      </c>
      <c r="Q15" s="23">
        <f t="shared" si="11"/>
        <v>0</v>
      </c>
      <c r="S15" s="23">
        <f t="shared" si="12"/>
        <v>0</v>
      </c>
      <c r="T15" s="23">
        <f t="shared" si="13"/>
        <v>0</v>
      </c>
      <c r="V15" s="3" t="s">
        <v>80</v>
      </c>
      <c r="W15" s="23">
        <f>($X$2*C15)</f>
        <v>0</v>
      </c>
      <c r="X15" s="23">
        <f>($Y$2*D15)</f>
        <v>0</v>
      </c>
      <c r="Y15" s="23">
        <f>($X$2*E15)</f>
        <v>0</v>
      </c>
      <c r="Z15" s="23">
        <f>($Y$2*F15)</f>
        <v>0</v>
      </c>
      <c r="AA15" s="42" t="str">
        <f>$G$15</f>
        <v>See comm</v>
      </c>
      <c r="AB15" s="23">
        <f t="shared" si="17"/>
        <v>0</v>
      </c>
      <c r="AD15" s="23">
        <f t="shared" si="4"/>
        <v>0</v>
      </c>
      <c r="AE15" s="23">
        <f t="shared" si="18"/>
        <v>0</v>
      </c>
      <c r="AG15" s="3" t="s">
        <v>80</v>
      </c>
      <c r="AH15" s="23">
        <f>($AI$2*C15)</f>
        <v>0</v>
      </c>
      <c r="AI15" s="23">
        <f>($AJ$2*D15)</f>
        <v>0</v>
      </c>
      <c r="AJ15" s="23">
        <f>($AI$2*E15)</f>
        <v>0</v>
      </c>
      <c r="AK15" s="23">
        <f>($AJ$2*F15)</f>
        <v>0</v>
      </c>
      <c r="AL15" s="42" t="str">
        <f>$G$15</f>
        <v>See comm</v>
      </c>
      <c r="AM15" s="23">
        <f t="shared" si="22"/>
        <v>0</v>
      </c>
      <c r="AO15" s="23">
        <f t="shared" si="23"/>
        <v>0</v>
      </c>
      <c r="AP15" s="23">
        <f t="shared" si="24"/>
        <v>0</v>
      </c>
    </row>
    <row r="16" spans="1:42" ht="12" customHeight="1" x14ac:dyDescent="0.2">
      <c r="A16">
        <f t="shared" ca="1" si="7"/>
        <v>13</v>
      </c>
      <c r="B16" s="69" t="s">
        <v>73</v>
      </c>
      <c r="C16" s="23">
        <v>0.1</v>
      </c>
      <c r="D16" s="23">
        <v>0.1</v>
      </c>
      <c r="E16" s="23">
        <v>0.1</v>
      </c>
      <c r="F16" s="23">
        <v>0.1</v>
      </c>
      <c r="G16" s="23">
        <v>0.125</v>
      </c>
      <c r="H16" s="23">
        <v>0.01</v>
      </c>
      <c r="K16" s="3" t="s">
        <v>73</v>
      </c>
      <c r="L16" s="23">
        <f>($M$2*C16)</f>
        <v>0</v>
      </c>
      <c r="M16" s="23">
        <f>($N$2*D16)</f>
        <v>0</v>
      </c>
      <c r="N16" s="23">
        <f>($M$2*E16)</f>
        <v>0</v>
      </c>
      <c r="O16" s="23">
        <f>($N$2*F16)</f>
        <v>0</v>
      </c>
      <c r="P16" s="23">
        <f t="shared" ref="P16:P23" si="25">$L$2*G16</f>
        <v>0</v>
      </c>
      <c r="Q16" s="23">
        <f t="shared" si="11"/>
        <v>0</v>
      </c>
      <c r="S16" s="23">
        <f t="shared" si="12"/>
        <v>0</v>
      </c>
      <c r="T16" s="23">
        <f t="shared" si="13"/>
        <v>0</v>
      </c>
      <c r="V16" s="3" t="s">
        <v>73</v>
      </c>
      <c r="W16" s="23">
        <f>($X$2*C16)</f>
        <v>0</v>
      </c>
      <c r="X16" s="23">
        <f>($Y$2*D16)</f>
        <v>0</v>
      </c>
      <c r="Y16" s="23">
        <f>($X$2*E16)</f>
        <v>0</v>
      </c>
      <c r="Z16" s="23">
        <f>($Y$2*F16)</f>
        <v>0</v>
      </c>
      <c r="AA16" s="23">
        <f t="shared" ref="AA16:AA23" si="26">$W$2*G16</f>
        <v>0</v>
      </c>
      <c r="AB16" s="23">
        <f t="shared" si="17"/>
        <v>0</v>
      </c>
      <c r="AD16" s="23">
        <f t="shared" si="4"/>
        <v>0</v>
      </c>
      <c r="AE16" s="23">
        <f t="shared" si="18"/>
        <v>0</v>
      </c>
      <c r="AG16" s="3" t="s">
        <v>73</v>
      </c>
      <c r="AH16" s="23">
        <f>($AI$2*C16)</f>
        <v>0</v>
      </c>
      <c r="AI16" s="23">
        <f>($AJ$2*D16)</f>
        <v>0</v>
      </c>
      <c r="AJ16" s="23">
        <f>($AI$2*E16)</f>
        <v>0</v>
      </c>
      <c r="AK16" s="23">
        <f>($AJ$2*F16)</f>
        <v>0</v>
      </c>
      <c r="AL16" s="23">
        <f t="shared" ref="AL16:AL23" si="27">$AH$2*G16</f>
        <v>0</v>
      </c>
      <c r="AM16" s="23">
        <f t="shared" si="22"/>
        <v>0</v>
      </c>
      <c r="AO16" s="23">
        <f t="shared" si="23"/>
        <v>0</v>
      </c>
      <c r="AP16" s="23">
        <f t="shared" si="24"/>
        <v>0</v>
      </c>
    </row>
    <row r="17" spans="1:42" ht="12" customHeight="1" x14ac:dyDescent="0.2">
      <c r="A17">
        <f t="shared" ca="1" si="7"/>
        <v>14</v>
      </c>
      <c r="B17" s="69" t="s">
        <v>94</v>
      </c>
      <c r="C17" s="31">
        <v>1</v>
      </c>
      <c r="D17" s="31" t="s">
        <v>98</v>
      </c>
      <c r="E17" s="31">
        <v>1</v>
      </c>
      <c r="F17" s="31" t="s">
        <v>98</v>
      </c>
      <c r="G17" s="23">
        <v>6.6666666666666666E-2</v>
      </c>
      <c r="H17" s="23">
        <v>0.01</v>
      </c>
      <c r="K17" s="3" t="s">
        <v>94</v>
      </c>
      <c r="L17" s="31">
        <f>ROUNDUP($O$2*C17,0)</f>
        <v>0</v>
      </c>
      <c r="M17" s="31" t="s">
        <v>98</v>
      </c>
      <c r="N17" s="31">
        <f>ROUNDUP($O$2*E17,0)</f>
        <v>0</v>
      </c>
      <c r="O17" s="31" t="s">
        <v>98</v>
      </c>
      <c r="P17" s="23">
        <f t="shared" si="25"/>
        <v>0</v>
      </c>
      <c r="Q17" s="23">
        <f t="shared" si="11"/>
        <v>0</v>
      </c>
      <c r="S17" s="31">
        <f>ROUNDUP($O$2*C17,0)</f>
        <v>0</v>
      </c>
      <c r="T17" s="31">
        <f>ROUNDUP($O$2*E17,0)</f>
        <v>0</v>
      </c>
      <c r="V17" s="3" t="s">
        <v>94</v>
      </c>
      <c r="W17" s="31">
        <f>ROUNDUP($Z$2*C17,0)</f>
        <v>0</v>
      </c>
      <c r="X17" s="31" t="s">
        <v>98</v>
      </c>
      <c r="Y17" s="31">
        <f>ROUNDUP($Z$2*E17,0)</f>
        <v>0</v>
      </c>
      <c r="Z17" s="31" t="s">
        <v>98</v>
      </c>
      <c r="AA17" s="23">
        <f t="shared" si="26"/>
        <v>0</v>
      </c>
      <c r="AB17" s="23">
        <f t="shared" si="17"/>
        <v>0</v>
      </c>
      <c r="AD17" s="31">
        <f>ROUNDUP($Z$2*C17,0)</f>
        <v>0</v>
      </c>
      <c r="AE17" s="31">
        <f>ROUNDUP($Z$2*E17,0)</f>
        <v>0</v>
      </c>
      <c r="AG17" s="3" t="s">
        <v>94</v>
      </c>
      <c r="AH17" s="31">
        <f>ROUNDUP($AK$2*C17,0)</f>
        <v>0</v>
      </c>
      <c r="AI17" s="31" t="s">
        <v>98</v>
      </c>
      <c r="AJ17" s="31">
        <f>ROUNDUP($AK$2*E17,0)</f>
        <v>0</v>
      </c>
      <c r="AK17" s="31" t="s">
        <v>98</v>
      </c>
      <c r="AL17" s="23">
        <f t="shared" si="27"/>
        <v>0</v>
      </c>
      <c r="AM17" s="23">
        <f t="shared" si="22"/>
        <v>0</v>
      </c>
      <c r="AO17" s="31">
        <f>ROUNDUP($AK$2*C17,0)</f>
        <v>0</v>
      </c>
      <c r="AP17" s="31">
        <f>ROUNDUP($AK$2*E17,0)</f>
        <v>0</v>
      </c>
    </row>
    <row r="18" spans="1:42" ht="12" customHeight="1" x14ac:dyDescent="0.2">
      <c r="A18">
        <f t="shared" ca="1" si="7"/>
        <v>15</v>
      </c>
      <c r="B18" s="69" t="s">
        <v>218</v>
      </c>
      <c r="C18" s="23">
        <v>0.04</v>
      </c>
      <c r="D18" s="23">
        <v>0.04</v>
      </c>
      <c r="E18" s="23">
        <v>2.8571428571428571E-2</v>
      </c>
      <c r="F18" s="23">
        <v>2.8571428571428571E-2</v>
      </c>
      <c r="G18" s="44">
        <v>0</v>
      </c>
      <c r="H18" s="23">
        <v>0.01</v>
      </c>
      <c r="K18" s="3" t="s">
        <v>218</v>
      </c>
      <c r="L18" s="23">
        <f>($M$2*C18)</f>
        <v>0</v>
      </c>
      <c r="M18" s="23">
        <f>($N$2*D18)</f>
        <v>0</v>
      </c>
      <c r="N18" s="23">
        <f>($M$2*E18)</f>
        <v>0</v>
      </c>
      <c r="O18" s="23">
        <f>($N$2*F18)</f>
        <v>0</v>
      </c>
      <c r="P18" s="44">
        <f t="shared" si="25"/>
        <v>0</v>
      </c>
      <c r="Q18" s="23">
        <f t="shared" si="11"/>
        <v>0</v>
      </c>
      <c r="S18" s="23">
        <f>L18+M18</f>
        <v>0</v>
      </c>
      <c r="T18" s="23">
        <f>N18+O18</f>
        <v>0</v>
      </c>
      <c r="V18" s="3" t="s">
        <v>218</v>
      </c>
      <c r="W18" s="23">
        <f>($X$2*C18)</f>
        <v>0</v>
      </c>
      <c r="X18" s="23">
        <f>($Y$2*D18)</f>
        <v>0</v>
      </c>
      <c r="Y18" s="23">
        <f>($X$2*E18)</f>
        <v>0</v>
      </c>
      <c r="Z18" s="23">
        <f>($Y$2*F18)</f>
        <v>0</v>
      </c>
      <c r="AA18" s="44">
        <f t="shared" si="26"/>
        <v>0</v>
      </c>
      <c r="AB18" s="23">
        <f t="shared" si="17"/>
        <v>0</v>
      </c>
      <c r="AD18" s="23">
        <f>W18+X18</f>
        <v>0</v>
      </c>
      <c r="AE18" s="23">
        <f>Y18+Z18</f>
        <v>0</v>
      </c>
      <c r="AG18" s="3" t="s">
        <v>218</v>
      </c>
      <c r="AH18" s="23">
        <f>($AI$2*C18)</f>
        <v>0</v>
      </c>
      <c r="AI18" s="23">
        <f>($AJ$2*D18)</f>
        <v>0</v>
      </c>
      <c r="AJ18" s="23">
        <f>($AI$2*E18)</f>
        <v>0</v>
      </c>
      <c r="AK18" s="23">
        <f>($AJ$2*F18)</f>
        <v>0</v>
      </c>
      <c r="AL18" s="44">
        <f t="shared" si="27"/>
        <v>0</v>
      </c>
      <c r="AM18" s="23">
        <f t="shared" si="22"/>
        <v>0</v>
      </c>
      <c r="AO18" s="23">
        <f>AH18+AI18</f>
        <v>0</v>
      </c>
      <c r="AP18" s="23">
        <f>AJ18+AK18</f>
        <v>0</v>
      </c>
    </row>
    <row r="19" spans="1:42" ht="12" customHeight="1" x14ac:dyDescent="0.2">
      <c r="A19">
        <f t="shared" ca="1" si="7"/>
        <v>16</v>
      </c>
      <c r="B19" s="69" t="s">
        <v>67</v>
      </c>
      <c r="C19" s="23">
        <v>1.3333333333333334E-2</v>
      </c>
      <c r="D19" s="23">
        <v>1.3333333333333334E-2</v>
      </c>
      <c r="E19" s="23">
        <v>0.01</v>
      </c>
      <c r="F19" s="23">
        <v>0.01</v>
      </c>
      <c r="G19" s="44">
        <v>0</v>
      </c>
      <c r="H19" s="23">
        <v>2E-3</v>
      </c>
      <c r="K19" s="3" t="s">
        <v>67</v>
      </c>
      <c r="L19" s="23">
        <f>($M$2*C19)</f>
        <v>0</v>
      </c>
      <c r="M19" s="23">
        <f>($N$2*D19)</f>
        <v>0</v>
      </c>
      <c r="N19" s="23">
        <f>($M$2*E19)</f>
        <v>0</v>
      </c>
      <c r="O19" s="23">
        <f>($N$2*F19)</f>
        <v>0</v>
      </c>
      <c r="P19" s="44">
        <f t="shared" si="25"/>
        <v>0</v>
      </c>
      <c r="Q19" s="23">
        <f t="shared" si="11"/>
        <v>0</v>
      </c>
      <c r="S19" s="23">
        <f>L19+M19</f>
        <v>0</v>
      </c>
      <c r="T19" s="23">
        <f>N19+O19</f>
        <v>0</v>
      </c>
      <c r="V19" s="3" t="s">
        <v>67</v>
      </c>
      <c r="W19" s="23">
        <f>($X$2*C19)</f>
        <v>0</v>
      </c>
      <c r="X19" s="23">
        <f>($Y$2*D19)</f>
        <v>0</v>
      </c>
      <c r="Y19" s="23">
        <f>($X$2*E19)</f>
        <v>0</v>
      </c>
      <c r="Z19" s="23">
        <f>($Y$2*F19)</f>
        <v>0</v>
      </c>
      <c r="AA19" s="44">
        <f t="shared" si="26"/>
        <v>0</v>
      </c>
      <c r="AB19" s="23">
        <f t="shared" si="17"/>
        <v>0</v>
      </c>
      <c r="AD19" s="23">
        <f>W19+X19</f>
        <v>0</v>
      </c>
      <c r="AE19" s="23">
        <f>Y19+Z19</f>
        <v>0</v>
      </c>
      <c r="AG19" s="3" t="s">
        <v>67</v>
      </c>
      <c r="AH19" s="23">
        <f>($AI$2*C19)</f>
        <v>0</v>
      </c>
      <c r="AI19" s="23">
        <f>($AJ$2*D19)</f>
        <v>0</v>
      </c>
      <c r="AJ19" s="23">
        <f>($AI$2*E19)</f>
        <v>0</v>
      </c>
      <c r="AK19" s="23">
        <f>($AJ$2*F19)</f>
        <v>0</v>
      </c>
      <c r="AL19" s="44">
        <f t="shared" si="27"/>
        <v>0</v>
      </c>
      <c r="AM19" s="23">
        <f t="shared" si="22"/>
        <v>0</v>
      </c>
      <c r="AO19" s="23">
        <f>AH19+AI19</f>
        <v>0</v>
      </c>
      <c r="AP19" s="23">
        <f>AJ19+AK19</f>
        <v>0</v>
      </c>
    </row>
    <row r="20" spans="1:42" ht="12" customHeight="1" x14ac:dyDescent="0.2">
      <c r="A20">
        <f t="shared" ca="1" si="7"/>
        <v>17</v>
      </c>
      <c r="B20" s="69" t="s">
        <v>68</v>
      </c>
      <c r="C20" s="31">
        <v>1</v>
      </c>
      <c r="D20" s="31" t="s">
        <v>98</v>
      </c>
      <c r="E20" s="31">
        <v>1</v>
      </c>
      <c r="F20" s="31" t="s">
        <v>98</v>
      </c>
      <c r="G20" s="23">
        <v>6.6666666666666666E-2</v>
      </c>
      <c r="H20" s="23">
        <v>0.01</v>
      </c>
      <c r="K20" s="3" t="s">
        <v>68</v>
      </c>
      <c r="L20" s="31">
        <f>ROUNDUP($O$2*C20,0)</f>
        <v>0</v>
      </c>
      <c r="M20" s="31" t="s">
        <v>98</v>
      </c>
      <c r="N20" s="31">
        <f>ROUNDUP($O$2*E20,0)</f>
        <v>0</v>
      </c>
      <c r="O20" s="31" t="s">
        <v>98</v>
      </c>
      <c r="P20" s="23">
        <f t="shared" si="25"/>
        <v>0</v>
      </c>
      <c r="Q20" s="23">
        <f t="shared" si="11"/>
        <v>0</v>
      </c>
      <c r="S20" s="31">
        <f>ROUNDUP($O$2*C20,0)</f>
        <v>0</v>
      </c>
      <c r="T20" s="31">
        <f>ROUNDUP($O$2*E20,0)</f>
        <v>0</v>
      </c>
      <c r="V20" s="3" t="s">
        <v>68</v>
      </c>
      <c r="W20" s="31">
        <f>ROUNDUP($Z$2*C20,0)</f>
        <v>0</v>
      </c>
      <c r="X20" s="31" t="s">
        <v>98</v>
      </c>
      <c r="Y20" s="31">
        <f>ROUNDUP($Z$2*E20,0)</f>
        <v>0</v>
      </c>
      <c r="Z20" s="31" t="s">
        <v>98</v>
      </c>
      <c r="AA20" s="23">
        <f t="shared" si="26"/>
        <v>0</v>
      </c>
      <c r="AB20" s="23">
        <f t="shared" si="17"/>
        <v>0</v>
      </c>
      <c r="AD20" s="31">
        <f>ROUNDUP($Z$2*C20,0)</f>
        <v>0</v>
      </c>
      <c r="AE20" s="31">
        <f>ROUNDUP($Z$2*E20,0)</f>
        <v>0</v>
      </c>
      <c r="AG20" s="3" t="s">
        <v>68</v>
      </c>
      <c r="AH20" s="31">
        <f>ROUNDUP($AK$2*C20,0)</f>
        <v>0</v>
      </c>
      <c r="AI20" s="31" t="s">
        <v>98</v>
      </c>
      <c r="AJ20" s="31">
        <f>ROUNDUP($AK$2*E20,0)</f>
        <v>0</v>
      </c>
      <c r="AK20" s="31" t="s">
        <v>98</v>
      </c>
      <c r="AL20" s="23">
        <f t="shared" si="27"/>
        <v>0</v>
      </c>
      <c r="AM20" s="23">
        <f t="shared" si="22"/>
        <v>0</v>
      </c>
      <c r="AO20" s="31">
        <f>ROUNDUP($AK$2*C20,0)</f>
        <v>0</v>
      </c>
      <c r="AP20" s="31">
        <f>ROUNDUP($AK$2*E20,0)</f>
        <v>0</v>
      </c>
    </row>
    <row r="21" spans="1:42" ht="12" customHeight="1" x14ac:dyDescent="0.2">
      <c r="A21">
        <f t="shared" ca="1" si="7"/>
        <v>18</v>
      </c>
      <c r="B21" s="69" t="s">
        <v>188</v>
      </c>
      <c r="C21" s="23">
        <v>6.6666666666666666E-2</v>
      </c>
      <c r="D21" s="23">
        <v>6.6666666666666666E-2</v>
      </c>
      <c r="E21" s="23">
        <v>6.6666666666666666E-2</v>
      </c>
      <c r="F21" s="23">
        <v>6.6666666666666666E-2</v>
      </c>
      <c r="G21" s="23">
        <v>6.6666666666666666E-2</v>
      </c>
      <c r="H21" s="23">
        <v>0.01</v>
      </c>
      <c r="K21" s="3" t="s">
        <v>188</v>
      </c>
      <c r="L21" s="23">
        <f>($M$2*C21)</f>
        <v>0</v>
      </c>
      <c r="M21" s="23">
        <f>($N$2*D21)</f>
        <v>0</v>
      </c>
      <c r="N21" s="23">
        <f>($M$2*E21)</f>
        <v>0</v>
      </c>
      <c r="O21" s="23">
        <f>($N$2*F21)</f>
        <v>0</v>
      </c>
      <c r="P21" s="23">
        <f t="shared" si="25"/>
        <v>0</v>
      </c>
      <c r="Q21" s="23">
        <f t="shared" si="11"/>
        <v>0</v>
      </c>
      <c r="S21" s="23">
        <f>L21+M21</f>
        <v>0</v>
      </c>
      <c r="T21" s="23">
        <f>N21+O21</f>
        <v>0</v>
      </c>
      <c r="V21" s="3" t="s">
        <v>188</v>
      </c>
      <c r="W21" s="23">
        <f>($X$2*C21)</f>
        <v>0</v>
      </c>
      <c r="X21" s="23">
        <f>($Y$2*D21)</f>
        <v>0</v>
      </c>
      <c r="Y21" s="23">
        <f>($X$2*E21)</f>
        <v>0</v>
      </c>
      <c r="Z21" s="23">
        <f>($Y$2*F21)</f>
        <v>0</v>
      </c>
      <c r="AA21" s="23">
        <f t="shared" si="26"/>
        <v>0</v>
      </c>
      <c r="AB21" s="23">
        <f t="shared" si="17"/>
        <v>0</v>
      </c>
      <c r="AD21" s="23">
        <f>W21+X21</f>
        <v>0</v>
      </c>
      <c r="AE21" s="23">
        <f>Y21+Z21</f>
        <v>0</v>
      </c>
      <c r="AG21" s="3" t="s">
        <v>188</v>
      </c>
      <c r="AH21" s="23">
        <f>($AI$2*C21)</f>
        <v>0</v>
      </c>
      <c r="AI21" s="23">
        <f>($AJ$2*D21)</f>
        <v>0</v>
      </c>
      <c r="AJ21" s="23">
        <f>($AI$2*E21)</f>
        <v>0</v>
      </c>
      <c r="AK21" s="23">
        <f>($AJ$2*F21)</f>
        <v>0</v>
      </c>
      <c r="AL21" s="23">
        <f t="shared" si="27"/>
        <v>0</v>
      </c>
      <c r="AM21" s="23">
        <f t="shared" si="22"/>
        <v>0</v>
      </c>
      <c r="AO21" s="23">
        <f>AH21+AI21</f>
        <v>0</v>
      </c>
      <c r="AP21" s="23">
        <f>AJ21+AK21</f>
        <v>0</v>
      </c>
    </row>
    <row r="22" spans="1:42" ht="12" customHeight="1" x14ac:dyDescent="0.2">
      <c r="A22">
        <f t="shared" ca="1" si="7"/>
        <v>19</v>
      </c>
      <c r="B22" s="69" t="s">
        <v>74</v>
      </c>
      <c r="C22" s="23">
        <v>6.6666666666666666E-2</v>
      </c>
      <c r="D22" s="23">
        <v>6.6666666666666666E-2</v>
      </c>
      <c r="E22" s="23">
        <v>6.6666666666666666E-2</v>
      </c>
      <c r="F22" s="23">
        <v>6.6666666666666666E-2</v>
      </c>
      <c r="G22" s="149">
        <v>1</v>
      </c>
      <c r="H22" s="23">
        <v>0.01</v>
      </c>
      <c r="K22" s="3" t="s">
        <v>74</v>
      </c>
      <c r="L22" s="23">
        <f>($M$2*C22)</f>
        <v>0</v>
      </c>
      <c r="M22" s="23">
        <f>($N$2*D22)</f>
        <v>0</v>
      </c>
      <c r="N22" s="23">
        <f>($M$2*E22)</f>
        <v>0</v>
      </c>
      <c r="O22" s="23">
        <f>($N$2*F22)</f>
        <v>0</v>
      </c>
      <c r="P22" s="149">
        <f>IF(L2&gt;0,$G$22,0)</f>
        <v>0</v>
      </c>
      <c r="Q22" s="23">
        <f t="shared" si="11"/>
        <v>0</v>
      </c>
      <c r="S22" s="23">
        <f>L22+M22</f>
        <v>0</v>
      </c>
      <c r="T22" s="23">
        <f>N22+O22</f>
        <v>0</v>
      </c>
      <c r="V22" s="3" t="s">
        <v>74</v>
      </c>
      <c r="W22" s="23">
        <f>($X$2*C22)</f>
        <v>0</v>
      </c>
      <c r="X22" s="23">
        <f>($Y$2*D22)</f>
        <v>0</v>
      </c>
      <c r="Y22" s="23">
        <f>($X$2*E22)</f>
        <v>0</v>
      </c>
      <c r="Z22" s="23">
        <f>($Y$2*F22)</f>
        <v>0</v>
      </c>
      <c r="AA22" s="149">
        <f>IF(W2&gt;0,$G$22,0)</f>
        <v>0</v>
      </c>
      <c r="AB22" s="23">
        <f t="shared" si="17"/>
        <v>0</v>
      </c>
      <c r="AD22" s="23">
        <f>W22+X22</f>
        <v>0</v>
      </c>
      <c r="AE22" s="23">
        <f>Y22+Z22</f>
        <v>0</v>
      </c>
      <c r="AG22" s="3" t="s">
        <v>74</v>
      </c>
      <c r="AH22" s="23">
        <f>($AI$2*C22)</f>
        <v>0</v>
      </c>
      <c r="AI22" s="23">
        <f>($AJ$2*D22)</f>
        <v>0</v>
      </c>
      <c r="AJ22" s="23">
        <f>($AI$2*E22)</f>
        <v>0</v>
      </c>
      <c r="AK22" s="23">
        <f>($AJ$2*F22)</f>
        <v>0</v>
      </c>
      <c r="AL22" s="149">
        <f>IF(AH2&gt;0,$G$22,0)</f>
        <v>0</v>
      </c>
      <c r="AM22" s="23">
        <f t="shared" si="22"/>
        <v>0</v>
      </c>
      <c r="AO22" s="23">
        <f>AH22+AI22</f>
        <v>0</v>
      </c>
      <c r="AP22" s="23">
        <f>AJ22+AK22</f>
        <v>0</v>
      </c>
    </row>
    <row r="23" spans="1:42" ht="12" customHeight="1" x14ac:dyDescent="0.2">
      <c r="A23">
        <f t="shared" ca="1" si="7"/>
        <v>20</v>
      </c>
      <c r="B23" s="69" t="s">
        <v>75</v>
      </c>
      <c r="C23" s="23">
        <v>2E-3</v>
      </c>
      <c r="D23" s="23">
        <v>2E-3</v>
      </c>
      <c r="E23" s="23">
        <v>1.3333333333333333E-3</v>
      </c>
      <c r="F23" s="23">
        <v>1.3333333333333333E-3</v>
      </c>
      <c r="G23" s="44">
        <v>0</v>
      </c>
      <c r="H23" s="23">
        <v>1E-3</v>
      </c>
      <c r="K23" s="3" t="s">
        <v>75</v>
      </c>
      <c r="L23" s="23">
        <f>($M$2*C23)</f>
        <v>0</v>
      </c>
      <c r="M23" s="23">
        <f>($N$2*D23)</f>
        <v>0</v>
      </c>
      <c r="N23" s="23">
        <f>($M$2*E23)</f>
        <v>0</v>
      </c>
      <c r="O23" s="23">
        <f>($N$2*F23)</f>
        <v>0</v>
      </c>
      <c r="P23" s="44">
        <f t="shared" si="25"/>
        <v>0</v>
      </c>
      <c r="Q23" s="23">
        <f t="shared" si="11"/>
        <v>0</v>
      </c>
      <c r="S23" s="23">
        <f>L23+M23</f>
        <v>0</v>
      </c>
      <c r="T23" s="23">
        <f>N23+O23</f>
        <v>0</v>
      </c>
      <c r="V23" s="3" t="s">
        <v>75</v>
      </c>
      <c r="W23" s="23">
        <f>($X$2*C23)</f>
        <v>0</v>
      </c>
      <c r="X23" s="23">
        <f>($Y$2*D23)</f>
        <v>0</v>
      </c>
      <c r="Y23" s="23">
        <f>($X$2*E23)</f>
        <v>0</v>
      </c>
      <c r="Z23" s="23">
        <f>($Y$2*F23)</f>
        <v>0</v>
      </c>
      <c r="AA23" s="44">
        <f t="shared" si="26"/>
        <v>0</v>
      </c>
      <c r="AB23" s="23">
        <f t="shared" si="17"/>
        <v>0</v>
      </c>
      <c r="AD23" s="23">
        <f>W23+X23</f>
        <v>0</v>
      </c>
      <c r="AE23" s="23">
        <f>Y23+Z23</f>
        <v>0</v>
      </c>
      <c r="AG23" s="3" t="s">
        <v>75</v>
      </c>
      <c r="AH23" s="23">
        <f>($AI$2*C23)</f>
        <v>0</v>
      </c>
      <c r="AI23" s="23">
        <f>($AJ$2*D23)</f>
        <v>0</v>
      </c>
      <c r="AJ23" s="23">
        <f>($AI$2*E23)</f>
        <v>0</v>
      </c>
      <c r="AK23" s="23">
        <f>($AJ$2*F23)</f>
        <v>0</v>
      </c>
      <c r="AL23" s="44">
        <f t="shared" si="27"/>
        <v>0</v>
      </c>
      <c r="AM23" s="23">
        <f t="shared" si="22"/>
        <v>0</v>
      </c>
      <c r="AO23" s="23">
        <f>AH23+AI23</f>
        <v>0</v>
      </c>
      <c r="AP23" s="23">
        <f>AJ23+AK23</f>
        <v>0</v>
      </c>
    </row>
    <row r="24" spans="1:42" ht="12" customHeight="1" x14ac:dyDescent="0.2">
      <c r="A24">
        <f t="shared" ca="1" si="7"/>
        <v>21</v>
      </c>
      <c r="B24" s="69" t="s">
        <v>76</v>
      </c>
      <c r="C24" s="31">
        <v>1</v>
      </c>
      <c r="D24" s="31" t="s">
        <v>98</v>
      </c>
      <c r="E24" s="31">
        <v>1</v>
      </c>
      <c r="F24" s="31" t="s">
        <v>98</v>
      </c>
      <c r="G24" s="31">
        <v>1</v>
      </c>
      <c r="H24" s="44">
        <v>0</v>
      </c>
      <c r="K24" s="3" t="s">
        <v>76</v>
      </c>
      <c r="L24" s="31">
        <f>ROUNDUP($O$2*C24,0)</f>
        <v>0</v>
      </c>
      <c r="M24" s="31" t="s">
        <v>98</v>
      </c>
      <c r="N24" s="31">
        <f>ROUNDUP($O$2*E24,0)</f>
        <v>0</v>
      </c>
      <c r="O24" s="31" t="s">
        <v>98</v>
      </c>
      <c r="P24" s="31">
        <f>ROUNDUP($O$2*G24,0)</f>
        <v>0</v>
      </c>
      <c r="Q24" s="44">
        <f t="shared" ref="Q24:Q29" si="28">$L$2*H24</f>
        <v>0</v>
      </c>
      <c r="S24" s="31">
        <f>ROUNDUP($O$2*C24,0)</f>
        <v>0</v>
      </c>
      <c r="T24" s="31">
        <f>ROUNDUP($O$2*E24,0)</f>
        <v>0</v>
      </c>
      <c r="V24" s="3" t="s">
        <v>76</v>
      </c>
      <c r="W24" s="31">
        <f>ROUNDUP($Z$2*C24,0)</f>
        <v>0</v>
      </c>
      <c r="X24" s="31" t="s">
        <v>98</v>
      </c>
      <c r="Y24" s="31">
        <f>ROUNDUP($Z$2*E24,0)</f>
        <v>0</v>
      </c>
      <c r="Z24" s="31" t="s">
        <v>98</v>
      </c>
      <c r="AA24" s="31">
        <f>ROUNDUP($Z$2*G24,0)</f>
        <v>0</v>
      </c>
      <c r="AB24" s="44">
        <f t="shared" ref="AB24:AB29" si="29">$W$2*H24</f>
        <v>0</v>
      </c>
      <c r="AD24" s="31">
        <f>ROUNDUP($Z$2*C24,0)</f>
        <v>0</v>
      </c>
      <c r="AE24" s="31">
        <f>ROUNDUP($Z$2*E24,0)</f>
        <v>0</v>
      </c>
      <c r="AG24" s="3" t="s">
        <v>76</v>
      </c>
      <c r="AH24" s="31">
        <f>ROUNDUP($AK$2*C24,0)</f>
        <v>0</v>
      </c>
      <c r="AI24" s="31" t="s">
        <v>98</v>
      </c>
      <c r="AJ24" s="31">
        <f>ROUNDUP($AK$2*E24,0)</f>
        <v>0</v>
      </c>
      <c r="AK24" s="31" t="s">
        <v>98</v>
      </c>
      <c r="AL24" s="31">
        <f>ROUNDUP($O$2*AC24,0)</f>
        <v>0</v>
      </c>
      <c r="AM24" s="44">
        <f t="shared" si="22"/>
        <v>0</v>
      </c>
      <c r="AO24" s="31">
        <f>ROUNDUP($AK$2*C24,0)</f>
        <v>0</v>
      </c>
      <c r="AP24" s="31">
        <f>ROUNDUP($AK$2*E24,0)</f>
        <v>0</v>
      </c>
    </row>
    <row r="25" spans="1:42" ht="12" customHeight="1" x14ac:dyDescent="0.2">
      <c r="A25">
        <f t="shared" ca="1" si="7"/>
        <v>22</v>
      </c>
      <c r="B25" s="69" t="s">
        <v>189</v>
      </c>
      <c r="C25" s="23">
        <v>0.1</v>
      </c>
      <c r="D25" s="23">
        <v>0.1</v>
      </c>
      <c r="E25" s="23">
        <v>0.1</v>
      </c>
      <c r="F25" s="23">
        <v>0.1</v>
      </c>
      <c r="G25" s="23">
        <v>0.125</v>
      </c>
      <c r="H25" s="23">
        <v>0.01</v>
      </c>
      <c r="K25" s="3" t="s">
        <v>189</v>
      </c>
      <c r="L25" s="23">
        <f>($M$2*C25)</f>
        <v>0</v>
      </c>
      <c r="M25" s="23">
        <f>($N$2*D25)</f>
        <v>0</v>
      </c>
      <c r="N25" s="23">
        <f>($M$2*E25)</f>
        <v>0</v>
      </c>
      <c r="O25" s="23">
        <f>($N$2*F25)</f>
        <v>0</v>
      </c>
      <c r="P25" s="23">
        <f>$L$2*G25</f>
        <v>0</v>
      </c>
      <c r="Q25" s="23">
        <f t="shared" si="28"/>
        <v>0</v>
      </c>
      <c r="S25" s="23">
        <f>L25+M25</f>
        <v>0</v>
      </c>
      <c r="T25" s="23">
        <f>N25+O25</f>
        <v>0</v>
      </c>
      <c r="V25" s="3" t="s">
        <v>189</v>
      </c>
      <c r="W25" s="23">
        <f>($X$2*C25)</f>
        <v>0</v>
      </c>
      <c r="X25" s="23">
        <f>($Y$2*D25)</f>
        <v>0</v>
      </c>
      <c r="Y25" s="23">
        <f>($X$2*E25)</f>
        <v>0</v>
      </c>
      <c r="Z25" s="23">
        <f>($Y$2*F25)</f>
        <v>0</v>
      </c>
      <c r="AA25" s="23">
        <f>$W$2*G25</f>
        <v>0</v>
      </c>
      <c r="AB25" s="23">
        <f t="shared" si="29"/>
        <v>0</v>
      </c>
      <c r="AD25" s="23">
        <f>W25+X25</f>
        <v>0</v>
      </c>
      <c r="AE25" s="23">
        <f>Y25+Z25</f>
        <v>0</v>
      </c>
      <c r="AG25" s="3" t="s">
        <v>189</v>
      </c>
      <c r="AH25" s="23">
        <f>($AI$2*C25)</f>
        <v>0</v>
      </c>
      <c r="AI25" s="23">
        <f>($AJ$2*D25)</f>
        <v>0</v>
      </c>
      <c r="AJ25" s="23">
        <f>($AI$2*E25)</f>
        <v>0</v>
      </c>
      <c r="AK25" s="23">
        <f>($AJ$2*F25)</f>
        <v>0</v>
      </c>
      <c r="AL25" s="23">
        <f>$AH$2*G25</f>
        <v>0</v>
      </c>
      <c r="AM25" s="23">
        <f t="shared" si="22"/>
        <v>0</v>
      </c>
      <c r="AO25" s="23">
        <f>AH25+AI25</f>
        <v>0</v>
      </c>
      <c r="AP25" s="23">
        <f>AJ25+AK25</f>
        <v>0</v>
      </c>
    </row>
    <row r="26" spans="1:42" ht="12" customHeight="1" x14ac:dyDescent="0.2">
      <c r="A26">
        <f t="shared" ca="1" si="7"/>
        <v>23</v>
      </c>
      <c r="B26" s="69" t="s">
        <v>77</v>
      </c>
      <c r="C26" s="31">
        <v>1</v>
      </c>
      <c r="D26" s="31" t="s">
        <v>98</v>
      </c>
      <c r="E26" s="31">
        <v>1</v>
      </c>
      <c r="F26" s="31" t="s">
        <v>98</v>
      </c>
      <c r="G26" s="31">
        <v>1</v>
      </c>
      <c r="H26" s="44">
        <v>0</v>
      </c>
      <c r="K26" s="3" t="s">
        <v>77</v>
      </c>
      <c r="L26" s="31">
        <f>ROUNDUP($O$2*C26,0)</f>
        <v>0</v>
      </c>
      <c r="M26" s="31" t="s">
        <v>98</v>
      </c>
      <c r="N26" s="31">
        <f>ROUNDUP($O$2*E26,0)</f>
        <v>0</v>
      </c>
      <c r="O26" s="31" t="s">
        <v>98</v>
      </c>
      <c r="P26" s="31">
        <f>ROUNDUP($O$2*G26,0)</f>
        <v>0</v>
      </c>
      <c r="Q26" s="44">
        <f t="shared" si="28"/>
        <v>0</v>
      </c>
      <c r="S26" s="31">
        <f>ROUNDUP($O$2*C26,0)</f>
        <v>0</v>
      </c>
      <c r="T26" s="31">
        <f>ROUNDUP($O$2*E26,0)</f>
        <v>0</v>
      </c>
      <c r="V26" s="3" t="s">
        <v>77</v>
      </c>
      <c r="W26" s="31">
        <f>ROUNDUP($Z$2*C26,0)</f>
        <v>0</v>
      </c>
      <c r="X26" s="31" t="s">
        <v>98</v>
      </c>
      <c r="Y26" s="31">
        <f>ROUNDUP($Z$2*E26,0)</f>
        <v>0</v>
      </c>
      <c r="Z26" s="31" t="s">
        <v>98</v>
      </c>
      <c r="AA26" s="31">
        <f>ROUNDUP($Z$2*G26,0)</f>
        <v>0</v>
      </c>
      <c r="AB26" s="44">
        <f t="shared" si="29"/>
        <v>0</v>
      </c>
      <c r="AD26" s="31">
        <f>ROUNDUP($Z$2*C26,0)</f>
        <v>0</v>
      </c>
      <c r="AE26" s="31">
        <f>ROUNDUP($Z$2*E26,0)</f>
        <v>0</v>
      </c>
      <c r="AG26" s="3" t="s">
        <v>77</v>
      </c>
      <c r="AH26" s="31">
        <f>ROUNDUP($AK$2*C26,0)</f>
        <v>0</v>
      </c>
      <c r="AI26" s="31" t="s">
        <v>98</v>
      </c>
      <c r="AJ26" s="31">
        <f>ROUNDUP($AK$2*E26,0)</f>
        <v>0</v>
      </c>
      <c r="AK26" s="31" t="s">
        <v>98</v>
      </c>
      <c r="AL26" s="31">
        <f>ROUNDUP($O$2*AC26,0)</f>
        <v>0</v>
      </c>
      <c r="AM26" s="44">
        <f t="shared" si="22"/>
        <v>0</v>
      </c>
      <c r="AO26" s="31">
        <f>ROUNDUP($AK$2*C26,0)</f>
        <v>0</v>
      </c>
      <c r="AP26" s="31">
        <f>ROUNDUP($AK$2*E26,0)</f>
        <v>0</v>
      </c>
    </row>
    <row r="27" spans="1:42" ht="12" customHeight="1" x14ac:dyDescent="0.2">
      <c r="A27">
        <f t="shared" ca="1" si="7"/>
        <v>24</v>
      </c>
      <c r="B27" s="152" t="s">
        <v>220</v>
      </c>
      <c r="C27" s="149">
        <v>0.1</v>
      </c>
      <c r="D27" s="149">
        <v>0.1</v>
      </c>
      <c r="E27" s="149">
        <v>0.1</v>
      </c>
      <c r="F27" s="149">
        <v>0.1</v>
      </c>
      <c r="G27" s="149">
        <v>0.125</v>
      </c>
      <c r="H27" s="149">
        <v>0.01</v>
      </c>
      <c r="K27" s="153" t="s">
        <v>220</v>
      </c>
      <c r="L27" s="149">
        <f>($M$2*C27)</f>
        <v>0</v>
      </c>
      <c r="M27" s="149">
        <f>($N$2*D27)</f>
        <v>0</v>
      </c>
      <c r="N27" s="149">
        <f>($M$2*E27)</f>
        <v>0</v>
      </c>
      <c r="O27" s="149">
        <f>($N$2*F27)</f>
        <v>0</v>
      </c>
      <c r="P27" s="149">
        <f>$L$2*G27</f>
        <v>0</v>
      </c>
      <c r="Q27" s="149">
        <f>$L$2*H27</f>
        <v>0</v>
      </c>
      <c r="S27" s="149">
        <f>L27+M27</f>
        <v>0</v>
      </c>
      <c r="T27" s="149">
        <f>N27+O27</f>
        <v>0</v>
      </c>
      <c r="V27" s="153" t="s">
        <v>220</v>
      </c>
      <c r="W27" s="149">
        <f>($X$2*C27)</f>
        <v>0</v>
      </c>
      <c r="X27" s="149">
        <f>($Y$2*D27)</f>
        <v>0</v>
      </c>
      <c r="Y27" s="149">
        <f>($X$2*E27)</f>
        <v>0</v>
      </c>
      <c r="Z27" s="149">
        <f>($Y$2*F27)</f>
        <v>0</v>
      </c>
      <c r="AA27" s="149">
        <f>$W$2*G27</f>
        <v>0</v>
      </c>
      <c r="AB27" s="149">
        <f>$W$2*H27</f>
        <v>0</v>
      </c>
      <c r="AD27" s="149">
        <f>W27+X27</f>
        <v>0</v>
      </c>
      <c r="AE27" s="149">
        <f>Y27+Z27</f>
        <v>0</v>
      </c>
      <c r="AG27" s="153" t="s">
        <v>220</v>
      </c>
      <c r="AH27" s="149">
        <f>($AI$2*C27)</f>
        <v>0</v>
      </c>
      <c r="AI27" s="149">
        <f>($AJ$2*D27)</f>
        <v>0</v>
      </c>
      <c r="AJ27" s="149">
        <f>($AI$2*E27)</f>
        <v>0</v>
      </c>
      <c r="AK27" s="149">
        <f>($AJ$2*F27)</f>
        <v>0</v>
      </c>
      <c r="AL27" s="149">
        <f>$AH$2*G27</f>
        <v>0</v>
      </c>
      <c r="AM27" s="149">
        <f>$AH$2*H27</f>
        <v>0</v>
      </c>
      <c r="AO27" s="149">
        <f>AH27+AI27</f>
        <v>0</v>
      </c>
      <c r="AP27" s="149">
        <f>AJ27+AK27</f>
        <v>0</v>
      </c>
    </row>
    <row r="28" spans="1:42" ht="12" customHeight="1" x14ac:dyDescent="0.2">
      <c r="A28">
        <f t="shared" ca="1" si="7"/>
        <v>25</v>
      </c>
      <c r="B28" s="69" t="s">
        <v>78</v>
      </c>
      <c r="C28" s="23">
        <v>0.1</v>
      </c>
      <c r="D28" s="23">
        <v>0.1</v>
      </c>
      <c r="E28" s="23">
        <v>0.1</v>
      </c>
      <c r="F28" s="23">
        <v>0.1</v>
      </c>
      <c r="G28" s="23">
        <v>0.125</v>
      </c>
      <c r="H28" s="23">
        <v>0.01</v>
      </c>
      <c r="K28" s="3" t="s">
        <v>78</v>
      </c>
      <c r="L28" s="23">
        <f>($M$2*C28)</f>
        <v>0</v>
      </c>
      <c r="M28" s="23">
        <f>($N$2*D28)</f>
        <v>0</v>
      </c>
      <c r="N28" s="23">
        <f>($M$2*E28)</f>
        <v>0</v>
      </c>
      <c r="O28" s="23">
        <f>($N$2*F28)</f>
        <v>0</v>
      </c>
      <c r="P28" s="23">
        <f>$L$2*G28</f>
        <v>0</v>
      </c>
      <c r="Q28" s="23">
        <f t="shared" si="28"/>
        <v>0</v>
      </c>
      <c r="S28" s="23">
        <f>L28+M28</f>
        <v>0</v>
      </c>
      <c r="T28" s="23">
        <f>N28+O28</f>
        <v>0</v>
      </c>
      <c r="V28" s="3" t="s">
        <v>78</v>
      </c>
      <c r="W28" s="23">
        <f>($X$2*C28)</f>
        <v>0</v>
      </c>
      <c r="X28" s="23">
        <f>($Y$2*D28)</f>
        <v>0</v>
      </c>
      <c r="Y28" s="23">
        <f>($X$2*E28)</f>
        <v>0</v>
      </c>
      <c r="Z28" s="23">
        <f>($Y$2*F28)</f>
        <v>0</v>
      </c>
      <c r="AA28" s="23">
        <f>$W$2*G28</f>
        <v>0</v>
      </c>
      <c r="AB28" s="23">
        <f t="shared" si="29"/>
        <v>0</v>
      </c>
      <c r="AD28" s="23">
        <f>W28+X28</f>
        <v>0</v>
      </c>
      <c r="AE28" s="23">
        <f>Y28+Z28</f>
        <v>0</v>
      </c>
      <c r="AG28" s="3" t="s">
        <v>78</v>
      </c>
      <c r="AH28" s="23">
        <f>($AI$2*C28)</f>
        <v>0</v>
      </c>
      <c r="AI28" s="23">
        <f>($AJ$2*D28)</f>
        <v>0</v>
      </c>
      <c r="AJ28" s="23">
        <f>($AI$2*E28)</f>
        <v>0</v>
      </c>
      <c r="AK28" s="23">
        <f>($AJ$2*F28)</f>
        <v>0</v>
      </c>
      <c r="AL28" s="23">
        <f>$AH$2*G28</f>
        <v>0</v>
      </c>
      <c r="AM28" s="23">
        <f t="shared" si="22"/>
        <v>0</v>
      </c>
      <c r="AO28" s="23">
        <f>AH28+AI28</f>
        <v>0</v>
      </c>
      <c r="AP28" s="23">
        <f>AJ28+AK28</f>
        <v>0</v>
      </c>
    </row>
    <row r="29" spans="1:42" ht="12" customHeight="1" x14ac:dyDescent="0.2">
      <c r="A29">
        <f t="shared" ca="1" si="7"/>
        <v>26</v>
      </c>
      <c r="B29" s="69" t="s">
        <v>79</v>
      </c>
      <c r="C29" s="23">
        <v>0.01</v>
      </c>
      <c r="D29" s="23">
        <v>0.01</v>
      </c>
      <c r="E29" s="23">
        <v>0.01</v>
      </c>
      <c r="F29" s="23">
        <v>0.01</v>
      </c>
      <c r="G29" s="42" t="s">
        <v>134</v>
      </c>
      <c r="H29" s="23">
        <v>1E-3</v>
      </c>
      <c r="K29" s="3" t="s">
        <v>79</v>
      </c>
      <c r="L29" s="23">
        <f>($M$2*C29)</f>
        <v>0</v>
      </c>
      <c r="M29" s="23">
        <f>($N$2*D29)</f>
        <v>0</v>
      </c>
      <c r="N29" s="23">
        <f>($M$2*E29)</f>
        <v>0</v>
      </c>
      <c r="O29" s="23">
        <f>($N$2*F29)</f>
        <v>0</v>
      </c>
      <c r="P29" s="42" t="str">
        <f>$G$29</f>
        <v>See comm</v>
      </c>
      <c r="Q29" s="23">
        <f t="shared" si="28"/>
        <v>0</v>
      </c>
      <c r="S29" s="23">
        <f>L29+M29</f>
        <v>0</v>
      </c>
      <c r="T29" s="23">
        <f>N29+O29</f>
        <v>0</v>
      </c>
      <c r="V29" s="3" t="s">
        <v>79</v>
      </c>
      <c r="W29" s="23">
        <f>($X$2*C29)</f>
        <v>0</v>
      </c>
      <c r="X29" s="23">
        <f>($Y$2*D29)</f>
        <v>0</v>
      </c>
      <c r="Y29" s="23">
        <f>($X$2*E29)</f>
        <v>0</v>
      </c>
      <c r="Z29" s="23">
        <f>($Y$2*F29)</f>
        <v>0</v>
      </c>
      <c r="AA29" s="42" t="str">
        <f>$G$29</f>
        <v>See comm</v>
      </c>
      <c r="AB29" s="23">
        <f t="shared" si="29"/>
        <v>0</v>
      </c>
      <c r="AD29" s="23">
        <f>W29+X29</f>
        <v>0</v>
      </c>
      <c r="AE29" s="23">
        <f>Y29+Z29</f>
        <v>0</v>
      </c>
      <c r="AG29" s="3" t="s">
        <v>79</v>
      </c>
      <c r="AH29" s="23">
        <f>($AI$2*C29)</f>
        <v>0</v>
      </c>
      <c r="AI29" s="23">
        <f>($AJ$2*D29)</f>
        <v>0</v>
      </c>
      <c r="AJ29" s="23">
        <f>($AI$2*E29)</f>
        <v>0</v>
      </c>
      <c r="AK29" s="23">
        <f>($AJ$2*F29)</f>
        <v>0</v>
      </c>
      <c r="AL29" s="42" t="str">
        <f>$G$29</f>
        <v>See comm</v>
      </c>
      <c r="AM29" s="23">
        <f t="shared" si="22"/>
        <v>0</v>
      </c>
      <c r="AO29" s="23">
        <f>AH29+AI29</f>
        <v>0</v>
      </c>
      <c r="AP29" s="23">
        <f>AJ29+AK29</f>
        <v>0</v>
      </c>
    </row>
    <row r="30" spans="1:42" ht="12" customHeight="1" x14ac:dyDescent="0.2">
      <c r="B30" s="69"/>
      <c r="K30" s="3"/>
      <c r="V30" s="3"/>
      <c r="AG30" s="3"/>
    </row>
    <row r="31" spans="1:42" ht="18" customHeight="1" thickBot="1" x14ac:dyDescent="0.25">
      <c r="A31" s="20">
        <f ca="1">IF(B88&lt;0,99,1)</f>
        <v>1</v>
      </c>
      <c r="M31" s="50"/>
      <c r="X31" s="50"/>
      <c r="AI31" s="50"/>
    </row>
    <row r="32" spans="1:42" ht="12" customHeight="1" x14ac:dyDescent="0.2">
      <c r="A32">
        <f ca="1">A31+1</f>
        <v>2</v>
      </c>
      <c r="B32" s="68" t="s">
        <v>60</v>
      </c>
      <c r="C32" s="57" t="s">
        <v>143</v>
      </c>
      <c r="D32" s="57" t="s">
        <v>144</v>
      </c>
      <c r="E32" s="57" t="s">
        <v>154</v>
      </c>
      <c r="F32" s="57" t="s">
        <v>154</v>
      </c>
      <c r="G32" s="57" t="s">
        <v>122</v>
      </c>
      <c r="H32" s="57" t="s">
        <v>147</v>
      </c>
      <c r="K32" s="38" t="s">
        <v>113</v>
      </c>
      <c r="M32" s="50"/>
      <c r="V32" s="38" t="s">
        <v>113</v>
      </c>
      <c r="X32" s="50"/>
      <c r="AG32" s="38" t="s">
        <v>113</v>
      </c>
      <c r="AI32" s="50"/>
    </row>
    <row r="33" spans="1:42" ht="12" customHeight="1" x14ac:dyDescent="0.2">
      <c r="A33">
        <f t="shared" ref="A33:A56" ca="1" si="30">A32+1</f>
        <v>3</v>
      </c>
      <c r="B33" s="69" t="s">
        <v>61</v>
      </c>
      <c r="C33" s="57" t="s">
        <v>145</v>
      </c>
      <c r="D33" s="57" t="s">
        <v>145</v>
      </c>
      <c r="E33" s="57" t="s">
        <v>146</v>
      </c>
      <c r="F33" s="57" t="s">
        <v>146</v>
      </c>
      <c r="G33" s="57" t="s">
        <v>122</v>
      </c>
      <c r="H33" s="57" t="s">
        <v>147</v>
      </c>
      <c r="K33" s="40" t="s">
        <v>114</v>
      </c>
      <c r="V33" s="40" t="s">
        <v>114</v>
      </c>
      <c r="AG33" s="40" t="s">
        <v>114</v>
      </c>
    </row>
    <row r="34" spans="1:42" ht="12" customHeight="1" x14ac:dyDescent="0.2">
      <c r="A34">
        <f t="shared" ca="1" si="30"/>
        <v>4</v>
      </c>
      <c r="B34" s="69" t="s">
        <v>62</v>
      </c>
      <c r="C34" s="57" t="s">
        <v>146</v>
      </c>
      <c r="D34" s="57" t="s">
        <v>146</v>
      </c>
      <c r="E34" s="57" t="s">
        <v>154</v>
      </c>
      <c r="F34" s="57" t="s">
        <v>154</v>
      </c>
      <c r="G34" s="57" t="s">
        <v>122</v>
      </c>
      <c r="H34" s="57" t="s">
        <v>147</v>
      </c>
      <c r="K34" s="46" t="s">
        <v>115</v>
      </c>
      <c r="V34" s="46" t="s">
        <v>115</v>
      </c>
      <c r="AG34" s="46" t="s">
        <v>115</v>
      </c>
    </row>
    <row r="35" spans="1:42" ht="12" customHeight="1" x14ac:dyDescent="0.2">
      <c r="A35">
        <f t="shared" ca="1" si="30"/>
        <v>5</v>
      </c>
      <c r="B35" s="69" t="s">
        <v>63</v>
      </c>
      <c r="C35" s="57" t="s">
        <v>143</v>
      </c>
      <c r="D35" s="57" t="s">
        <v>144</v>
      </c>
      <c r="E35" s="57" t="s">
        <v>154</v>
      </c>
      <c r="F35" s="57" t="s">
        <v>154</v>
      </c>
      <c r="G35" s="57" t="s">
        <v>122</v>
      </c>
      <c r="H35" s="57" t="s">
        <v>147</v>
      </c>
      <c r="K35" s="45" t="s">
        <v>116</v>
      </c>
      <c r="V35" s="45" t="s">
        <v>116</v>
      </c>
      <c r="AG35" s="45" t="s">
        <v>116</v>
      </c>
    </row>
    <row r="36" spans="1:42" ht="12" customHeight="1" x14ac:dyDescent="0.2">
      <c r="A36">
        <f t="shared" ca="1" si="30"/>
        <v>6</v>
      </c>
      <c r="B36" s="69" t="s">
        <v>64</v>
      </c>
      <c r="C36" s="57" t="s">
        <v>147</v>
      </c>
      <c r="D36" s="57" t="s">
        <v>147</v>
      </c>
      <c r="E36" s="57" t="s">
        <v>155</v>
      </c>
      <c r="F36" s="57" t="s">
        <v>155</v>
      </c>
      <c r="G36" s="57" t="s">
        <v>122</v>
      </c>
      <c r="H36" s="57" t="s">
        <v>158</v>
      </c>
      <c r="L36" s="34"/>
      <c r="M36" s="23" t="s">
        <v>136</v>
      </c>
      <c r="N36" s="23" t="s">
        <v>137</v>
      </c>
      <c r="O36" s="23" t="s">
        <v>138</v>
      </c>
      <c r="P36" s="23" t="s">
        <v>139</v>
      </c>
      <c r="Q36" s="23"/>
      <c r="R36" s="23"/>
      <c r="S36" s="23"/>
      <c r="T36" s="33"/>
      <c r="W36" s="34"/>
      <c r="X36" s="23" t="s">
        <v>136</v>
      </c>
      <c r="Y36" s="23" t="s">
        <v>137</v>
      </c>
      <c r="Z36" s="23" t="s">
        <v>138</v>
      </c>
      <c r="AA36" s="23" t="s">
        <v>139</v>
      </c>
      <c r="AB36" s="23"/>
      <c r="AC36" s="23"/>
      <c r="AD36" s="23"/>
      <c r="AE36" s="33"/>
      <c r="AH36" s="34"/>
      <c r="AI36" s="23" t="s">
        <v>136</v>
      </c>
      <c r="AJ36" s="23" t="s">
        <v>137</v>
      </c>
      <c r="AK36" s="23" t="s">
        <v>138</v>
      </c>
      <c r="AL36" s="23" t="s">
        <v>139</v>
      </c>
      <c r="AM36" s="23"/>
      <c r="AN36" s="23"/>
      <c r="AO36" s="23"/>
      <c r="AP36" s="33"/>
    </row>
    <row r="37" spans="1:42" ht="12" customHeight="1" x14ac:dyDescent="0.2">
      <c r="A37">
        <f t="shared" ca="1" si="30"/>
        <v>7</v>
      </c>
      <c r="B37" s="69" t="s">
        <v>65</v>
      </c>
      <c r="C37" s="57" t="s">
        <v>148</v>
      </c>
      <c r="D37" s="57" t="s">
        <v>146</v>
      </c>
      <c r="E37" s="57" t="s">
        <v>154</v>
      </c>
      <c r="F37" s="57" t="s">
        <v>154</v>
      </c>
      <c r="G37" s="57" t="s">
        <v>122</v>
      </c>
      <c r="H37" s="57" t="s">
        <v>158</v>
      </c>
      <c r="K37" s="29" t="s">
        <v>114</v>
      </c>
      <c r="L37" s="47">
        <f>IF(OR(K2=14,K2=17,K2=21,K2=23,K2=24),1,0)</f>
        <v>0</v>
      </c>
      <c r="M37" s="41" t="str">
        <f ca="1">IF(AND(M47="See Comm",OR(K2=8,K2=9)),$B$60,"")</f>
        <v/>
      </c>
      <c r="N37" s="54" t="str">
        <f ca="1">IF(AND(N47="See Comm",OR(K2=8,K2=9)),$B$61,"")</f>
        <v/>
      </c>
      <c r="O37" s="41" t="str">
        <f ca="1">IF(AND(OR(M47="See Comm",N47="See Comm"),K2=10),$B$62,"")</f>
        <v/>
      </c>
      <c r="P37" s="41" t="str">
        <f ca="1">IF(AND(OR(Q47="See Comm",P47="See Comm"),K2=10),$B$63,"")</f>
        <v/>
      </c>
      <c r="Q37" s="23" t="s">
        <v>142</v>
      </c>
      <c r="R37" s="32"/>
      <c r="S37" s="23"/>
      <c r="T37" s="33"/>
      <c r="V37" s="29" t="s">
        <v>114</v>
      </c>
      <c r="W37" s="47">
        <f>IF(OR(V2=14,V2=17,V2=21,V2=23,V2=24),1,0)</f>
        <v>0</v>
      </c>
      <c r="X37" s="41" t="str">
        <f ca="1">IF(AND(X47="See Comm",OR(V2=8,V2=9)),$B$60,"")</f>
        <v/>
      </c>
      <c r="Y37" s="54" t="str">
        <f ca="1">IF(AND(Y47="See Comm",OR(V2=8,V2=9)),$B$61,"")</f>
        <v/>
      </c>
      <c r="Z37" s="41" t="str">
        <f ca="1">IF(AND(OR(X47="See Comm",Y47="See Comm"),V2=10),$B$62,"")</f>
        <v/>
      </c>
      <c r="AA37" s="41" t="str">
        <f ca="1">IF(AND(OR(AB47="See Comm",AA47="See Comm"),V2=10),$B$63,"")</f>
        <v/>
      </c>
      <c r="AB37" s="23" t="s">
        <v>142</v>
      </c>
      <c r="AC37" s="32"/>
      <c r="AD37" s="23"/>
      <c r="AE37" s="33"/>
      <c r="AG37" s="29" t="s">
        <v>114</v>
      </c>
      <c r="AH37" s="47">
        <f>IF(OR(AG2=14,AG2=17,AG2=21,AG2=23,AG2=24),1,0)</f>
        <v>0</v>
      </c>
      <c r="AI37" s="41" t="str">
        <f ca="1">IF(AND(AI47="See Comm",OR(AG2=8,AG2=9)),$B$60,"")</f>
        <v/>
      </c>
      <c r="AJ37" s="54" t="str">
        <f ca="1">IF(AND(AJ47="See Comm",OR(AG2=8,AG2=9)),$B$61,"")</f>
        <v/>
      </c>
      <c r="AK37" s="41" t="str">
        <f ca="1">IF(AND(OR(AI47="See Comm",AJ47="See Comm"),AG2=10),$B$62,"")</f>
        <v/>
      </c>
      <c r="AL37" s="41" t="str">
        <f ca="1">IF(AND(OR(AM47="See Comm",AL47="See Comm"),AG2=10),$B$63,"")</f>
        <v/>
      </c>
      <c r="AM37" s="23" t="s">
        <v>142</v>
      </c>
      <c r="AN37" s="32"/>
      <c r="AO37" s="23"/>
      <c r="AP37" s="33"/>
    </row>
    <row r="38" spans="1:42" ht="12" customHeight="1" x14ac:dyDescent="0.2">
      <c r="A38">
        <f t="shared" ca="1" si="30"/>
        <v>8</v>
      </c>
      <c r="B38" s="69" t="s">
        <v>71</v>
      </c>
      <c r="C38" s="58" t="s">
        <v>134</v>
      </c>
      <c r="D38" s="58" t="s">
        <v>134</v>
      </c>
      <c r="E38" s="57" t="s">
        <v>154</v>
      </c>
      <c r="F38" s="57" t="s">
        <v>148</v>
      </c>
      <c r="G38" s="57" t="s">
        <v>122</v>
      </c>
      <c r="H38" s="57" t="s">
        <v>158</v>
      </c>
      <c r="K38" s="49" t="s">
        <v>125</v>
      </c>
      <c r="L38" s="47">
        <f>IF(L2&lt;=15,1,0)</f>
        <v>1</v>
      </c>
      <c r="M38" s="55" t="str">
        <f>IF(AND(L38=1,L2&gt;0),$B$65,"")</f>
        <v/>
      </c>
      <c r="N38" s="53" t="str">
        <f>IF(L42=0.67,M42&amp;$B$67,IF(L42=0.5,M42&amp;$B$68,""))</f>
        <v/>
      </c>
      <c r="O38" s="66" t="str">
        <f>IF(L41=1,$B$69,"")</f>
        <v/>
      </c>
      <c r="P38" s="42" t="str">
        <f ca="1">IF(R47="See comm",$B$64,"")</f>
        <v/>
      </c>
      <c r="Q38" s="23" t="s">
        <v>142</v>
      </c>
      <c r="R38" s="23"/>
      <c r="S38" s="23"/>
      <c r="T38" s="33"/>
      <c r="V38" s="49" t="s">
        <v>125</v>
      </c>
      <c r="W38" s="47">
        <f>IF(W2&lt;=15,1,0)</f>
        <v>1</v>
      </c>
      <c r="X38" s="55" t="str">
        <f>IF(AND(W38=1,W2&gt;0),$B$65,"")</f>
        <v/>
      </c>
      <c r="Y38" s="53" t="str">
        <f>IF(W42=0.67,X42&amp;$B$67,IF(W42=0.5,X42&amp;$B$68,""))</f>
        <v/>
      </c>
      <c r="Z38" s="66" t="str">
        <f>IF(W41=1,$B$69,"")</f>
        <v/>
      </c>
      <c r="AA38" s="42" t="str">
        <f ca="1">IF(AC47="See comm",$B$64,"")</f>
        <v/>
      </c>
      <c r="AB38" s="23" t="s">
        <v>142</v>
      </c>
      <c r="AC38" s="23"/>
      <c r="AD38" s="23"/>
      <c r="AE38" s="33"/>
      <c r="AG38" s="49" t="s">
        <v>125</v>
      </c>
      <c r="AH38" s="47">
        <f>IF(AH2&lt;=15,1,0)</f>
        <v>1</v>
      </c>
      <c r="AI38" s="55" t="str">
        <f>IF(AND(AH38=1,AH2&gt;0),$B$65,"")</f>
        <v/>
      </c>
      <c r="AJ38" s="53" t="str">
        <f>IF(AH42=0.67,AI42&amp;$B$67,IF(AH42=0.5,AI42&amp;$B$68,""))</f>
        <v/>
      </c>
      <c r="AK38" s="66" t="str">
        <f>IF(AH41=1,$B$69,"")</f>
        <v/>
      </c>
      <c r="AL38" s="42" t="str">
        <f ca="1">IF(AN47="See comm",$B$64,"")</f>
        <v/>
      </c>
      <c r="AM38" s="23" t="s">
        <v>142</v>
      </c>
      <c r="AN38" s="23"/>
      <c r="AO38" s="23"/>
      <c r="AP38" s="33"/>
    </row>
    <row r="39" spans="1:42" ht="12" customHeight="1" x14ac:dyDescent="0.2">
      <c r="A39">
        <f t="shared" ca="1" si="30"/>
        <v>9</v>
      </c>
      <c r="B39" s="69" t="s">
        <v>72</v>
      </c>
      <c r="C39" s="58" t="s">
        <v>134</v>
      </c>
      <c r="D39" s="58" t="s">
        <v>134</v>
      </c>
      <c r="E39" s="57" t="s">
        <v>154</v>
      </c>
      <c r="F39" s="57" t="s">
        <v>148</v>
      </c>
      <c r="G39" s="57" t="s">
        <v>122</v>
      </c>
      <c r="H39" s="57" t="s">
        <v>158</v>
      </c>
      <c r="K39" s="29" t="s">
        <v>124</v>
      </c>
      <c r="L39" s="47">
        <f>IF(AND(K2=20,L2&lt;=50),1,0)</f>
        <v>0</v>
      </c>
      <c r="M39" s="55" t="str">
        <f>IF(AND(L38&lt;&gt;1,L37&lt;&gt;1,L39=1),$B$66,"")</f>
        <v/>
      </c>
      <c r="N39" s="73" t="str">
        <f>IF(K2&lt;2,"",$B$70)</f>
        <v/>
      </c>
      <c r="O39" s="85" t="str">
        <f>IF(S51=1,$B$72,"")</f>
        <v/>
      </c>
      <c r="P39" s="139" t="str">
        <f>IF(AND(S51&gt;0,K2=4),$B$73,IF(S51&gt;2,$B$74,""))</f>
        <v/>
      </c>
      <c r="Q39" s="23" t="s">
        <v>142</v>
      </c>
      <c r="R39" s="23"/>
      <c r="S39" s="23"/>
      <c r="T39" s="33"/>
      <c r="V39" s="29" t="s">
        <v>124</v>
      </c>
      <c r="W39" s="47">
        <f>IF(AND(V2=20,W2&lt;=50),1,0)</f>
        <v>0</v>
      </c>
      <c r="X39" s="55" t="str">
        <f>IF(AND(W38&lt;&gt;1,W37&lt;&gt;1,W39=1),$B$66,"")</f>
        <v/>
      </c>
      <c r="Y39" s="73" t="str">
        <f>IF(V2&lt;2,"",$C$70)</f>
        <v/>
      </c>
      <c r="Z39" s="85" t="str">
        <f>IF(AD51=1,$B$72,"")</f>
        <v/>
      </c>
      <c r="AA39" s="139" t="str">
        <f>IF(AND(AD51&gt;0,V2=4),$B$73,IF(AD51&gt;2,$B$74,""))</f>
        <v/>
      </c>
      <c r="AB39" s="23" t="s">
        <v>142</v>
      </c>
      <c r="AC39" s="23"/>
      <c r="AD39" s="23"/>
      <c r="AE39" s="33"/>
      <c r="AG39" s="29" t="s">
        <v>124</v>
      </c>
      <c r="AH39" s="47">
        <f>IF(AND(AG2=20,AH2&lt;=50),1,0)</f>
        <v>0</v>
      </c>
      <c r="AI39" s="55" t="str">
        <f>IF(AND(AH38&lt;&gt;1,AH37&lt;&gt;1,AH39=1),$B$66,"")</f>
        <v/>
      </c>
      <c r="AJ39" s="73" t="str">
        <f>IF(AG2&lt;2,"",$E$70)</f>
        <v/>
      </c>
      <c r="AK39" s="85" t="str">
        <f>IF(AO51=1,$B$72,"")</f>
        <v/>
      </c>
      <c r="AL39" s="139" t="str">
        <f>IF(AND(AO51&gt;0,AG2=4),$B$73,IF(AO51&gt;2,$B$74,""))</f>
        <v/>
      </c>
      <c r="AM39" s="23" t="s">
        <v>142</v>
      </c>
      <c r="AN39" s="23"/>
      <c r="AO39" s="23"/>
      <c r="AP39" s="33"/>
    </row>
    <row r="40" spans="1:42" ht="12" customHeight="1" x14ac:dyDescent="0.2">
      <c r="A40">
        <f t="shared" ca="1" si="30"/>
        <v>10</v>
      </c>
      <c r="B40" s="69" t="s">
        <v>70</v>
      </c>
      <c r="C40" s="58" t="s">
        <v>134</v>
      </c>
      <c r="D40" s="58" t="s">
        <v>134</v>
      </c>
      <c r="E40" s="58" t="s">
        <v>134</v>
      </c>
      <c r="F40" s="58" t="s">
        <v>134</v>
      </c>
      <c r="G40" s="57" t="s">
        <v>122</v>
      </c>
      <c r="H40" s="57" t="s">
        <v>150</v>
      </c>
      <c r="K40" s="29" t="s">
        <v>98</v>
      </c>
      <c r="L40" s="47">
        <f>IF(OR(L37=1,L38=1,L39=1),1,0)</f>
        <v>1</v>
      </c>
      <c r="M40" s="44" t="str">
        <f>IF(AND(K2=14,O2&gt;0),$B$75,"")</f>
        <v/>
      </c>
      <c r="N40" s="154" t="str">
        <f ca="1">IF(AND(L2&lt;=15,S49&lt;&gt;0),$B$76,"")</f>
        <v/>
      </c>
      <c r="O40" s="158" t="str">
        <f>IF(AND(M50=1,N50=1),$B$77,"")</f>
        <v/>
      </c>
      <c r="P40" s="23"/>
      <c r="Q40" s="23"/>
      <c r="R40" s="23"/>
      <c r="S40" s="23"/>
      <c r="T40" s="33"/>
      <c r="V40" s="29" t="s">
        <v>98</v>
      </c>
      <c r="W40" s="47">
        <f>IF(OR(W37=1,W38=1,W39=1),1,0)</f>
        <v>1</v>
      </c>
      <c r="X40" s="44" t="str">
        <f>IF(AND(V2=14,Z2&gt;0),$B$75,"")</f>
        <v/>
      </c>
      <c r="Y40" s="154" t="str">
        <f ca="1">IF(AND(W2&lt;=15,AD49&lt;&gt;0),$B$76,"")</f>
        <v/>
      </c>
      <c r="Z40" s="158" t="str">
        <f>IF(AND(X50=1,Y50=1),$B$77,"")</f>
        <v/>
      </c>
      <c r="AA40" s="23"/>
      <c r="AB40" s="23"/>
      <c r="AC40" s="23"/>
      <c r="AD40" s="23"/>
      <c r="AE40" s="33"/>
      <c r="AG40" s="29" t="s">
        <v>98</v>
      </c>
      <c r="AH40" s="47">
        <f>IF(OR(AH37=1,AH38=1,AH39=1),1,0)</f>
        <v>1</v>
      </c>
      <c r="AI40" s="44" t="str">
        <f>IF(AND(AG2=14,AK2&gt;0),$B$75,"")</f>
        <v/>
      </c>
      <c r="AJ40" s="154" t="str">
        <f ca="1">IF(AND(AH2&lt;=15,AO49&lt;&gt;0),$B$76,"")</f>
        <v/>
      </c>
      <c r="AK40" s="158" t="str">
        <f>IF(AND(AI50=1,AJ50=1),$B$77,"")</f>
        <v/>
      </c>
      <c r="AL40" s="23"/>
      <c r="AM40" s="23"/>
      <c r="AN40" s="23"/>
      <c r="AO40" s="23"/>
      <c r="AP40" s="33"/>
    </row>
    <row r="41" spans="1:42" ht="12" customHeight="1" x14ac:dyDescent="0.2">
      <c r="A41">
        <f t="shared" ca="1" si="30"/>
        <v>11</v>
      </c>
      <c r="B41" s="69" t="s">
        <v>69</v>
      </c>
      <c r="C41" s="57" t="s">
        <v>149</v>
      </c>
      <c r="D41" s="57" t="s">
        <v>149</v>
      </c>
      <c r="E41" s="57" t="s">
        <v>149</v>
      </c>
      <c r="F41" s="57" t="s">
        <v>149</v>
      </c>
      <c r="G41" s="57" t="s">
        <v>122</v>
      </c>
      <c r="H41" s="57" t="s">
        <v>150</v>
      </c>
      <c r="K41" s="29" t="s">
        <v>170</v>
      </c>
      <c r="L41" s="64">
        <f>IF(AND(OR(K2=20,K2=2,K2=3,K2=4,K2=5,K2=6,K2=7,K2=9,K2=9),(M48+N48&gt;5)),1,0)</f>
        <v>0</v>
      </c>
      <c r="M41" s="23"/>
      <c r="N41" s="23"/>
      <c r="O41" s="23"/>
      <c r="P41" s="23"/>
      <c r="Q41" s="23"/>
      <c r="R41" s="23"/>
      <c r="S41" s="23"/>
      <c r="T41" s="33"/>
      <c r="V41" s="29" t="s">
        <v>170</v>
      </c>
      <c r="W41" s="64">
        <f>IF(AND(OR(V2=20,V2=2,V2=3,V2=4,V2=5,V2=6,V2=7,V2=9,V2=9),(X48+Y48&gt;5)),1,0)</f>
        <v>0</v>
      </c>
      <c r="X41" s="23"/>
      <c r="Y41" s="23"/>
      <c r="Z41" s="23"/>
      <c r="AA41" s="23"/>
      <c r="AB41" s="23"/>
      <c r="AC41" s="23"/>
      <c r="AD41" s="23"/>
      <c r="AE41" s="33"/>
      <c r="AG41" s="29" t="s">
        <v>170</v>
      </c>
      <c r="AH41" s="64">
        <f>IF(AND(OR(AG2=20,AG2=2,AG2=3,AG2=4,AG2=5,AG2=6,AG2=7,AG2=9,AG2=9),(AI48+AJ48&gt;5)),1,0)</f>
        <v>0</v>
      </c>
      <c r="AI41" s="23"/>
      <c r="AJ41" s="23"/>
      <c r="AK41" s="23"/>
      <c r="AL41" s="23"/>
      <c r="AM41" s="23"/>
      <c r="AN41" s="23"/>
      <c r="AO41" s="23"/>
      <c r="AP41" s="33"/>
    </row>
    <row r="42" spans="1:42" ht="12" customHeight="1" x14ac:dyDescent="0.2">
      <c r="A42">
        <f t="shared" ca="1" si="30"/>
        <v>12</v>
      </c>
      <c r="B42" s="69" t="s">
        <v>80</v>
      </c>
      <c r="C42" s="57" t="s">
        <v>150</v>
      </c>
      <c r="D42" s="57" t="s">
        <v>150</v>
      </c>
      <c r="E42" s="57" t="s">
        <v>150</v>
      </c>
      <c r="F42" s="57" t="s">
        <v>150</v>
      </c>
      <c r="G42" s="59" t="s">
        <v>134</v>
      </c>
      <c r="H42" s="57" t="s">
        <v>159</v>
      </c>
      <c r="K42" s="29" t="s">
        <v>135</v>
      </c>
      <c r="L42" s="52">
        <f>IF(M48&lt;2,0,IF(OR(AND(K2&gt;1,K2&lt;10),K2=11),0.67,0.5))</f>
        <v>0</v>
      </c>
      <c r="M42" s="53">
        <f>ROUNDDOWN(ROUNDUP(M48,0)*L42,0)</f>
        <v>0</v>
      </c>
      <c r="N42" s="23"/>
      <c r="O42" s="23"/>
      <c r="P42" s="23"/>
      <c r="Q42" s="23"/>
      <c r="R42" s="23"/>
      <c r="S42" s="23"/>
      <c r="T42" s="33"/>
      <c r="V42" s="29" t="s">
        <v>135</v>
      </c>
      <c r="W42" s="52">
        <f>IF(X48&lt;2,0,IF(OR(AND(V2&gt;1,V2&lt;10),V2=11),0.67,0.5))</f>
        <v>0</v>
      </c>
      <c r="X42" s="53">
        <f>ROUNDDOWN(ROUNDUP(X48,0)*W42,0)</f>
        <v>0</v>
      </c>
      <c r="Y42" s="23"/>
      <c r="Z42" s="23"/>
      <c r="AA42" s="23"/>
      <c r="AB42" s="23"/>
      <c r="AC42" s="23"/>
      <c r="AD42" s="23"/>
      <c r="AE42" s="33"/>
      <c r="AG42" s="29" t="s">
        <v>135</v>
      </c>
      <c r="AH42" s="52">
        <f>IF(AI48&lt;2,0,IF(OR(AND(AG2&gt;1,AG2&lt;10),AG2=11),0.67,0.5))</f>
        <v>0</v>
      </c>
      <c r="AI42" s="53">
        <f>ROUNDDOWN(ROUNDUP(AI48,0)*AH42,0)</f>
        <v>0</v>
      </c>
      <c r="AJ42" s="23"/>
      <c r="AK42" s="23"/>
      <c r="AL42" s="23"/>
      <c r="AM42" s="23"/>
      <c r="AN42" s="23"/>
      <c r="AO42" s="23"/>
      <c r="AP42" s="33"/>
    </row>
    <row r="43" spans="1:42" ht="12" customHeight="1" x14ac:dyDescent="0.2">
      <c r="A43">
        <f t="shared" ca="1" si="30"/>
        <v>13</v>
      </c>
      <c r="B43" s="69" t="s">
        <v>73</v>
      </c>
      <c r="C43" s="57" t="s">
        <v>151</v>
      </c>
      <c r="D43" s="57" t="s">
        <v>151</v>
      </c>
      <c r="E43" s="57" t="s">
        <v>151</v>
      </c>
      <c r="F43" s="57" t="s">
        <v>151</v>
      </c>
      <c r="G43" s="57" t="s">
        <v>157</v>
      </c>
      <c r="H43" s="57" t="s">
        <v>150</v>
      </c>
      <c r="K43" s="29"/>
      <c r="L43" s="34"/>
      <c r="M43" s="23"/>
      <c r="N43" s="23"/>
      <c r="O43" s="23"/>
      <c r="P43" s="23"/>
      <c r="Q43" s="23"/>
      <c r="R43" s="23"/>
      <c r="S43" s="23"/>
      <c r="T43" s="33"/>
      <c r="V43" s="29"/>
      <c r="W43" s="34"/>
      <c r="X43" s="23"/>
      <c r="Y43" s="23"/>
      <c r="Z43" s="23"/>
      <c r="AA43" s="23"/>
      <c r="AB43" s="23"/>
      <c r="AC43" s="23"/>
      <c r="AD43" s="23"/>
      <c r="AE43" s="33"/>
      <c r="AG43" s="29"/>
      <c r="AH43" s="34"/>
      <c r="AI43" s="23"/>
      <c r="AJ43" s="23"/>
      <c r="AK43" s="23"/>
      <c r="AL43" s="23"/>
      <c r="AM43" s="23"/>
      <c r="AN43" s="23"/>
      <c r="AO43" s="23"/>
      <c r="AP43" s="33"/>
    </row>
    <row r="44" spans="1:42" ht="12" customHeight="1" x14ac:dyDescent="0.2">
      <c r="A44">
        <f t="shared" ca="1" si="30"/>
        <v>14</v>
      </c>
      <c r="B44" s="69" t="s">
        <v>94</v>
      </c>
      <c r="C44" s="60" t="s">
        <v>121</v>
      </c>
      <c r="D44" s="60" t="s">
        <v>98</v>
      </c>
      <c r="E44" s="60" t="s">
        <v>121</v>
      </c>
      <c r="F44" s="60" t="s">
        <v>98</v>
      </c>
      <c r="G44" s="57" t="s">
        <v>153</v>
      </c>
      <c r="H44" s="57" t="s">
        <v>150</v>
      </c>
    </row>
    <row r="45" spans="1:42" ht="12" customHeight="1" x14ac:dyDescent="0.2">
      <c r="A45">
        <f t="shared" ca="1" si="30"/>
        <v>15</v>
      </c>
      <c r="B45" s="69" t="s">
        <v>66</v>
      </c>
      <c r="C45" s="57" t="s">
        <v>152</v>
      </c>
      <c r="D45" s="57" t="s">
        <v>152</v>
      </c>
      <c r="E45" s="57" t="s">
        <v>156</v>
      </c>
      <c r="F45" s="57" t="s">
        <v>156</v>
      </c>
      <c r="G45" s="57" t="s">
        <v>122</v>
      </c>
      <c r="H45" s="57" t="s">
        <v>150</v>
      </c>
      <c r="L45" s="20" t="s">
        <v>95</v>
      </c>
      <c r="O45" s="20" t="s">
        <v>97</v>
      </c>
      <c r="R45" s="20" t="s">
        <v>127</v>
      </c>
      <c r="S45" s="20" t="s">
        <v>126</v>
      </c>
      <c r="T45" s="20" t="s">
        <v>100</v>
      </c>
      <c r="W45" s="20" t="s">
        <v>95</v>
      </c>
      <c r="Z45" s="20" t="s">
        <v>97</v>
      </c>
      <c r="AC45" s="20" t="s">
        <v>127</v>
      </c>
      <c r="AD45" s="20" t="s">
        <v>126</v>
      </c>
      <c r="AE45" s="20" t="s">
        <v>100</v>
      </c>
      <c r="AH45" s="20" t="s">
        <v>95</v>
      </c>
      <c r="AK45" s="20" t="s">
        <v>97</v>
      </c>
      <c r="AN45" s="20" t="s">
        <v>127</v>
      </c>
      <c r="AO45" s="20" t="s">
        <v>126</v>
      </c>
      <c r="AP45" s="20" t="s">
        <v>100</v>
      </c>
    </row>
    <row r="46" spans="1:42" ht="12" customHeight="1" x14ac:dyDescent="0.2">
      <c r="A46">
        <f t="shared" ca="1" si="30"/>
        <v>16</v>
      </c>
      <c r="B46" s="69" t="s">
        <v>67</v>
      </c>
      <c r="C46" s="57" t="s">
        <v>146</v>
      </c>
      <c r="D46" s="57" t="s">
        <v>146</v>
      </c>
      <c r="E46" s="57" t="s">
        <v>150</v>
      </c>
      <c r="F46" s="57" t="s">
        <v>150</v>
      </c>
      <c r="G46" s="57" t="s">
        <v>122</v>
      </c>
      <c r="H46" s="57" t="s">
        <v>147</v>
      </c>
      <c r="K46" s="29"/>
      <c r="L46" s="20" t="s">
        <v>98</v>
      </c>
      <c r="M46" s="20" t="s">
        <v>93</v>
      </c>
      <c r="N46" s="20" t="s">
        <v>96</v>
      </c>
      <c r="O46" s="20" t="s">
        <v>98</v>
      </c>
      <c r="P46" s="20" t="s">
        <v>93</v>
      </c>
      <c r="Q46" s="20" t="s">
        <v>96</v>
      </c>
      <c r="V46" s="29"/>
      <c r="W46" s="20" t="s">
        <v>98</v>
      </c>
      <c r="X46" s="20" t="s">
        <v>93</v>
      </c>
      <c r="Y46" s="20" t="s">
        <v>96</v>
      </c>
      <c r="Z46" s="20" t="s">
        <v>98</v>
      </c>
      <c r="AA46" s="20" t="s">
        <v>93</v>
      </c>
      <c r="AB46" s="20" t="s">
        <v>96</v>
      </c>
      <c r="AG46" s="29"/>
      <c r="AH46" s="20" t="s">
        <v>98</v>
      </c>
      <c r="AI46" s="20" t="s">
        <v>93</v>
      </c>
      <c r="AJ46" s="20" t="s">
        <v>96</v>
      </c>
      <c r="AK46" s="20" t="s">
        <v>98</v>
      </c>
      <c r="AL46" s="20" t="s">
        <v>93</v>
      </c>
      <c r="AM46" s="20" t="s">
        <v>96</v>
      </c>
    </row>
    <row r="47" spans="1:42" ht="12" customHeight="1" x14ac:dyDescent="0.2">
      <c r="A47">
        <f t="shared" ca="1" si="30"/>
        <v>17</v>
      </c>
      <c r="B47" s="69" t="s">
        <v>68</v>
      </c>
      <c r="C47" s="60" t="s">
        <v>121</v>
      </c>
      <c r="D47" s="60" t="s">
        <v>98</v>
      </c>
      <c r="E47" s="60" t="s">
        <v>121</v>
      </c>
      <c r="F47" s="60" t="s">
        <v>98</v>
      </c>
      <c r="G47" s="57" t="s">
        <v>153</v>
      </c>
      <c r="H47" s="57" t="s">
        <v>150</v>
      </c>
      <c r="K47" s="29" t="s">
        <v>99</v>
      </c>
      <c r="L47" s="56" t="str">
        <f>IF(L37=1,LOOKUP(K2,$A$31:$A$56,$C$31:$C$56),"")</f>
        <v/>
      </c>
      <c r="M47" s="56">
        <f ca="1">IF(L37&lt;&gt;1,LOOKUP(K2,$A$31:$A$56,$C$31:$C$56),"")</f>
        <v>0</v>
      </c>
      <c r="N47" s="56">
        <f ca="1">IF(L37&lt;&gt;1,LOOKUP(K2,$A$31:$A$56,$D$31:$D$56),"")</f>
        <v>0</v>
      </c>
      <c r="O47" s="56" t="str">
        <f>IF(L37=1,LOOKUP(K2,$A$31:$A$56,$E$31:$E$56),"")</f>
        <v/>
      </c>
      <c r="P47" s="56">
        <f ca="1">IF(L37&lt;&gt;1,LOOKUP(K2,$A$31:$A$56,$E$31:$E$56),"")</f>
        <v>0</v>
      </c>
      <c r="Q47" s="56">
        <f ca="1">IF(L37&lt;&gt;1,LOOKUP(K2,$A$31:$A$56,$F$31:$F$56),"")</f>
        <v>0</v>
      </c>
      <c r="R47" s="56">
        <f ca="1">LOOKUP(K2,$A$31:$A$56,$G$31:$G$56)</f>
        <v>0</v>
      </c>
      <c r="S47" s="56">
        <f ca="1">LOOKUP(K2,$A$31:$A$56,$H$31:$H$56)</f>
        <v>0</v>
      </c>
      <c r="T47" s="35"/>
      <c r="V47" s="29" t="s">
        <v>99</v>
      </c>
      <c r="W47" s="56" t="str">
        <f>IF(W37=1,LOOKUP(V2,$A$31:$A$56,$C$31:$C$56),"")</f>
        <v/>
      </c>
      <c r="X47" s="56">
        <f ca="1">IF(W37&lt;&gt;1,LOOKUP(V2,$A$31:$A$56,$C$31:$C$56),"")</f>
        <v>0</v>
      </c>
      <c r="Y47" s="56">
        <f ca="1">IF(W37&lt;&gt;1,LOOKUP(V2,$A$31:$A$56,$D$31:$D$56),"")</f>
        <v>0</v>
      </c>
      <c r="Z47" s="56" t="str">
        <f>IF(W37=1,LOOKUP(V2,$A$31:$A$56,$E$31:$E$56),"")</f>
        <v/>
      </c>
      <c r="AA47" s="56">
        <f ca="1">IF(W37&lt;&gt;1,LOOKUP(V2,$A$31:$A$56,$E$31:$E$56),"")</f>
        <v>0</v>
      </c>
      <c r="AB47" s="56">
        <f ca="1">IF(W37&lt;&gt;1,LOOKUP(V2,$A$31:$A$56,$F$31:$F$56),"")</f>
        <v>0</v>
      </c>
      <c r="AC47" s="56">
        <f ca="1">LOOKUP(V2,$A$31:$A$56,$G$31:$G$56)</f>
        <v>0</v>
      </c>
      <c r="AD47" s="56">
        <f ca="1">LOOKUP(V2,$A$31:$A$56,$H$31:$H$56)</f>
        <v>0</v>
      </c>
      <c r="AE47" s="35"/>
      <c r="AG47" s="29" t="s">
        <v>99</v>
      </c>
      <c r="AH47" s="56" t="str">
        <f>IF(AH37=1,LOOKUP(AG2,$A$31:$A$56,$C$31:$C$56),"")</f>
        <v/>
      </c>
      <c r="AI47" s="56">
        <f ca="1">IF(AH37&lt;&gt;1,LOOKUP(AG2,$A$31:$A$56,$C$31:$C$56),"")</f>
        <v>0</v>
      </c>
      <c r="AJ47" s="56">
        <f ca="1">IF(AH37&lt;&gt;1,LOOKUP(AG2,$A$31:$A$56,$D$31:$D$56),"")</f>
        <v>0</v>
      </c>
      <c r="AK47" s="56" t="str">
        <f>IF(AH37=1,LOOKUP(AG2,$A$31:$A$56,$E$31:$E$56),"")</f>
        <v/>
      </c>
      <c r="AL47" s="56">
        <f ca="1">IF(AH37&lt;&gt;1,LOOKUP(AG2,$A$31:$A$56,$E$31:$E$56),"")</f>
        <v>0</v>
      </c>
      <c r="AM47" s="56">
        <f ca="1">IF(AH37&lt;&gt;1,LOOKUP(AG2,$A$31:$A$56,$F$31:$F$56),"")</f>
        <v>0</v>
      </c>
      <c r="AN47" s="56">
        <f ca="1">LOOKUP(AG2,$A$31:$A$56,$G$31:$G$56)</f>
        <v>0</v>
      </c>
      <c r="AO47" s="56">
        <f ca="1">LOOKUP(AG2,$A$31:$A$56,$H$31:$H$56)</f>
        <v>0</v>
      </c>
      <c r="AP47" s="35"/>
    </row>
    <row r="48" spans="1:42" ht="12" customHeight="1" x14ac:dyDescent="0.2">
      <c r="A48">
        <f t="shared" ca="1" si="30"/>
        <v>18</v>
      </c>
      <c r="B48" s="69" t="s">
        <v>188</v>
      </c>
      <c r="C48" s="57" t="s">
        <v>153</v>
      </c>
      <c r="D48" s="57" t="s">
        <v>153</v>
      </c>
      <c r="E48" s="57" t="s">
        <v>153</v>
      </c>
      <c r="F48" s="57" t="s">
        <v>153</v>
      </c>
      <c r="G48" s="57" t="s">
        <v>153</v>
      </c>
      <c r="H48" s="57" t="s">
        <v>150</v>
      </c>
      <c r="K48" s="29" t="s">
        <v>123</v>
      </c>
      <c r="L48" s="56">
        <f ca="1">IF(L40=1,(LOOKUP(K2,$A$4:$A$29,S4:S29)),0)</f>
        <v>0</v>
      </c>
      <c r="M48" s="56">
        <f>IF(L40&lt;&gt;1,(LOOKUP(K2,$A$4:$A$29,L4:L29)),0)</f>
        <v>0</v>
      </c>
      <c r="N48" s="56">
        <f>IF(L40&lt;&gt;1,(LOOKUP(K2,$A$4:$A$29,M4:M29)),0)</f>
        <v>0</v>
      </c>
      <c r="O48" s="56">
        <f ca="1">IF(L40=1,(LOOKUP(K2,$A$4:$A$29,T4:T29)),0)</f>
        <v>0</v>
      </c>
      <c r="P48" s="56">
        <f>IF(L40&lt;&gt;1,(LOOKUP(K2,$A$4:$A$29,N4:N29)),0)</f>
        <v>0</v>
      </c>
      <c r="Q48" s="56">
        <f>IF(L40&lt;&gt;1,(LOOKUP(K2,$A$4:$A$29,O4:O29)),0)</f>
        <v>0</v>
      </c>
      <c r="R48" s="56">
        <f ca="1">IF(LOOKUP(K2,$A$4:$A$29,P4:P29)="See comm","",LOOKUP(K2,$A$4:$A$29,P4:P29))</f>
        <v>0</v>
      </c>
      <c r="S48" s="56">
        <f ca="1">LOOKUP(K2,$A$4:$A$29,Q4:Q29)</f>
        <v>0</v>
      </c>
      <c r="T48" s="35"/>
      <c r="V48" s="29" t="s">
        <v>123</v>
      </c>
      <c r="W48" s="56">
        <f ca="1">IF(W40=1,(LOOKUP(V2,$A$4:$A$29,AD4:AD29)),0)</f>
        <v>0</v>
      </c>
      <c r="X48" s="56">
        <f>IF(W40&lt;&gt;1,(LOOKUP(V2,$A$4:$A$29,W4:W29)),0)</f>
        <v>0</v>
      </c>
      <c r="Y48" s="56">
        <f>IF(W40&lt;&gt;1,(LOOKUP(V2,$A$4:$A$29,X4:X29)),0)</f>
        <v>0</v>
      </c>
      <c r="Z48" s="56">
        <f ca="1">IF(W40=1,(LOOKUP(V2,$A$4:$A$29,AE4:AE29)),0)</f>
        <v>0</v>
      </c>
      <c r="AA48" s="56">
        <f>IF(W40&lt;&gt;1,(LOOKUP(V2,$A$4:$A$29,Y4:Y29)),0)</f>
        <v>0</v>
      </c>
      <c r="AB48" s="56">
        <f>IF(W40&lt;&gt;1,(LOOKUP(V2,$A$4:$A$29,Z4:Z29)),0)</f>
        <v>0</v>
      </c>
      <c r="AC48" s="56">
        <f ca="1">IF(LOOKUP(V2,$A$4:$A$29,AA4:AA29)="See comm","",LOOKUP(V2,$A$4:$A$29,AA4:AA29))</f>
        <v>0</v>
      </c>
      <c r="AD48" s="56">
        <f ca="1">LOOKUP(V2,$A$4:$A$29,AB4:AB29)</f>
        <v>0</v>
      </c>
      <c r="AE48" s="35"/>
      <c r="AG48" s="29" t="s">
        <v>123</v>
      </c>
      <c r="AH48" s="56">
        <f ca="1">IF(AH40=1,(LOOKUP(AG2,$A$4:$A$29,AO4:AO29)),0)</f>
        <v>0</v>
      </c>
      <c r="AI48" s="56">
        <f>IF(AH40&lt;&gt;1,(LOOKUP(AG2,$A$4:$A$29,AH4:AH29)),0)</f>
        <v>0</v>
      </c>
      <c r="AJ48" s="56">
        <f>IF(AH40&lt;&gt;1,(LOOKUP(AG2,$A$4:$A$29,AI4:AI29)),0)</f>
        <v>0</v>
      </c>
      <c r="AK48" s="56">
        <f ca="1">IF(AH40=1,(LOOKUP(AG2,$A$4:$A$29,AP4:AP29)),0)</f>
        <v>0</v>
      </c>
      <c r="AL48" s="56">
        <f>IF(AH40&lt;&gt;1,(LOOKUP(AG2,$A$4:$A$29,AJ4:AJ29)),0)</f>
        <v>0</v>
      </c>
      <c r="AM48" s="56">
        <f>IF(AH40&lt;&gt;1,(LOOKUP(AG2,$A$4:$A$29,AK4:AK29)),0)</f>
        <v>0</v>
      </c>
      <c r="AN48" s="56">
        <f ca="1">IF(LOOKUP(AG2,$A$4:$A$29,AL4:AL29)="See comm","",LOOKUP(AG2,$A$4:$A$29,AL4:AL29))</f>
        <v>0</v>
      </c>
      <c r="AO48" s="56">
        <f ca="1">LOOKUP(AG2,$A$4:$A$29,AM4:AM29)</f>
        <v>0</v>
      </c>
      <c r="AP48" s="35"/>
    </row>
    <row r="49" spans="1:42" ht="12" customHeight="1" x14ac:dyDescent="0.2">
      <c r="A49">
        <f t="shared" ca="1" si="30"/>
        <v>19</v>
      </c>
      <c r="B49" s="69" t="s">
        <v>74</v>
      </c>
      <c r="C49" s="57" t="s">
        <v>153</v>
      </c>
      <c r="D49" s="57" t="s">
        <v>153</v>
      </c>
      <c r="E49" s="57" t="s">
        <v>153</v>
      </c>
      <c r="F49" s="57" t="s">
        <v>153</v>
      </c>
      <c r="G49" s="150" t="s">
        <v>219</v>
      </c>
      <c r="H49" s="57" t="s">
        <v>150</v>
      </c>
      <c r="K49" s="29" t="s">
        <v>194</v>
      </c>
      <c r="L49" s="35">
        <f ca="1">L48+L41</f>
        <v>0</v>
      </c>
      <c r="M49" s="35">
        <f>M48-L41</f>
        <v>0</v>
      </c>
      <c r="N49" s="35">
        <f>N48</f>
        <v>0</v>
      </c>
      <c r="O49" s="35">
        <f ca="1">O48+L41</f>
        <v>0</v>
      </c>
      <c r="P49" s="35">
        <f>P48-L41</f>
        <v>0</v>
      </c>
      <c r="Q49" s="35">
        <f>Q48</f>
        <v>0</v>
      </c>
      <c r="R49" s="35">
        <f ca="1">R48</f>
        <v>0</v>
      </c>
      <c r="S49" s="35">
        <f ca="1">S48</f>
        <v>0</v>
      </c>
      <c r="T49" s="35"/>
      <c r="V49" s="29" t="s">
        <v>194</v>
      </c>
      <c r="W49" s="35">
        <f ca="1">W48+W41</f>
        <v>0</v>
      </c>
      <c r="X49" s="35">
        <f>X48-W41</f>
        <v>0</v>
      </c>
      <c r="Y49" s="35">
        <f>Y48</f>
        <v>0</v>
      </c>
      <c r="Z49" s="35">
        <f ca="1">Z48+W41</f>
        <v>0</v>
      </c>
      <c r="AA49" s="35">
        <f>AA48-W41</f>
        <v>0</v>
      </c>
      <c r="AB49" s="35">
        <f>AB48</f>
        <v>0</v>
      </c>
      <c r="AC49" s="35">
        <f ca="1">AC48</f>
        <v>0</v>
      </c>
      <c r="AD49" s="35">
        <f ca="1">AD48</f>
        <v>0</v>
      </c>
      <c r="AE49" s="35"/>
      <c r="AG49" s="29" t="s">
        <v>194</v>
      </c>
      <c r="AH49" s="35">
        <f ca="1">AH48+AH41</f>
        <v>0</v>
      </c>
      <c r="AI49" s="35">
        <f>AI48-AH41</f>
        <v>0</v>
      </c>
      <c r="AJ49" s="35">
        <f>AJ48</f>
        <v>0</v>
      </c>
      <c r="AK49" s="35">
        <f ca="1">AK48+AH41</f>
        <v>0</v>
      </c>
      <c r="AL49" s="35">
        <f>AL48-AH41</f>
        <v>0</v>
      </c>
      <c r="AM49" s="35">
        <f>AM48</f>
        <v>0</v>
      </c>
      <c r="AN49" s="35">
        <f ca="1">AN48</f>
        <v>0</v>
      </c>
      <c r="AO49" s="35">
        <f ca="1">AO48</f>
        <v>0</v>
      </c>
      <c r="AP49" s="35"/>
    </row>
    <row r="50" spans="1:42" ht="12" customHeight="1" x14ac:dyDescent="0.2">
      <c r="A50">
        <f t="shared" ca="1" si="30"/>
        <v>20</v>
      </c>
      <c r="B50" s="69" t="s">
        <v>75</v>
      </c>
      <c r="C50" s="57" t="s">
        <v>147</v>
      </c>
      <c r="D50" s="57" t="s">
        <v>147</v>
      </c>
      <c r="E50" s="57" t="s">
        <v>155</v>
      </c>
      <c r="F50" s="57" t="s">
        <v>155</v>
      </c>
      <c r="G50" s="57" t="s">
        <v>122</v>
      </c>
      <c r="H50" s="57" t="s">
        <v>158</v>
      </c>
      <c r="K50" s="29" t="str">
        <f>K1</f>
        <v>Space 1</v>
      </c>
      <c r="L50" s="35">
        <f t="shared" ref="L50:Q50" ca="1" si="31">ROUNDUP(L49,0)</f>
        <v>0</v>
      </c>
      <c r="M50" s="35">
        <f t="shared" si="31"/>
        <v>0</v>
      </c>
      <c r="N50" s="35">
        <f t="shared" si="31"/>
        <v>0</v>
      </c>
      <c r="O50" s="35">
        <f t="shared" ca="1" si="31"/>
        <v>0</v>
      </c>
      <c r="P50" s="35">
        <f t="shared" si="31"/>
        <v>0</v>
      </c>
      <c r="Q50" s="35">
        <f t="shared" si="31"/>
        <v>0</v>
      </c>
      <c r="R50" s="35">
        <f ca="1">IF(R47="See comm","",ROUNDUP(R49,0))</f>
        <v>0</v>
      </c>
      <c r="S50" s="35">
        <f>IF(S51=1,2,S51)</f>
        <v>0</v>
      </c>
      <c r="V50" s="29" t="str">
        <f>V1</f>
        <v>Space 2</v>
      </c>
      <c r="W50" s="35">
        <f t="shared" ref="W50:AB50" ca="1" si="32">ROUNDUP(W49,0)</f>
        <v>0</v>
      </c>
      <c r="X50" s="35">
        <f t="shared" si="32"/>
        <v>0</v>
      </c>
      <c r="Y50" s="35">
        <f t="shared" si="32"/>
        <v>0</v>
      </c>
      <c r="Z50" s="35">
        <f t="shared" ca="1" si="32"/>
        <v>0</v>
      </c>
      <c r="AA50" s="35">
        <f t="shared" si="32"/>
        <v>0</v>
      </c>
      <c r="AB50" s="35">
        <f t="shared" si="32"/>
        <v>0</v>
      </c>
      <c r="AC50" s="35">
        <f ca="1">IF(AC47="See comm","",ROUNDUP(AC49,0))</f>
        <v>0</v>
      </c>
      <c r="AD50" s="35">
        <f>IF(AD51=1,2,AD51)</f>
        <v>0</v>
      </c>
      <c r="AG50" s="29" t="str">
        <f>AG1</f>
        <v>Space 3</v>
      </c>
      <c r="AH50" s="35">
        <f t="shared" ref="AH50:AM50" ca="1" si="33">ROUNDUP(AH49,0)</f>
        <v>0</v>
      </c>
      <c r="AI50" s="35">
        <f t="shared" si="33"/>
        <v>0</v>
      </c>
      <c r="AJ50" s="35">
        <f t="shared" si="33"/>
        <v>0</v>
      </c>
      <c r="AK50" s="35">
        <f t="shared" ca="1" si="33"/>
        <v>0</v>
      </c>
      <c r="AL50" s="35">
        <f t="shared" si="33"/>
        <v>0</v>
      </c>
      <c r="AM50" s="35">
        <f t="shared" si="33"/>
        <v>0</v>
      </c>
      <c r="AN50" s="35">
        <f ca="1">IF(AN47="See comm","",ROUNDUP(AN49,0))</f>
        <v>0</v>
      </c>
      <c r="AO50" s="35">
        <f>IF(AO51=1,2,AO51)</f>
        <v>0</v>
      </c>
    </row>
    <row r="51" spans="1:42" ht="12" customHeight="1" x14ac:dyDescent="0.2">
      <c r="A51">
        <f t="shared" ca="1" si="30"/>
        <v>21</v>
      </c>
      <c r="B51" s="69" t="s">
        <v>76</v>
      </c>
      <c r="C51" s="60" t="s">
        <v>121</v>
      </c>
      <c r="D51" s="60" t="s">
        <v>98</v>
      </c>
      <c r="E51" s="60" t="s">
        <v>121</v>
      </c>
      <c r="F51" s="60" t="s">
        <v>98</v>
      </c>
      <c r="G51" s="60" t="s">
        <v>121</v>
      </c>
      <c r="H51" s="57" t="s">
        <v>122</v>
      </c>
      <c r="K51" s="49"/>
      <c r="R51" s="50"/>
      <c r="S51" s="155">
        <f>IF(L2&lt;=15,0,ROUNDUP(S49,0))</f>
        <v>0</v>
      </c>
      <c r="V51" s="49"/>
      <c r="AC51" s="50"/>
      <c r="AD51" s="155">
        <f>IF(W2&lt;=15,0,ROUNDUP(AD49,0))</f>
        <v>0</v>
      </c>
      <c r="AG51" s="49"/>
      <c r="AN51" s="50"/>
      <c r="AO51" s="155">
        <f>IF(AH2&lt;=15,0,ROUNDUP(AO49,0))</f>
        <v>0</v>
      </c>
    </row>
    <row r="52" spans="1:42" ht="12" customHeight="1" x14ac:dyDescent="0.2">
      <c r="A52">
        <f t="shared" ca="1" si="30"/>
        <v>22</v>
      </c>
      <c r="B52" s="69" t="s">
        <v>189</v>
      </c>
      <c r="C52" s="57" t="s">
        <v>151</v>
      </c>
      <c r="D52" s="57" t="s">
        <v>151</v>
      </c>
      <c r="E52" s="57" t="s">
        <v>151</v>
      </c>
      <c r="F52" s="57" t="s">
        <v>151</v>
      </c>
      <c r="G52" s="57" t="s">
        <v>157</v>
      </c>
      <c r="H52" s="57" t="s">
        <v>150</v>
      </c>
    </row>
    <row r="53" spans="1:42" ht="12" customHeight="1" x14ac:dyDescent="0.2">
      <c r="A53">
        <f t="shared" ca="1" si="30"/>
        <v>23</v>
      </c>
      <c r="B53" s="69" t="s">
        <v>77</v>
      </c>
      <c r="C53" s="60" t="s">
        <v>121</v>
      </c>
      <c r="D53" s="60" t="s">
        <v>98</v>
      </c>
      <c r="E53" s="60" t="s">
        <v>121</v>
      </c>
      <c r="F53" s="60" t="s">
        <v>98</v>
      </c>
      <c r="G53" s="60" t="s">
        <v>121</v>
      </c>
      <c r="H53" s="57" t="s">
        <v>122</v>
      </c>
    </row>
    <row r="54" spans="1:42" ht="12" customHeight="1" x14ac:dyDescent="0.2">
      <c r="A54">
        <f t="shared" ca="1" si="30"/>
        <v>24</v>
      </c>
      <c r="B54" s="152" t="s">
        <v>220</v>
      </c>
      <c r="C54" s="150" t="s">
        <v>151</v>
      </c>
      <c r="D54" s="150" t="s">
        <v>151</v>
      </c>
      <c r="E54" s="150" t="s">
        <v>151</v>
      </c>
      <c r="F54" s="150" t="s">
        <v>151</v>
      </c>
      <c r="G54" s="150" t="s">
        <v>157</v>
      </c>
      <c r="H54" s="150" t="s">
        <v>150</v>
      </c>
    </row>
    <row r="55" spans="1:42" ht="12" customHeight="1" x14ac:dyDescent="0.2">
      <c r="A55">
        <f t="shared" ca="1" si="30"/>
        <v>25</v>
      </c>
      <c r="B55" s="69" t="s">
        <v>78</v>
      </c>
      <c r="C55" s="57" t="s">
        <v>151</v>
      </c>
      <c r="D55" s="57" t="s">
        <v>151</v>
      </c>
      <c r="E55" s="57" t="s">
        <v>151</v>
      </c>
      <c r="F55" s="57" t="s">
        <v>151</v>
      </c>
      <c r="G55" s="57" t="s">
        <v>157</v>
      </c>
      <c r="H55" s="57" t="s">
        <v>150</v>
      </c>
      <c r="L55" s="20" t="s">
        <v>34</v>
      </c>
      <c r="M55" s="20" t="s">
        <v>102</v>
      </c>
      <c r="N55" s="20" t="s">
        <v>109</v>
      </c>
      <c r="O55" s="20" t="s">
        <v>110</v>
      </c>
    </row>
    <row r="56" spans="1:42" ht="12" customHeight="1" x14ac:dyDescent="0.2">
      <c r="A56">
        <f t="shared" ca="1" si="30"/>
        <v>26</v>
      </c>
      <c r="B56" s="69" t="s">
        <v>79</v>
      </c>
      <c r="C56" s="57" t="s">
        <v>150</v>
      </c>
      <c r="D56" s="57" t="s">
        <v>150</v>
      </c>
      <c r="E56" s="57" t="s">
        <v>150</v>
      </c>
      <c r="F56" s="57" t="s">
        <v>150</v>
      </c>
      <c r="G56" s="59" t="s">
        <v>134</v>
      </c>
      <c r="H56" s="57" t="s">
        <v>158</v>
      </c>
      <c r="K56" s="20">
        <v>1</v>
      </c>
      <c r="L56" s="37">
        <f>IF(Plumbing!B10&lt;&gt;"",0,Plumbing!$G$12)</f>
        <v>0</v>
      </c>
      <c r="M56" s="37">
        <f>IF(Plumbing!B10&lt;&gt;"",0,Plumbing!$G$12*Plumbing!$F$14)</f>
        <v>0</v>
      </c>
      <c r="N56" s="37">
        <f>IF(Plumbing!B10&lt;&gt;"",0,Plumbing!$G$12*Plumbing!$F$15)</f>
        <v>0</v>
      </c>
      <c r="O56" s="31">
        <f>IF(Plumbing!E13=0,0,Plumbing!$F$13)</f>
        <v>0</v>
      </c>
    </row>
    <row r="57" spans="1:42" ht="12" customHeight="1" x14ac:dyDescent="0.2">
      <c r="B57" s="69"/>
      <c r="K57" s="20">
        <v>2</v>
      </c>
      <c r="L57" s="37">
        <f>IF(Plumbing!B23&lt;&gt;"",0,Plumbing!$G$25)</f>
        <v>0</v>
      </c>
      <c r="M57" s="37">
        <f>IF(Plumbing!B23&lt;&gt;"",0,Plumbing!$G$25*Plumbing!$F$27)</f>
        <v>0</v>
      </c>
      <c r="N57" s="37">
        <f>IF(Plumbing!B23&lt;&gt;"",0,Plumbing!$G$25*Plumbing!$F$28)</f>
        <v>0</v>
      </c>
      <c r="O57" s="31">
        <f>IF(Plumbing!E26=0,0,Plumbing!$F$26)</f>
        <v>0</v>
      </c>
    </row>
    <row r="58" spans="1:42" ht="12" customHeight="1" thickBot="1" x14ac:dyDescent="0.25">
      <c r="K58" s="20">
        <v>3</v>
      </c>
      <c r="L58" s="75">
        <f>IF(Plumbing!B36&lt;&gt;"",0,Plumbing!$G$38)</f>
        <v>0</v>
      </c>
      <c r="M58" s="75">
        <f>IF(Plumbing!B36&lt;&gt;"",0,Plumbing!$G$38*Plumbing!$F$40)</f>
        <v>0</v>
      </c>
      <c r="N58" s="75">
        <f>IF(Plumbing!B36&lt;&gt;"",0,Plumbing!$G$38*Plumbing!$F$41)</f>
        <v>0</v>
      </c>
      <c r="O58" s="76">
        <f>IF(Plumbing!E39=0,0,Plumbing!$F$39)</f>
        <v>0</v>
      </c>
    </row>
    <row r="59" spans="1:42" ht="12" customHeight="1" thickTop="1" thickBot="1" x14ac:dyDescent="0.25">
      <c r="K59" s="48" t="s">
        <v>193</v>
      </c>
      <c r="L59" s="77">
        <f>SUM(L56:L58)</f>
        <v>0</v>
      </c>
      <c r="M59" s="77">
        <f>SUM(M56:M58)</f>
        <v>0</v>
      </c>
      <c r="N59" s="77">
        <f>SUM(N56:N58)</f>
        <v>0</v>
      </c>
      <c r="O59" s="78">
        <f>SUM(O56:O58)</f>
        <v>0</v>
      </c>
    </row>
    <row r="60" spans="1:42" ht="12" customHeight="1" thickTop="1" x14ac:dyDescent="0.2">
      <c r="A60" s="41" t="s">
        <v>117</v>
      </c>
      <c r="B60" s="20" t="s">
        <v>179</v>
      </c>
      <c r="K60" s="29"/>
    </row>
    <row r="61" spans="1:42" ht="12" customHeight="1" x14ac:dyDescent="0.2">
      <c r="A61" s="41" t="s">
        <v>118</v>
      </c>
      <c r="B61" s="20" t="s">
        <v>217</v>
      </c>
      <c r="L61" s="20" t="s">
        <v>95</v>
      </c>
      <c r="O61" s="20" t="s">
        <v>97</v>
      </c>
      <c r="R61" s="20" t="s">
        <v>127</v>
      </c>
      <c r="S61" s="20" t="s">
        <v>126</v>
      </c>
      <c r="T61" s="20" t="s">
        <v>100</v>
      </c>
    </row>
    <row r="62" spans="1:42" x14ac:dyDescent="0.2">
      <c r="A62" s="41" t="s">
        <v>119</v>
      </c>
      <c r="B62" s="20" t="s">
        <v>180</v>
      </c>
      <c r="K62" s="29"/>
      <c r="L62" s="20" t="s">
        <v>98</v>
      </c>
      <c r="M62" s="20" t="s">
        <v>93</v>
      </c>
      <c r="N62" s="20" t="s">
        <v>96</v>
      </c>
      <c r="O62" s="20" t="s">
        <v>98</v>
      </c>
      <c r="P62" s="20" t="s">
        <v>93</v>
      </c>
      <c r="Q62" s="20" t="s">
        <v>96</v>
      </c>
    </row>
    <row r="63" spans="1:42" x14ac:dyDescent="0.2">
      <c r="A63" s="41" t="s">
        <v>120</v>
      </c>
      <c r="B63" s="20" t="s">
        <v>181</v>
      </c>
      <c r="K63" s="29">
        <v>1</v>
      </c>
      <c r="L63" s="56">
        <f ca="1">L49</f>
        <v>0</v>
      </c>
      <c r="M63" s="56">
        <f t="shared" ref="M63:S63" si="34">M49</f>
        <v>0</v>
      </c>
      <c r="N63" s="56">
        <f t="shared" si="34"/>
        <v>0</v>
      </c>
      <c r="O63" s="56">
        <f t="shared" ca="1" si="34"/>
        <v>0</v>
      </c>
      <c r="P63" s="56">
        <f t="shared" si="34"/>
        <v>0</v>
      </c>
      <c r="Q63" s="56">
        <f t="shared" si="34"/>
        <v>0</v>
      </c>
      <c r="R63" s="56">
        <f ca="1">IF(R47="See comm",0,R49)</f>
        <v>0</v>
      </c>
      <c r="S63" s="56">
        <f t="shared" ca="1" si="34"/>
        <v>0</v>
      </c>
      <c r="T63" s="35"/>
    </row>
    <row r="64" spans="1:42" x14ac:dyDescent="0.2">
      <c r="A64" s="42" t="s">
        <v>112</v>
      </c>
      <c r="B64" s="20" t="s">
        <v>182</v>
      </c>
      <c r="K64" s="29">
        <v>2</v>
      </c>
      <c r="L64" s="56">
        <f ca="1">W49</f>
        <v>0</v>
      </c>
      <c r="M64" s="56">
        <f t="shared" ref="M64:S64" si="35">X49</f>
        <v>0</v>
      </c>
      <c r="N64" s="56">
        <f t="shared" si="35"/>
        <v>0</v>
      </c>
      <c r="O64" s="56">
        <f t="shared" ca="1" si="35"/>
        <v>0</v>
      </c>
      <c r="P64" s="56">
        <f t="shared" si="35"/>
        <v>0</v>
      </c>
      <c r="Q64" s="56">
        <f t="shared" si="35"/>
        <v>0</v>
      </c>
      <c r="R64" s="56">
        <f ca="1">IF(AC47="See comm",0,AC49)</f>
        <v>0</v>
      </c>
      <c r="S64" s="56">
        <f t="shared" ca="1" si="35"/>
        <v>0</v>
      </c>
      <c r="T64" s="35"/>
    </row>
    <row r="65" spans="1:20" x14ac:dyDescent="0.2">
      <c r="A65" s="43" t="s">
        <v>128</v>
      </c>
      <c r="B65" s="20" t="s">
        <v>183</v>
      </c>
      <c r="K65" s="29">
        <v>3</v>
      </c>
      <c r="L65" s="56">
        <f ca="1">AH49</f>
        <v>0</v>
      </c>
      <c r="M65" s="56">
        <f t="shared" ref="M65:S65" si="36">AI49</f>
        <v>0</v>
      </c>
      <c r="N65" s="56">
        <f t="shared" si="36"/>
        <v>0</v>
      </c>
      <c r="O65" s="56">
        <f t="shared" ca="1" si="36"/>
        <v>0</v>
      </c>
      <c r="P65" s="56">
        <f t="shared" si="36"/>
        <v>0</v>
      </c>
      <c r="Q65" s="56">
        <f t="shared" si="36"/>
        <v>0</v>
      </c>
      <c r="R65" s="56">
        <f ca="1">IF(AN47="See comm",0,AN49)</f>
        <v>0</v>
      </c>
      <c r="S65" s="56">
        <f t="shared" ca="1" si="36"/>
        <v>0</v>
      </c>
      <c r="T65" s="35"/>
    </row>
    <row r="66" spans="1:20" x14ac:dyDescent="0.2">
      <c r="A66" s="43" t="s">
        <v>129</v>
      </c>
      <c r="B66" s="20" t="s">
        <v>187</v>
      </c>
      <c r="K66" s="29" t="s">
        <v>193</v>
      </c>
      <c r="L66" s="35">
        <f ca="1">SUM(L63:L65)</f>
        <v>0</v>
      </c>
      <c r="M66" s="35">
        <f t="shared" ref="M66:S66" si="37">SUM(M63:M65)</f>
        <v>0</v>
      </c>
      <c r="N66" s="35">
        <f t="shared" si="37"/>
        <v>0</v>
      </c>
      <c r="O66" s="35">
        <f t="shared" ca="1" si="37"/>
        <v>0</v>
      </c>
      <c r="P66" s="35">
        <f t="shared" si="37"/>
        <v>0</v>
      </c>
      <c r="Q66" s="35">
        <f t="shared" si="37"/>
        <v>0</v>
      </c>
      <c r="R66" s="35">
        <f ca="1">SUM(R63:R65)</f>
        <v>0</v>
      </c>
      <c r="S66" s="35">
        <f t="shared" ca="1" si="37"/>
        <v>0</v>
      </c>
    </row>
    <row r="67" spans="1:20" x14ac:dyDescent="0.2">
      <c r="A67" s="51" t="s">
        <v>140</v>
      </c>
      <c r="B67" s="20" t="s">
        <v>207</v>
      </c>
      <c r="K67" s="49" t="s">
        <v>195</v>
      </c>
      <c r="L67" s="35">
        <f t="shared" ref="L67:R67" ca="1" si="38">ROUNDUP(L66,0)</f>
        <v>0</v>
      </c>
      <c r="M67" s="35">
        <f t="shared" si="38"/>
        <v>0</v>
      </c>
      <c r="N67" s="35">
        <f t="shared" si="38"/>
        <v>0</v>
      </c>
      <c r="O67" s="35">
        <f t="shared" ca="1" si="38"/>
        <v>0</v>
      </c>
      <c r="P67" s="35">
        <f t="shared" si="38"/>
        <v>0</v>
      </c>
      <c r="Q67" s="35">
        <f t="shared" si="38"/>
        <v>0</v>
      </c>
      <c r="R67" s="35">
        <f t="shared" ca="1" si="38"/>
        <v>0</v>
      </c>
      <c r="S67" s="156">
        <f>IF(L59&lt;=15,0,ROUNDUP(S66,0))</f>
        <v>0</v>
      </c>
    </row>
    <row r="68" spans="1:20" x14ac:dyDescent="0.2">
      <c r="A68" s="51" t="s">
        <v>141</v>
      </c>
      <c r="B68" s="20" t="s">
        <v>208</v>
      </c>
      <c r="K68" s="79" t="s">
        <v>198</v>
      </c>
      <c r="L68" s="35">
        <f ca="1">IF($S$73=0,L67,L67+1-$S$73)</f>
        <v>0</v>
      </c>
      <c r="M68" s="35">
        <f>IF($S$73=0,M67,M67-1+$S$73)</f>
        <v>0</v>
      </c>
      <c r="N68" s="80">
        <f>N67</f>
        <v>0</v>
      </c>
      <c r="O68" s="35">
        <f ca="1">IF($S$73=0,O67,O67+1-$S$73)</f>
        <v>0</v>
      </c>
      <c r="P68" s="35">
        <f>IF($S$73=0,P67,P67-1+$S$73)</f>
        <v>0</v>
      </c>
      <c r="Q68" s="80">
        <f>Q67</f>
        <v>0</v>
      </c>
      <c r="R68" s="35">
        <f ca="1">IF(OR(R47="See comm",AC47="See comm",AN47="See comm"),"See comm",ROUNDUP(R66,0))</f>
        <v>0</v>
      </c>
      <c r="S68" s="35">
        <f>IF(S67=1,2,S67)</f>
        <v>0</v>
      </c>
    </row>
    <row r="69" spans="1:20" x14ac:dyDescent="0.2">
      <c r="A69" s="65" t="s">
        <v>171</v>
      </c>
      <c r="B69" s="155" t="s">
        <v>222</v>
      </c>
      <c r="M69" s="51">
        <f>ROUNDDOWN((SUM(M48*L42,X48*W42,AI48*AH42)),0)</f>
        <v>0</v>
      </c>
    </row>
    <row r="70" spans="1:20" x14ac:dyDescent="0.2">
      <c r="A70" s="74" t="s">
        <v>101</v>
      </c>
      <c r="B70" s="20">
        <f>LOOKUP(K2,Support!B1:B26,Support!H1:H26)</f>
        <v>0</v>
      </c>
      <c r="C70" s="20">
        <f>LOOKUP(V2,Support!B1:B26,Support!H1:H26)</f>
        <v>0</v>
      </c>
      <c r="E70" s="20">
        <f>LOOKUP(AG2,Support!B1:B26,Support!H1:H26)</f>
        <v>0</v>
      </c>
      <c r="M70" s="23"/>
      <c r="N70" s="23"/>
      <c r="O70" s="23"/>
      <c r="P70" s="23"/>
      <c r="Q70" s="23"/>
      <c r="R70" s="65" t="str">
        <f>O38</f>
        <v/>
      </c>
      <c r="S70" s="23" t="s">
        <v>142</v>
      </c>
    </row>
    <row r="71" spans="1:20" x14ac:dyDescent="0.2">
      <c r="A71" s="51" t="s">
        <v>199</v>
      </c>
      <c r="B71" s="20" t="s">
        <v>209</v>
      </c>
      <c r="M71" s="23"/>
      <c r="N71" s="32"/>
      <c r="O71" s="154" t="str">
        <f ca="1">IF(AND(L59&lt;=15,S66&lt;&gt;0),$B$76,"")</f>
        <v/>
      </c>
      <c r="P71" s="37" t="str">
        <f>IF(OR(L56&lt;&gt;0,O56&lt;&gt;0)," See Comments above**","")</f>
        <v/>
      </c>
      <c r="Q71" s="23" t="s">
        <v>142</v>
      </c>
      <c r="R71" s="65" t="str">
        <f>Z38</f>
        <v/>
      </c>
      <c r="S71" s="23" t="s">
        <v>142</v>
      </c>
    </row>
    <row r="72" spans="1:20" x14ac:dyDescent="0.2">
      <c r="A72" s="84" t="s">
        <v>205</v>
      </c>
      <c r="B72" s="20" t="s">
        <v>206</v>
      </c>
      <c r="M72" s="55" t="str">
        <f>IF(OR(M38&lt;&gt;"",X38&lt;&gt;"",AI38&lt;&gt;""),$B$65,"")</f>
        <v/>
      </c>
      <c r="N72" s="53" t="str">
        <f>IF(M69&lt;&gt;0,M69&amp;$B$71,"")</f>
        <v/>
      </c>
      <c r="O72" s="66" t="str">
        <f>IF($S$73&lt;&gt;0,$B$69,"")</f>
        <v/>
      </c>
      <c r="P72" s="42" t="str">
        <f ca="1">IF(R68="See comm",$B$64,"")</f>
        <v/>
      </c>
      <c r="Q72" s="23" t="s">
        <v>142</v>
      </c>
      <c r="R72" s="65" t="str">
        <f>AK38</f>
        <v/>
      </c>
      <c r="S72" s="23" t="s">
        <v>142</v>
      </c>
    </row>
    <row r="73" spans="1:20" x14ac:dyDescent="0.2">
      <c r="A73" s="140" t="s">
        <v>205</v>
      </c>
      <c r="B73" s="20" t="s">
        <v>211</v>
      </c>
      <c r="M73" s="55" t="str">
        <f>IF(OR(M39&lt;&gt;"",X39&lt;&gt;"",AI39&lt;&gt;""),$B$66,"")</f>
        <v/>
      </c>
      <c r="N73" s="73" t="str">
        <f>CONCATENATE(N75,O75,P75)</f>
        <v/>
      </c>
      <c r="O73" s="85" t="str">
        <f>IF(S67=1,$B$72,"")</f>
        <v/>
      </c>
      <c r="P73" s="139" t="str">
        <f>CONCATENATE(N76,O76,P76)</f>
        <v/>
      </c>
      <c r="Q73" s="23" t="s">
        <v>142</v>
      </c>
      <c r="R73" s="63">
        <f>COUNTIF(R70:R72,"")</f>
        <v>3</v>
      </c>
      <c r="S73" s="63">
        <f>3-R73</f>
        <v>0</v>
      </c>
    </row>
    <row r="74" spans="1:20" x14ac:dyDescent="0.2">
      <c r="A74" s="140" t="s">
        <v>205</v>
      </c>
      <c r="B74" s="20" t="s">
        <v>210</v>
      </c>
      <c r="M74" s="159" t="str">
        <f>IF(AND(M68=1,N68=1),$B$77,"")</f>
        <v/>
      </c>
    </row>
    <row r="75" spans="1:20" x14ac:dyDescent="0.2">
      <c r="A75" s="45" t="s">
        <v>212</v>
      </c>
      <c r="B75" s="20" t="s">
        <v>213</v>
      </c>
      <c r="N75" s="74" t="str">
        <f>IF(OR(B70="  Serv. Sink req'd**",C70="  Serv. Sink req'd**",E70="  Serv. Sink req'd**"),"  Serv. Sink req'd**",N39)</f>
        <v/>
      </c>
      <c r="O75" s="74" t="str">
        <f>IF(OR(B70="  Serv. Sink req'd**",C70="  Serv. Sink req'd**",E70="  Serv. Sink req'd**",Y39=N39),"",Y39)</f>
        <v/>
      </c>
      <c r="P75" s="74" t="str">
        <f>IF(OR(B70="  Serv. Sink req'd**",C70="  Serv. Sink req'd**",E70="  Serv. Sink req'd**",AJ39=Y39,AJ39=N39),"",AJ39)</f>
        <v/>
      </c>
    </row>
    <row r="76" spans="1:20" x14ac:dyDescent="0.2">
      <c r="A76" s="157" t="s">
        <v>128</v>
      </c>
      <c r="B76" s="20" t="s">
        <v>221</v>
      </c>
      <c r="N76" s="140" t="str">
        <f>P39</f>
        <v/>
      </c>
      <c r="O76" s="140" t="str">
        <f>IF(AA39=P39,"",AA39)</f>
        <v/>
      </c>
      <c r="P76" s="140" t="str">
        <f>IF(OR(AL39=AA39,AL39=P39),"",AL39)</f>
        <v/>
      </c>
    </row>
    <row r="77" spans="1:20" x14ac:dyDescent="0.2">
      <c r="A77" s="159" t="s">
        <v>228</v>
      </c>
      <c r="B77" s="20" t="s">
        <v>229</v>
      </c>
    </row>
    <row r="80" spans="1:20" x14ac:dyDescent="0.2">
      <c r="B80" s="20" t="s">
        <v>160</v>
      </c>
    </row>
    <row r="81" spans="1:2" x14ac:dyDescent="0.2">
      <c r="A81" s="20">
        <v>1</v>
      </c>
      <c r="B81" s="61" t="str">
        <f ca="1">CONCATENATE(M37,N37,O37,P37,N38,M38,M39,P38,O38,N39,O39,P39,M40,N40,O40)</f>
        <v/>
      </c>
    </row>
    <row r="82" spans="1:2" x14ac:dyDescent="0.2">
      <c r="A82" s="20">
        <v>2</v>
      </c>
      <c r="B82" s="61" t="str">
        <f ca="1">CONCATENATE(X37,Y37,Z37,AA37,Y38,X38,X39,AA38,Z38,Y39,Z39,AA39,X40,Y40,Z40)</f>
        <v/>
      </c>
    </row>
    <row r="83" spans="1:2" x14ac:dyDescent="0.2">
      <c r="A83" s="20">
        <v>3</v>
      </c>
      <c r="B83" s="61" t="str">
        <f ca="1">CONCATENATE(AI37,AJ37,AK37,AL37,AJ38,AI38,AI39,AL38,AK38,AJ39,AK39,AL39,AI40,AJ40,AK40)</f>
        <v/>
      </c>
    </row>
    <row r="84" spans="1:2" x14ac:dyDescent="0.2">
      <c r="A84" s="29" t="s">
        <v>197</v>
      </c>
      <c r="B84" s="61" t="str">
        <f ca="1">CONCATENATE(N72,M72,M73,P72,O72,N73,O73,P73,P71,O71,M74)</f>
        <v/>
      </c>
    </row>
    <row r="88" spans="1:2" ht="12.75" x14ac:dyDescent="0.2">
      <c r="B88" s="142">
        <f ca="1">IF(B102=0,-1,B90-B89)</f>
        <v>457</v>
      </c>
    </row>
    <row r="89" spans="1:2" ht="12.75" x14ac:dyDescent="0.2">
      <c r="B89" s="143">
        <f ca="1">TODAY()</f>
        <v>45565</v>
      </c>
    </row>
    <row r="90" spans="1:2" ht="12.75" x14ac:dyDescent="0.2">
      <c r="B90" s="143">
        <f>Plumbing!M3</f>
        <v>46022</v>
      </c>
    </row>
    <row r="102" spans="2:2" x14ac:dyDescent="0.2">
      <c r="B102" s="56">
        <f>IF(OR(B111=B112,B111=B113,B111=B114,B111=B115,B111=B116,B111=B117),1,0)</f>
        <v>1</v>
      </c>
    </row>
    <row r="108" spans="2:2" x14ac:dyDescent="0.2">
      <c r="B108" s="20" t="s">
        <v>215</v>
      </c>
    </row>
    <row r="109" spans="2:2" x14ac:dyDescent="0.2">
      <c r="B109" s="20" t="s">
        <v>216</v>
      </c>
    </row>
    <row r="111" spans="2:2" x14ac:dyDescent="0.2">
      <c r="B111" s="61"/>
    </row>
    <row r="115" spans="2:2" ht="12.75" x14ac:dyDescent="0.2">
      <c r="B115"/>
    </row>
    <row r="116" spans="2:2" ht="12.75" x14ac:dyDescent="0.2">
      <c r="B116"/>
    </row>
    <row r="117" spans="2:2" ht="12.75" x14ac:dyDescent="0.2">
      <c r="B117"/>
    </row>
  </sheetData>
  <sheetProtection password="C9BC" sheet="1" objects="1" scenarios="1" selectLockedCells="1" selectUnlockedCells="1"/>
  <customSheetViews>
    <customSheetView guid="{B5C9A03E-93CF-46EE-8F04-58B98E0B692E}" scale="120" state="hidden" topLeftCell="A58">
      <selection activeCell="L75" sqref="L75"/>
      <pageMargins left="0.75" right="0.75" top="1" bottom="1" header="0.5" footer="0.5"/>
      <pageSetup orientation="portrait" horizontalDpi="0" verticalDpi="0" r:id="rId1"/>
      <headerFooter alignWithMargins="0"/>
    </customSheetView>
    <customSheetView guid="{88B0AC62-A692-4999-AFE4-A53E08EAE0C8}" scale="120" state="hidden" topLeftCell="A58">
      <selection activeCell="L75" sqref="L75"/>
      <pageMargins left="0.75" right="0.75" top="1" bottom="1" header="0.5" footer="0.5"/>
      <pageSetup orientation="portrait" horizontalDpi="0" verticalDpi="0" r:id="rId2"/>
      <headerFooter alignWithMargins="0"/>
    </customSheetView>
    <customSheetView guid="{44AB601E-F72E-47E9-8482-5E47CDE1F4B5}" scale="120" state="hidden">
      <selection activeCell="B111" sqref="B111:B117"/>
      <pageMargins left="0.75" right="0.75" top="1" bottom="1" header="0.5" footer="0.5"/>
      <pageSetup orientation="portrait" horizontalDpi="0" verticalDpi="0" r:id="rId3"/>
      <headerFooter alignWithMargins="0"/>
    </customSheetView>
    <customSheetView guid="{E9085DC7-8FC4-4BFE-9ADF-F6CB4A330343}" scale="120" state="hidden" topLeftCell="A58">
      <selection activeCell="L75" sqref="L75"/>
      <pageMargins left="0.75" right="0.75" top="1" bottom="1" header="0.5" footer="0.5"/>
      <pageSetup orientation="portrait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orientation="portrait" horizontalDpi="0" verticalDpi="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Plumbing</vt:lpstr>
      <vt:lpstr>Support</vt:lpstr>
      <vt:lpstr>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</cp:lastModifiedBy>
  <cp:lastPrinted>2009-12-28T00:27:56Z</cp:lastPrinted>
  <dcterms:created xsi:type="dcterms:W3CDTF">2009-01-25T23:05:24Z</dcterms:created>
  <dcterms:modified xsi:type="dcterms:W3CDTF">2024-10-01T03:15:00Z</dcterms:modified>
</cp:coreProperties>
</file>